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75" windowHeight="10605" tabRatio="817" activeTab="0"/>
  </bookViews>
  <sheets>
    <sheet name="Formularz 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fn.BAHTTEXT" hidden="1">#NAME?</definedName>
    <definedName name="_xlfn.CONCAT" hidden="1">#NAME?</definedName>
    <definedName name="_xlfn.IFERROR" hidden="1">#NAME?</definedName>
    <definedName name="_xlfn.SINGLE" hidden="1">#NAME?</definedName>
    <definedName name="_xlfn.Z.TEST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EN1">#REF!</definedName>
    <definedName name="GEN2">#REF!</definedName>
    <definedName name="GEN3">#REF!</definedName>
    <definedName name="Gorzów_Wlkp_Oświetlenie" localSheetId="0">'[2]SIWZ_OŚWIETLENIE'!#REF!</definedName>
    <definedName name="Gorzów_Wlkp_Oświetlenie">'[2]SIWZ_OŚWIETLENIE'!#REF!</definedName>
    <definedName name="GRH_Gorzów_Obiekty" localSheetId="0">'[2]SIWZ_OBIEKTY'!#REF!</definedName>
    <definedName name="GRH_Gorzów_Obiekty">'[2]SIWZ_OBIEKTY'!#REF!</definedName>
    <definedName name="GTBS_Gorzów_Obiekty" localSheetId="0">'[2]SIWZ_OBIEKTY'!#REF!</definedName>
    <definedName name="GTBS_Gorzów_Obiekty">'[2]SIWZ_OBIEKTY'!#REF!</definedName>
    <definedName name="Krzeszyce_Obiekty" localSheetId="0">'[2]SIWZ_OBIEKTY'!#REF!</definedName>
    <definedName name="Krzeszyce_Obiekty">'[2]SIWZ_OBIEKTY'!#REF!</definedName>
    <definedName name="Krzeszyce_Oświetlenie" localSheetId="0">'[2]SIWZ_OŚWIETLENIE'!#REF!</definedName>
    <definedName name="Krzeszyce_Oświetlenie">'[2]SIWZ_OŚWIETLENIE'!#REF!</definedName>
    <definedName name="Lubiszyn_Obiekty" localSheetId="0">'[2]SIWZ_OBIEKTY'!#REF!</definedName>
    <definedName name="Lubiszyn_Obiekty">'[2]SIWZ_OBIEKTY'!#REF!</definedName>
    <definedName name="Lubiszyn_Oświetlenie" localSheetId="0">'[2]SIWZ_OŚWIETLENIE'!#REF!</definedName>
    <definedName name="Lubiszyn_Oświetlenie">'[2]SIWZ_OŚWIETLENIE'!#REF!</definedName>
    <definedName name="Maszewo_Obiekty" localSheetId="0">'[2]SIWZ_OBIEKTY'!#REF!</definedName>
    <definedName name="Maszewo_Obiekty">'[2]SIWZ_OBIEKTY'!#REF!</definedName>
    <definedName name="Międzyrzecz_Gmina_Obiekty" localSheetId="0">'[2]SIWZ_OBIEKTY'!#REF!</definedName>
    <definedName name="Międzyrzecz_Gmina_Obiekty">'[2]SIWZ_OBIEKTY'!#REF!</definedName>
    <definedName name="Międzyrzecz_Oświetlenie" localSheetId="0">'[2]SIWZ_OŚWIETLENIE'!#REF!</definedName>
    <definedName name="Międzyrzecz_Oświetlenie">'[2]SIWZ_OŚWIETLENIE'!#REF!</definedName>
    <definedName name="Międzyrzecz_Powiat_Obiekty" localSheetId="0">'[2]SIWZ_OBIEKTY'!#REF!</definedName>
    <definedName name="Międzyrzecz_Powiat_Obiekty">'[2]SIWZ_OBIEKTY'!#REF!</definedName>
    <definedName name="MPWiK_Międzyrzecz_Obiekty" localSheetId="0">'[2]SIWZ_OBIEKTY'!#REF!</definedName>
    <definedName name="MPWiK_Międzyrzecz_Obiekty">'[2]SIWZ_OBIEKTY'!#REF!</definedName>
    <definedName name="OB03" localSheetId="0">'[7]Obiekty'!#REF!</definedName>
    <definedName name="OB03">'[7]Obiekty'!#REF!</definedName>
    <definedName name="ob1">'[8]DANE SIWZ_OBIEKTY '!$C$9</definedName>
    <definedName name="ob10">'[8]DANE SIWZ_OBIEKTY '!$C$612</definedName>
    <definedName name="ob11">'[8]DANE SIWZ_OBIEKTY '!$C$631</definedName>
    <definedName name="ob12">'[8]DANE SIWZ_OBIEKTY '!$C$691</definedName>
    <definedName name="ob13">'[8]DANE SIWZ_OBIEKTY '!$C$713</definedName>
    <definedName name="ob14" localSheetId="0">'[8]DANE SIWZ_OBIEKTY '!#REF!</definedName>
    <definedName name="ob14">'[8]DANE SIWZ_OBIEKTY '!#REF!</definedName>
    <definedName name="ob15" localSheetId="0">'[8]DANE SIWZ_OBIEKTY '!#REF!</definedName>
    <definedName name="ob15">'[8]DANE SIWZ_OBIEKTY '!#REF!</definedName>
    <definedName name="ob16" localSheetId="0">'[8]DANE SIWZ_OBIEKTY '!#REF!</definedName>
    <definedName name="ob16">'[8]DANE SIWZ_OBIEKTY '!#REF!</definedName>
    <definedName name="ob17" localSheetId="0">'[8]DANE SIWZ_OBIEKTY '!#REF!</definedName>
    <definedName name="ob17">'[8]DANE SIWZ_OBIEKTY '!#REF!</definedName>
    <definedName name="ob18" localSheetId="0">'[8]DANE SIWZ_OBIEKTY '!#REF!</definedName>
    <definedName name="ob18">'[8]DANE SIWZ_OBIEKTY '!#REF!</definedName>
    <definedName name="ob19" localSheetId="0">'[8]DANE SIWZ_OBIEKTY '!#REF!</definedName>
    <definedName name="ob19">'[8]DANE SIWZ_OBIEKTY '!#REF!</definedName>
    <definedName name="ob2">'[8]DANE SIWZ_OBIEKTY '!$C$43</definedName>
    <definedName name="ob20" localSheetId="0">'[8]DANE SIWZ_OBIEKTY '!#REF!</definedName>
    <definedName name="ob20">'[8]DANE SIWZ_OBIEKTY '!#REF!</definedName>
    <definedName name="ob21" localSheetId="0">'[8]DANE SIWZ_OBIEKTY '!#REF!</definedName>
    <definedName name="ob21">'[8]DANE SIWZ_OBIEKTY '!#REF!</definedName>
    <definedName name="ob22" localSheetId="0">'[8]DANE SIWZ_OBIEKTY '!#REF!</definedName>
    <definedName name="ob22">'[8]DANE SIWZ_OBIEKTY '!#REF!</definedName>
    <definedName name="ob23" localSheetId="0">'[8]DANE SIWZ_OBIEKTY '!#REF!</definedName>
    <definedName name="ob23">'[8]DANE SIWZ_OBIEKTY '!#REF!</definedName>
    <definedName name="ob24" localSheetId="0">'[8]DANE SIWZ_OBIEKTY '!#REF!</definedName>
    <definedName name="ob24">'[8]DANE SIWZ_OBIEKTY '!#REF!</definedName>
    <definedName name="ob25" localSheetId="0">'[8]DANE SIWZ_OBIEKTY '!#REF!</definedName>
    <definedName name="ob25">'[8]DANE SIWZ_OBIEKTY '!#REF!</definedName>
    <definedName name="OB26" localSheetId="0">'[4]Obiekty'!#REF!</definedName>
    <definedName name="OB26">'[4]Obiekty'!#REF!</definedName>
    <definedName name="OB27" localSheetId="0">'[4]Obiekty'!#REF!</definedName>
    <definedName name="OB27">'[4]Obiekty'!#REF!</definedName>
    <definedName name="OB28" localSheetId="0">'[4]Obiekty'!#REF!</definedName>
    <definedName name="OB28">'[4]Obiekty'!#REF!</definedName>
    <definedName name="ob3">'[8]DANE SIWZ_OBIEKTY '!$C$90</definedName>
    <definedName name="ob4">'[8]DANE SIWZ_OBIEKTY '!$C$178</definedName>
    <definedName name="ob5">'[8]DANE SIWZ_OBIEKTY '!$C$228</definedName>
    <definedName name="ob6">'[8]DANE SIWZ_OBIEKTY '!$C$328</definedName>
    <definedName name="ob7">'[8]DANE SIWZ_OBIEKTY '!$C$449</definedName>
    <definedName name="ob8">'[8]DANE SIWZ_OBIEKTY '!$C$553</definedName>
    <definedName name="ob9">'[8]DANE SIWZ_OBIEKTY '!$C$570</definedName>
    <definedName name="_xlnm.Print_Area" localSheetId="0">'Formularz  '!$A$1:$I$152</definedName>
    <definedName name="os1">'[9]Załącznik_1b'!$C$6</definedName>
    <definedName name="os10" localSheetId="0">'[8]DANE SIWZ_OSWIETLENIE'!#REF!</definedName>
    <definedName name="os10">'[8]DANE SIWZ_OSWIETLENIE'!#REF!</definedName>
    <definedName name="os11" localSheetId="0">'[8]DANE SIWZ_OSWIETLENIE'!#REF!</definedName>
    <definedName name="os11">'[8]DANE SIWZ_OSWIETLENIE'!#REF!</definedName>
    <definedName name="os12" localSheetId="0">'[8]DANE SIWZ_OSWIETLENIE'!#REF!</definedName>
    <definedName name="os12">'[8]DANE SIWZ_OSWIETLENIE'!#REF!</definedName>
    <definedName name="os13" localSheetId="0">'[8]DANE SIWZ_OSWIETLENIE'!#REF!</definedName>
    <definedName name="os13">'[8]DANE SIWZ_OSWIETLENIE'!#REF!</definedName>
    <definedName name="os14" localSheetId="0">'[8]DANE SIWZ_OSWIETLENIE'!#REF!</definedName>
    <definedName name="os14">'[8]DANE SIWZ_OSWIETLENIE'!#REF!</definedName>
    <definedName name="os15" localSheetId="0">'[8]DANE SIWZ_OSWIETLENIE'!#REF!</definedName>
    <definedName name="os15">'[8]DANE SIWZ_OSWIETLENIE'!#REF!</definedName>
    <definedName name="os16" localSheetId="0">'[8]DANE SIWZ_OSWIETLENIE'!#REF!</definedName>
    <definedName name="os16">'[8]DANE SIWZ_OSWIETLENIE'!#REF!</definedName>
    <definedName name="os17" localSheetId="0">'[8]DANE SIWZ_OSWIETLENIE'!#REF!</definedName>
    <definedName name="os17">'[8]DANE SIWZ_OSWIETLENIE'!#REF!</definedName>
    <definedName name="os18" localSheetId="0">'[8]DANE SIWZ_OSWIETLENIE'!#REF!</definedName>
    <definedName name="os18">'[8]DANE SIWZ_OSWIETLENIE'!#REF!</definedName>
    <definedName name="os19" localSheetId="0">'[8]DANE SIWZ_OSWIETLENIE'!#REF!</definedName>
    <definedName name="os19">'[8]DANE SIWZ_OSWIETLENIE'!#REF!</definedName>
    <definedName name="os2">'[9]Załącznik_1b'!$C$23</definedName>
    <definedName name="os20" localSheetId="0">'[8]DANE SIWZ_OSWIETLENIE'!#REF!</definedName>
    <definedName name="os20">'[8]DANE SIWZ_OSWIETLENIE'!#REF!</definedName>
    <definedName name="os21" localSheetId="0">'[8]DANE SIWZ_OSWIETLENIE'!#REF!</definedName>
    <definedName name="os21">'[8]DANE SIWZ_OSWIETLENIE'!#REF!</definedName>
    <definedName name="os22" localSheetId="0">'[8]DANE SIWZ_OSWIETLENIE'!#REF!</definedName>
    <definedName name="os22">'[8]DANE SIWZ_OSWIETLENIE'!#REF!</definedName>
    <definedName name="os23" localSheetId="0">'[8]DANE SIWZ_OSWIETLENIE'!#REF!</definedName>
    <definedName name="os23">'[8]DANE SIWZ_OSWIETLENIE'!#REF!</definedName>
    <definedName name="os24" localSheetId="0">'[8]DANE SIWZ_OSWIETLENIE'!#REF!</definedName>
    <definedName name="os24">'[8]DANE SIWZ_OSWIETLENIE'!#REF!</definedName>
    <definedName name="os25" localSheetId="0">'[8]DANE SIWZ_OSWIETLENIE'!#REF!</definedName>
    <definedName name="os25">'[8]DANE SIWZ_OSWIETLENIE'!#REF!</definedName>
    <definedName name="os3">'[9]Załącznik_1b'!$C$122</definedName>
    <definedName name="os4">'[9]Załącznik_1b'!$C$232</definedName>
    <definedName name="os5">'[9]Załącznik_1b'!$C$259</definedName>
    <definedName name="os6" localSheetId="0">'[8]DANE SIWZ_OSWIETLENIE'!#REF!</definedName>
    <definedName name="os6">'[8]DANE SIWZ_OSWIETLENIE'!#REF!</definedName>
    <definedName name="os7">'[9]Załącznik_1b'!$C$372</definedName>
    <definedName name="os8" localSheetId="0">'[8]DANE SIWZ_OSWIETLENIE'!#REF!</definedName>
    <definedName name="os8">'[8]DANE SIWZ_OSWIETLENIE'!#REF!</definedName>
    <definedName name="os9" localSheetId="0">'[8]DANE SIWZ_OSWIETLENIE'!#REF!</definedName>
    <definedName name="os9">'[8]DANE SIWZ_OSWIETLENIE'!#REF!</definedName>
    <definedName name="OSiR_Gorzów_Obiekty" localSheetId="0">'[2]SIWZ_OBIEKTY'!#REF!</definedName>
    <definedName name="OSiR_Gorzów_Obiekty">'[2]SIWZ_OBIEKTY'!#REF!</definedName>
    <definedName name="OSW03" localSheetId="0">'[7]Oświetlenie'!#REF!</definedName>
    <definedName name="OSW03">'[7]Oświetlenie'!#REF!</definedName>
    <definedName name="OSW1">#REF!</definedName>
    <definedName name="OSW10" localSheetId="0">'[4]Oświetlenie'!#REF!</definedName>
    <definedName name="OSW10">'[4]Oświetlenie'!#REF!</definedName>
    <definedName name="OSW11" localSheetId="0">'[4]Oświetlenie'!#REF!</definedName>
    <definedName name="OSW11">'[4]Oświetlenie'!#REF!</definedName>
    <definedName name="OSW12" localSheetId="0">'[4]Oświetlenie'!#REF!</definedName>
    <definedName name="OSW12">'[4]Oświetlenie'!#REF!</definedName>
    <definedName name="OSW13" localSheetId="0">'[4]Oświetlenie'!#REF!</definedName>
    <definedName name="OSW13">'[4]Oświetlenie'!#REF!</definedName>
    <definedName name="OSW14" localSheetId="0">'[4]Oświetlenie'!#REF!</definedName>
    <definedName name="OSW14">'[4]Oświetlenie'!#REF!</definedName>
    <definedName name="OSW15" localSheetId="0">'[4]Oświetlenie'!#REF!</definedName>
    <definedName name="OSW15">'[4]Oświetlenie'!#REF!</definedName>
    <definedName name="OSW16" localSheetId="0">'[4]Oświetlenie'!#REF!</definedName>
    <definedName name="OSW16">'[4]Oświetlenie'!#REF!</definedName>
    <definedName name="OSW17" localSheetId="0">'[4]Oświetlenie'!#REF!</definedName>
    <definedName name="OSW17">'[4]Oświetlenie'!#REF!</definedName>
    <definedName name="OSW18" localSheetId="0">'[4]Oświetlenie'!#REF!</definedName>
    <definedName name="OSW18">'[4]Oświetlenie'!#REF!</definedName>
    <definedName name="OSW19" localSheetId="0">'[4]Oświetlenie'!#REF!</definedName>
    <definedName name="OSW19">'[4]Oświetlenie'!#REF!</definedName>
    <definedName name="OSW2" localSheetId="0">'[4]Oświetlenie'!#REF!</definedName>
    <definedName name="OSW2">'[4]Oświetlenie'!#REF!</definedName>
    <definedName name="OSW20" localSheetId="0">'[4]Oświetlenie'!#REF!</definedName>
    <definedName name="OSW20">'[4]Oświetlenie'!#REF!</definedName>
    <definedName name="OSW21" localSheetId="0">'[4]Oświetlenie'!#REF!</definedName>
    <definedName name="OSW21">'[4]Oświetlenie'!#REF!</definedName>
    <definedName name="OSW22" localSheetId="0">'[4]Oświetlenie'!#REF!</definedName>
    <definedName name="OSW22">'[4]Oświetlenie'!#REF!</definedName>
    <definedName name="OSW23" localSheetId="0">'[4]Oświetlenie'!#REF!</definedName>
    <definedName name="OSW23">'[4]Oświetlenie'!#REF!</definedName>
    <definedName name="OSW24" localSheetId="0">'[4]Oświetlenie'!#REF!</definedName>
    <definedName name="OSW24">'[4]Oświetlenie'!#REF!</definedName>
    <definedName name="OSW25" localSheetId="0">'[4]Oświetlenie'!#REF!</definedName>
    <definedName name="OSW25">'[4]Oświetlenie'!#REF!</definedName>
    <definedName name="OSW26" localSheetId="0">'[4]Oświetlenie'!#REF!</definedName>
    <definedName name="OSW26">'[4]Oświetlenie'!#REF!</definedName>
    <definedName name="OSW27" localSheetId="0">'[4]Oświetlenie'!#REF!</definedName>
    <definedName name="OSW27">'[4]Oświetlenie'!#REF!</definedName>
    <definedName name="OSW28" localSheetId="0">'[4]Oświetlenie'!#REF!</definedName>
    <definedName name="OSW28">'[4]Oświetlenie'!#REF!</definedName>
    <definedName name="OSW3">#REF!</definedName>
    <definedName name="OSW4" localSheetId="0">'[4]Oświetlenie'!#REF!</definedName>
    <definedName name="OSW4">'[4]Oświetlenie'!#REF!</definedName>
    <definedName name="OSW5" localSheetId="0">'[4]Oświetlenie'!#REF!</definedName>
    <definedName name="OSW5">'[4]Oświetlenie'!#REF!</definedName>
    <definedName name="OSW6" localSheetId="0">'[4]Oświetlenie'!#REF!</definedName>
    <definedName name="OSW6">'[4]Oświetlenie'!#REF!</definedName>
    <definedName name="OSW7" localSheetId="0">'[4]Oświetlenie'!#REF!</definedName>
    <definedName name="OSW7">'[4]Oświetlenie'!#REF!</definedName>
    <definedName name="OSW8" localSheetId="0">'[4]Oświetlenie'!#REF!</definedName>
    <definedName name="OSW8">'[4]Oświetlenie'!#REF!</definedName>
    <definedName name="OSW9" localSheetId="0">'[4]Oświetlenie'!#REF!</definedName>
    <definedName name="OSW9">'[4]Oświetlenie'!#REF!</definedName>
    <definedName name="PSG1">#REF!</definedName>
    <definedName name="PSG10" localSheetId="0">#REF!</definedName>
    <definedName name="PSG10">#REF!</definedName>
    <definedName name="PSG11" localSheetId="0">#REF!</definedName>
    <definedName name="PSG11">#REF!</definedName>
    <definedName name="PSG12" localSheetId="0">#REF!</definedName>
    <definedName name="PSG12">#REF!</definedName>
    <definedName name="PSG13" localSheetId="0">#REF!</definedName>
    <definedName name="PSG13">#REF!</definedName>
    <definedName name="PSG14" localSheetId="0">#REF!</definedName>
    <definedName name="PSG14">#REF!</definedName>
    <definedName name="PSG15" localSheetId="0">#REF!</definedName>
    <definedName name="PSG15">#REF!</definedName>
    <definedName name="PSG16" localSheetId="0">#REF!</definedName>
    <definedName name="PSG16">#REF!</definedName>
    <definedName name="PSG17" localSheetId="0">#REF!</definedName>
    <definedName name="PSG17">#REF!</definedName>
    <definedName name="PSG18" localSheetId="0">#REF!</definedName>
    <definedName name="PSG18">#REF!</definedName>
    <definedName name="PSG19" localSheetId="0">#REF!</definedName>
    <definedName name="PSG19">#REF!</definedName>
    <definedName name="PSG2" localSheetId="0">#REF!</definedName>
    <definedName name="PSG2">#REF!</definedName>
    <definedName name="PSG20" localSheetId="0">#REF!</definedName>
    <definedName name="PSG20">#REF!</definedName>
    <definedName name="PSG3" localSheetId="0">#REF!</definedName>
    <definedName name="PSG3">#REF!</definedName>
    <definedName name="PSG4" localSheetId="0">#REF!</definedName>
    <definedName name="PSG4">#REF!</definedName>
    <definedName name="PSG5" localSheetId="0">#REF!</definedName>
    <definedName name="PSG5">#REF!</definedName>
    <definedName name="PSG6" localSheetId="0">#REF!</definedName>
    <definedName name="PSG6">#REF!</definedName>
    <definedName name="PSG7" localSheetId="0">#REF!</definedName>
    <definedName name="PSG7">#REF!</definedName>
    <definedName name="PSG8" localSheetId="0">#REF!</definedName>
    <definedName name="PSG8">#REF!</definedName>
    <definedName name="PSG9" localSheetId="0">#REF!</definedName>
    <definedName name="PSG9">#REF!</definedName>
    <definedName name="Santok_Obiekty" localSheetId="0">'[2]SIWZ_OBIEKTY'!#REF!</definedName>
    <definedName name="Santok_Obiekty">'[2]SIWZ_OBIEKTY'!#REF!</definedName>
    <definedName name="Santok_Oświetlenie" localSheetId="0">'[2]SIWZ_OŚWIETLENIE'!#REF!</definedName>
    <definedName name="Santok_Oświetlenie">'[2]SIWZ_OŚWIETLENIE'!#REF!</definedName>
    <definedName name="SkrwilnoObiekty" localSheetId="0">'[5]DANE SIWZ_OBIEKTY'!#REF!</definedName>
    <definedName name="SkrwilnoObiekty">'[5]DANE SIWZ_OBIEKTY'!#REF!</definedName>
    <definedName name="Słońsk_Obiekty" localSheetId="0">'[2]SIWZ_OBIEKTY'!#REF!</definedName>
    <definedName name="Słońsk_Obiekty">'[2]SIWZ_OBIEKTY'!#REF!</definedName>
    <definedName name="Słońsk_Oświetlenie" localSheetId="0">'[2]SIWZ_OŚWIETLENIE'!#REF!</definedName>
    <definedName name="Słońsk_Oświetlenie">'[2]SIWZ_OŚWIETLENIE'!#REF!</definedName>
    <definedName name="Strzelce_Krajeńskie_Obiekty" localSheetId="0">'[2]SIWZ_OBIEKTY'!#REF!</definedName>
    <definedName name="Strzelce_Krajeńskie_Obiekty">'[2]SIWZ_OBIEKTY'!#REF!</definedName>
    <definedName name="Strzelce_Krajeńskie_Oświetlenie" localSheetId="0">'[2]SIWZ_OŚWIETLENIE'!#REF!</definedName>
    <definedName name="Strzelce_Krajeńskie_Oświetlenie">'[2]SIWZ_OŚWIETLENIE'!#REF!</definedName>
    <definedName name="Sulęcin_Obiekty" localSheetId="0">'[2]SIWZ_OBIEKTY'!#REF!</definedName>
    <definedName name="Sulęcin_Obiekty">'[2]SIWZ_OBIEKTY'!#REF!</definedName>
    <definedName name="Torzym_Obiekty" localSheetId="0">'[2]SIWZ_OBIEKTY'!#REF!</definedName>
    <definedName name="Torzym_Obiekty">'[2]SIWZ_OBIEKTY'!#REF!</definedName>
    <definedName name="Torzym_Oświetlenie" localSheetId="0">'[2]SIWZ_OŚWIETLENIE'!#REF!</definedName>
    <definedName name="Torzym_Oświetlenie">'[2]SIWZ_OŚWIETLENIE'!#REF!</definedName>
    <definedName name="ZAM01" localSheetId="0">#REF!</definedName>
    <definedName name="ZAM01">#REF!</definedName>
    <definedName name="ZAM02" localSheetId="0">#REF!</definedName>
    <definedName name="ZAM02">#REF!</definedName>
    <definedName name="ZAM03" localSheetId="0">#REF!</definedName>
    <definedName name="ZAM03">#REF!</definedName>
    <definedName name="ZAM04" localSheetId="0">#REF!</definedName>
    <definedName name="ZAM04">#REF!</definedName>
    <definedName name="ZAM05" localSheetId="0">#REF!</definedName>
    <definedName name="ZAM05">#REF!</definedName>
    <definedName name="ZAM06" localSheetId="0">#REF!</definedName>
    <definedName name="ZAM06">#REF!</definedName>
    <definedName name="ZAM07" localSheetId="0">#REF!</definedName>
    <definedName name="ZAM07">#REF!</definedName>
    <definedName name="ZAM08" localSheetId="0">#REF!</definedName>
    <definedName name="ZAM08">#REF!</definedName>
    <definedName name="ZAM09" localSheetId="0">#REF!</definedName>
    <definedName name="ZAM09">#REF!</definedName>
    <definedName name="ZAM10" localSheetId="0">'[11]Dane szczegółowe 24'!#REF!</definedName>
    <definedName name="ZAM10">#REF!</definedName>
    <definedName name="ZAM11" localSheetId="0">#REF!</definedName>
    <definedName name="ZAM11">#REF!</definedName>
    <definedName name="ZAM12" localSheetId="0">#REF!</definedName>
    <definedName name="ZAM12">#REF!</definedName>
    <definedName name="ZAM13" localSheetId="0">#REF!</definedName>
    <definedName name="ZAM13">#REF!</definedName>
    <definedName name="ZAM14" localSheetId="0">#REF!</definedName>
    <definedName name="ZAM14">#REF!</definedName>
    <definedName name="ZAM15" localSheetId="0">#REF!</definedName>
    <definedName name="ZAM15">#REF!</definedName>
    <definedName name="ZAM16" localSheetId="0">#REF!</definedName>
    <definedName name="ZAM16">#REF!</definedName>
    <definedName name="ZAM17" localSheetId="0">#REF!</definedName>
    <definedName name="ZAM17">#REF!</definedName>
    <definedName name="ZAM18" localSheetId="0">#REF!</definedName>
    <definedName name="ZAM18">#REF!</definedName>
    <definedName name="ZAM19" localSheetId="0">#REF!</definedName>
    <definedName name="ZAM19">#REF!</definedName>
    <definedName name="ZAM19A">#REF!</definedName>
    <definedName name="ZAM20" localSheetId="0">#REF!</definedName>
    <definedName name="ZAM20">#REF!</definedName>
    <definedName name="ZAM21" localSheetId="0">#REF!</definedName>
    <definedName name="ZAM21">#REF!</definedName>
    <definedName name="ZAM22" localSheetId="0">#REF!</definedName>
    <definedName name="ZAM22">#REF!</definedName>
    <definedName name="ZAM23" localSheetId="0">#REF!</definedName>
    <definedName name="ZAM23">#REF!</definedName>
    <definedName name="ZAM24" localSheetId="0">#REF!</definedName>
    <definedName name="ZAM24">#REF!</definedName>
    <definedName name="ZAM25" localSheetId="0">#REF!</definedName>
    <definedName name="ZAM25">#REF!</definedName>
    <definedName name="ZAM26">#REF!</definedName>
    <definedName name="ZAM27" localSheetId="0">#REF!</definedName>
    <definedName name="ZAM27">#REF!</definedName>
    <definedName name="ZAM28" localSheetId="0">#REF!</definedName>
    <definedName name="ZAM28">#REF!</definedName>
    <definedName name="ZAM29" localSheetId="0">#REF!</definedName>
    <definedName name="ZAM29">#REF!</definedName>
    <definedName name="ZAM30" localSheetId="0">#REF!</definedName>
    <definedName name="ZAM30">#REF!</definedName>
    <definedName name="ZAM30A" localSheetId="0">#REF!</definedName>
    <definedName name="ZAM30A">#REF!</definedName>
    <definedName name="ZAM31" localSheetId="0">#REF!</definedName>
    <definedName name="ZAM31">#REF!</definedName>
    <definedName name="ZAM32" localSheetId="0">#REF!</definedName>
    <definedName name="ZAM32">#REF!</definedName>
    <definedName name="ZAM33" localSheetId="0">#REF!</definedName>
    <definedName name="ZAM33">#REF!</definedName>
    <definedName name="ZAM34" localSheetId="0">#REF!</definedName>
    <definedName name="ZAM34">#REF!</definedName>
    <definedName name="ZAM35" localSheetId="0">#REF!</definedName>
    <definedName name="ZAM35">#REF!</definedName>
    <definedName name="ZAM36" localSheetId="0">#REF!</definedName>
    <definedName name="ZAM36">#REF!</definedName>
    <definedName name="ZAM37" localSheetId="0">#REF!</definedName>
    <definedName name="ZAM37">#REF!</definedName>
    <definedName name="ZAM38" localSheetId="0">#REF!</definedName>
    <definedName name="ZAM38">#REF!</definedName>
    <definedName name="ZAM39" localSheetId="0">#REF!</definedName>
    <definedName name="ZAM39">#REF!</definedName>
    <definedName name="ZAM4" localSheetId="0">'[6]Dane szczegółowe'!#REF!</definedName>
    <definedName name="ZAM4">'[6]Dane szczegółowe'!#REF!</definedName>
    <definedName name="ZEC_Międzyrzecz_Obiekty" localSheetId="0">'[2]SIWZ_OBIEKTY'!#REF!</definedName>
    <definedName name="ZEC_Międzyrzecz_Obiekty">'[2]SIWZ_OBIEKTY'!#REF!</definedName>
    <definedName name="ZEC_Skwierzyna_Obiekty" localSheetId="0">'[2]SIWZ_OBIEKTY'!#REF!</definedName>
    <definedName name="ZEC_Skwierzyna_Obiekty">'[2]SIWZ_OBIEKTY'!#REF!</definedName>
    <definedName name="ZGK_Skwierzyna_Obiekty" localSheetId="0">'[2]SIWZ_OBIEKTY'!#REF!</definedName>
    <definedName name="ZGK_Skwierzyna_Obiekty">'[2]SIWZ_OBIEKTY'!#REF!</definedName>
    <definedName name="ZGM_Gorzów_Obiekt" localSheetId="0">'[2]SIWZ_OBIEKTY'!#REF!</definedName>
    <definedName name="ZGM_Gorzów_Obiekt">'[2]SIWZ_OBIEKTY'!#REF!</definedName>
    <definedName name="ZUO_Gorzów_Obiekty" localSheetId="0">'[2]SIWZ_OBIEKTY'!#REF!</definedName>
    <definedName name="ZUO_Gorzów_Obiekty">'[2]SIWZ_OBIEKTY'!#REF!</definedName>
  </definedNames>
  <calcPr fullCalcOnLoad="1"/>
</workbook>
</file>

<file path=xl/sharedStrings.xml><?xml version="1.0" encoding="utf-8"?>
<sst xmlns="http://schemas.openxmlformats.org/spreadsheetml/2006/main" count="509" uniqueCount="182">
  <si>
    <t>kWh</t>
  </si>
  <si>
    <t>Opis - składniki opłat</t>
  </si>
  <si>
    <t>Wielkość w okresie 
trwania umowy  
[kWh]</t>
  </si>
  <si>
    <t xml:space="preserve">        Cena jednostkowa netto [gr/kWh]
(należy podać z dokładnością do 
maksymalnie trzech miejsc po przecinku)</t>
  </si>
  <si>
    <t>Wartość netto [zł]</t>
  </si>
  <si>
    <t>5 = 3 x 4</t>
  </si>
  <si>
    <t>Sprzedaż</t>
  </si>
  <si>
    <t>(Zc1)</t>
  </si>
  <si>
    <t>(Cj1)</t>
  </si>
  <si>
    <t>gr/kWh</t>
  </si>
  <si>
    <t>(Zc2)</t>
  </si>
  <si>
    <t>(Cj2)</t>
  </si>
  <si>
    <t>(Zc3)</t>
  </si>
  <si>
    <t>(Cj3)</t>
  </si>
  <si>
    <t>(Zc4)</t>
  </si>
  <si>
    <t>(Cj4)</t>
  </si>
  <si>
    <t>Opłata abonamentowa dla wolumenu podlegającego ochronie</t>
  </si>
  <si>
    <t>Grupa taryfowa W-1.1</t>
  </si>
  <si>
    <t>(Za1)</t>
  </si>
  <si>
    <t>m-c</t>
  </si>
  <si>
    <t>(Ca1)</t>
  </si>
  <si>
    <t>zł/m-c</t>
  </si>
  <si>
    <t>Grupa taryfowa W-2.1</t>
  </si>
  <si>
    <t>(Za2)</t>
  </si>
  <si>
    <t>(Ca2)</t>
  </si>
  <si>
    <t>Grupa taryfowa W-3.6</t>
  </si>
  <si>
    <t>(Za3)</t>
  </si>
  <si>
    <t>(Ca3)</t>
  </si>
  <si>
    <t>Grupa taryfowa W-3.9</t>
  </si>
  <si>
    <t>(Za4)</t>
  </si>
  <si>
    <t>(Ca4)</t>
  </si>
  <si>
    <t>Grupa taryfowa W-4</t>
  </si>
  <si>
    <t>(Za5)</t>
  </si>
  <si>
    <t>(Ca5)</t>
  </si>
  <si>
    <t>Grupa taryfowa W-5.1</t>
  </si>
  <si>
    <t>(Za6)</t>
  </si>
  <si>
    <t>(Ca6)</t>
  </si>
  <si>
    <t>Opłata abonamentowa dla wolumenu niepodlegającego ochronie</t>
  </si>
  <si>
    <t>(Za7)</t>
  </si>
  <si>
    <t>(Ca7)</t>
  </si>
  <si>
    <t>(Za8)</t>
  </si>
  <si>
    <t>(Ca8)</t>
  </si>
  <si>
    <t>(Za9)</t>
  </si>
  <si>
    <t>(Ca9)</t>
  </si>
  <si>
    <t>(Za10)</t>
  </si>
  <si>
    <t>(Ca10)</t>
  </si>
  <si>
    <t>(Za11)</t>
  </si>
  <si>
    <t>(Ca11)</t>
  </si>
  <si>
    <t>PPG nie podlegajace ochronie  taryfowej w 100% Uśredniona cena paliwa gazowego zawierająca opłaty abonamentowe</t>
  </si>
  <si>
    <t>bez akcyzy</t>
  </si>
  <si>
    <t>(Zc5)</t>
  </si>
  <si>
    <t>(Cj5)</t>
  </si>
  <si>
    <t>zawierająca akcyzę w wysokości 0,390 gr/kWh</t>
  </si>
  <si>
    <t>(Zc6)</t>
  </si>
  <si>
    <t>(Cj6)</t>
  </si>
  <si>
    <t>Grupa taryfowa dystrybucyjna W-1.1</t>
  </si>
  <si>
    <t>Dystrybucja Gdańsk</t>
  </si>
  <si>
    <t>Opłata stała</t>
  </si>
  <si>
    <t>dla punktów podlegajacych ochronie</t>
  </si>
  <si>
    <t>Opłata zmienna</t>
  </si>
  <si>
    <t>dla pozostałych punktów</t>
  </si>
  <si>
    <t>Grupa taryfowa dystrybucyjna W-2.1</t>
  </si>
  <si>
    <t>Dystrybucja Gdańsk dla punktów</t>
  </si>
  <si>
    <t>Grupa taryfowa dystrybucyjna W-3.6</t>
  </si>
  <si>
    <t>Grupa taryfowa dystrybucyjna W-3.9</t>
  </si>
  <si>
    <t>Grupa taryfowa dystrybucyjna W-4</t>
  </si>
  <si>
    <t>Grupa taryfowa dystrybucyjna W-5.1</t>
  </si>
  <si>
    <t>(kWh/h) za h</t>
  </si>
  <si>
    <t>gr/(kWh/h) za h</t>
  </si>
  <si>
    <t>"mieszanych" 97,00% wolumenu podlega ochronie, 3,00% nie</t>
  </si>
  <si>
    <t>Dystrybucja Gdańsk
dla punktów podlegajacych ochronie</t>
  </si>
  <si>
    <t>Dystrybucja Gdańsk
dla pozostałych punktów</t>
  </si>
  <si>
    <t>Grupa taryfowa W-1.2</t>
  </si>
  <si>
    <t>Grupa taryfowa W-2.2</t>
  </si>
  <si>
    <t>Grupa taryfowa W-6A.1</t>
  </si>
  <si>
    <t>Grupa taryfowa dystrybucyjna W-6A.1</t>
  </si>
  <si>
    <t>Grupa taryfowa dystrybucyjna W-1.2</t>
  </si>
  <si>
    <t>"mieszanych" 89,97% wolumenu podlega ochronie, 10,03% nie</t>
  </si>
  <si>
    <t>(0,8997*34,8+0,1003*42,23)*12</t>
  </si>
  <si>
    <t>(0,8997*3,642+0,1003*4,419)*91 200</t>
  </si>
  <si>
    <t>"mieszanych" 30,00% wolumenu podlega ochronie, 70,00% nie</t>
  </si>
  <si>
    <t>(0,30*34,8+0,70*42,23)*12*7</t>
  </si>
  <si>
    <t>"mieszanych"88,50% wolumenu podlega ochronie, 11,50% nie</t>
  </si>
  <si>
    <t>(0,8850*187,54+0,1150*227,58)*12</t>
  </si>
  <si>
    <t>(0,885*3,457+0,1150*4,195)*109 007</t>
  </si>
  <si>
    <t>"mieszanych" 38,11% wolumenu podlega ochronie, 61,89% nie</t>
  </si>
  <si>
    <t>(0,3811*187,54+0,6189*227,58)*12</t>
  </si>
  <si>
    <t>(0,3811*3,457+0,6189*4,195)*133 436</t>
  </si>
  <si>
    <t>"mieszanych" 99,95% wolumenu podlega ochronie, 0,05% nie</t>
  </si>
  <si>
    <t>(366*24*310*0,565)</t>
  </si>
  <si>
    <t>(0,9995*2,416+0,0005*2,932)*812 730</t>
  </si>
  <si>
    <t>"mieszanych" 99,90% wolumenu podlega ochronie, 0,1 % nie</t>
  </si>
  <si>
    <t>(366*24*154*0,565)</t>
  </si>
  <si>
    <t>(0,9990*2,416+0,001*2,932)*335 663</t>
  </si>
  <si>
    <t>"mieszanych" 99,50% wolumenu podlega ochronie, 0,50% nie</t>
  </si>
  <si>
    <t>(364*24*329*0,565)+(2*24*329*0,686)</t>
  </si>
  <si>
    <t>(0,9950*2,416+0,0050*2,932)*640 645</t>
  </si>
  <si>
    <t>"mieszanych" 99,26% wolumenu podlega ochronie, 0,74% nie</t>
  </si>
  <si>
    <t>(363*24*176*0,565)+(3*24*176*0,686)</t>
  </si>
  <si>
    <t>"mieszanych" 99,00% wolumenu podlega ochronie, 1,00% nie</t>
  </si>
  <si>
    <t>(362*24*165*0,565)+(4*24*165*0,686)</t>
  </si>
  <si>
    <t>(0,99*2,416+0,01*2,932)*310 581</t>
  </si>
  <si>
    <t>"mieszanych" 98,89% wolumenu podlega ochronie, 1,11% nie</t>
  </si>
  <si>
    <t>(362*24*373*0,565)+(4*24*373*0,686)</t>
  </si>
  <si>
    <t>(0,9889*2,416+0,0111*2,932)*453 037</t>
  </si>
  <si>
    <t>"mieszanych" 98,40% wolumenu podlega ochronie, 1,60% nie</t>
  </si>
  <si>
    <t>(360*24*549*0,565)+(6*24*549*0,686)</t>
  </si>
  <si>
    <t>(0,9840*2,416+0,016*2,932)*629 940</t>
  </si>
  <si>
    <t>"mieszanych" 97,48% wolumenu podlega ochronie, 2,52% nie</t>
  </si>
  <si>
    <t>(357*24*395*0,565)+(9*24*395*0,686)</t>
  </si>
  <si>
    <t>(0,9748*2,416+0,0252*2,932)*616 740</t>
  </si>
  <si>
    <t>(355*24*605*0,565)+(11*24*605*0,686)</t>
  </si>
  <si>
    <t>(0,970*2,416+0,030*2,932)*801 863</t>
  </si>
  <si>
    <t>"mieszanych" 95,75% wolumenu podlega ochronie, 4,25% nie</t>
  </si>
  <si>
    <t>(350*24*165*0,565)+(16*24*165*0,686)</t>
  </si>
  <si>
    <t>(0,9575*2,416+0,0425*2,932)*380 727</t>
  </si>
  <si>
    <t>"mieszanych" 95,12% wolumenu podlega ochronie, 4,88% nie</t>
  </si>
  <si>
    <t>(348*24*241*0,565)+(18*24*241*0,686)</t>
  </si>
  <si>
    <t>(0,9512*2,416+0,0488*2,932)*297 485</t>
  </si>
  <si>
    <t>"mieszanych" 92,52% wolumenu podlega ochronie, 7,48% nie</t>
  </si>
  <si>
    <t>(339*24*197*0,565)+(27*24*197*0,686)</t>
  </si>
  <si>
    <t>(0,9252*2,416+0,0748*2,932)*154 367</t>
  </si>
  <si>
    <t>"mieszanych" 85,00% wolumenu podlega ochronie, 15,00% nie</t>
  </si>
  <si>
    <t>(311*24*197*0,565)+(55*24*197*0,686)</t>
  </si>
  <si>
    <t>(0,850*2,416+0,150*2,932)*181 293</t>
  </si>
  <si>
    <t>"mieszanych" 76,08% wolumenu podlega ochronie, 23,92% nie</t>
  </si>
  <si>
    <t>(278*24*285*0,565)+(88*24*285*0,686)</t>
  </si>
  <si>
    <t>(0,7608*2,416+0,2392*2,932)*240 050</t>
  </si>
  <si>
    <t>"mieszanych" 51,99% wolumenu podlega ochronie, 48,01% nie</t>
  </si>
  <si>
    <t>(190*24*219*0,565)+(176*24*219*0,686)</t>
  </si>
  <si>
    <t>(0,5199*2,416+0,4801*2,932)*600 210</t>
  </si>
  <si>
    <t>"mieszanych" 43,00% wolumenu podlega ochronie, 57,00% nie</t>
  </si>
  <si>
    <t>(157*24*208*0,565)+(209*24*208*0,686)</t>
  </si>
  <si>
    <t>(0,43*2,416+0,57*2,932)*636 268</t>
  </si>
  <si>
    <t>(110*24*130*0,565)+(256*24*130*0,686)</t>
  </si>
  <si>
    <t>(0,30*2,416+0,70*2,932)*109 007</t>
  </si>
  <si>
    <t>"mieszanych" 17,40% wolumenu podlega ochronie, 82,60% nie</t>
  </si>
  <si>
    <t>(64*24*143*0,565)+(302*24*143*0,686)</t>
  </si>
  <si>
    <t>(0,1740*2,416+0,8260*2,932)*159 179</t>
  </si>
  <si>
    <t>(362*24*4169*0,6840)+(4*24*4169*0,830)</t>
  </si>
  <si>
    <t>(281*24*1207*0,6840)+(85*24*1207*0,830)</t>
  </si>
  <si>
    <t>"mieszanych" 35,00% wolumenu podlega ochronie, 65,00% nie</t>
  </si>
  <si>
    <t>(128*24*888*0,6840)+(238*24*888*0,830)</t>
  </si>
  <si>
    <t>Dystrybucja Poznań</t>
  </si>
  <si>
    <t>Dystrybucja Poznań  dla punktów</t>
  </si>
  <si>
    <t>"mieszanych" 16,99 % wolumenu podlega ochronie, 83,01% nie</t>
  </si>
  <si>
    <t>(0,1699*31,47+0,8301*38,19)*12</t>
  </si>
  <si>
    <t>(0,30*3,642+0,70*4,419)*240 391</t>
  </si>
  <si>
    <t>"mieszanych" 49,45 % wolumenu podlega ochronie, 50,55% nie</t>
  </si>
  <si>
    <t>(0,4945*174,27+0,5055*211,47)*12</t>
  </si>
  <si>
    <t>(0,4945*3,349+0,5055*4,064)*108 620</t>
  </si>
  <si>
    <t>"mieszanych" 48,38 % wolumenu podlega ochronie, 51,62% nie</t>
  </si>
  <si>
    <t>(0,4838*174,27+0,5162*211,47)*12</t>
  </si>
  <si>
    <t>(0,4838*3,349+0,5162*4,064)*172 847</t>
  </si>
  <si>
    <t>"mieszanych" 91,27 % wolumenu podlega ochronie, 8,73% nie</t>
  </si>
  <si>
    <t>(334*24*134*0,497)+(32*24*134*0,603)</t>
  </si>
  <si>
    <t>(0,9127*2,036+0,0873*2,471)*564 096</t>
  </si>
  <si>
    <t>Grupa taryfowa dystrybucyjna W-2.2</t>
  </si>
  <si>
    <t>"mieszanych" 44,00% wolumenu podlega ochronie, 56,00% nie</t>
  </si>
  <si>
    <t>(0,44*187,54+0,56*227,58)*12</t>
  </si>
  <si>
    <t>(0,44*3,457+0,56*4,195)*102 715</t>
  </si>
  <si>
    <t>(Za12)</t>
  </si>
  <si>
    <t>(Za13)</t>
  </si>
  <si>
    <t>(Ca12)</t>
  </si>
  <si>
    <t>(Ca13)</t>
  </si>
  <si>
    <t>(0,99*2,405+0,01*2,918)*6 704 499</t>
  </si>
  <si>
    <t>(0,7673*2,405+0,2327*2,918)*2 611 057</t>
  </si>
  <si>
    <t>(0,35*2,405+0,65*2,918)*1 527 600</t>
  </si>
  <si>
    <t>(0,1699*3,506+0,8301*4,254)*30 050</t>
  </si>
  <si>
    <t>"mieszanych" 76,73% wolumenu podlega ochronie, 23,27% nie</t>
  </si>
  <si>
    <t>(0,9926*2,416+0,0074*2,932)*193 493</t>
  </si>
  <si>
    <r>
      <rPr>
        <b/>
        <sz val="7"/>
        <rFont val="Calibri"/>
        <family val="2"/>
      </rPr>
      <t>Podlegające ochronie taryfowej</t>
    </r>
    <r>
      <rPr>
        <sz val="7"/>
        <rFont val="Calibri"/>
        <family val="2"/>
      </rPr>
      <t xml:space="preserve">
 w 100% i  ochronie częściowej zgodnie z opisem w Załączniku nr 1 do SWZ</t>
    </r>
  </si>
  <si>
    <r>
      <t>bez akcyzy 
wolumen</t>
    </r>
    <r>
      <rPr>
        <b/>
        <sz val="7"/>
        <rFont val="Calibri"/>
        <family val="2"/>
      </rPr>
      <t xml:space="preserve"> objęty </t>
    </r>
    <r>
      <rPr>
        <sz val="7"/>
        <rFont val="Calibri"/>
        <family val="2"/>
      </rPr>
      <t>ochroną taryfową</t>
    </r>
  </si>
  <si>
    <r>
      <t>zawierająca akcyzę w wysokości 0,390 gr/kWh
wolumen</t>
    </r>
    <r>
      <rPr>
        <b/>
        <sz val="7"/>
        <rFont val="Calibri"/>
        <family val="2"/>
      </rPr>
      <t xml:space="preserve"> objęty</t>
    </r>
    <r>
      <rPr>
        <sz val="7"/>
        <rFont val="Calibri"/>
        <family val="2"/>
      </rPr>
      <t xml:space="preserve"> ochroną taryfową</t>
    </r>
  </si>
  <si>
    <r>
      <t xml:space="preserve">bez akcyzy (uśredniona cena paliwa gazowego bez opłaty abonamentowej)  
wolumen </t>
    </r>
    <r>
      <rPr>
        <b/>
        <sz val="7"/>
        <rFont val="Calibri"/>
        <family val="2"/>
      </rPr>
      <t xml:space="preserve"> nie objęty</t>
    </r>
    <r>
      <rPr>
        <sz val="7"/>
        <rFont val="Calibri"/>
        <family val="2"/>
      </rPr>
      <t xml:space="preserve"> ochroną taryfową</t>
    </r>
  </si>
  <si>
    <r>
      <t xml:space="preserve">zawierająca akcyzę w wysokości 0,390 gr/kWh (uśredniona cena paliwa gazowego bez opłaty abonamentowej)  
wolumen  </t>
    </r>
    <r>
      <rPr>
        <b/>
        <sz val="7"/>
        <rFont val="Calibri"/>
        <family val="2"/>
      </rPr>
      <t>nie objęty</t>
    </r>
    <r>
      <rPr>
        <sz val="7"/>
        <rFont val="Calibri"/>
        <family val="2"/>
      </rPr>
      <t xml:space="preserve"> ochroną taryfową</t>
    </r>
  </si>
  <si>
    <r>
      <t>Suma opłat za paliwo gazowe (C</t>
    </r>
    <r>
      <rPr>
        <vertAlign val="subscript"/>
        <sz val="7"/>
        <rFont val="Calibri"/>
        <family val="2"/>
      </rPr>
      <t>pg</t>
    </r>
    <r>
      <rPr>
        <sz val="7"/>
        <rFont val="Calibri"/>
        <family val="2"/>
      </rPr>
      <t>) netto</t>
    </r>
  </si>
  <si>
    <r>
      <t>Całkowite koszty dystrybucji (D</t>
    </r>
    <r>
      <rPr>
        <vertAlign val="subscript"/>
        <sz val="7"/>
        <rFont val="Calibri"/>
        <family val="2"/>
      </rPr>
      <t>c</t>
    </r>
    <r>
      <rPr>
        <sz val="7"/>
        <rFont val="Calibri"/>
        <family val="2"/>
      </rPr>
      <t>) netto</t>
    </r>
  </si>
  <si>
    <r>
      <t>Razem netto C</t>
    </r>
    <r>
      <rPr>
        <vertAlign val="subscript"/>
        <sz val="7"/>
        <rFont val="Calibri"/>
        <family val="2"/>
      </rPr>
      <t xml:space="preserve">pg </t>
    </r>
    <r>
      <rPr>
        <sz val="7"/>
        <rFont val="Calibri"/>
        <family val="2"/>
      </rPr>
      <t>+ D</t>
    </r>
    <r>
      <rPr>
        <vertAlign val="subscript"/>
        <sz val="7"/>
        <rFont val="Calibri"/>
        <family val="2"/>
      </rPr>
      <t xml:space="preserve">c </t>
    </r>
  </si>
  <si>
    <t>dla punktów podlegających ochronie</t>
  </si>
  <si>
    <t>FORMULARZ CENOWY POMOCNICZY</t>
  </si>
  <si>
    <t>zmiana [20.10.2023]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</si>
</sst>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0"/>
    <numFmt numFmtId="175" formatCode="[$-415]dddd\,\ d\ mmmm\ yyyy"/>
    <numFmt numFmtId="176" formatCode="0.000"/>
    <numFmt numFmtId="177" formatCode="0.0000"/>
    <numFmt numFmtId="178" formatCode="0.00000"/>
    <numFmt numFmtId="179" formatCode="#,##0.0000_ ;\-#,##0.0000\ "/>
    <numFmt numFmtId="180" formatCode="#,##0.0000000000000000000000"/>
    <numFmt numFmtId="181" formatCode="#,##0.00000_ ;\-#,##0.00000\ "/>
    <numFmt numFmtId="182" formatCode="#,##0.000_ ;\-#,##0.000\ "/>
    <numFmt numFmtId="183" formatCode="#,##0.0000"/>
    <numFmt numFmtId="184" formatCode="[$-415]General"/>
    <numFmt numFmtId="185" formatCode="_-* #,##0.00\ _z_ł_-;\-* #,##0.00\ _z_ł_-;_-* \-??\ _z_ł_-;_-@_-"/>
    <numFmt numFmtId="186" formatCode="0.000000"/>
  </numFmts>
  <fonts count="68">
    <font>
      <sz val="11"/>
      <color theme="1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7"/>
      <name val="Arial"/>
      <family val="2"/>
    </font>
    <font>
      <sz val="7"/>
      <name val="Calibri Light"/>
      <family val="2"/>
    </font>
    <font>
      <sz val="7"/>
      <name val="Calibri"/>
      <family val="2"/>
    </font>
    <font>
      <b/>
      <sz val="7"/>
      <name val="Calibri"/>
      <family val="2"/>
    </font>
    <font>
      <vertAlign val="subscript"/>
      <sz val="7"/>
      <name val="Calibri"/>
      <family val="2"/>
    </font>
    <font>
      <u val="single"/>
      <sz val="7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7"/>
      <color indexed="8"/>
      <name val="Arial"/>
      <family val="2"/>
    </font>
    <font>
      <sz val="7"/>
      <color indexed="8"/>
      <name val="Calibri Light"/>
      <family val="2"/>
    </font>
    <font>
      <sz val="7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7"/>
      <color theme="1"/>
      <name val="Arial"/>
      <family val="2"/>
    </font>
    <font>
      <sz val="7"/>
      <color theme="1"/>
      <name val="Calibri Light"/>
      <family val="2"/>
    </font>
    <font>
      <sz val="7"/>
      <color rgb="FFFF0000"/>
      <name val="Calibri"/>
      <family val="2"/>
    </font>
    <font>
      <b/>
      <sz val="8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7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185" fontId="1" fillId="0" borderId="0" applyFill="0" applyBorder="0" applyAlignment="0" applyProtection="0"/>
    <xf numFmtId="0" fontId="8" fillId="32" borderId="0" applyNumberFormat="0" applyBorder="0" applyAlignment="0" applyProtection="0"/>
    <xf numFmtId="184" fontId="49" fillId="0" borderId="0">
      <alignment/>
      <protection/>
    </xf>
    <xf numFmtId="0" fontId="9" fillId="0" borderId="0" applyNumberFormat="0" applyFill="0" applyBorder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34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56" fillId="36" borderId="0" applyNumberFormat="0" applyBorder="0" applyAlignment="0" applyProtection="0"/>
    <xf numFmtId="0" fontId="48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6" fillId="35" borderId="8" applyNumberFormat="0" applyAlignment="0" applyProtection="0"/>
    <xf numFmtId="0" fontId="57" fillId="30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37" borderId="10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</cellStyleXfs>
  <cellXfs count="80">
    <xf numFmtId="0" fontId="0" fillId="0" borderId="0" xfId="0" applyAlignment="1">
      <alignment/>
    </xf>
    <xf numFmtId="0" fontId="17" fillId="0" borderId="0" xfId="0" applyFont="1" applyAlignment="1">
      <alignment/>
    </xf>
    <xf numFmtId="3" fontId="17" fillId="39" borderId="0" xfId="0" applyNumberFormat="1" applyFont="1" applyFill="1" applyAlignment="1">
      <alignment/>
    </xf>
    <xf numFmtId="0" fontId="17" fillId="39" borderId="0" xfId="0" applyFont="1" applyFill="1" applyAlignment="1">
      <alignment/>
    </xf>
    <xf numFmtId="0" fontId="17" fillId="39" borderId="0" xfId="0" applyFont="1" applyFill="1" applyAlignment="1">
      <alignment wrapText="1"/>
    </xf>
    <xf numFmtId="4" fontId="17" fillId="0" borderId="0" xfId="0" applyNumberFormat="1" applyFont="1" applyAlignment="1">
      <alignment horizontal="right"/>
    </xf>
    <xf numFmtId="0" fontId="64" fillId="0" borderId="0" xfId="0" applyFont="1" applyAlignment="1">
      <alignment/>
    </xf>
    <xf numFmtId="3" fontId="64" fillId="0" borderId="0" xfId="0" applyNumberFormat="1" applyFont="1" applyAlignment="1">
      <alignment/>
    </xf>
    <xf numFmtId="0" fontId="18" fillId="0" borderId="0" xfId="0" applyFont="1" applyBorder="1" applyAlignment="1">
      <alignment vertical="center"/>
    </xf>
    <xf numFmtId="0" fontId="65" fillId="0" borderId="0" xfId="0" applyFont="1" applyAlignment="1">
      <alignment/>
    </xf>
    <xf numFmtId="3" fontId="65" fillId="0" borderId="0" xfId="0" applyNumberFormat="1" applyFont="1" applyAlignment="1">
      <alignment/>
    </xf>
    <xf numFmtId="0" fontId="19" fillId="0" borderId="11" xfId="0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 wrapText="1"/>
    </xf>
    <xf numFmtId="3" fontId="19" fillId="39" borderId="11" xfId="0" applyNumberFormat="1" applyFont="1" applyFill="1" applyBorder="1" applyAlignment="1">
      <alignment horizontal="center" vertical="center" wrapText="1"/>
    </xf>
    <xf numFmtId="0" fontId="19" fillId="39" borderId="11" xfId="0" applyFont="1" applyFill="1" applyBorder="1" applyAlignment="1">
      <alignment horizontal="center" vertical="center" wrapText="1"/>
    </xf>
    <xf numFmtId="0" fontId="64" fillId="39" borderId="0" xfId="0" applyFont="1" applyFill="1" applyAlignment="1">
      <alignment/>
    </xf>
    <xf numFmtId="4" fontId="19" fillId="39" borderId="11" xfId="0" applyNumberFormat="1" applyFont="1" applyFill="1" applyBorder="1" applyAlignment="1">
      <alignment horizontal="center" vertical="center" wrapText="1"/>
    </xf>
    <xf numFmtId="3" fontId="64" fillId="39" borderId="0" xfId="0" applyNumberFormat="1" applyFont="1" applyFill="1" applyAlignment="1">
      <alignment/>
    </xf>
    <xf numFmtId="3" fontId="19" fillId="39" borderId="11" xfId="0" applyNumberFormat="1" applyFont="1" applyFill="1" applyBorder="1" applyAlignment="1">
      <alignment horizontal="center" vertical="center"/>
    </xf>
    <xf numFmtId="0" fontId="19" fillId="39" borderId="11" xfId="0" applyFont="1" applyFill="1" applyBorder="1" applyAlignment="1">
      <alignment horizontal="center" vertical="center"/>
    </xf>
    <xf numFmtId="4" fontId="19" fillId="39" borderId="11" xfId="0" applyNumberFormat="1" applyFont="1" applyFill="1" applyBorder="1" applyAlignment="1">
      <alignment horizontal="right" vertical="center"/>
    </xf>
    <xf numFmtId="0" fontId="19" fillId="39" borderId="12" xfId="0" applyFont="1" applyFill="1" applyBorder="1" applyAlignment="1">
      <alignment vertical="center" wrapText="1"/>
    </xf>
    <xf numFmtId="0" fontId="19" fillId="39" borderId="13" xfId="0" applyFont="1" applyFill="1" applyBorder="1" applyAlignment="1">
      <alignment vertical="center" wrapText="1"/>
    </xf>
    <xf numFmtId="0" fontId="19" fillId="39" borderId="14" xfId="0" applyFont="1" applyFill="1" applyBorder="1" applyAlignment="1">
      <alignment vertical="center" wrapText="1"/>
    </xf>
    <xf numFmtId="4" fontId="19" fillId="39" borderId="11" xfId="0" applyNumberFormat="1" applyFont="1" applyFill="1" applyBorder="1" applyAlignment="1">
      <alignment horizontal="right" vertical="center" wrapText="1"/>
    </xf>
    <xf numFmtId="0" fontId="19" fillId="39" borderId="15" xfId="0" applyFont="1" applyFill="1" applyBorder="1" applyAlignment="1">
      <alignment vertical="center" wrapText="1"/>
    </xf>
    <xf numFmtId="4" fontId="64" fillId="39" borderId="0" xfId="0" applyNumberFormat="1" applyFont="1" applyFill="1" applyAlignment="1">
      <alignment/>
    </xf>
    <xf numFmtId="0" fontId="19" fillId="0" borderId="0" xfId="0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right" vertical="center"/>
    </xf>
    <xf numFmtId="4" fontId="64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3" fontId="66" fillId="39" borderId="11" xfId="0" applyNumberFormat="1" applyFont="1" applyFill="1" applyBorder="1" applyAlignment="1">
      <alignment horizontal="center" vertical="center" wrapText="1"/>
    </xf>
    <xf numFmtId="3" fontId="66" fillId="39" borderId="11" xfId="0" applyNumberFormat="1" applyFont="1" applyFill="1" applyBorder="1" applyAlignment="1">
      <alignment horizontal="center" vertical="center"/>
    </xf>
    <xf numFmtId="4" fontId="66" fillId="39" borderId="11" xfId="0" applyNumberFormat="1" applyFont="1" applyFill="1" applyBorder="1" applyAlignment="1">
      <alignment horizontal="right" vertical="center" wrapText="1"/>
    </xf>
    <xf numFmtId="4" fontId="66" fillId="39" borderId="11" xfId="0" applyNumberFormat="1" applyFont="1" applyFill="1" applyBorder="1" applyAlignment="1">
      <alignment horizontal="right" vertical="center"/>
    </xf>
    <xf numFmtId="4" fontId="66" fillId="0" borderId="11" xfId="0" applyNumberFormat="1" applyFont="1" applyBorder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19" fillId="39" borderId="12" xfId="0" applyFont="1" applyFill="1" applyBorder="1" applyAlignment="1">
      <alignment horizontal="left" vertical="center" wrapText="1"/>
    </xf>
    <xf numFmtId="0" fontId="19" fillId="39" borderId="13" xfId="0" applyFont="1" applyFill="1" applyBorder="1" applyAlignment="1">
      <alignment horizontal="left" vertical="center" wrapText="1"/>
    </xf>
    <xf numFmtId="0" fontId="19" fillId="39" borderId="16" xfId="0" applyFont="1" applyFill="1" applyBorder="1" applyAlignment="1">
      <alignment horizontal="center" vertical="center" wrapText="1"/>
    </xf>
    <xf numFmtId="0" fontId="19" fillId="39" borderId="17" xfId="0" applyFont="1" applyFill="1" applyBorder="1" applyAlignment="1">
      <alignment horizontal="center" vertical="center" wrapText="1"/>
    </xf>
    <xf numFmtId="0" fontId="19" fillId="39" borderId="18" xfId="0" applyFont="1" applyFill="1" applyBorder="1" applyAlignment="1">
      <alignment horizontal="center" vertical="center" wrapText="1"/>
    </xf>
    <xf numFmtId="0" fontId="19" fillId="39" borderId="16" xfId="0" applyFont="1" applyFill="1" applyBorder="1" applyAlignment="1">
      <alignment horizontal="left" vertical="center"/>
    </xf>
    <xf numFmtId="0" fontId="19" fillId="39" borderId="17" xfId="0" applyFont="1" applyFill="1" applyBorder="1" applyAlignment="1">
      <alignment horizontal="left" vertical="center"/>
    </xf>
    <xf numFmtId="0" fontId="19" fillId="39" borderId="18" xfId="0" applyFont="1" applyFill="1" applyBorder="1" applyAlignment="1">
      <alignment horizontal="left" vertical="center"/>
    </xf>
    <xf numFmtId="0" fontId="19" fillId="39" borderId="11" xfId="0" applyFont="1" applyFill="1" applyBorder="1" applyAlignment="1">
      <alignment horizontal="left" vertical="center"/>
    </xf>
    <xf numFmtId="0" fontId="19" fillId="39" borderId="16" xfId="0" applyFont="1" applyFill="1" applyBorder="1" applyAlignment="1">
      <alignment horizontal="center" vertical="center"/>
    </xf>
    <xf numFmtId="0" fontId="19" fillId="39" borderId="17" xfId="0" applyFont="1" applyFill="1" applyBorder="1" applyAlignment="1">
      <alignment horizontal="center" vertical="center"/>
    </xf>
    <xf numFmtId="0" fontId="19" fillId="39" borderId="18" xfId="0" applyFont="1" applyFill="1" applyBorder="1" applyAlignment="1">
      <alignment horizontal="center" vertical="center"/>
    </xf>
    <xf numFmtId="0" fontId="19" fillId="39" borderId="11" xfId="0" applyFont="1" applyFill="1" applyBorder="1" applyAlignment="1">
      <alignment vertical="center" wrapText="1"/>
    </xf>
    <xf numFmtId="0" fontId="19" fillId="39" borderId="12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39" borderId="1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39" borderId="11" xfId="0" applyFont="1" applyFill="1" applyBorder="1" applyAlignment="1">
      <alignment horizontal="center" vertical="center" wrapText="1"/>
    </xf>
    <xf numFmtId="4" fontId="19" fillId="39" borderId="12" xfId="0" applyNumberFormat="1" applyFont="1" applyFill="1" applyBorder="1" applyAlignment="1">
      <alignment horizontal="right" vertical="center" wrapText="1"/>
    </xf>
    <xf numFmtId="4" fontId="19" fillId="39" borderId="13" xfId="0" applyNumberFormat="1" applyFont="1" applyFill="1" applyBorder="1" applyAlignment="1">
      <alignment horizontal="right" vertical="center" wrapText="1"/>
    </xf>
    <xf numFmtId="4" fontId="19" fillId="39" borderId="11" xfId="0" applyNumberFormat="1" applyFont="1" applyFill="1" applyBorder="1" applyAlignment="1">
      <alignment horizontal="right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39" borderId="11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39" borderId="11" xfId="0" applyFont="1" applyFill="1" applyBorder="1" applyAlignment="1">
      <alignment horizontal="left"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0" fontId="19" fillId="39" borderId="11" xfId="0" applyFont="1" applyFill="1" applyBorder="1" applyAlignment="1">
      <alignment vertical="center"/>
    </xf>
    <xf numFmtId="0" fontId="19" fillId="39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/>
    </xf>
  </cellXfs>
  <cellStyles count="8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Dziesiętny 2" xfId="49"/>
    <cellStyle name="Dziesiętny 2 2" xfId="50"/>
    <cellStyle name="Dziesiętny 3" xfId="51"/>
    <cellStyle name="Error" xfId="52"/>
    <cellStyle name="Excel Built-in Normal" xfId="53"/>
    <cellStyle name="Footnote" xfId="54"/>
    <cellStyle name="Good" xfId="55"/>
    <cellStyle name="Heading" xfId="56"/>
    <cellStyle name="Heading 1" xfId="57"/>
    <cellStyle name="Heading 2" xfId="58"/>
    <cellStyle name="Hyperlink" xfId="59"/>
    <cellStyle name="Hiperłącze 2" xfId="60"/>
    <cellStyle name="Hiperłącze 2 2" xfId="61"/>
    <cellStyle name="Komórka połączona" xfId="62"/>
    <cellStyle name="Komórka zaznaczona" xfId="63"/>
    <cellStyle name="Nagłówek 1" xfId="64"/>
    <cellStyle name="Nagłówek 2" xfId="65"/>
    <cellStyle name="Nagłówek 3" xfId="66"/>
    <cellStyle name="Nagłówek 4" xfId="67"/>
    <cellStyle name="Neutral" xfId="68"/>
    <cellStyle name="Neutralny" xfId="69"/>
    <cellStyle name="Normalny 2" xfId="70"/>
    <cellStyle name="Normalny 2 2" xfId="71"/>
    <cellStyle name="Normalny 3" xfId="72"/>
    <cellStyle name="Normalny 3 2" xfId="73"/>
    <cellStyle name="Normalny 4" xfId="74"/>
    <cellStyle name="Note" xfId="75"/>
    <cellStyle name="Obliczenia" xfId="76"/>
    <cellStyle name="Followed Hyperlink" xfId="77"/>
    <cellStyle name="Percent" xfId="78"/>
    <cellStyle name="Procentowy 2" xfId="79"/>
    <cellStyle name="Status" xfId="80"/>
    <cellStyle name="Suma" xfId="81"/>
    <cellStyle name="Tekst objaśnienia" xfId="82"/>
    <cellStyle name="Tekst ostrzeżenia" xfId="83"/>
    <cellStyle name="Text" xfId="84"/>
    <cellStyle name="Tytuł" xfId="85"/>
    <cellStyle name="Uwaga" xfId="86"/>
    <cellStyle name="Currency" xfId="87"/>
    <cellStyle name="Currency [0]" xfId="88"/>
    <cellStyle name="Walutowy 2" xfId="89"/>
    <cellStyle name="Walutowy 2 2" xfId="90"/>
    <cellStyle name="Walutowy 3" xfId="91"/>
    <cellStyle name="Warning" xfId="92"/>
    <cellStyle name="Złe 2" xfId="93"/>
    <cellStyle name="Zły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mian\_Grupy%20zakupowe\_GAZ%20Norda%202017\Norda%202017%20gaz%20-%20oszacowanie%20warto&#347;ci%20przedmiotu%20zam&#243;wienia%2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AAAPrzetargi%20na%202024\Bydgoska%20GAZ\SWZ%2024-25\SWZ%20Bydgoska%20gaz\Oficjalny\07.09.23\Zal_2a_2b_2c_2d_pomocnicz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%20do%20sprawdzenia\___AAA-2023\Dane%20SWZ%20-%20Pleszewska%202024%20-%20gaz%20dla%20J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%20do%20sprawdzenia\_AAA2022\21.09.2022%20Gryficka%20gaz\Dane%20SWZ%20-%20Gryficka%202023%20-%20GAZ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&#346;wiecka%202021\Dane%20SIWZ%20-%20&#346;wiecka%202021%20dla%20J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  2a"/>
      <sheetName val="Formularz  2b"/>
      <sheetName val="Formularz 2c"/>
      <sheetName val="Formularz  2d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zczegółowe 24"/>
      <sheetName val="24-DO LICZENIA"/>
      <sheetName val="Formularz 24"/>
      <sheetName val="Słownie"/>
      <sheetName val="Dane szczegółowe 25"/>
      <sheetName val="25-DO LICZENIA"/>
      <sheetName val="Formularz 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zczegółowe"/>
      <sheetName val="tabela"/>
      <sheetName val="Formularz"/>
      <sheetName val="Arkusz1"/>
      <sheetName val="Formularz JK"/>
      <sheetName val="tabela (2)"/>
      <sheetName val="Dane szczegółowe (2)"/>
      <sheetName val="Arkusz5"/>
      <sheetName val="Dane szczegółowe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  <sheetName val="obiekty"/>
    </sheetNames>
    <sheetDataSet>
      <sheetData sheetId="2">
        <row r="9">
          <cell r="C9" t="str">
            <v>Miasto Sławno</v>
          </cell>
        </row>
        <row r="43">
          <cell r="C43" t="str">
            <v>Gmina Będzino</v>
          </cell>
        </row>
        <row r="90">
          <cell r="C90" t="str">
            <v>działająca w imieniu własnym oraz w imieniu i na rzecz niżej wymienionych zamawiających</v>
          </cell>
        </row>
        <row r="178">
          <cell r="C178" t="str">
            <v>działająca w imieniu własnym oraz w imieniu i na rzecz niżej wymienionych zamawiających</v>
          </cell>
        </row>
        <row r="228">
          <cell r="C228" t="str">
            <v>Adres punktu poboru</v>
          </cell>
        </row>
        <row r="328">
          <cell r="C328" t="str">
            <v>ul. Armii Polskiej 30</v>
          </cell>
        </row>
        <row r="449">
          <cell r="C449" t="str">
            <v>76-024 Świeszyno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  <sheetName val="obiekty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372">
          <cell r="C372" t="str">
            <v>Gmina Miłki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P156"/>
  <sheetViews>
    <sheetView tabSelected="1" zoomScale="145" zoomScaleNormal="145" zoomScaleSheetLayoutView="100" zoomScalePageLayoutView="0" workbookViewId="0" topLeftCell="A1">
      <selection activeCell="A1" sqref="A1:I152"/>
    </sheetView>
  </sheetViews>
  <sheetFormatPr defaultColWidth="9.00390625" defaultRowHeight="14.25"/>
  <cols>
    <col min="1" max="1" width="14.125" style="1" customWidth="1"/>
    <col min="2" max="2" width="15.00390625" style="1" customWidth="1"/>
    <col min="3" max="3" width="9.75390625" style="1" customWidth="1"/>
    <col min="4" max="4" width="13.375" style="1" customWidth="1"/>
    <col min="5" max="5" width="13.875" style="2" customWidth="1"/>
    <col min="6" max="6" width="6.875" style="3" bestFit="1" customWidth="1"/>
    <col min="7" max="7" width="22.375" style="4" customWidth="1"/>
    <col min="8" max="8" width="9.00390625" style="1" customWidth="1"/>
    <col min="9" max="9" width="9.875" style="5" customWidth="1"/>
    <col min="10" max="16384" width="9.00390625" style="6" customWidth="1"/>
  </cols>
  <sheetData>
    <row r="2" ht="9.75">
      <c r="A2" s="1" t="s">
        <v>180</v>
      </c>
    </row>
    <row r="3" ht="11.25">
      <c r="A3" s="36" t="s">
        <v>181</v>
      </c>
    </row>
    <row r="4" ht="9.75">
      <c r="K4" s="7"/>
    </row>
    <row r="6" ht="9.75">
      <c r="K6" s="7"/>
    </row>
    <row r="7" spans="1:11" s="9" customFormat="1" ht="9">
      <c r="A7" s="8"/>
      <c r="B7" s="60" t="s">
        <v>1</v>
      </c>
      <c r="C7" s="61"/>
      <c r="D7" s="62"/>
      <c r="E7" s="66" t="s">
        <v>2</v>
      </c>
      <c r="F7" s="66"/>
      <c r="G7" s="67" t="s">
        <v>3</v>
      </c>
      <c r="H7" s="68"/>
      <c r="I7" s="71" t="s">
        <v>4</v>
      </c>
      <c r="K7" s="10"/>
    </row>
    <row r="8" spans="1:11" s="9" customFormat="1" ht="9">
      <c r="A8" s="8"/>
      <c r="B8" s="63"/>
      <c r="C8" s="64"/>
      <c r="D8" s="65"/>
      <c r="E8" s="66"/>
      <c r="F8" s="66"/>
      <c r="G8" s="69"/>
      <c r="H8" s="70"/>
      <c r="I8" s="72"/>
      <c r="K8" s="10"/>
    </row>
    <row r="9" spans="1:11" s="9" customFormat="1" ht="9">
      <c r="A9" s="8"/>
      <c r="B9" s="63"/>
      <c r="C9" s="64"/>
      <c r="D9" s="65"/>
      <c r="E9" s="66"/>
      <c r="F9" s="66"/>
      <c r="G9" s="69"/>
      <c r="H9" s="70"/>
      <c r="I9" s="72"/>
      <c r="K9" s="10"/>
    </row>
    <row r="10" spans="1:11" ht="9.75">
      <c r="A10" s="11">
        <v>1</v>
      </c>
      <c r="B10" s="73">
        <v>2</v>
      </c>
      <c r="C10" s="73"/>
      <c r="D10" s="73"/>
      <c r="E10" s="56">
        <v>3</v>
      </c>
      <c r="F10" s="56"/>
      <c r="G10" s="74">
        <v>4</v>
      </c>
      <c r="H10" s="74"/>
      <c r="I10" s="12" t="s">
        <v>5</v>
      </c>
      <c r="K10" s="7"/>
    </row>
    <row r="11" spans="1:9" ht="11.25" customHeight="1">
      <c r="A11" s="73" t="s">
        <v>6</v>
      </c>
      <c r="B11" s="53" t="s">
        <v>171</v>
      </c>
      <c r="C11" s="74" t="s">
        <v>172</v>
      </c>
      <c r="D11" s="74"/>
      <c r="E11" s="13" t="s">
        <v>7</v>
      </c>
      <c r="F11" s="56" t="s">
        <v>0</v>
      </c>
      <c r="G11" s="14" t="s">
        <v>8</v>
      </c>
      <c r="H11" s="74" t="s">
        <v>9</v>
      </c>
      <c r="I11" s="76"/>
    </row>
    <row r="12" spans="1:11" s="15" customFormat="1" ht="21.75" customHeight="1">
      <c r="A12" s="73"/>
      <c r="B12" s="54"/>
      <c r="C12" s="74"/>
      <c r="D12" s="74"/>
      <c r="E12" s="31">
        <v>64119041</v>
      </c>
      <c r="F12" s="56"/>
      <c r="G12" s="14"/>
      <c r="H12" s="74"/>
      <c r="I12" s="76"/>
      <c r="K12" s="17"/>
    </row>
    <row r="13" spans="1:9" s="15" customFormat="1" ht="9.75">
      <c r="A13" s="73"/>
      <c r="B13" s="54"/>
      <c r="C13" s="56" t="s">
        <v>173</v>
      </c>
      <c r="D13" s="56"/>
      <c r="E13" s="13" t="s">
        <v>10</v>
      </c>
      <c r="F13" s="56"/>
      <c r="G13" s="14" t="s">
        <v>11</v>
      </c>
      <c r="H13" s="74"/>
      <c r="I13" s="59"/>
    </row>
    <row r="14" spans="1:9" s="15" customFormat="1" ht="20.25" customHeight="1">
      <c r="A14" s="73"/>
      <c r="B14" s="54"/>
      <c r="C14" s="56"/>
      <c r="D14" s="56"/>
      <c r="E14" s="13">
        <v>2402794</v>
      </c>
      <c r="F14" s="56"/>
      <c r="G14" s="14"/>
      <c r="H14" s="74"/>
      <c r="I14" s="59"/>
    </row>
    <row r="15" spans="1:9" s="15" customFormat="1" ht="24.75" customHeight="1">
      <c r="A15" s="73"/>
      <c r="B15" s="54"/>
      <c r="C15" s="56" t="s">
        <v>174</v>
      </c>
      <c r="D15" s="56"/>
      <c r="E15" s="13" t="s">
        <v>12</v>
      </c>
      <c r="F15" s="56"/>
      <c r="G15" s="14" t="s">
        <v>13</v>
      </c>
      <c r="H15" s="74"/>
      <c r="I15" s="57"/>
    </row>
    <row r="16" spans="1:9" s="15" customFormat="1" ht="24.75" customHeight="1">
      <c r="A16" s="73"/>
      <c r="B16" s="54"/>
      <c r="C16" s="56"/>
      <c r="D16" s="56"/>
      <c r="E16" s="13">
        <v>2178294</v>
      </c>
      <c r="F16" s="56"/>
      <c r="G16" s="14"/>
      <c r="H16" s="74"/>
      <c r="I16" s="58"/>
    </row>
    <row r="17" spans="1:9" s="15" customFormat="1" ht="24.75" customHeight="1">
      <c r="A17" s="73"/>
      <c r="B17" s="54"/>
      <c r="C17" s="56" t="s">
        <v>175</v>
      </c>
      <c r="D17" s="56"/>
      <c r="E17" s="13" t="s">
        <v>14</v>
      </c>
      <c r="F17" s="56"/>
      <c r="G17" s="14" t="s">
        <v>15</v>
      </c>
      <c r="H17" s="74"/>
      <c r="I17" s="59"/>
    </row>
    <row r="18" spans="1:9" s="15" customFormat="1" ht="24.75" customHeight="1">
      <c r="A18" s="73"/>
      <c r="B18" s="54"/>
      <c r="C18" s="56"/>
      <c r="D18" s="56"/>
      <c r="E18" s="13">
        <v>1086335</v>
      </c>
      <c r="F18" s="56"/>
      <c r="G18" s="14"/>
      <c r="H18" s="74"/>
      <c r="I18" s="59"/>
    </row>
    <row r="19" spans="1:9" s="15" customFormat="1" ht="11.25" customHeight="1">
      <c r="A19" s="73"/>
      <c r="B19" s="54"/>
      <c r="C19" s="50" t="s">
        <v>16</v>
      </c>
      <c r="D19" s="75" t="s">
        <v>17</v>
      </c>
      <c r="E19" s="13" t="s">
        <v>18</v>
      </c>
      <c r="F19" s="50" t="s">
        <v>19</v>
      </c>
      <c r="G19" s="14" t="s">
        <v>20</v>
      </c>
      <c r="H19" s="50" t="s">
        <v>21</v>
      </c>
      <c r="I19" s="59"/>
    </row>
    <row r="20" spans="1:12" s="15" customFormat="1" ht="9.75">
      <c r="A20" s="73"/>
      <c r="B20" s="54"/>
      <c r="C20" s="51"/>
      <c r="D20" s="75"/>
      <c r="E20" s="31">
        <v>324</v>
      </c>
      <c r="F20" s="51"/>
      <c r="G20" s="16"/>
      <c r="H20" s="51"/>
      <c r="I20" s="59"/>
      <c r="L20" s="17"/>
    </row>
    <row r="21" spans="1:9" s="15" customFormat="1" ht="9.75">
      <c r="A21" s="73"/>
      <c r="B21" s="54"/>
      <c r="C21" s="51"/>
      <c r="D21" s="37" t="s">
        <v>72</v>
      </c>
      <c r="E21" s="13" t="s">
        <v>23</v>
      </c>
      <c r="F21" s="51"/>
      <c r="G21" s="16" t="s">
        <v>24</v>
      </c>
      <c r="H21" s="51"/>
      <c r="I21" s="57"/>
    </row>
    <row r="22" spans="1:9" s="15" customFormat="1" ht="9.75">
      <c r="A22" s="73"/>
      <c r="B22" s="54"/>
      <c r="C22" s="51"/>
      <c r="D22" s="38"/>
      <c r="E22" s="13">
        <v>12</v>
      </c>
      <c r="F22" s="51"/>
      <c r="G22" s="16"/>
      <c r="H22" s="51"/>
      <c r="I22" s="58"/>
    </row>
    <row r="23" spans="1:9" s="15" customFormat="1" ht="9.75">
      <c r="A23" s="73"/>
      <c r="B23" s="54"/>
      <c r="C23" s="51"/>
      <c r="D23" s="75" t="s">
        <v>22</v>
      </c>
      <c r="E23" s="13" t="s">
        <v>26</v>
      </c>
      <c r="F23" s="51"/>
      <c r="G23" s="14" t="s">
        <v>27</v>
      </c>
      <c r="H23" s="51"/>
      <c r="I23" s="59"/>
    </row>
    <row r="24" spans="1:9" s="15" customFormat="1" ht="9.75">
      <c r="A24" s="73"/>
      <c r="B24" s="54"/>
      <c r="C24" s="51"/>
      <c r="D24" s="75"/>
      <c r="E24" s="31">
        <v>2100</v>
      </c>
      <c r="F24" s="51"/>
      <c r="G24" s="16"/>
      <c r="H24" s="51"/>
      <c r="I24" s="59"/>
    </row>
    <row r="25" spans="1:9" s="15" customFormat="1" ht="9.75">
      <c r="A25" s="73"/>
      <c r="B25" s="54"/>
      <c r="C25" s="51"/>
      <c r="D25" s="37" t="s">
        <v>73</v>
      </c>
      <c r="E25" s="13" t="s">
        <v>29</v>
      </c>
      <c r="F25" s="51"/>
      <c r="G25" s="16" t="s">
        <v>30</v>
      </c>
      <c r="H25" s="51"/>
      <c r="I25" s="57"/>
    </row>
    <row r="26" spans="1:9" s="15" customFormat="1" ht="9.75">
      <c r="A26" s="73"/>
      <c r="B26" s="54"/>
      <c r="C26" s="51"/>
      <c r="D26" s="38"/>
      <c r="E26" s="13">
        <v>12</v>
      </c>
      <c r="F26" s="51"/>
      <c r="G26" s="16"/>
      <c r="H26" s="51"/>
      <c r="I26" s="58"/>
    </row>
    <row r="27" spans="1:9" s="15" customFormat="1" ht="9.75">
      <c r="A27" s="73"/>
      <c r="B27" s="54"/>
      <c r="C27" s="51"/>
      <c r="D27" s="75" t="s">
        <v>25</v>
      </c>
      <c r="E27" s="13" t="s">
        <v>32</v>
      </c>
      <c r="F27" s="51"/>
      <c r="G27" s="14" t="s">
        <v>33</v>
      </c>
      <c r="H27" s="51"/>
      <c r="I27" s="59"/>
    </row>
    <row r="28" spans="1:9" s="15" customFormat="1" ht="9.75">
      <c r="A28" s="73"/>
      <c r="B28" s="54"/>
      <c r="C28" s="51"/>
      <c r="D28" s="75"/>
      <c r="E28" s="31">
        <v>1583</v>
      </c>
      <c r="F28" s="51"/>
      <c r="G28" s="16"/>
      <c r="H28" s="51"/>
      <c r="I28" s="59"/>
    </row>
    <row r="29" spans="1:12" s="15" customFormat="1" ht="9.75">
      <c r="A29" s="73"/>
      <c r="B29" s="54"/>
      <c r="C29" s="51"/>
      <c r="D29" s="75" t="s">
        <v>28</v>
      </c>
      <c r="E29" s="13" t="s">
        <v>35</v>
      </c>
      <c r="F29" s="51"/>
      <c r="G29" s="14" t="s">
        <v>36</v>
      </c>
      <c r="H29" s="51"/>
      <c r="I29" s="59"/>
      <c r="L29" s="17"/>
    </row>
    <row r="30" spans="1:9" s="15" customFormat="1" ht="9.75">
      <c r="A30" s="73"/>
      <c r="B30" s="54"/>
      <c r="C30" s="51"/>
      <c r="D30" s="75"/>
      <c r="E30" s="31">
        <v>72</v>
      </c>
      <c r="F30" s="51"/>
      <c r="G30" s="16"/>
      <c r="H30" s="51"/>
      <c r="I30" s="59"/>
    </row>
    <row r="31" spans="1:9" s="15" customFormat="1" ht="9.75">
      <c r="A31" s="73"/>
      <c r="B31" s="54"/>
      <c r="C31" s="51"/>
      <c r="D31" s="75" t="s">
        <v>31</v>
      </c>
      <c r="E31" s="13" t="s">
        <v>38</v>
      </c>
      <c r="F31" s="51"/>
      <c r="G31" s="14" t="s">
        <v>39</v>
      </c>
      <c r="H31" s="51"/>
      <c r="I31" s="59"/>
    </row>
    <row r="32" spans="1:9" s="15" customFormat="1" ht="9.75">
      <c r="A32" s="73"/>
      <c r="B32" s="54"/>
      <c r="C32" s="51"/>
      <c r="D32" s="75"/>
      <c r="E32" s="13">
        <v>345</v>
      </c>
      <c r="F32" s="51"/>
      <c r="G32" s="16"/>
      <c r="H32" s="51"/>
      <c r="I32" s="59"/>
    </row>
    <row r="33" spans="1:9" s="15" customFormat="1" ht="9.75">
      <c r="A33" s="73"/>
      <c r="B33" s="54"/>
      <c r="C33" s="51"/>
      <c r="D33" s="75" t="s">
        <v>34</v>
      </c>
      <c r="E33" s="13" t="s">
        <v>40</v>
      </c>
      <c r="F33" s="51"/>
      <c r="G33" s="14" t="s">
        <v>41</v>
      </c>
      <c r="H33" s="51"/>
      <c r="I33" s="59"/>
    </row>
    <row r="34" spans="1:9" s="15" customFormat="1" ht="9.75">
      <c r="A34" s="73"/>
      <c r="B34" s="54"/>
      <c r="C34" s="51"/>
      <c r="D34" s="75"/>
      <c r="E34" s="31">
        <v>1304</v>
      </c>
      <c r="F34" s="51"/>
      <c r="G34" s="16"/>
      <c r="H34" s="51"/>
      <c r="I34" s="59"/>
    </row>
    <row r="35" spans="1:9" s="15" customFormat="1" ht="9.75">
      <c r="A35" s="73"/>
      <c r="B35" s="54"/>
      <c r="C35" s="51"/>
      <c r="D35" s="37" t="s">
        <v>74</v>
      </c>
      <c r="E35" s="13" t="s">
        <v>42</v>
      </c>
      <c r="F35" s="51"/>
      <c r="G35" s="16" t="s">
        <v>43</v>
      </c>
      <c r="H35" s="51"/>
      <c r="I35" s="57"/>
    </row>
    <row r="36" spans="1:9" s="15" customFormat="1" ht="9.75">
      <c r="A36" s="73"/>
      <c r="B36" s="54"/>
      <c r="C36" s="52"/>
      <c r="D36" s="38"/>
      <c r="E36" s="13">
        <v>25</v>
      </c>
      <c r="F36" s="51"/>
      <c r="G36" s="16"/>
      <c r="H36" s="51"/>
      <c r="I36" s="58"/>
    </row>
    <row r="37" spans="1:9" s="15" customFormat="1" ht="11.25" customHeight="1">
      <c r="A37" s="73"/>
      <c r="B37" s="54"/>
      <c r="C37" s="51" t="s">
        <v>37</v>
      </c>
      <c r="D37" s="75" t="s">
        <v>25</v>
      </c>
      <c r="E37" s="13" t="s">
        <v>44</v>
      </c>
      <c r="F37" s="51"/>
      <c r="G37" s="14" t="s">
        <v>45</v>
      </c>
      <c r="H37" s="51"/>
      <c r="I37" s="59"/>
    </row>
    <row r="38" spans="1:9" s="15" customFormat="1" ht="9.75">
      <c r="A38" s="73"/>
      <c r="B38" s="54"/>
      <c r="C38" s="51"/>
      <c r="D38" s="75"/>
      <c r="E38" s="13">
        <v>67</v>
      </c>
      <c r="F38" s="51"/>
      <c r="G38" s="16"/>
      <c r="H38" s="51"/>
      <c r="I38" s="59"/>
    </row>
    <row r="39" spans="1:9" s="15" customFormat="1" ht="9.75">
      <c r="A39" s="73"/>
      <c r="B39" s="54"/>
      <c r="C39" s="51"/>
      <c r="D39" s="75" t="s">
        <v>31</v>
      </c>
      <c r="E39" s="13" t="s">
        <v>46</v>
      </c>
      <c r="F39" s="51"/>
      <c r="G39" s="14" t="s">
        <v>47</v>
      </c>
      <c r="H39" s="51"/>
      <c r="I39" s="59"/>
    </row>
    <row r="40" spans="1:9" s="15" customFormat="1" ht="9.75">
      <c r="A40" s="73"/>
      <c r="B40" s="54"/>
      <c r="C40" s="51"/>
      <c r="D40" s="75"/>
      <c r="E40" s="13">
        <v>27</v>
      </c>
      <c r="F40" s="51"/>
      <c r="G40" s="16"/>
      <c r="H40" s="51"/>
      <c r="I40" s="59"/>
    </row>
    <row r="41" spans="1:9" s="15" customFormat="1" ht="9.75">
      <c r="A41" s="73"/>
      <c r="B41" s="54"/>
      <c r="C41" s="51"/>
      <c r="D41" s="75" t="s">
        <v>34</v>
      </c>
      <c r="E41" s="13" t="s">
        <v>161</v>
      </c>
      <c r="F41" s="51"/>
      <c r="G41" s="14" t="s">
        <v>163</v>
      </c>
      <c r="H41" s="51"/>
      <c r="I41" s="59"/>
    </row>
    <row r="42" spans="1:9" s="15" customFormat="1" ht="9.75">
      <c r="A42" s="73"/>
      <c r="B42" s="54"/>
      <c r="C42" s="51"/>
      <c r="D42" s="75"/>
      <c r="E42" s="13">
        <v>40</v>
      </c>
      <c r="F42" s="51"/>
      <c r="G42" s="16"/>
      <c r="H42" s="51"/>
      <c r="I42" s="59"/>
    </row>
    <row r="43" spans="1:9" s="15" customFormat="1" ht="9.75">
      <c r="A43" s="73"/>
      <c r="B43" s="54"/>
      <c r="C43" s="51"/>
      <c r="D43" s="37" t="s">
        <v>74</v>
      </c>
      <c r="E43" s="13" t="s">
        <v>162</v>
      </c>
      <c r="F43" s="51"/>
      <c r="G43" s="16" t="s">
        <v>164</v>
      </c>
      <c r="H43" s="51"/>
      <c r="I43" s="57"/>
    </row>
    <row r="44" spans="1:9" s="15" customFormat="1" ht="9.75">
      <c r="A44" s="73"/>
      <c r="B44" s="55"/>
      <c r="C44" s="52"/>
      <c r="D44" s="38"/>
      <c r="E44" s="13">
        <v>11</v>
      </c>
      <c r="F44" s="52"/>
      <c r="G44" s="16"/>
      <c r="H44" s="52"/>
      <c r="I44" s="58"/>
    </row>
    <row r="45" spans="1:12" s="15" customFormat="1" ht="9.75">
      <c r="A45" s="73"/>
      <c r="B45" s="56" t="s">
        <v>48</v>
      </c>
      <c r="C45" s="56" t="s">
        <v>49</v>
      </c>
      <c r="D45" s="56"/>
      <c r="E45" s="13" t="s">
        <v>50</v>
      </c>
      <c r="F45" s="56" t="s">
        <v>0</v>
      </c>
      <c r="G45" s="14" t="s">
        <v>51</v>
      </c>
      <c r="H45" s="56" t="s">
        <v>9</v>
      </c>
      <c r="I45" s="59"/>
      <c r="L45" s="17"/>
    </row>
    <row r="46" spans="1:9" s="15" customFormat="1" ht="9.75">
      <c r="A46" s="73"/>
      <c r="B46" s="56"/>
      <c r="C46" s="56"/>
      <c r="D46" s="56"/>
      <c r="E46" s="13">
        <v>5567378</v>
      </c>
      <c r="F46" s="56"/>
      <c r="G46" s="14"/>
      <c r="H46" s="56"/>
      <c r="I46" s="59"/>
    </row>
    <row r="47" spans="1:9" s="15" customFormat="1" ht="9.75">
      <c r="A47" s="73"/>
      <c r="B47" s="56"/>
      <c r="C47" s="56" t="s">
        <v>52</v>
      </c>
      <c r="D47" s="56"/>
      <c r="E47" s="13" t="s">
        <v>53</v>
      </c>
      <c r="F47" s="56"/>
      <c r="G47" s="14" t="s">
        <v>54</v>
      </c>
      <c r="H47" s="56"/>
      <c r="I47" s="59"/>
    </row>
    <row r="48" spans="1:9" s="15" customFormat="1" ht="59.25" customHeight="1">
      <c r="A48" s="73"/>
      <c r="B48" s="56"/>
      <c r="C48" s="56"/>
      <c r="D48" s="56"/>
      <c r="E48" s="13">
        <v>2953693</v>
      </c>
      <c r="F48" s="56"/>
      <c r="G48" s="14"/>
      <c r="H48" s="56"/>
      <c r="I48" s="59"/>
    </row>
    <row r="49" spans="1:9" s="15" customFormat="1" ht="9.75">
      <c r="A49" s="46" t="s">
        <v>55</v>
      </c>
      <c r="B49" s="47"/>
      <c r="C49" s="47"/>
      <c r="D49" s="47"/>
      <c r="E49" s="47"/>
      <c r="F49" s="47"/>
      <c r="G49" s="47"/>
      <c r="H49" s="47"/>
      <c r="I49" s="48"/>
    </row>
    <row r="50" spans="1:9" s="15" customFormat="1" ht="9.75">
      <c r="A50" s="37" t="s">
        <v>70</v>
      </c>
      <c r="B50" s="49" t="s">
        <v>57</v>
      </c>
      <c r="C50" s="49"/>
      <c r="D50" s="49"/>
      <c r="E50" s="32">
        <v>324</v>
      </c>
      <c r="F50" s="19" t="s">
        <v>19</v>
      </c>
      <c r="G50" s="14">
        <v>3.85</v>
      </c>
      <c r="H50" s="14" t="s">
        <v>21</v>
      </c>
      <c r="I50" s="34">
        <f>ROUND(E50*G50,2)</f>
        <v>1247.4</v>
      </c>
    </row>
    <row r="51" spans="1:9" s="15" customFormat="1" ht="22.5" customHeight="1">
      <c r="A51" s="38"/>
      <c r="B51" s="77" t="s">
        <v>59</v>
      </c>
      <c r="C51" s="77"/>
      <c r="D51" s="77"/>
      <c r="E51" s="32">
        <v>65926</v>
      </c>
      <c r="F51" s="19" t="s">
        <v>0</v>
      </c>
      <c r="G51" s="14">
        <v>5.434</v>
      </c>
      <c r="H51" s="14" t="s">
        <v>9</v>
      </c>
      <c r="I51" s="34">
        <f>ROUND(E51*G51/100,2)</f>
        <v>3582.42</v>
      </c>
    </row>
    <row r="52" spans="1:9" s="15" customFormat="1" ht="9.75">
      <c r="A52" s="37" t="s">
        <v>71</v>
      </c>
      <c r="B52" s="49" t="s">
        <v>57</v>
      </c>
      <c r="C52" s="49"/>
      <c r="D52" s="49"/>
      <c r="E52" s="18">
        <v>36</v>
      </c>
      <c r="F52" s="19" t="s">
        <v>19</v>
      </c>
      <c r="G52" s="14">
        <v>4.67</v>
      </c>
      <c r="H52" s="14" t="s">
        <v>21</v>
      </c>
      <c r="I52" s="20">
        <f>ROUND(E52*G52,2)</f>
        <v>168.12</v>
      </c>
    </row>
    <row r="53" spans="1:9" s="15" customFormat="1" ht="9.75">
      <c r="A53" s="38"/>
      <c r="B53" s="77" t="s">
        <v>59</v>
      </c>
      <c r="C53" s="77"/>
      <c r="D53" s="77"/>
      <c r="E53" s="18">
        <v>23585</v>
      </c>
      <c r="F53" s="19" t="s">
        <v>0</v>
      </c>
      <c r="G53" s="14">
        <v>6.594</v>
      </c>
      <c r="H53" s="14" t="s">
        <v>9</v>
      </c>
      <c r="I53" s="20">
        <f>ROUND(E53*G53/100,2)</f>
        <v>1555.19</v>
      </c>
    </row>
    <row r="54" spans="1:9" s="15" customFormat="1" ht="9.75">
      <c r="A54" s="39" t="s">
        <v>76</v>
      </c>
      <c r="B54" s="40"/>
      <c r="C54" s="40"/>
      <c r="D54" s="40"/>
      <c r="E54" s="40"/>
      <c r="F54" s="40"/>
      <c r="G54" s="40"/>
      <c r="H54" s="40"/>
      <c r="I54" s="41"/>
    </row>
    <row r="55" spans="1:9" s="15" customFormat="1" ht="19.5" customHeight="1">
      <c r="A55" s="37" t="s">
        <v>70</v>
      </c>
      <c r="B55" s="49" t="s">
        <v>57</v>
      </c>
      <c r="C55" s="49"/>
      <c r="D55" s="49"/>
      <c r="E55" s="18">
        <v>12</v>
      </c>
      <c r="F55" s="19" t="s">
        <v>19</v>
      </c>
      <c r="G55" s="14">
        <v>4.37</v>
      </c>
      <c r="H55" s="14" t="s">
        <v>21</v>
      </c>
      <c r="I55" s="20">
        <f>ROUND(E55*G55,2)</f>
        <v>52.44</v>
      </c>
    </row>
    <row r="56" spans="1:9" s="15" customFormat="1" ht="19.5" customHeight="1">
      <c r="A56" s="38"/>
      <c r="B56" s="77" t="s">
        <v>59</v>
      </c>
      <c r="C56" s="77"/>
      <c r="D56" s="77"/>
      <c r="E56" s="18">
        <v>2280</v>
      </c>
      <c r="F56" s="19" t="s">
        <v>0</v>
      </c>
      <c r="G56" s="14">
        <v>5.434</v>
      </c>
      <c r="H56" s="14" t="s">
        <v>9</v>
      </c>
      <c r="I56" s="20">
        <f>ROUND(E56*G56/100,2)</f>
        <v>123.9</v>
      </c>
    </row>
    <row r="57" spans="1:9" s="15" customFormat="1" ht="9.75">
      <c r="A57" s="78" t="s">
        <v>61</v>
      </c>
      <c r="B57" s="78"/>
      <c r="C57" s="78"/>
      <c r="D57" s="78"/>
      <c r="E57" s="78"/>
      <c r="F57" s="78"/>
      <c r="G57" s="78"/>
      <c r="H57" s="78"/>
      <c r="I57" s="78"/>
    </row>
    <row r="58" spans="1:9" s="15" customFormat="1" ht="9.75">
      <c r="A58" s="37" t="s">
        <v>70</v>
      </c>
      <c r="B58" s="49" t="s">
        <v>57</v>
      </c>
      <c r="C58" s="49"/>
      <c r="D58" s="49"/>
      <c r="E58" s="32">
        <v>2100</v>
      </c>
      <c r="F58" s="19" t="s">
        <v>19</v>
      </c>
      <c r="G58" s="14">
        <v>10.28</v>
      </c>
      <c r="H58" s="14" t="s">
        <v>21</v>
      </c>
      <c r="I58" s="34">
        <f>ROUND(E58*G58,2)</f>
        <v>21588</v>
      </c>
    </row>
    <row r="59" spans="1:9" s="15" customFormat="1" ht="22.5" customHeight="1">
      <c r="A59" s="38"/>
      <c r="B59" s="77" t="s">
        <v>59</v>
      </c>
      <c r="C59" s="77"/>
      <c r="D59" s="77"/>
      <c r="E59" s="32">
        <v>2107663</v>
      </c>
      <c r="F59" s="19" t="s">
        <v>0</v>
      </c>
      <c r="G59" s="14">
        <v>4.225</v>
      </c>
      <c r="H59" s="14" t="s">
        <v>9</v>
      </c>
      <c r="I59" s="34">
        <f>ROUND(E59*G59/100,2)</f>
        <v>89048.76</v>
      </c>
    </row>
    <row r="60" spans="1:9" s="15" customFormat="1" ht="9.75">
      <c r="A60" s="37" t="s">
        <v>71</v>
      </c>
      <c r="B60" s="49" t="s">
        <v>57</v>
      </c>
      <c r="C60" s="49"/>
      <c r="D60" s="49"/>
      <c r="E60" s="18">
        <v>108</v>
      </c>
      <c r="F60" s="19" t="s">
        <v>19</v>
      </c>
      <c r="G60" s="14">
        <v>12.47</v>
      </c>
      <c r="H60" s="14" t="s">
        <v>21</v>
      </c>
      <c r="I60" s="20">
        <f>ROUND(E60*G60,2)</f>
        <v>1346.76</v>
      </c>
    </row>
    <row r="61" spans="1:9" s="15" customFormat="1" ht="16.5" customHeight="1">
      <c r="A61" s="38"/>
      <c r="B61" s="77" t="s">
        <v>59</v>
      </c>
      <c r="C61" s="77"/>
      <c r="D61" s="77"/>
      <c r="E61" s="18">
        <v>249764</v>
      </c>
      <c r="F61" s="19" t="s">
        <v>0</v>
      </c>
      <c r="G61" s="14">
        <v>5.127</v>
      </c>
      <c r="H61" s="14" t="s">
        <v>9</v>
      </c>
      <c r="I61" s="20">
        <f>ROUND(E61*G61/100,2)</f>
        <v>12805.4</v>
      </c>
    </row>
    <row r="62" spans="1:9" s="15" customFormat="1" ht="9.75">
      <c r="A62" s="39" t="s">
        <v>157</v>
      </c>
      <c r="B62" s="40"/>
      <c r="C62" s="40"/>
      <c r="D62" s="40"/>
      <c r="E62" s="40"/>
      <c r="F62" s="40"/>
      <c r="G62" s="40"/>
      <c r="H62" s="40"/>
      <c r="I62" s="41"/>
    </row>
    <row r="63" spans="1:9" s="15" customFormat="1" ht="19.5" customHeight="1">
      <c r="A63" s="37" t="s">
        <v>70</v>
      </c>
      <c r="B63" s="45" t="s">
        <v>57</v>
      </c>
      <c r="C63" s="45"/>
      <c r="D63" s="45"/>
      <c r="E63" s="18">
        <v>12</v>
      </c>
      <c r="F63" s="19" t="s">
        <v>19</v>
      </c>
      <c r="G63" s="14">
        <v>10.94</v>
      </c>
      <c r="H63" s="14" t="s">
        <v>21</v>
      </c>
      <c r="I63" s="20">
        <f>ROUND(E63*G63,2)</f>
        <v>131.28</v>
      </c>
    </row>
    <row r="64" spans="1:9" s="15" customFormat="1" ht="19.5" customHeight="1">
      <c r="A64" s="38"/>
      <c r="B64" s="45" t="s">
        <v>59</v>
      </c>
      <c r="C64" s="45"/>
      <c r="D64" s="45"/>
      <c r="E64" s="18">
        <v>6840</v>
      </c>
      <c r="F64" s="19" t="s">
        <v>0</v>
      </c>
      <c r="G64" s="14">
        <v>4.225</v>
      </c>
      <c r="H64" s="14" t="s">
        <v>9</v>
      </c>
      <c r="I64" s="20">
        <f>ROUND(E64*G64/100,2)</f>
        <v>288.99</v>
      </c>
    </row>
    <row r="65" spans="1:9" s="15" customFormat="1" ht="9.75">
      <c r="A65" s="46" t="s">
        <v>63</v>
      </c>
      <c r="B65" s="47"/>
      <c r="C65" s="47"/>
      <c r="D65" s="47"/>
      <c r="E65" s="47"/>
      <c r="F65" s="47"/>
      <c r="G65" s="47"/>
      <c r="H65" s="47"/>
      <c r="I65" s="48"/>
    </row>
    <row r="66" spans="1:9" s="15" customFormat="1" ht="9.75">
      <c r="A66" s="21" t="s">
        <v>56</v>
      </c>
      <c r="B66" s="49" t="s">
        <v>57</v>
      </c>
      <c r="C66" s="49"/>
      <c r="D66" s="49"/>
      <c r="E66" s="32">
        <v>1518</v>
      </c>
      <c r="F66" s="19" t="s">
        <v>19</v>
      </c>
      <c r="G66" s="14">
        <v>34.8</v>
      </c>
      <c r="H66" s="14" t="s">
        <v>21</v>
      </c>
      <c r="I66" s="34">
        <f>ROUND(E66*G66,2)</f>
        <v>52826.4</v>
      </c>
    </row>
    <row r="67" spans="1:11" s="15" customFormat="1" ht="18">
      <c r="A67" s="22" t="s">
        <v>58</v>
      </c>
      <c r="B67" s="77" t="s">
        <v>59</v>
      </c>
      <c r="C67" s="77"/>
      <c r="D67" s="77"/>
      <c r="E67" s="32">
        <v>5919734</v>
      </c>
      <c r="F67" s="19" t="s">
        <v>0</v>
      </c>
      <c r="G67" s="14">
        <v>3.642</v>
      </c>
      <c r="H67" s="14" t="s">
        <v>9</v>
      </c>
      <c r="I67" s="34">
        <f>ROUND(E67*G67/100,2)</f>
        <v>215596.71</v>
      </c>
      <c r="K67" s="17"/>
    </row>
    <row r="68" spans="1:9" s="15" customFormat="1" ht="9.75">
      <c r="A68" s="21" t="s">
        <v>56</v>
      </c>
      <c r="B68" s="49" t="s">
        <v>57</v>
      </c>
      <c r="C68" s="49"/>
      <c r="D68" s="49"/>
      <c r="E68" s="32">
        <v>588</v>
      </c>
      <c r="F68" s="19" t="s">
        <v>19</v>
      </c>
      <c r="G68" s="14">
        <v>42.23</v>
      </c>
      <c r="H68" s="14" t="s">
        <v>21</v>
      </c>
      <c r="I68" s="34">
        <f>ROUND(E68*G68,2)</f>
        <v>24831.24</v>
      </c>
    </row>
    <row r="69" spans="1:9" s="15" customFormat="1" ht="9.75">
      <c r="A69" s="22" t="s">
        <v>60</v>
      </c>
      <c r="B69" s="77" t="s">
        <v>59</v>
      </c>
      <c r="C69" s="77"/>
      <c r="D69" s="77"/>
      <c r="E69" s="32">
        <v>2510106</v>
      </c>
      <c r="F69" s="19" t="s">
        <v>0</v>
      </c>
      <c r="G69" s="14">
        <v>4.419</v>
      </c>
      <c r="H69" s="14" t="s">
        <v>9</v>
      </c>
      <c r="I69" s="34">
        <f>ROUND(E69*G69/100,2)</f>
        <v>110921.58</v>
      </c>
    </row>
    <row r="70" spans="1:9" s="15" customFormat="1" ht="25.5" customHeight="1">
      <c r="A70" s="21" t="s">
        <v>62</v>
      </c>
      <c r="B70" s="49" t="s">
        <v>57</v>
      </c>
      <c r="C70" s="49"/>
      <c r="D70" s="49"/>
      <c r="E70" s="18">
        <v>12</v>
      </c>
      <c r="F70" s="19" t="s">
        <v>19</v>
      </c>
      <c r="G70" s="14" t="s">
        <v>78</v>
      </c>
      <c r="H70" s="14" t="s">
        <v>21</v>
      </c>
      <c r="I70" s="20">
        <f>(0.8997*34.8+0.01003*42.23)*12</f>
        <v>380.79752279999997</v>
      </c>
    </row>
    <row r="71" spans="1:9" s="15" customFormat="1" ht="28.5" customHeight="1">
      <c r="A71" s="22" t="s">
        <v>77</v>
      </c>
      <c r="B71" s="77" t="s">
        <v>59</v>
      </c>
      <c r="C71" s="77"/>
      <c r="D71" s="77"/>
      <c r="E71" s="18">
        <v>91200</v>
      </c>
      <c r="F71" s="19" t="s">
        <v>0</v>
      </c>
      <c r="G71" s="14" t="s">
        <v>79</v>
      </c>
      <c r="H71" s="14" t="s">
        <v>9</v>
      </c>
      <c r="I71" s="20">
        <f>ROUND((0.8997*3.642+0.1003*4.419)*91200/100,2)</f>
        <v>3392.58</v>
      </c>
    </row>
    <row r="72" spans="1:9" s="15" customFormat="1" ht="18" customHeight="1">
      <c r="A72" s="21" t="s">
        <v>62</v>
      </c>
      <c r="B72" s="49" t="s">
        <v>57</v>
      </c>
      <c r="C72" s="49"/>
      <c r="D72" s="49"/>
      <c r="E72" s="18">
        <v>84</v>
      </c>
      <c r="F72" s="19" t="s">
        <v>19</v>
      </c>
      <c r="G72" s="14" t="s">
        <v>81</v>
      </c>
      <c r="H72" s="14" t="s">
        <v>21</v>
      </c>
      <c r="I72" s="20">
        <f>(0.3*34.8+0.7*42.23)*12*7</f>
        <v>3360.084</v>
      </c>
    </row>
    <row r="73" spans="1:9" s="15" customFormat="1" ht="32.25" customHeight="1">
      <c r="A73" s="22" t="s">
        <v>80</v>
      </c>
      <c r="B73" s="77" t="s">
        <v>59</v>
      </c>
      <c r="C73" s="77"/>
      <c r="D73" s="77"/>
      <c r="E73" s="18">
        <v>240391</v>
      </c>
      <c r="F73" s="19" t="s">
        <v>0</v>
      </c>
      <c r="G73" s="14" t="s">
        <v>147</v>
      </c>
      <c r="H73" s="14" t="s">
        <v>9</v>
      </c>
      <c r="I73" s="20">
        <f>ROUND((0.3*3.642+0.7*4.419)*240391/100,2)</f>
        <v>10062.53</v>
      </c>
    </row>
    <row r="74" spans="1:9" s="15" customFormat="1" ht="17.25" customHeight="1">
      <c r="A74" s="21" t="s">
        <v>143</v>
      </c>
      <c r="B74" s="42" t="s">
        <v>57</v>
      </c>
      <c r="C74" s="43"/>
      <c r="D74" s="44"/>
      <c r="E74" s="18">
        <v>24</v>
      </c>
      <c r="F74" s="19" t="s">
        <v>19</v>
      </c>
      <c r="G74" s="14">
        <v>31.47</v>
      </c>
      <c r="H74" s="14" t="s">
        <v>21</v>
      </c>
      <c r="I74" s="20">
        <f>ROUND(E74*G74,2)</f>
        <v>755.28</v>
      </c>
    </row>
    <row r="75" spans="1:9" s="15" customFormat="1" ht="18">
      <c r="A75" s="22" t="s">
        <v>58</v>
      </c>
      <c r="B75" s="42" t="s">
        <v>59</v>
      </c>
      <c r="C75" s="43"/>
      <c r="D75" s="44"/>
      <c r="E75" s="18">
        <v>75412</v>
      </c>
      <c r="F75" s="19" t="s">
        <v>0</v>
      </c>
      <c r="G75" s="14">
        <v>3.506</v>
      </c>
      <c r="H75" s="14" t="s">
        <v>9</v>
      </c>
      <c r="I75" s="20">
        <f>ROUND(E75*G75/100,2)</f>
        <v>2643.94</v>
      </c>
    </row>
    <row r="76" spans="1:9" s="15" customFormat="1" ht="9.75">
      <c r="A76" s="21" t="s">
        <v>143</v>
      </c>
      <c r="B76" s="42" t="s">
        <v>57</v>
      </c>
      <c r="C76" s="43"/>
      <c r="D76" s="44"/>
      <c r="E76" s="18">
        <v>24</v>
      </c>
      <c r="F76" s="19" t="s">
        <v>19</v>
      </c>
      <c r="G76" s="14">
        <v>38.19</v>
      </c>
      <c r="H76" s="14" t="s">
        <v>21</v>
      </c>
      <c r="I76" s="20">
        <f>ROUND(E76*G76,2)</f>
        <v>916.56</v>
      </c>
    </row>
    <row r="77" spans="1:9" s="15" customFormat="1" ht="21" customHeight="1">
      <c r="A77" s="22" t="s">
        <v>60</v>
      </c>
      <c r="B77" s="42" t="s">
        <v>59</v>
      </c>
      <c r="C77" s="43"/>
      <c r="D77" s="44"/>
      <c r="E77" s="18">
        <v>48301</v>
      </c>
      <c r="F77" s="19" t="s">
        <v>0</v>
      </c>
      <c r="G77" s="14">
        <v>4.254</v>
      </c>
      <c r="H77" s="14" t="s">
        <v>9</v>
      </c>
      <c r="I77" s="20">
        <f>ROUND(E77*G77/100,2)</f>
        <v>2054.72</v>
      </c>
    </row>
    <row r="78" spans="1:9" s="15" customFormat="1" ht="18">
      <c r="A78" s="21" t="s">
        <v>144</v>
      </c>
      <c r="B78" s="42" t="s">
        <v>57</v>
      </c>
      <c r="C78" s="43"/>
      <c r="D78" s="43"/>
      <c r="E78" s="18">
        <v>12</v>
      </c>
      <c r="F78" s="19" t="s">
        <v>19</v>
      </c>
      <c r="G78" s="14" t="s">
        <v>146</v>
      </c>
      <c r="H78" s="14" t="s">
        <v>21</v>
      </c>
      <c r="I78" s="20">
        <f>(0.1699*31.47+0.8301*38.19)*12</f>
        <v>444.57926399999997</v>
      </c>
    </row>
    <row r="79" spans="1:9" s="15" customFormat="1" ht="27">
      <c r="A79" s="22" t="s">
        <v>145</v>
      </c>
      <c r="B79" s="42" t="s">
        <v>59</v>
      </c>
      <c r="C79" s="43"/>
      <c r="D79" s="43"/>
      <c r="E79" s="18">
        <v>30050</v>
      </c>
      <c r="F79" s="19" t="s">
        <v>0</v>
      </c>
      <c r="G79" s="14" t="s">
        <v>168</v>
      </c>
      <c r="H79" s="14" t="s">
        <v>9</v>
      </c>
      <c r="I79" s="20">
        <f>ROUND((0.1699*3.506+0.8301*4.254)*30050/100,2)</f>
        <v>1240.14</v>
      </c>
    </row>
    <row r="80" spans="1:9" s="15" customFormat="1" ht="9.75">
      <c r="A80" s="46" t="s">
        <v>64</v>
      </c>
      <c r="B80" s="47"/>
      <c r="C80" s="47"/>
      <c r="D80" s="47"/>
      <c r="E80" s="47"/>
      <c r="F80" s="47"/>
      <c r="G80" s="47"/>
      <c r="H80" s="47"/>
      <c r="I80" s="48"/>
    </row>
    <row r="81" spans="1:9" s="15" customFormat="1" ht="15.75" customHeight="1">
      <c r="A81" s="21" t="s">
        <v>56</v>
      </c>
      <c r="B81" s="49" t="s">
        <v>57</v>
      </c>
      <c r="C81" s="49"/>
      <c r="D81" s="49"/>
      <c r="E81" s="32">
        <v>72</v>
      </c>
      <c r="F81" s="19" t="s">
        <v>19</v>
      </c>
      <c r="G81" s="14">
        <v>36.44</v>
      </c>
      <c r="H81" s="14" t="s">
        <v>21</v>
      </c>
      <c r="I81" s="34">
        <f>ROUND(E81*G81,2)</f>
        <v>2623.68</v>
      </c>
    </row>
    <row r="82" spans="1:9" s="15" customFormat="1" ht="19.5" customHeight="1">
      <c r="A82" s="22" t="s">
        <v>179</v>
      </c>
      <c r="B82" s="77" t="s">
        <v>59</v>
      </c>
      <c r="C82" s="77"/>
      <c r="D82" s="77"/>
      <c r="E82" s="32">
        <v>322380</v>
      </c>
      <c r="F82" s="19" t="s">
        <v>0</v>
      </c>
      <c r="G82" s="14">
        <v>3.642</v>
      </c>
      <c r="H82" s="14" t="s">
        <v>9</v>
      </c>
      <c r="I82" s="34">
        <f>ROUND(E82*G82/100,2)</f>
        <v>11741.08</v>
      </c>
    </row>
    <row r="83" spans="1:9" s="15" customFormat="1" ht="15.75" customHeight="1">
      <c r="A83" s="21" t="s">
        <v>143</v>
      </c>
      <c r="B83" s="45" t="s">
        <v>57</v>
      </c>
      <c r="C83" s="45"/>
      <c r="D83" s="45"/>
      <c r="E83" s="18">
        <v>24</v>
      </c>
      <c r="F83" s="19" t="s">
        <v>19</v>
      </c>
      <c r="G83" s="14">
        <v>38.81</v>
      </c>
      <c r="H83" s="14" t="s">
        <v>21</v>
      </c>
      <c r="I83" s="20">
        <f>ROUND(E83*G83,2)</f>
        <v>931.44</v>
      </c>
    </row>
    <row r="84" spans="1:9" s="15" customFormat="1" ht="15.75" customHeight="1">
      <c r="A84" s="22" t="s">
        <v>60</v>
      </c>
      <c r="B84" s="45" t="s">
        <v>59</v>
      </c>
      <c r="C84" s="45"/>
      <c r="D84" s="45"/>
      <c r="E84" s="18">
        <v>196525</v>
      </c>
      <c r="F84" s="19" t="s">
        <v>0</v>
      </c>
      <c r="G84" s="14">
        <v>4.254</v>
      </c>
      <c r="H84" s="14" t="s">
        <v>9</v>
      </c>
      <c r="I84" s="20">
        <f>ROUND(E84*G84/100,2)</f>
        <v>8360.17</v>
      </c>
    </row>
    <row r="85" spans="1:9" s="15" customFormat="1" ht="9.75">
      <c r="A85" s="46" t="s">
        <v>65</v>
      </c>
      <c r="B85" s="47"/>
      <c r="C85" s="47"/>
      <c r="D85" s="47"/>
      <c r="E85" s="47"/>
      <c r="F85" s="47"/>
      <c r="G85" s="47"/>
      <c r="H85" s="47"/>
      <c r="I85" s="48"/>
    </row>
    <row r="86" spans="1:9" s="15" customFormat="1" ht="9.75">
      <c r="A86" s="23" t="s">
        <v>56</v>
      </c>
      <c r="B86" s="75" t="s">
        <v>57</v>
      </c>
      <c r="C86" s="75"/>
      <c r="D86" s="75"/>
      <c r="E86" s="18">
        <v>312</v>
      </c>
      <c r="F86" s="19" t="s">
        <v>19</v>
      </c>
      <c r="G86" s="14">
        <v>187.54</v>
      </c>
      <c r="H86" s="14" t="s">
        <v>21</v>
      </c>
      <c r="I86" s="20">
        <f>ROUND(E86*G86,2)</f>
        <v>58512.48</v>
      </c>
    </row>
    <row r="87" spans="1:9" s="15" customFormat="1" ht="18">
      <c r="A87" s="22" t="s">
        <v>58</v>
      </c>
      <c r="B87" s="45" t="s">
        <v>59</v>
      </c>
      <c r="C87" s="45"/>
      <c r="D87" s="45"/>
      <c r="E87" s="32">
        <v>3825736</v>
      </c>
      <c r="F87" s="19" t="s">
        <v>0</v>
      </c>
      <c r="G87" s="14">
        <v>3.457</v>
      </c>
      <c r="H87" s="14" t="s">
        <v>9</v>
      </c>
      <c r="I87" s="34">
        <f>ROUND(E87*G87/100,2)</f>
        <v>132255.69</v>
      </c>
    </row>
    <row r="88" spans="1:9" s="15" customFormat="1" ht="9.75">
      <c r="A88" s="21" t="s">
        <v>56</v>
      </c>
      <c r="B88" s="75" t="s">
        <v>57</v>
      </c>
      <c r="C88" s="75"/>
      <c r="D88" s="75"/>
      <c r="E88" s="18">
        <v>108</v>
      </c>
      <c r="F88" s="19" t="s">
        <v>19</v>
      </c>
      <c r="G88" s="14">
        <v>227.58</v>
      </c>
      <c r="H88" s="14" t="s">
        <v>21</v>
      </c>
      <c r="I88" s="20">
        <f>ROUND(E88*G88,2)</f>
        <v>24578.64</v>
      </c>
    </row>
    <row r="89" spans="1:9" s="15" customFormat="1" ht="9.75">
      <c r="A89" s="22" t="s">
        <v>60</v>
      </c>
      <c r="B89" s="45" t="s">
        <v>59</v>
      </c>
      <c r="C89" s="45"/>
      <c r="D89" s="45"/>
      <c r="E89" s="18">
        <v>1202208</v>
      </c>
      <c r="F89" s="19" t="s">
        <v>0</v>
      </c>
      <c r="G89" s="14">
        <v>4.195</v>
      </c>
      <c r="H89" s="14" t="s">
        <v>9</v>
      </c>
      <c r="I89" s="20">
        <f>ROUND(E89*G89/100,2)</f>
        <v>50432.63</v>
      </c>
    </row>
    <row r="90" spans="1:9" s="15" customFormat="1" ht="24" customHeight="1">
      <c r="A90" s="21" t="s">
        <v>62</v>
      </c>
      <c r="B90" s="49" t="s">
        <v>57</v>
      </c>
      <c r="C90" s="49"/>
      <c r="D90" s="49"/>
      <c r="E90" s="18">
        <v>12</v>
      </c>
      <c r="F90" s="19" t="s">
        <v>19</v>
      </c>
      <c r="G90" s="14" t="s">
        <v>83</v>
      </c>
      <c r="H90" s="14" t="s">
        <v>21</v>
      </c>
      <c r="I90" s="20">
        <f>(0.885*187.54+0.115*227.58)*12</f>
        <v>2305.7351999999996</v>
      </c>
    </row>
    <row r="91" spans="1:9" s="15" customFormat="1" ht="33" customHeight="1">
      <c r="A91" s="22" t="s">
        <v>82</v>
      </c>
      <c r="B91" s="77" t="s">
        <v>59</v>
      </c>
      <c r="C91" s="77"/>
      <c r="D91" s="77"/>
      <c r="E91" s="18">
        <v>109007</v>
      </c>
      <c r="F91" s="19" t="s">
        <v>0</v>
      </c>
      <c r="G91" s="14" t="s">
        <v>84</v>
      </c>
      <c r="H91" s="14" t="s">
        <v>9</v>
      </c>
      <c r="I91" s="20">
        <f>ROUND((0.885*3.457+0.115*4.195)*109007/100,2)</f>
        <v>3860.89</v>
      </c>
    </row>
    <row r="92" spans="1:9" s="15" customFormat="1" ht="27" customHeight="1">
      <c r="A92" s="21" t="s">
        <v>62</v>
      </c>
      <c r="B92" s="49" t="s">
        <v>57</v>
      </c>
      <c r="C92" s="49"/>
      <c r="D92" s="49"/>
      <c r="E92" s="18">
        <v>12</v>
      </c>
      <c r="F92" s="19" t="s">
        <v>19</v>
      </c>
      <c r="G92" s="14" t="s">
        <v>159</v>
      </c>
      <c r="H92" s="14" t="s">
        <v>21</v>
      </c>
      <c r="I92" s="20">
        <f>(0.44*187.54+0.56*227.58)*12</f>
        <v>2519.5488</v>
      </c>
    </row>
    <row r="93" spans="1:9" s="15" customFormat="1" ht="33.75" customHeight="1">
      <c r="A93" s="22" t="s">
        <v>158</v>
      </c>
      <c r="B93" s="77" t="s">
        <v>59</v>
      </c>
      <c r="C93" s="77"/>
      <c r="D93" s="77"/>
      <c r="E93" s="18">
        <v>102715</v>
      </c>
      <c r="F93" s="19" t="s">
        <v>0</v>
      </c>
      <c r="G93" s="14" t="s">
        <v>160</v>
      </c>
      <c r="H93" s="14" t="s">
        <v>9</v>
      </c>
      <c r="I93" s="20">
        <f>ROUND((0.44*3.457+0.56*4.195)*102715/100,2)</f>
        <v>3975.36</v>
      </c>
    </row>
    <row r="94" spans="1:9" s="15" customFormat="1" ht="24" customHeight="1">
      <c r="A94" s="21" t="s">
        <v>62</v>
      </c>
      <c r="B94" s="49" t="s">
        <v>57</v>
      </c>
      <c r="C94" s="49"/>
      <c r="D94" s="49"/>
      <c r="E94" s="18">
        <v>12</v>
      </c>
      <c r="F94" s="19" t="s">
        <v>19</v>
      </c>
      <c r="G94" s="14" t="s">
        <v>86</v>
      </c>
      <c r="H94" s="14" t="s">
        <v>21</v>
      </c>
      <c r="I94" s="20">
        <f>(0.3811*187.54+0.6189*227.58)*12</f>
        <v>2547.849072</v>
      </c>
    </row>
    <row r="95" spans="1:9" s="15" customFormat="1" ht="28.5" customHeight="1">
      <c r="A95" s="22" t="s">
        <v>85</v>
      </c>
      <c r="B95" s="77" t="s">
        <v>59</v>
      </c>
      <c r="C95" s="77"/>
      <c r="D95" s="77"/>
      <c r="E95" s="18">
        <v>133436</v>
      </c>
      <c r="F95" s="19" t="s">
        <v>0</v>
      </c>
      <c r="G95" s="14" t="s">
        <v>87</v>
      </c>
      <c r="H95" s="14" t="s">
        <v>9</v>
      </c>
      <c r="I95" s="20">
        <f>ROUND((0.3811*3.457+0.6189*4.195)*133436/100,2)</f>
        <v>5222.35</v>
      </c>
    </row>
    <row r="96" spans="1:9" s="15" customFormat="1" ht="18">
      <c r="A96" s="21" t="s">
        <v>144</v>
      </c>
      <c r="B96" s="42" t="s">
        <v>57</v>
      </c>
      <c r="C96" s="43"/>
      <c r="D96" s="44"/>
      <c r="E96" s="18">
        <v>12</v>
      </c>
      <c r="F96" s="19" t="s">
        <v>19</v>
      </c>
      <c r="G96" s="14" t="s">
        <v>149</v>
      </c>
      <c r="H96" s="14" t="s">
        <v>21</v>
      </c>
      <c r="I96" s="20">
        <f>(0.4945*174.27+0.5055*211.47)*12</f>
        <v>2316.8952</v>
      </c>
    </row>
    <row r="97" spans="1:16" s="15" customFormat="1" ht="27">
      <c r="A97" s="22" t="s">
        <v>148</v>
      </c>
      <c r="B97" s="42" t="s">
        <v>59</v>
      </c>
      <c r="C97" s="43"/>
      <c r="D97" s="44"/>
      <c r="E97" s="18">
        <v>108620</v>
      </c>
      <c r="F97" s="19" t="s">
        <v>0</v>
      </c>
      <c r="G97" s="14" t="s">
        <v>150</v>
      </c>
      <c r="H97" s="14" t="s">
        <v>9</v>
      </c>
      <c r="I97" s="20">
        <f>ROUND((0.4945*3.349+0.5055*4.064)*108620/100,2)</f>
        <v>4030.27</v>
      </c>
      <c r="P97" s="17"/>
    </row>
    <row r="98" spans="1:9" s="15" customFormat="1" ht="18">
      <c r="A98" s="21" t="s">
        <v>144</v>
      </c>
      <c r="B98" s="42" t="s">
        <v>57</v>
      </c>
      <c r="C98" s="43"/>
      <c r="D98" s="44"/>
      <c r="E98" s="18">
        <v>12</v>
      </c>
      <c r="F98" s="19" t="s">
        <v>19</v>
      </c>
      <c r="G98" s="14" t="s">
        <v>152</v>
      </c>
      <c r="H98" s="14" t="s">
        <v>21</v>
      </c>
      <c r="I98" s="20">
        <f>(0.4838*174.27+0.5162*211.47)*12</f>
        <v>2321.6716800000004</v>
      </c>
    </row>
    <row r="99" spans="1:9" s="15" customFormat="1" ht="27">
      <c r="A99" s="22" t="s">
        <v>151</v>
      </c>
      <c r="B99" s="42" t="s">
        <v>59</v>
      </c>
      <c r="C99" s="43"/>
      <c r="D99" s="44"/>
      <c r="E99" s="18">
        <v>172847</v>
      </c>
      <c r="F99" s="19" t="s">
        <v>0</v>
      </c>
      <c r="G99" s="14" t="s">
        <v>153</v>
      </c>
      <c r="H99" s="14" t="s">
        <v>9</v>
      </c>
      <c r="I99" s="20">
        <f>ROUND((0.4838*3.349+0.5162*4.064)*172847/100,2)</f>
        <v>6426.59</v>
      </c>
    </row>
    <row r="100" spans="1:9" s="15" customFormat="1" ht="9.75">
      <c r="A100" s="78" t="s">
        <v>66</v>
      </c>
      <c r="B100" s="78"/>
      <c r="C100" s="78"/>
      <c r="D100" s="78"/>
      <c r="E100" s="78"/>
      <c r="F100" s="78"/>
      <c r="G100" s="78"/>
      <c r="H100" s="78"/>
      <c r="I100" s="78"/>
    </row>
    <row r="101" spans="1:12" s="15" customFormat="1" ht="17.25" customHeight="1">
      <c r="A101" s="21" t="s">
        <v>56</v>
      </c>
      <c r="B101" s="49" t="s">
        <v>57</v>
      </c>
      <c r="C101" s="49"/>
      <c r="D101" s="49"/>
      <c r="E101" s="31">
        <v>210183552</v>
      </c>
      <c r="F101" s="19" t="s">
        <v>67</v>
      </c>
      <c r="G101" s="14">
        <v>0.565</v>
      </c>
      <c r="H101" s="14" t="s">
        <v>68</v>
      </c>
      <c r="I101" s="33">
        <f>ROUND(E101*G101/100,2)</f>
        <v>1187537.07</v>
      </c>
      <c r="L101" s="17"/>
    </row>
    <row r="102" spans="1:14" s="15" customFormat="1" ht="18">
      <c r="A102" s="22" t="s">
        <v>58</v>
      </c>
      <c r="B102" s="77" t="s">
        <v>59</v>
      </c>
      <c r="C102" s="77"/>
      <c r="D102" s="77"/>
      <c r="E102" s="32">
        <v>37511697</v>
      </c>
      <c r="F102" s="19" t="s">
        <v>0</v>
      </c>
      <c r="G102" s="14">
        <v>2.416</v>
      </c>
      <c r="H102" s="14" t="s">
        <v>9</v>
      </c>
      <c r="I102" s="33">
        <f>ROUND(E102*G102/100,2)</f>
        <v>906282.6</v>
      </c>
      <c r="K102" s="17"/>
      <c r="L102" s="17"/>
      <c r="N102" s="17"/>
    </row>
    <row r="103" spans="1:9" s="15" customFormat="1" ht="18" customHeight="1">
      <c r="A103" s="21" t="s">
        <v>56</v>
      </c>
      <c r="B103" s="49" t="s">
        <v>57</v>
      </c>
      <c r="C103" s="49"/>
      <c r="D103" s="49"/>
      <c r="E103" s="31">
        <v>28556784</v>
      </c>
      <c r="F103" s="19" t="s">
        <v>67</v>
      </c>
      <c r="G103" s="14">
        <v>0.686</v>
      </c>
      <c r="H103" s="14" t="s">
        <v>68</v>
      </c>
      <c r="I103" s="33">
        <f>ROUND(E103*G103/100,2)</f>
        <v>195899.54</v>
      </c>
    </row>
    <row r="104" spans="1:9" s="15" customFormat="1" ht="18" customHeight="1">
      <c r="A104" s="22" t="s">
        <v>60</v>
      </c>
      <c r="B104" s="77" t="s">
        <v>59</v>
      </c>
      <c r="C104" s="77"/>
      <c r="D104" s="77"/>
      <c r="E104" s="32">
        <v>4290582</v>
      </c>
      <c r="F104" s="19" t="s">
        <v>0</v>
      </c>
      <c r="G104" s="14">
        <v>2.932</v>
      </c>
      <c r="H104" s="14" t="s">
        <v>9</v>
      </c>
      <c r="I104" s="33">
        <f>ROUND(E104*G104/100,2)</f>
        <v>125799.86</v>
      </c>
    </row>
    <row r="105" spans="1:9" s="15" customFormat="1" ht="18">
      <c r="A105" s="21" t="s">
        <v>62</v>
      </c>
      <c r="B105" s="49" t="s">
        <v>57</v>
      </c>
      <c r="C105" s="49"/>
      <c r="D105" s="49"/>
      <c r="E105" s="18">
        <v>2723040</v>
      </c>
      <c r="F105" s="19" t="s">
        <v>67</v>
      </c>
      <c r="G105" s="14" t="s">
        <v>89</v>
      </c>
      <c r="H105" s="14" t="s">
        <v>68</v>
      </c>
      <c r="I105" s="24">
        <f>ROUND(366*24*310*0.565/100,2)</f>
        <v>15385.18</v>
      </c>
    </row>
    <row r="106" spans="1:12" s="15" customFormat="1" ht="27">
      <c r="A106" s="22" t="s">
        <v>88</v>
      </c>
      <c r="B106" s="77" t="s">
        <v>59</v>
      </c>
      <c r="C106" s="77"/>
      <c r="D106" s="77"/>
      <c r="E106" s="18">
        <v>812730</v>
      </c>
      <c r="F106" s="19" t="s">
        <v>0</v>
      </c>
      <c r="G106" s="14" t="s">
        <v>90</v>
      </c>
      <c r="H106" s="14" t="s">
        <v>9</v>
      </c>
      <c r="I106" s="24">
        <f>ROUND((0.9995*2.416+0.0005*2.932)*812730/100,2)</f>
        <v>19637.65</v>
      </c>
      <c r="L106" s="17"/>
    </row>
    <row r="107" spans="1:9" s="15" customFormat="1" ht="18">
      <c r="A107" s="25" t="s">
        <v>62</v>
      </c>
      <c r="B107" s="49" t="s">
        <v>57</v>
      </c>
      <c r="C107" s="49"/>
      <c r="D107" s="49"/>
      <c r="E107" s="18">
        <v>1352736</v>
      </c>
      <c r="F107" s="19" t="s">
        <v>67</v>
      </c>
      <c r="G107" s="14" t="s">
        <v>92</v>
      </c>
      <c r="H107" s="14" t="s">
        <v>68</v>
      </c>
      <c r="I107" s="24">
        <f>ROUND(366*24*154*0.565/100,2)</f>
        <v>7642.96</v>
      </c>
    </row>
    <row r="108" spans="1:9" s="15" customFormat="1" ht="27">
      <c r="A108" s="25" t="s">
        <v>91</v>
      </c>
      <c r="B108" s="77" t="s">
        <v>59</v>
      </c>
      <c r="C108" s="77"/>
      <c r="D108" s="77"/>
      <c r="E108" s="18">
        <v>335663</v>
      </c>
      <c r="F108" s="19" t="s">
        <v>0</v>
      </c>
      <c r="G108" s="14" t="s">
        <v>93</v>
      </c>
      <c r="H108" s="14" t="s">
        <v>9</v>
      </c>
      <c r="I108" s="24">
        <f>ROUND((0.999*2.416+0.001*2.932)*335663/100,2)</f>
        <v>8111.35</v>
      </c>
    </row>
    <row r="109" spans="1:9" s="15" customFormat="1" ht="18">
      <c r="A109" s="21" t="s">
        <v>62</v>
      </c>
      <c r="B109" s="49" t="s">
        <v>57</v>
      </c>
      <c r="C109" s="49"/>
      <c r="D109" s="49"/>
      <c r="E109" s="18">
        <v>2889936</v>
      </c>
      <c r="F109" s="19" t="s">
        <v>67</v>
      </c>
      <c r="G109" s="14" t="s">
        <v>95</v>
      </c>
      <c r="H109" s="14" t="s">
        <v>68</v>
      </c>
      <c r="I109" s="24">
        <f>ROUND(((364*24*329*0.565)+(2*24*329*0.686))/100,2)</f>
        <v>16347.25</v>
      </c>
    </row>
    <row r="110" spans="1:9" s="15" customFormat="1" ht="27">
      <c r="A110" s="22" t="s">
        <v>94</v>
      </c>
      <c r="B110" s="77" t="s">
        <v>59</v>
      </c>
      <c r="C110" s="77"/>
      <c r="D110" s="77"/>
      <c r="E110" s="18">
        <v>640645</v>
      </c>
      <c r="F110" s="19" t="s">
        <v>0</v>
      </c>
      <c r="G110" s="14" t="s">
        <v>96</v>
      </c>
      <c r="H110" s="14" t="s">
        <v>9</v>
      </c>
      <c r="I110" s="24">
        <f>ROUND((0.995*2.416+0.005*2.932)*640645/100,2)</f>
        <v>15494.51</v>
      </c>
    </row>
    <row r="111" spans="1:9" s="15" customFormat="1" ht="18">
      <c r="A111" s="21" t="s">
        <v>62</v>
      </c>
      <c r="B111" s="49" t="s">
        <v>57</v>
      </c>
      <c r="C111" s="49"/>
      <c r="D111" s="49"/>
      <c r="E111" s="18">
        <v>1545984</v>
      </c>
      <c r="F111" s="19" t="s">
        <v>67</v>
      </c>
      <c r="G111" s="14" t="s">
        <v>98</v>
      </c>
      <c r="H111" s="14" t="s">
        <v>68</v>
      </c>
      <c r="I111" s="24">
        <f>ROUND(((363*24*176*0.565)+(3*24*176*0.686))/100,2)</f>
        <v>8750.14</v>
      </c>
    </row>
    <row r="112" spans="1:10" s="15" customFormat="1" ht="27">
      <c r="A112" s="22" t="s">
        <v>97</v>
      </c>
      <c r="B112" s="77" t="s">
        <v>59</v>
      </c>
      <c r="C112" s="77"/>
      <c r="D112" s="77"/>
      <c r="E112" s="18">
        <v>193493</v>
      </c>
      <c r="F112" s="19" t="s">
        <v>0</v>
      </c>
      <c r="G112" s="14" t="s">
        <v>170</v>
      </c>
      <c r="H112" s="14" t="s">
        <v>9</v>
      </c>
      <c r="I112" s="24">
        <f>ROUND((0.9926*2.416+0.0074*2.932)*193493/100,2)</f>
        <v>4682.18</v>
      </c>
      <c r="J112" s="26"/>
    </row>
    <row r="113" spans="1:9" s="15" customFormat="1" ht="18">
      <c r="A113" s="21" t="s">
        <v>62</v>
      </c>
      <c r="B113" s="49" t="s">
        <v>57</v>
      </c>
      <c r="C113" s="49"/>
      <c r="D113" s="49"/>
      <c r="E113" s="18">
        <v>1449360</v>
      </c>
      <c r="F113" s="19" t="s">
        <v>67</v>
      </c>
      <c r="G113" s="14" t="s">
        <v>100</v>
      </c>
      <c r="H113" s="14" t="s">
        <v>68</v>
      </c>
      <c r="I113" s="24">
        <f>ROUND(((362*24*165*0.565)+(4*24*165*0.686))/100,2)</f>
        <v>8208.05</v>
      </c>
    </row>
    <row r="114" spans="1:9" s="15" customFormat="1" ht="27">
      <c r="A114" s="22" t="s">
        <v>99</v>
      </c>
      <c r="B114" s="77" t="s">
        <v>59</v>
      </c>
      <c r="C114" s="77"/>
      <c r="D114" s="77"/>
      <c r="E114" s="18">
        <v>310581</v>
      </c>
      <c r="F114" s="19" t="s">
        <v>0</v>
      </c>
      <c r="G114" s="14" t="s">
        <v>101</v>
      </c>
      <c r="H114" s="14" t="s">
        <v>9</v>
      </c>
      <c r="I114" s="24">
        <f>ROUND((0.99*2.416+0.01*2.932)*310581/100,2)</f>
        <v>7519.66</v>
      </c>
    </row>
    <row r="115" spans="1:9" s="15" customFormat="1" ht="18">
      <c r="A115" s="25" t="s">
        <v>62</v>
      </c>
      <c r="B115" s="49" t="s">
        <v>57</v>
      </c>
      <c r="C115" s="49"/>
      <c r="D115" s="49"/>
      <c r="E115" s="18">
        <v>3276432</v>
      </c>
      <c r="F115" s="19" t="s">
        <v>67</v>
      </c>
      <c r="G115" s="14" t="s">
        <v>103</v>
      </c>
      <c r="H115" s="14" t="s">
        <v>68</v>
      </c>
      <c r="I115" s="24">
        <f>ROUND(((362*24*373*0.565)+(4*24*373*0.686))/100,2)</f>
        <v>18555.17</v>
      </c>
    </row>
    <row r="116" spans="1:9" s="15" customFormat="1" ht="27">
      <c r="A116" s="25" t="s">
        <v>102</v>
      </c>
      <c r="B116" s="77" t="s">
        <v>59</v>
      </c>
      <c r="C116" s="77"/>
      <c r="D116" s="77"/>
      <c r="E116" s="18">
        <v>453037</v>
      </c>
      <c r="F116" s="19" t="s">
        <v>0</v>
      </c>
      <c r="G116" s="14" t="s">
        <v>104</v>
      </c>
      <c r="H116" s="14" t="s">
        <v>9</v>
      </c>
      <c r="I116" s="24">
        <f>ROUND((0.9889*2.416+0.0111*2.932)*453037/100,2)</f>
        <v>10971.32</v>
      </c>
    </row>
    <row r="117" spans="1:9" s="15" customFormat="1" ht="30" customHeight="1">
      <c r="A117" s="21" t="s">
        <v>62</v>
      </c>
      <c r="B117" s="49" t="s">
        <v>57</v>
      </c>
      <c r="C117" s="49"/>
      <c r="D117" s="49"/>
      <c r="E117" s="18">
        <v>4822416</v>
      </c>
      <c r="F117" s="19" t="s">
        <v>67</v>
      </c>
      <c r="G117" s="14" t="s">
        <v>106</v>
      </c>
      <c r="H117" s="14" t="s">
        <v>68</v>
      </c>
      <c r="I117" s="24">
        <f>ROUND(((360*24*549*0.565)+(6*24*549*0.686))/100,2)</f>
        <v>27342.31</v>
      </c>
    </row>
    <row r="118" spans="1:9" s="15" customFormat="1" ht="30" customHeight="1">
      <c r="A118" s="22" t="s">
        <v>105</v>
      </c>
      <c r="B118" s="77" t="s">
        <v>59</v>
      </c>
      <c r="C118" s="77"/>
      <c r="D118" s="77"/>
      <c r="E118" s="18">
        <v>629940</v>
      </c>
      <c r="F118" s="19" t="s">
        <v>0</v>
      </c>
      <c r="G118" s="14" t="s">
        <v>107</v>
      </c>
      <c r="H118" s="14" t="s">
        <v>9</v>
      </c>
      <c r="I118" s="24">
        <f>ROUND((0.984*2.416+0.016*2.932)*629940/100,2)</f>
        <v>15271.36</v>
      </c>
    </row>
    <row r="119" spans="1:9" s="15" customFormat="1" ht="30" customHeight="1">
      <c r="A119" s="21" t="s">
        <v>62</v>
      </c>
      <c r="B119" s="49" t="s">
        <v>57</v>
      </c>
      <c r="C119" s="49"/>
      <c r="D119" s="49"/>
      <c r="E119" s="18">
        <v>3469680</v>
      </c>
      <c r="F119" s="19" t="s">
        <v>67</v>
      </c>
      <c r="G119" s="14" t="s">
        <v>109</v>
      </c>
      <c r="H119" s="14" t="s">
        <v>68</v>
      </c>
      <c r="I119" s="24">
        <f>ROUND(((357*24*395*0.565)+(9*24*395*0.686))/100,2)</f>
        <v>19706.93</v>
      </c>
    </row>
    <row r="120" spans="1:9" s="15" customFormat="1" ht="30" customHeight="1">
      <c r="A120" s="22" t="s">
        <v>108</v>
      </c>
      <c r="B120" s="77" t="s">
        <v>59</v>
      </c>
      <c r="C120" s="77"/>
      <c r="D120" s="77"/>
      <c r="E120" s="18">
        <v>616740</v>
      </c>
      <c r="F120" s="19" t="s">
        <v>0</v>
      </c>
      <c r="G120" s="14" t="s">
        <v>110</v>
      </c>
      <c r="H120" s="14" t="s">
        <v>9</v>
      </c>
      <c r="I120" s="24">
        <f>ROUND((0.9748*2.416+0.0252*2.932)*616740/100,2)</f>
        <v>14980.63</v>
      </c>
    </row>
    <row r="121" spans="1:9" s="15" customFormat="1" ht="30" customHeight="1">
      <c r="A121" s="25" t="s">
        <v>62</v>
      </c>
      <c r="B121" s="49" t="s">
        <v>57</v>
      </c>
      <c r="C121" s="49"/>
      <c r="D121" s="49"/>
      <c r="E121" s="18">
        <v>5314320</v>
      </c>
      <c r="F121" s="19" t="s">
        <v>67</v>
      </c>
      <c r="G121" s="14" t="s">
        <v>111</v>
      </c>
      <c r="H121" s="14" t="s">
        <v>68</v>
      </c>
      <c r="I121" s="24">
        <f>ROUND(((355*24*605*0.565)+(11*24*605*0.686))/100,2)</f>
        <v>30219.17</v>
      </c>
    </row>
    <row r="122" spans="1:9" s="15" customFormat="1" ht="30" customHeight="1">
      <c r="A122" s="25" t="s">
        <v>69</v>
      </c>
      <c r="B122" s="77" t="s">
        <v>59</v>
      </c>
      <c r="C122" s="77"/>
      <c r="D122" s="77"/>
      <c r="E122" s="18">
        <v>801863</v>
      </c>
      <c r="F122" s="19" t="s">
        <v>0</v>
      </c>
      <c r="G122" s="14" t="s">
        <v>112</v>
      </c>
      <c r="H122" s="14" t="s">
        <v>9</v>
      </c>
      <c r="I122" s="24">
        <f>ROUND((0.97*2.416+0.03*2.932)*801863/100,2)</f>
        <v>19497.14</v>
      </c>
    </row>
    <row r="123" spans="1:9" s="15" customFormat="1" ht="30" customHeight="1">
      <c r="A123" s="21" t="s">
        <v>62</v>
      </c>
      <c r="B123" s="49" t="s">
        <v>57</v>
      </c>
      <c r="C123" s="49"/>
      <c r="D123" s="49"/>
      <c r="E123" s="18">
        <v>1449360</v>
      </c>
      <c r="F123" s="19" t="s">
        <v>67</v>
      </c>
      <c r="G123" s="14" t="s">
        <v>114</v>
      </c>
      <c r="H123" s="14" t="s">
        <v>68</v>
      </c>
      <c r="I123" s="24">
        <f>ROUND(((350*24*165*0.565)+(16*24*165*0.686))/100,2)</f>
        <v>8265.55</v>
      </c>
    </row>
    <row r="124" spans="1:9" s="15" customFormat="1" ht="30" customHeight="1">
      <c r="A124" s="22" t="s">
        <v>113</v>
      </c>
      <c r="B124" s="77" t="s">
        <v>59</v>
      </c>
      <c r="C124" s="77"/>
      <c r="D124" s="77"/>
      <c r="E124" s="18">
        <v>380727</v>
      </c>
      <c r="F124" s="19" t="s">
        <v>0</v>
      </c>
      <c r="G124" s="14" t="s">
        <v>115</v>
      </c>
      <c r="H124" s="14" t="s">
        <v>9</v>
      </c>
      <c r="I124" s="24">
        <f>ROUND((0.9575*2.416+0.0425*2.932)*380727/100,2)</f>
        <v>9281.86</v>
      </c>
    </row>
    <row r="125" spans="1:9" s="15" customFormat="1" ht="30" customHeight="1">
      <c r="A125" s="21" t="s">
        <v>62</v>
      </c>
      <c r="B125" s="49" t="s">
        <v>57</v>
      </c>
      <c r="C125" s="49"/>
      <c r="D125" s="49"/>
      <c r="E125" s="18">
        <v>2116944</v>
      </c>
      <c r="F125" s="19" t="s">
        <v>67</v>
      </c>
      <c r="G125" s="14" t="s">
        <v>117</v>
      </c>
      <c r="H125" s="14" t="s">
        <v>68</v>
      </c>
      <c r="I125" s="24">
        <f>ROUND(((348*24*241*0.565)+(18*24*241*0.686))/100,2)</f>
        <v>12086.71</v>
      </c>
    </row>
    <row r="126" spans="1:10" s="15" customFormat="1" ht="30" customHeight="1">
      <c r="A126" s="22" t="s">
        <v>116</v>
      </c>
      <c r="B126" s="77" t="s">
        <v>59</v>
      </c>
      <c r="C126" s="77"/>
      <c r="D126" s="77"/>
      <c r="E126" s="18">
        <v>297485</v>
      </c>
      <c r="F126" s="19" t="s">
        <v>0</v>
      </c>
      <c r="G126" s="14" t="s">
        <v>118</v>
      </c>
      <c r="H126" s="14" t="s">
        <v>9</v>
      </c>
      <c r="I126" s="24">
        <f>ROUND((0.9512*2.416+0.0488*2.932)*297485/100,2)</f>
        <v>7262.15</v>
      </c>
      <c r="J126" s="26"/>
    </row>
    <row r="127" spans="1:9" s="15" customFormat="1" ht="30" customHeight="1">
      <c r="A127" s="25" t="s">
        <v>62</v>
      </c>
      <c r="B127" s="49" t="s">
        <v>57</v>
      </c>
      <c r="C127" s="49"/>
      <c r="D127" s="49"/>
      <c r="E127" s="18">
        <v>1730448</v>
      </c>
      <c r="F127" s="19" t="s">
        <v>67</v>
      </c>
      <c r="G127" s="14" t="s">
        <v>120</v>
      </c>
      <c r="H127" s="14" t="s">
        <v>68</v>
      </c>
      <c r="I127" s="24">
        <f>ROUND(((339*24*197*0.565)+(27*24*197*0.686))/100,2)</f>
        <v>9931.49</v>
      </c>
    </row>
    <row r="128" spans="1:9" s="15" customFormat="1" ht="30" customHeight="1">
      <c r="A128" s="25" t="s">
        <v>119</v>
      </c>
      <c r="B128" s="77" t="s">
        <v>59</v>
      </c>
      <c r="C128" s="77"/>
      <c r="D128" s="77"/>
      <c r="E128" s="18">
        <v>154367</v>
      </c>
      <c r="F128" s="19" t="s">
        <v>0</v>
      </c>
      <c r="G128" s="14" t="s">
        <v>121</v>
      </c>
      <c r="H128" s="14" t="s">
        <v>9</v>
      </c>
      <c r="I128" s="24">
        <f>ROUND((0.9252*2.416+0.0748*2.932)*154367/100,2)</f>
        <v>3789.09</v>
      </c>
    </row>
    <row r="129" spans="1:9" s="15" customFormat="1" ht="30" customHeight="1">
      <c r="A129" s="21" t="s">
        <v>62</v>
      </c>
      <c r="B129" s="49" t="s">
        <v>57</v>
      </c>
      <c r="C129" s="49"/>
      <c r="D129" s="49"/>
      <c r="E129" s="18">
        <v>1730448</v>
      </c>
      <c r="F129" s="19" t="s">
        <v>67</v>
      </c>
      <c r="G129" s="14" t="s">
        <v>123</v>
      </c>
      <c r="H129" s="14" t="s">
        <v>68</v>
      </c>
      <c r="I129" s="24">
        <f>ROUND(((311*24*197*0.565)+(55*24*197*0.686))/100,2)</f>
        <v>10091.68</v>
      </c>
    </row>
    <row r="130" spans="1:9" s="15" customFormat="1" ht="30" customHeight="1">
      <c r="A130" s="22" t="s">
        <v>122</v>
      </c>
      <c r="B130" s="77" t="s">
        <v>59</v>
      </c>
      <c r="C130" s="77"/>
      <c r="D130" s="77"/>
      <c r="E130" s="18">
        <v>181293</v>
      </c>
      <c r="F130" s="19" t="s">
        <v>0</v>
      </c>
      <c r="G130" s="14" t="s">
        <v>124</v>
      </c>
      <c r="H130" s="14" t="s">
        <v>9</v>
      </c>
      <c r="I130" s="24">
        <f>ROUND((0.85*2.416+0.15*2.932)*181293/100,2)</f>
        <v>4520.36</v>
      </c>
    </row>
    <row r="131" spans="1:9" s="15" customFormat="1" ht="30" customHeight="1">
      <c r="A131" s="21" t="s">
        <v>62</v>
      </c>
      <c r="B131" s="49" t="s">
        <v>57</v>
      </c>
      <c r="C131" s="49"/>
      <c r="D131" s="49"/>
      <c r="E131" s="18">
        <v>2503440</v>
      </c>
      <c r="F131" s="19" t="s">
        <v>67</v>
      </c>
      <c r="G131" s="14" t="s">
        <v>126</v>
      </c>
      <c r="H131" s="14" t="s">
        <v>68</v>
      </c>
      <c r="I131" s="24">
        <f>ROUND(((278*24*285*0.565)+(88*24*285*0.686))/100,2)</f>
        <v>14872.76</v>
      </c>
    </row>
    <row r="132" spans="1:9" s="15" customFormat="1" ht="30" customHeight="1">
      <c r="A132" s="22" t="s">
        <v>125</v>
      </c>
      <c r="B132" s="77" t="s">
        <v>59</v>
      </c>
      <c r="C132" s="77"/>
      <c r="D132" s="77"/>
      <c r="E132" s="18">
        <v>240050</v>
      </c>
      <c r="F132" s="19" t="s">
        <v>0</v>
      </c>
      <c r="G132" s="14" t="s">
        <v>127</v>
      </c>
      <c r="H132" s="14" t="s">
        <v>9</v>
      </c>
      <c r="I132" s="24">
        <f>ROUND((0.7608*2.416+0.2392*2.932)*240050/100,2)</f>
        <v>6095.89</v>
      </c>
    </row>
    <row r="133" spans="1:9" s="15" customFormat="1" ht="30" customHeight="1">
      <c r="A133" s="21" t="s">
        <v>62</v>
      </c>
      <c r="B133" s="49" t="s">
        <v>57</v>
      </c>
      <c r="C133" s="49"/>
      <c r="D133" s="49"/>
      <c r="E133" s="18">
        <v>1923696</v>
      </c>
      <c r="F133" s="19" t="s">
        <v>67</v>
      </c>
      <c r="G133" s="14" t="s">
        <v>129</v>
      </c>
      <c r="H133" s="14" t="s">
        <v>68</v>
      </c>
      <c r="I133" s="24">
        <f>ROUND(((190*24*219*0.565)+(176*24*219*0.686))/100,2)</f>
        <v>11988.2</v>
      </c>
    </row>
    <row r="134" spans="1:9" s="15" customFormat="1" ht="30" customHeight="1">
      <c r="A134" s="22" t="s">
        <v>128</v>
      </c>
      <c r="B134" s="77" t="s">
        <v>59</v>
      </c>
      <c r="C134" s="77"/>
      <c r="D134" s="77"/>
      <c r="E134" s="18">
        <v>600210</v>
      </c>
      <c r="F134" s="19" t="s">
        <v>0</v>
      </c>
      <c r="G134" s="14" t="s">
        <v>130</v>
      </c>
      <c r="H134" s="14" t="s">
        <v>9</v>
      </c>
      <c r="I134" s="24">
        <f>ROUND((0.5199*2.416+0.4801*2.932)*600210/100,2)</f>
        <v>15987.98</v>
      </c>
    </row>
    <row r="135" spans="1:9" s="15" customFormat="1" ht="30" customHeight="1">
      <c r="A135" s="21" t="s">
        <v>62</v>
      </c>
      <c r="B135" s="49" t="s">
        <v>57</v>
      </c>
      <c r="C135" s="49"/>
      <c r="D135" s="49"/>
      <c r="E135" s="18">
        <v>1827072</v>
      </c>
      <c r="F135" s="19" t="s">
        <v>67</v>
      </c>
      <c r="G135" s="14" t="s">
        <v>132</v>
      </c>
      <c r="H135" s="14" t="s">
        <v>68</v>
      </c>
      <c r="I135" s="24">
        <f>ROUND(((157*24*208*0.565)+(209*24*208*0.686))/100,2)</f>
        <v>11585.38</v>
      </c>
    </row>
    <row r="136" spans="1:9" s="15" customFormat="1" ht="30" customHeight="1">
      <c r="A136" s="22" t="s">
        <v>131</v>
      </c>
      <c r="B136" s="77" t="s">
        <v>59</v>
      </c>
      <c r="C136" s="77"/>
      <c r="D136" s="77"/>
      <c r="E136" s="18">
        <v>636268</v>
      </c>
      <c r="F136" s="19" t="s">
        <v>0</v>
      </c>
      <c r="G136" s="14" t="s">
        <v>133</v>
      </c>
      <c r="H136" s="14" t="s">
        <v>9</v>
      </c>
      <c r="I136" s="24">
        <f>ROUND((0.43*2.416+0.57*2.932)*636268/100,2)</f>
        <v>17243.63</v>
      </c>
    </row>
    <row r="137" spans="1:9" s="15" customFormat="1" ht="30" customHeight="1">
      <c r="A137" s="21" t="s">
        <v>62</v>
      </c>
      <c r="B137" s="49" t="s">
        <v>57</v>
      </c>
      <c r="C137" s="49"/>
      <c r="D137" s="49"/>
      <c r="E137" s="18">
        <v>1141920</v>
      </c>
      <c r="F137" s="19" t="s">
        <v>67</v>
      </c>
      <c r="G137" s="14" t="s">
        <v>134</v>
      </c>
      <c r="H137" s="14" t="s">
        <v>68</v>
      </c>
      <c r="I137" s="24">
        <f>ROUND(((110*24*130*0.565)+(256*24*130*0.686))/100,2)</f>
        <v>7418.3</v>
      </c>
    </row>
    <row r="138" spans="1:9" s="15" customFormat="1" ht="30" customHeight="1">
      <c r="A138" s="22" t="s">
        <v>80</v>
      </c>
      <c r="B138" s="77" t="s">
        <v>59</v>
      </c>
      <c r="C138" s="77"/>
      <c r="D138" s="77"/>
      <c r="E138" s="18">
        <v>109007</v>
      </c>
      <c r="F138" s="19" t="s">
        <v>0</v>
      </c>
      <c r="G138" s="14" t="s">
        <v>135</v>
      </c>
      <c r="H138" s="14" t="s">
        <v>9</v>
      </c>
      <c r="I138" s="24">
        <f>ROUND((0.3*2.416+0.7*2.932)*109007/100,2)</f>
        <v>3027.34</v>
      </c>
    </row>
    <row r="139" spans="1:9" s="15" customFormat="1" ht="30" customHeight="1">
      <c r="A139" s="21" t="s">
        <v>62</v>
      </c>
      <c r="B139" s="49" t="s">
        <v>57</v>
      </c>
      <c r="C139" s="49"/>
      <c r="D139" s="49"/>
      <c r="E139" s="18">
        <v>1256112</v>
      </c>
      <c r="F139" s="19" t="s">
        <v>67</v>
      </c>
      <c r="G139" s="14" t="s">
        <v>137</v>
      </c>
      <c r="H139" s="14" t="s">
        <v>68</v>
      </c>
      <c r="I139" s="24">
        <f>ROUND(((64*24*143*0.565)+(302*24*143*0.686))/100,2)</f>
        <v>8351.15</v>
      </c>
    </row>
    <row r="140" spans="1:9" s="15" customFormat="1" ht="30" customHeight="1">
      <c r="A140" s="22" t="s">
        <v>136</v>
      </c>
      <c r="B140" s="77" t="s">
        <v>59</v>
      </c>
      <c r="C140" s="77"/>
      <c r="D140" s="77"/>
      <c r="E140" s="18">
        <v>159179</v>
      </c>
      <c r="F140" s="19" t="s">
        <v>0</v>
      </c>
      <c r="G140" s="14" t="s">
        <v>138</v>
      </c>
      <c r="H140" s="14" t="s">
        <v>9</v>
      </c>
      <c r="I140" s="24">
        <f>ROUND((0.174*2.416+0.826*2.932)*159179/100,2)</f>
        <v>4524.21</v>
      </c>
    </row>
    <row r="141" spans="1:9" s="15" customFormat="1" ht="30" customHeight="1">
      <c r="A141" s="21" t="s">
        <v>144</v>
      </c>
      <c r="B141" s="45" t="s">
        <v>57</v>
      </c>
      <c r="C141" s="45"/>
      <c r="D141" s="45"/>
      <c r="E141" s="18">
        <v>1177056</v>
      </c>
      <c r="F141" s="19" t="s">
        <v>67</v>
      </c>
      <c r="G141" s="14" t="s">
        <v>155</v>
      </c>
      <c r="H141" s="14" t="s">
        <v>68</v>
      </c>
      <c r="I141" s="24">
        <f>ROUND(((334*24*134*0.497)+(32*24*134*0.603))/100,2)</f>
        <v>5959.06</v>
      </c>
    </row>
    <row r="142" spans="1:9" s="15" customFormat="1" ht="30" customHeight="1">
      <c r="A142" s="22" t="s">
        <v>154</v>
      </c>
      <c r="B142" s="45" t="s">
        <v>59</v>
      </c>
      <c r="C142" s="45"/>
      <c r="D142" s="45"/>
      <c r="E142" s="18">
        <v>564096</v>
      </c>
      <c r="F142" s="19" t="s">
        <v>0</v>
      </c>
      <c r="G142" s="14" t="s">
        <v>156</v>
      </c>
      <c r="H142" s="14" t="s">
        <v>9</v>
      </c>
      <c r="I142" s="24">
        <f>ROUND((0.9127*2.036+0.0873*2.471)*564096/100,2)</f>
        <v>11699.21</v>
      </c>
    </row>
    <row r="143" spans="1:9" s="15" customFormat="1" ht="9.75">
      <c r="A143" s="39" t="s">
        <v>75</v>
      </c>
      <c r="B143" s="40"/>
      <c r="C143" s="40"/>
      <c r="D143" s="40"/>
      <c r="E143" s="40"/>
      <c r="F143" s="40"/>
      <c r="G143" s="40"/>
      <c r="H143" s="40"/>
      <c r="I143" s="41"/>
    </row>
    <row r="144" spans="1:9" s="15" customFormat="1" ht="27" customHeight="1">
      <c r="A144" s="21" t="s">
        <v>62</v>
      </c>
      <c r="B144" s="49" t="s">
        <v>57</v>
      </c>
      <c r="C144" s="49"/>
      <c r="D144" s="49"/>
      <c r="E144" s="13">
        <v>36620496</v>
      </c>
      <c r="F144" s="19" t="s">
        <v>67</v>
      </c>
      <c r="G144" s="14" t="s">
        <v>139</v>
      </c>
      <c r="H144" s="14" t="s">
        <v>68</v>
      </c>
      <c r="I144" s="24">
        <f>ROUND(((362*24*4169*0.684)+(4*24*4169*0.83))/100,2)</f>
        <v>251068.52</v>
      </c>
    </row>
    <row r="145" spans="1:9" s="15" customFormat="1" ht="27" customHeight="1">
      <c r="A145" s="22" t="s">
        <v>99</v>
      </c>
      <c r="B145" s="77" t="s">
        <v>59</v>
      </c>
      <c r="C145" s="77"/>
      <c r="D145" s="77"/>
      <c r="E145" s="18">
        <v>6704499</v>
      </c>
      <c r="F145" s="19" t="s">
        <v>0</v>
      </c>
      <c r="G145" s="14" t="s">
        <v>165</v>
      </c>
      <c r="H145" s="14" t="s">
        <v>9</v>
      </c>
      <c r="I145" s="24">
        <f>ROUND((0.99*2.405+0.01*2.918)*6704499/100,2)</f>
        <v>161587.14</v>
      </c>
    </row>
    <row r="146" spans="1:9" s="15" customFormat="1" ht="27" customHeight="1">
      <c r="A146" s="21" t="s">
        <v>62</v>
      </c>
      <c r="B146" s="49" t="s">
        <v>57</v>
      </c>
      <c r="C146" s="49"/>
      <c r="D146" s="49"/>
      <c r="E146" s="13">
        <v>10602288</v>
      </c>
      <c r="F146" s="19" t="s">
        <v>67</v>
      </c>
      <c r="G146" s="14" t="s">
        <v>140</v>
      </c>
      <c r="H146" s="14" t="s">
        <v>68</v>
      </c>
      <c r="I146" s="24">
        <f>ROUND(((281*24*1207*0.684)+(85*24*1207*0.83))/100,2)</f>
        <v>76114.58</v>
      </c>
    </row>
    <row r="147" spans="1:9" s="15" customFormat="1" ht="27" customHeight="1">
      <c r="A147" s="22" t="s">
        <v>169</v>
      </c>
      <c r="B147" s="77" t="s">
        <v>59</v>
      </c>
      <c r="C147" s="77"/>
      <c r="D147" s="77"/>
      <c r="E147" s="18">
        <v>2611057</v>
      </c>
      <c r="F147" s="19" t="s">
        <v>0</v>
      </c>
      <c r="G147" s="14" t="s">
        <v>166</v>
      </c>
      <c r="H147" s="14" t="s">
        <v>9</v>
      </c>
      <c r="I147" s="24">
        <f>ROUND((0.7673*2.405+0.02327*2.918)*2611057/100,2)</f>
        <v>49956.27</v>
      </c>
    </row>
    <row r="148" spans="1:9" s="15" customFormat="1" ht="27" customHeight="1">
      <c r="A148" s="21" t="s">
        <v>62</v>
      </c>
      <c r="B148" s="42" t="s">
        <v>57</v>
      </c>
      <c r="C148" s="43"/>
      <c r="D148" s="44"/>
      <c r="E148" s="18">
        <v>7800192</v>
      </c>
      <c r="F148" s="19" t="s">
        <v>67</v>
      </c>
      <c r="G148" s="14" t="s">
        <v>142</v>
      </c>
      <c r="H148" s="14" t="s">
        <v>68</v>
      </c>
      <c r="I148" s="24">
        <f>ROUND(((128*24*888*0.684)+(238*24*888*0.83))/100,2)</f>
        <v>60758.81</v>
      </c>
    </row>
    <row r="149" spans="1:9" s="15" customFormat="1" ht="27" customHeight="1">
      <c r="A149" s="22" t="s">
        <v>141</v>
      </c>
      <c r="B149" s="42" t="s">
        <v>59</v>
      </c>
      <c r="C149" s="43"/>
      <c r="D149" s="44"/>
      <c r="E149" s="18">
        <v>1527600</v>
      </c>
      <c r="F149" s="19" t="s">
        <v>0</v>
      </c>
      <c r="G149" s="14" t="s">
        <v>167</v>
      </c>
      <c r="H149" s="14" t="s">
        <v>9</v>
      </c>
      <c r="I149" s="24">
        <f>ROUND((0.35*2.405+0.65*2.918)*1527600/100,2)</f>
        <v>41832.56</v>
      </c>
    </row>
    <row r="150" spans="1:9" ht="25.5" customHeight="1">
      <c r="A150" s="27"/>
      <c r="B150" s="79" t="s">
        <v>176</v>
      </c>
      <c r="C150" s="79"/>
      <c r="D150" s="79"/>
      <c r="E150" s="79"/>
      <c r="F150" s="79"/>
      <c r="G150" s="79"/>
      <c r="H150" s="79"/>
      <c r="I150" s="28">
        <f>I11+I13+I15+I17+I19+I21+I23+I25+I27+I29+I31+I33+I35+I37+I39+I41+I43+I45+I47</f>
        <v>0</v>
      </c>
    </row>
    <row r="151" spans="1:13" ht="25.5" customHeight="1">
      <c r="A151" s="27"/>
      <c r="B151" s="79" t="s">
        <v>177</v>
      </c>
      <c r="C151" s="79"/>
      <c r="D151" s="79"/>
      <c r="E151" s="79"/>
      <c r="F151" s="79"/>
      <c r="G151" s="79"/>
      <c r="H151" s="79"/>
      <c r="I151" s="35">
        <f>SUM(I50:I149)</f>
        <v>4395470.680738797</v>
      </c>
      <c r="M151" s="29"/>
    </row>
    <row r="152" spans="1:14" ht="25.5" customHeight="1">
      <c r="A152" s="27"/>
      <c r="B152" s="79" t="s">
        <v>178</v>
      </c>
      <c r="C152" s="79"/>
      <c r="D152" s="79"/>
      <c r="E152" s="79"/>
      <c r="F152" s="79"/>
      <c r="G152" s="79"/>
      <c r="H152" s="79"/>
      <c r="I152" s="28"/>
      <c r="N152" s="29"/>
    </row>
    <row r="156" ht="9.75">
      <c r="I156" s="30"/>
    </row>
  </sheetData>
  <sheetProtection/>
  <mergeCells count="166">
    <mergeCell ref="B152:H152"/>
    <mergeCell ref="A50:A51"/>
    <mergeCell ref="A52:A53"/>
    <mergeCell ref="A58:A59"/>
    <mergeCell ref="A60:A61"/>
    <mergeCell ref="B139:D139"/>
    <mergeCell ref="B140:D140"/>
    <mergeCell ref="B137:D137"/>
    <mergeCell ref="A143:I143"/>
    <mergeCell ref="B144:D144"/>
    <mergeCell ref="I21:I22"/>
    <mergeCell ref="B138:D138"/>
    <mergeCell ref="B127:D127"/>
    <mergeCell ref="B128:D128"/>
    <mergeCell ref="B129:D129"/>
    <mergeCell ref="B130:D130"/>
    <mergeCell ref="B131:D131"/>
    <mergeCell ref="B132:D132"/>
    <mergeCell ref="B125:D125"/>
    <mergeCell ref="B126:D126"/>
    <mergeCell ref="B146:D146"/>
    <mergeCell ref="B147:D147"/>
    <mergeCell ref="B148:D148"/>
    <mergeCell ref="B149:D149"/>
    <mergeCell ref="B145:D145"/>
    <mergeCell ref="I25:I26"/>
    <mergeCell ref="B121:D121"/>
    <mergeCell ref="B122:D122"/>
    <mergeCell ref="B123:D123"/>
    <mergeCell ref="B124:D124"/>
    <mergeCell ref="B115:D115"/>
    <mergeCell ref="B116:D116"/>
    <mergeCell ref="B117:D117"/>
    <mergeCell ref="B118:D118"/>
    <mergeCell ref="B150:H150"/>
    <mergeCell ref="B151:H151"/>
    <mergeCell ref="B133:D133"/>
    <mergeCell ref="B134:D134"/>
    <mergeCell ref="B135:D135"/>
    <mergeCell ref="B136:D136"/>
    <mergeCell ref="B119:D119"/>
    <mergeCell ref="B120:D120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01:D101"/>
    <mergeCell ref="B102:D102"/>
    <mergeCell ref="B103:D103"/>
    <mergeCell ref="B104:D104"/>
    <mergeCell ref="B105:D105"/>
    <mergeCell ref="B106:D106"/>
    <mergeCell ref="B95:D95"/>
    <mergeCell ref="A100:I100"/>
    <mergeCell ref="B89:D89"/>
    <mergeCell ref="B90:D90"/>
    <mergeCell ref="B91:D91"/>
    <mergeCell ref="B92:D92"/>
    <mergeCell ref="B93:D93"/>
    <mergeCell ref="B94:D94"/>
    <mergeCell ref="B96:D96"/>
    <mergeCell ref="B97:D97"/>
    <mergeCell ref="A85:I85"/>
    <mergeCell ref="B86:D86"/>
    <mergeCell ref="B87:D87"/>
    <mergeCell ref="B88:D88"/>
    <mergeCell ref="A80:I80"/>
    <mergeCell ref="B81:D81"/>
    <mergeCell ref="B82:D82"/>
    <mergeCell ref="B83:D83"/>
    <mergeCell ref="B84:D84"/>
    <mergeCell ref="B73:D73"/>
    <mergeCell ref="B67:D67"/>
    <mergeCell ref="B68:D68"/>
    <mergeCell ref="B69:D69"/>
    <mergeCell ref="B70:D70"/>
    <mergeCell ref="B71:D71"/>
    <mergeCell ref="B72:D72"/>
    <mergeCell ref="B53:D53"/>
    <mergeCell ref="A57:I57"/>
    <mergeCell ref="B58:D58"/>
    <mergeCell ref="B59:D59"/>
    <mergeCell ref="B60:D60"/>
    <mergeCell ref="B61:D61"/>
    <mergeCell ref="A54:I54"/>
    <mergeCell ref="A55:A56"/>
    <mergeCell ref="B55:D55"/>
    <mergeCell ref="B56:D56"/>
    <mergeCell ref="A49:I49"/>
    <mergeCell ref="B50:D50"/>
    <mergeCell ref="B51:D51"/>
    <mergeCell ref="B52:D52"/>
    <mergeCell ref="B45:B48"/>
    <mergeCell ref="C45:D46"/>
    <mergeCell ref="F45:F48"/>
    <mergeCell ref="H45:H48"/>
    <mergeCell ref="I45:I46"/>
    <mergeCell ref="C47:D48"/>
    <mergeCell ref="I47:I48"/>
    <mergeCell ref="I37:I38"/>
    <mergeCell ref="D39:D40"/>
    <mergeCell ref="I39:I40"/>
    <mergeCell ref="I41:I42"/>
    <mergeCell ref="I31:I32"/>
    <mergeCell ref="D33:D34"/>
    <mergeCell ref="I33:I34"/>
    <mergeCell ref="D37:D38"/>
    <mergeCell ref="H19:H44"/>
    <mergeCell ref="F19:F44"/>
    <mergeCell ref="I43:I44"/>
    <mergeCell ref="I35:I36"/>
    <mergeCell ref="D19:D20"/>
    <mergeCell ref="I19:I20"/>
    <mergeCell ref="D23:D24"/>
    <mergeCell ref="I27:I28"/>
    <mergeCell ref="D41:D42"/>
    <mergeCell ref="D29:D30"/>
    <mergeCell ref="I29:I30"/>
    <mergeCell ref="I23:I24"/>
    <mergeCell ref="D27:D28"/>
    <mergeCell ref="D31:D32"/>
    <mergeCell ref="A11:A48"/>
    <mergeCell ref="C11:D12"/>
    <mergeCell ref="F11:F18"/>
    <mergeCell ref="H11:H18"/>
    <mergeCell ref="I11:I12"/>
    <mergeCell ref="C13:D14"/>
    <mergeCell ref="I13:I14"/>
    <mergeCell ref="I15:I16"/>
    <mergeCell ref="I17:I18"/>
    <mergeCell ref="B7:D9"/>
    <mergeCell ref="E7:F9"/>
    <mergeCell ref="G7:H9"/>
    <mergeCell ref="I7:I9"/>
    <mergeCell ref="B10:D10"/>
    <mergeCell ref="E10:F10"/>
    <mergeCell ref="G10:H10"/>
    <mergeCell ref="D21:D22"/>
    <mergeCell ref="D25:D26"/>
    <mergeCell ref="C19:C36"/>
    <mergeCell ref="D35:D36"/>
    <mergeCell ref="B11:B44"/>
    <mergeCell ref="C15:D16"/>
    <mergeCell ref="C37:C44"/>
    <mergeCell ref="D43:D44"/>
    <mergeCell ref="C17:D18"/>
    <mergeCell ref="B78:D78"/>
    <mergeCell ref="B79:D79"/>
    <mergeCell ref="B74:D74"/>
    <mergeCell ref="B77:D77"/>
    <mergeCell ref="B75:D75"/>
    <mergeCell ref="B76:D76"/>
    <mergeCell ref="A63:A64"/>
    <mergeCell ref="A62:I62"/>
    <mergeCell ref="B98:D98"/>
    <mergeCell ref="B99:D99"/>
    <mergeCell ref="B141:D141"/>
    <mergeCell ref="B142:D142"/>
    <mergeCell ref="B63:D63"/>
    <mergeCell ref="B64:D64"/>
    <mergeCell ref="A65:I65"/>
    <mergeCell ref="B66:D6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2023-10-24T08:40:15Z</cp:lastPrinted>
  <dcterms:created xsi:type="dcterms:W3CDTF">2012-01-22T12:30:35Z</dcterms:created>
  <dcterms:modified xsi:type="dcterms:W3CDTF">2023-10-24T08:47:45Z</dcterms:modified>
  <cp:category/>
  <cp:version/>
  <cp:contentType/>
  <cp:contentStatus/>
</cp:coreProperties>
</file>