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odernizacja dróg - nakładki bitumiczne 2025\Przetarg 2025\"/>
    </mc:Choice>
  </mc:AlternateContent>
  <xr:revisionPtr revIDLastSave="0" documentId="13_ncr:1_{D6FA04A1-B944-424E-A845-86D39C818BAA}" xr6:coauthVersionLast="47" xr6:coauthVersionMax="47" xr10:uidLastSave="{00000000-0000-0000-0000-000000000000}"/>
  <bookViews>
    <workbookView xWindow="-120" yWindow="-120" windowWidth="29040" windowHeight="16440" firstSheet="2" activeTab="9" xr2:uid="{942C6571-6DA1-4646-8C82-9D6441A0A8A7}"/>
  </bookViews>
  <sheets>
    <sheet name="1.Kurcze-Bagna - 180 m" sheetId="14" r:id="rId1"/>
    <sheet name="2.Lutom 2024 - 250 m" sheetId="10" r:id="rId2"/>
    <sheet name="3.Kłodnia 2025 - 200 m" sheetId="2" r:id="rId3"/>
    <sheet name="4.ul. Krótka w Czersku etap II" sheetId="16" r:id="rId4"/>
    <sheet name="5.Będźmierowice - 300 m" sheetId="17" r:id="rId5"/>
    <sheet name="6.Bielawy - 115 m" sheetId="18" r:id="rId6"/>
    <sheet name="pr Będżmierowice" sheetId="13" state="hidden" r:id="rId7"/>
    <sheet name="4.Będźmierowice 2024-250 m v.1" sheetId="11" state="hidden" r:id="rId8"/>
    <sheet name="7.Malachin-Łubna" sheetId="19" r:id="rId9"/>
    <sheet name="ZESTAWIENIE" sheetId="9" r:id="rId10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4" l="1"/>
  <c r="D5" i="19"/>
  <c r="F5" i="19"/>
  <c r="D7" i="19"/>
  <c r="D9" i="19"/>
  <c r="D8" i="19" s="1"/>
  <c r="D10" i="19"/>
  <c r="D13" i="17"/>
  <c r="D11" i="19" l="1"/>
  <c r="F10" i="19"/>
  <c r="F9" i="19"/>
  <c r="D6" i="19"/>
  <c r="F6" i="19" s="1"/>
  <c r="F7" i="19" l="1"/>
  <c r="D6" i="14"/>
  <c r="D7" i="14"/>
  <c r="D8" i="14"/>
  <c r="D10" i="14"/>
  <c r="D9" i="14"/>
  <c r="D9" i="10"/>
  <c r="D8" i="10"/>
  <c r="D7" i="10"/>
  <c r="D6" i="10"/>
  <c r="D8" i="16"/>
  <c r="F8" i="16" s="1"/>
  <c r="D7" i="16"/>
  <c r="F7" i="16" s="1"/>
  <c r="D5" i="16"/>
  <c r="D6" i="16" s="1"/>
  <c r="F6" i="16" s="1"/>
  <c r="F11" i="19"/>
  <c r="F8" i="19"/>
  <c r="F12" i="19" l="1"/>
  <c r="C10" i="9" s="1"/>
  <c r="F13" i="19" l="1"/>
  <c r="F14" i="19" s="1"/>
  <c r="D10" i="9" s="1"/>
  <c r="F14" i="17" l="1"/>
  <c r="D9" i="18" l="1"/>
  <c r="D8" i="18"/>
  <c r="D7" i="18"/>
  <c r="D6" i="18"/>
  <c r="D5" i="18"/>
  <c r="F9" i="18" l="1"/>
  <c r="F8" i="18"/>
  <c r="F7" i="18"/>
  <c r="F6" i="18"/>
  <c r="F5" i="18"/>
  <c r="F10" i="18" l="1"/>
  <c r="F11" i="18" l="1"/>
  <c r="F12" i="18" s="1"/>
  <c r="D9" i="9" s="1"/>
  <c r="C9" i="9"/>
  <c r="F9" i="17"/>
  <c r="F13" i="17"/>
  <c r="D10" i="17"/>
  <c r="F10" i="17" s="1"/>
  <c r="D11" i="17"/>
  <c r="D8" i="17"/>
  <c r="D7" i="17"/>
  <c r="D6" i="17"/>
  <c r="F5" i="16"/>
  <c r="E30" i="11"/>
  <c r="E26" i="11"/>
  <c r="E25" i="11"/>
  <c r="E24" i="11"/>
  <c r="E23" i="11"/>
  <c r="E22" i="11"/>
  <c r="F20" i="11"/>
  <c r="L17" i="11"/>
  <c r="E15" i="11"/>
  <c r="F11" i="11"/>
  <c r="F13" i="11"/>
  <c r="F5" i="14"/>
  <c r="F5" i="10"/>
  <c r="F7" i="14"/>
  <c r="F11" i="17" l="1"/>
  <c r="F6" i="17"/>
  <c r="F7" i="17"/>
  <c r="F8" i="17"/>
  <c r="F9" i="16"/>
  <c r="C7" i="9" s="1"/>
  <c r="F6" i="14"/>
  <c r="F15" i="17" l="1"/>
  <c r="C8" i="9" s="1"/>
  <c r="F10" i="16"/>
  <c r="F11" i="16" s="1"/>
  <c r="D7" i="9" s="1"/>
  <c r="F9" i="14"/>
  <c r="F10" i="14"/>
  <c r="D33" i="11"/>
  <c r="F33" i="11" s="1"/>
  <c r="D31" i="11"/>
  <c r="D30" i="11"/>
  <c r="F30" i="11" s="1"/>
  <c r="D29" i="11"/>
  <c r="F29" i="11" s="1"/>
  <c r="D28" i="11"/>
  <c r="F25" i="11"/>
  <c r="F26" i="11"/>
  <c r="D24" i="11"/>
  <c r="F24" i="11" s="1"/>
  <c r="F19" i="11"/>
  <c r="D12" i="11"/>
  <c r="F16" i="11"/>
  <c r="F15" i="11"/>
  <c r="F18" i="11"/>
  <c r="F17" i="11"/>
  <c r="D23" i="11"/>
  <c r="F23" i="11" s="1"/>
  <c r="F6" i="11"/>
  <c r="D22" i="11"/>
  <c r="D8" i="11"/>
  <c r="F8" i="11" s="1"/>
  <c r="D7" i="11"/>
  <c r="F7" i="11" s="1"/>
  <c r="L6" i="11"/>
  <c r="F16" i="17" l="1"/>
  <c r="F17" i="17" s="1"/>
  <c r="D8" i="9" s="1"/>
  <c r="D10" i="11"/>
  <c r="F12" i="11"/>
  <c r="D56" i="13"/>
  <c r="D63" i="13"/>
  <c r="D61" i="13"/>
  <c r="D54" i="13"/>
  <c r="D52" i="13"/>
  <c r="D48" i="13"/>
  <c r="D44" i="13"/>
  <c r="B41" i="13"/>
  <c r="A41" i="13"/>
  <c r="C33" i="13"/>
  <c r="C34" i="13"/>
  <c r="C35" i="13"/>
  <c r="C36" i="13"/>
  <c r="C32" i="13"/>
  <c r="A28" i="13"/>
  <c r="D9" i="11" l="1"/>
  <c r="F9" i="11" s="1"/>
  <c r="F10" i="11"/>
  <c r="C37" i="13"/>
  <c r="F8" i="14"/>
  <c r="D41" i="13"/>
  <c r="F12" i="14" l="1"/>
  <c r="C4" i="9" s="1"/>
  <c r="F13" i="14" l="1"/>
  <c r="F14" i="14" s="1"/>
  <c r="D4" i="9" s="1"/>
  <c r="F31" i="11"/>
  <c r="F28" i="11"/>
  <c r="F22" i="11"/>
  <c r="F34" i="11" s="1"/>
  <c r="F9" i="10"/>
  <c r="F8" i="10"/>
  <c r="F7" i="10"/>
  <c r="F6" i="10"/>
  <c r="F10" i="10"/>
  <c r="F35" i="11" l="1"/>
  <c r="F36" i="11" s="1"/>
  <c r="F11" i="10"/>
  <c r="C5" i="9" s="1"/>
  <c r="F10" i="2"/>
  <c r="F6" i="2"/>
  <c r="F12" i="10" l="1"/>
  <c r="F13" i="10" s="1"/>
  <c r="D5" i="9" s="1"/>
  <c r="F5" i="2"/>
  <c r="F8" i="2"/>
  <c r="F9" i="2"/>
  <c r="F7" i="2" l="1"/>
  <c r="F11" i="2" s="1"/>
  <c r="C6" i="9" s="1"/>
  <c r="C11" i="9" s="1"/>
  <c r="F12" i="2" l="1"/>
  <c r="F13" i="2" s="1"/>
  <c r="D6" i="9" s="1"/>
  <c r="D11" i="9" s="1"/>
</calcChain>
</file>

<file path=xl/sharedStrings.xml><?xml version="1.0" encoding="utf-8"?>
<sst xmlns="http://schemas.openxmlformats.org/spreadsheetml/2006/main" count="374" uniqueCount="123">
  <si>
    <t>Lp.</t>
  </si>
  <si>
    <t>Opis robót</t>
  </si>
  <si>
    <t>Jm.</t>
  </si>
  <si>
    <t>Ilość</t>
  </si>
  <si>
    <t>Cena</t>
  </si>
  <si>
    <t>Wartość</t>
  </si>
  <si>
    <t>1.</t>
  </si>
  <si>
    <t>m2</t>
  </si>
  <si>
    <t>2.</t>
  </si>
  <si>
    <t>m3</t>
  </si>
  <si>
    <t>3.</t>
  </si>
  <si>
    <t>4.</t>
  </si>
  <si>
    <t>5.</t>
  </si>
  <si>
    <t>6.</t>
  </si>
  <si>
    <t>Razem netto</t>
  </si>
  <si>
    <t>Podatek VAT</t>
  </si>
  <si>
    <t>x</t>
  </si>
  <si>
    <t>Razem brutto</t>
  </si>
  <si>
    <t xml:space="preserve">x </t>
  </si>
  <si>
    <t>Kosztorys Inwestorski</t>
  </si>
  <si>
    <t>Rozbiórka istniejącej nawierzchni bitumicznej z odcięciem piłą grub. do 8 cm</t>
  </si>
  <si>
    <t>szt.</t>
  </si>
  <si>
    <t>Wykonanie poboczy z mieszanki żwirowo - gliniastej z dowozu o szer. 0,75 m</t>
  </si>
  <si>
    <t>Modernizacja dróg gminnych - zestawienie</t>
  </si>
  <si>
    <t>wartość
netto</t>
  </si>
  <si>
    <t>wartość
brutto</t>
  </si>
  <si>
    <t>RAZEM</t>
  </si>
  <si>
    <t>lp.</t>
  </si>
  <si>
    <t>Nazwa</t>
  </si>
  <si>
    <t>7.</t>
  </si>
  <si>
    <t>9.</t>
  </si>
  <si>
    <t>Odcinek 2. Droga gminna do m. Lutom</t>
  </si>
  <si>
    <t>start 40 m od końca</t>
  </si>
  <si>
    <t>siatka przeciw spękaniowa</t>
  </si>
  <si>
    <t>remont cząstkowy + wymiana podbudowy</t>
  </si>
  <si>
    <t>»</t>
  </si>
  <si>
    <t>wykop na 40 cm</t>
  </si>
  <si>
    <t>podbudowa z RM 2,5 gr. 15 cm (szer. 1,6)</t>
  </si>
  <si>
    <t>wa-wa wyrównawcza AC 11W o min. grubości 3 cm (średnio 4 cm)</t>
  </si>
  <si>
    <t>płyty YOMB na start</t>
  </si>
  <si>
    <t>podbudowa AC 16 P o grubości 5 cm - poszerzenie</t>
  </si>
  <si>
    <t>podbudowa z KŁSM gr. 20 cm (szer. 1,6)</t>
  </si>
  <si>
    <t>podbudowa z KŁSM gr. 20 cm - remont cząstowy</t>
  </si>
  <si>
    <t>podbudowa z RM 2,5 gr. 15 cm - remont cząstowy</t>
  </si>
  <si>
    <t>dodatkowe pobocza z kruszywa</t>
  </si>
  <si>
    <t xml:space="preserve">wa-wa ścieralna AC 11S o min. grubości 5 cm </t>
  </si>
  <si>
    <t>Podbudowa z KŁSM C90/3 o grubości 20 cm wraz z profilowaniem i zagęszczeniem - odcinek 100 m (100x4,2)</t>
  </si>
  <si>
    <t>Odcinek 4. Droga gminna DK 22 - Będźmierowice</t>
  </si>
  <si>
    <t>Odcinek przejściowy  - po 10 m z każdej strony</t>
  </si>
  <si>
    <t xml:space="preserve">Wykonanie koryta w gruncie kat. IV wraz z profilowabiem i zagęszczeniem podłoża - średnia grubość 25 cm </t>
  </si>
  <si>
    <t xml:space="preserve">Poszerzenie </t>
  </si>
  <si>
    <t xml:space="preserve">Wykonanie koryta w gruncie kat. IV wraz z profilowabiem i zagęszczeniem podłoża - średnia grubość 40 cm </t>
  </si>
  <si>
    <t>Podbudowa z stabilizacji cementowej Rm 2,5 o grubości 15 cm wraz z profilowaniem i zagęszczeniem</t>
  </si>
  <si>
    <t>Podbudowa z KŁSM C90/3 o grubości 20 cm wraz z profilowaniem i zagęszczeniem</t>
  </si>
  <si>
    <t xml:space="preserve">Remont cząstkowy </t>
  </si>
  <si>
    <t>8.</t>
  </si>
  <si>
    <t>10.</t>
  </si>
  <si>
    <t>11.</t>
  </si>
  <si>
    <t>Rozbiórka warstwy podbudowy o gr. do 40 cm</t>
  </si>
  <si>
    <t>12.</t>
  </si>
  <si>
    <t xml:space="preserve">Oczyszczenie i skropienie emulsją </t>
  </si>
  <si>
    <t>Rozbiórka mechaniczna naw. bitumicznej 
o gr. do 10 cm (wcinka)</t>
  </si>
  <si>
    <t xml:space="preserve">Wykonanie warstwy ścieralnej z mieszanki AC11 S 0 średniej grubości 5 cm z transportem 
(wg KR 1-2 wg WT-2014) 
</t>
  </si>
  <si>
    <t>Wykonanie warstwy podbudowy z mieszanki AC22 P grub. 10 cm z transportem (wg KR 1-2 wg WT-2014)</t>
  </si>
  <si>
    <t xml:space="preserve">Wykonanie warstwy wyrównawczej o min. gr. 3 cm z mieszanki AC11 W (średnia grubość 4 cm) z transportem (wg KR 1-2 wg WT-2014) 
</t>
  </si>
  <si>
    <t>Ułożenie nawierzchni z płyt betonowych otworowych YOMB wzdłuż zjazdów wraz z wykorytowaniem i podsypką piaskową</t>
  </si>
  <si>
    <t>Rozbiórka mechaniczna naw. bitumicznej 
o gr. do 10 cm</t>
  </si>
  <si>
    <t>13.</t>
  </si>
  <si>
    <t>14.</t>
  </si>
  <si>
    <t>15.</t>
  </si>
  <si>
    <t>16.</t>
  </si>
  <si>
    <t>17.</t>
  </si>
  <si>
    <t>18.</t>
  </si>
  <si>
    <t>19.</t>
  </si>
  <si>
    <t>Wykonanie warstwy podbudowy z mieszanki AC22 P grub. 6 cm z transportem (wg KR 1-2 wg WT-2014)</t>
  </si>
  <si>
    <t xml:space="preserve">Oczyszczenie i skropienie emulsją - odcinek 240 m 
</t>
  </si>
  <si>
    <t>20.</t>
  </si>
  <si>
    <t>21.</t>
  </si>
  <si>
    <t>22.</t>
  </si>
  <si>
    <t>23.</t>
  </si>
  <si>
    <t>Ułożenie siatki przeciwspękaniowej</t>
  </si>
  <si>
    <t xml:space="preserve">Wykonanie warstwy ścieralnej z mieszanki AC11 S grub. 5 cm z transportem 
(wg KR 1-2 wg WT-2014) - odcinek 240 m </t>
  </si>
  <si>
    <t>Roboty bitumiczne - nawierzchnia</t>
  </si>
  <si>
    <t>Roboty pozostałe - pobocza</t>
  </si>
  <si>
    <t>Wykonanie poboczy z mieszanki żwirowo - gliniastej z dowozu o szer. 0,75 m - gr. 10 cm</t>
  </si>
  <si>
    <t>Wykonanie warstwy podbudowy z mieszanki AC22 P o średniej grub. 6 cm z transportem (wg KR 1-2 wg WT-2014)</t>
  </si>
  <si>
    <t>m</t>
  </si>
  <si>
    <t>Wykonanie warstwy podbudowy z mieszanki AC16 P grub. 5 cm z transportem (wg KR 1-2 wg WT-2014)</t>
  </si>
  <si>
    <t>Cięcie piłą nawierzchni bitumicznej o gr. 10 cm wraz z rozbiórką naw. bitumicznej (pasek od 3 do 5 cm)</t>
  </si>
  <si>
    <t>Podbudowa z KŁSM C90/3 o grubości 20 cm wraz z profilowaniem i zagęszczeniem - odcinek 115 m</t>
  </si>
  <si>
    <t>Roboty pozostałe - pobocza i zjazdy</t>
  </si>
  <si>
    <t>Ułożenie nawierzchni z płyt betonowych otworowych YOMB wzdłuż zjazdów (korytowanie + ułożenie)</t>
  </si>
  <si>
    <t>Odcinek 6. Ul. Krótka w Czersku - etap II</t>
  </si>
  <si>
    <t>Odcinek 7. Droga Malachin - Łubna</t>
  </si>
  <si>
    <t>Wyprofilowanie i zagęszczenie warswy podbudowy z KŁSM</t>
  </si>
  <si>
    <t>Odcinek 5. Droga gminna DK 22 - Będźmierowice</t>
  </si>
  <si>
    <t>Uzupełnienie istniejącej podbudowy z kruszywa kamiennego łamanego 0-31,5 mm kruszywem kamiennym łamanym 0-31,5mm na gr. 8 cm wraz z wyrównaniem, wyprofilowaniem i zagęszczeniem - odcinek 250 m x 4,2 m</t>
  </si>
  <si>
    <t>Oczyszczenie i skropienie emulsją - odcinek 200 m 
(250 x 4,2)</t>
  </si>
  <si>
    <t>Wykonanie warstwy ścieralnej z mieszanki AC11 S grub. 5 cm z transportem 
(wg KR 1-2 wg WT-2014)  (250x4,0)</t>
  </si>
  <si>
    <t>Podbudowa z KŁSM C90/3 o grubości 20 cm wraz z profilowaniem i zagęszczeniem - odcinek 180 m</t>
  </si>
  <si>
    <t>Wykonanie warstwy ścieralnej z mieszanki AC11 S grub. 5 cm z transportem (wg KR 1-2 wg WT-2014) - odcinek 180 m (180x4,0)</t>
  </si>
  <si>
    <t>Oczyszczenie i skropienie emulsją - odcinek 180 m 
(180x4,2)</t>
  </si>
  <si>
    <t>Rozbiórka istniejącej nawierzchni bitumicznej z odcięciem piłą grub. 12 cm (9x5,5)</t>
  </si>
  <si>
    <t xml:space="preserve">Odcinek 1. Droga Kurcze – Bagna </t>
  </si>
  <si>
    <t>Uzupełnienie istniejącej podbudowy z kruszywa kamiennego łamanego 0-31,5 mm kruszywem kamiennym łamanym 0-31,5mm na gr. 8 cm wraz z wyrównaniem, wyprofilowaniem i zagęszczeniem - odcinek 180 m x 4,2 m</t>
  </si>
  <si>
    <t xml:space="preserve">Oczyszczenie i skropienie emulsją - odcinek 180 m </t>
  </si>
  <si>
    <t xml:space="preserve">Wykonanie warstwy ścieralnej z mieszanki AC11 S grub. 5 cm z transportem (wg KR 1-2 wg WT-2014) - odcinek 109 m </t>
  </si>
  <si>
    <t xml:space="preserve">Wykonanie koryta w gruncie kat. IV wraz z profilowaniem i zagęszczeniem podłoża - średnia grubość 25 cm - odcinek 180 m
</t>
  </si>
  <si>
    <t>Odcinek 3. Droga gminna w m. Kłodnia</t>
  </si>
  <si>
    <t>Tablica informacyjna</t>
  </si>
  <si>
    <t xml:space="preserve">Wykonanie koryta w gruncie kat. IV wraz z profilowaniem i zagęszczeniem podłoża - średnia grubość 45 cm </t>
  </si>
  <si>
    <t>Odcinek 6. Droga gminna w m. Bielawy - etap I</t>
  </si>
  <si>
    <t xml:space="preserve">Wykonanie koryta w gruncie kat. IV wraz z profilowaniem i zagęszczeniem podłoża - średnia grubość 20 cm - odcinek 115 m
</t>
  </si>
  <si>
    <t xml:space="preserve">Wykonanie warstwy ścieralnej z mieszanki AC11 S grub. 5 cm z transportem (wg KR 1-2 wg WT-2014) - odcinek 115 m </t>
  </si>
  <si>
    <t xml:space="preserve">Oczyszczenie i skropienie emulsją - odcinek 115 m 
</t>
  </si>
  <si>
    <t>Wykonanie warstwy ścieralnej z mieszanki AC11 S grub. 5 cm z transportem (wg KR 1-2 wg WT-2014) - odcinek 9 m (9*5,5)</t>
  </si>
  <si>
    <t xml:space="preserve">Oczyszczenie i skropienie emulsją - odcinek 9 m 
</t>
  </si>
  <si>
    <t>Cięcie piłą nawierzchni bitumicznej o gr. 12 cm wraz z rozbiórką naw. bitumicznej</t>
  </si>
  <si>
    <t>Wykonanie warstwy wiążącej z mieszanki AC16 W grub. 7 cm z transportem (wg KR 1-2 wg WT-2014) - odcinek 9 m (9x5,6)</t>
  </si>
  <si>
    <t>Odcinek 6 . Droga gminna w m. Bielawy - etap I</t>
  </si>
  <si>
    <t>Przedmiar</t>
  </si>
  <si>
    <t xml:space="preserve">Oczyszczenie i skropienie emulsją - odcinek 109 m 
</t>
  </si>
  <si>
    <t>Odcinek 4. Ul. Krótka w Czersku - etap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</si>
</sst>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61">
    <xf numFmtId="0" fontId="0" fillId="0" borderId="0" xfId="0"/>
    <xf numFmtId="0" fontId="1" fillId="0" borderId="0" xfId="1"/>
    <xf numFmtId="0" fontId="2" fillId="0" borderId="0" xfId="1" applyFont="1" applyAlignment="1">
      <alignment vertical="center" wrapText="1"/>
    </xf>
    <xf numFmtId="0" fontId="3" fillId="0" borderId="0" xfId="1" applyFont="1" applyAlignment="1">
      <alignment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left" vertical="center" wrapText="1" indent="1"/>
    </xf>
    <xf numFmtId="0" fontId="3" fillId="0" borderId="3" xfId="1" applyFont="1" applyBorder="1" applyAlignment="1">
      <alignment horizontal="center" vertical="center" wrapText="1"/>
    </xf>
    <xf numFmtId="0" fontId="3" fillId="0" borderId="4" xfId="1" applyFont="1" applyBorder="1" applyAlignment="1">
      <alignment vertical="center" wrapText="1"/>
    </xf>
    <xf numFmtId="0" fontId="3" fillId="0" borderId="4" xfId="1" applyFont="1" applyBorder="1" applyAlignment="1">
      <alignment horizontal="center" vertical="center" wrapText="1"/>
    </xf>
    <xf numFmtId="4" fontId="3" fillId="0" borderId="4" xfId="1" applyNumberFormat="1" applyFont="1" applyBorder="1" applyAlignment="1">
      <alignment horizontal="right" vertical="center" wrapText="1"/>
    </xf>
    <xf numFmtId="4" fontId="1" fillId="0" borderId="0" xfId="1" applyNumberFormat="1"/>
    <xf numFmtId="4" fontId="3" fillId="0" borderId="0" xfId="1" applyNumberFormat="1" applyFont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right" vertical="center" wrapText="1"/>
    </xf>
    <xf numFmtId="4" fontId="3" fillId="2" borderId="4" xfId="1" applyNumberFormat="1" applyFont="1" applyFill="1" applyBorder="1" applyAlignment="1">
      <alignment horizontal="right" vertical="center" wrapText="1"/>
    </xf>
    <xf numFmtId="0" fontId="0" fillId="0" borderId="5" xfId="0" applyBorder="1" applyAlignment="1">
      <alignment vertical="top"/>
    </xf>
    <xf numFmtId="0" fontId="0" fillId="0" borderId="5" xfId="0" applyBorder="1" applyAlignment="1">
      <alignment vertical="top" wrapText="1"/>
    </xf>
    <xf numFmtId="0" fontId="0" fillId="0" borderId="5" xfId="0" applyBorder="1"/>
    <xf numFmtId="4" fontId="0" fillId="0" borderId="5" xfId="0" applyNumberFormat="1" applyBorder="1"/>
    <xf numFmtId="0" fontId="5" fillId="0" borderId="5" xfId="0" applyFont="1" applyBorder="1"/>
    <xf numFmtId="4" fontId="5" fillId="0" borderId="5" xfId="0" applyNumberFormat="1" applyFont="1" applyBorder="1"/>
    <xf numFmtId="4" fontId="0" fillId="0" borderId="5" xfId="0" applyNumberFormat="1" applyBorder="1" applyAlignment="1">
      <alignment vertical="top" wrapText="1"/>
    </xf>
    <xf numFmtId="0" fontId="3" fillId="0" borderId="3" xfId="1" applyFont="1" applyBorder="1" applyAlignment="1">
      <alignment horizontal="center" vertical="top" wrapText="1"/>
    </xf>
    <xf numFmtId="0" fontId="5" fillId="0" borderId="0" xfId="0" applyFont="1"/>
    <xf numFmtId="4" fontId="5" fillId="0" borderId="0" xfId="0" applyNumberFormat="1" applyFont="1"/>
    <xf numFmtId="4" fontId="0" fillId="0" borderId="0" xfId="0" applyNumberFormat="1"/>
    <xf numFmtId="4" fontId="5" fillId="3" borderId="0" xfId="0" applyNumberFormat="1" applyFont="1" applyFill="1"/>
    <xf numFmtId="0" fontId="6" fillId="0" borderId="0" xfId="0" applyFont="1" applyAlignment="1">
      <alignment horizontal="center"/>
    </xf>
    <xf numFmtId="0" fontId="5" fillId="3" borderId="0" xfId="0" applyFont="1" applyFill="1"/>
    <xf numFmtId="0" fontId="3" fillId="0" borderId="4" xfId="1" applyFont="1" applyBorder="1" applyAlignment="1">
      <alignment horizontal="left" vertical="top" wrapText="1"/>
    </xf>
    <xf numFmtId="0" fontId="3" fillId="4" borderId="6" xfId="1" applyFont="1" applyFill="1" applyBorder="1" applyAlignment="1">
      <alignment horizontal="center" vertical="top" wrapText="1"/>
    </xf>
    <xf numFmtId="0" fontId="3" fillId="4" borderId="7" xfId="1" applyFont="1" applyFill="1" applyBorder="1" applyAlignment="1">
      <alignment horizontal="left" vertical="top" wrapText="1"/>
    </xf>
    <xf numFmtId="0" fontId="3" fillId="4" borderId="7" xfId="1" applyFont="1" applyFill="1" applyBorder="1" applyAlignment="1">
      <alignment horizontal="center" vertical="top" wrapText="1"/>
    </xf>
    <xf numFmtId="0" fontId="3" fillId="4" borderId="2" xfId="1" applyFont="1" applyFill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1" applyFont="1" applyBorder="1" applyAlignment="1">
      <alignment horizontal="center" vertical="top" wrapText="1"/>
    </xf>
    <xf numFmtId="4" fontId="3" fillId="0" borderId="4" xfId="0" applyNumberFormat="1" applyFont="1" applyBorder="1" applyAlignment="1">
      <alignment horizontal="right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4" xfId="1" applyFont="1" applyBorder="1" applyAlignment="1">
      <alignment vertical="top" wrapText="1"/>
    </xf>
    <xf numFmtId="4" fontId="3" fillId="0" borderId="4" xfId="1" applyNumberFormat="1" applyFont="1" applyBorder="1" applyAlignment="1">
      <alignment horizontal="right" vertical="top" wrapText="1"/>
    </xf>
    <xf numFmtId="4" fontId="3" fillId="2" borderId="4" xfId="1" applyNumberFormat="1" applyFont="1" applyFill="1" applyBorder="1" applyAlignment="1">
      <alignment horizontal="right" vertical="top" wrapText="1"/>
    </xf>
    <xf numFmtId="4" fontId="3" fillId="0" borderId="4" xfId="1" applyNumberFormat="1" applyFont="1" applyBorder="1" applyAlignment="1">
      <alignment vertical="top" wrapText="1"/>
    </xf>
    <xf numFmtId="0" fontId="0" fillId="0" borderId="8" xfId="0" applyBorder="1" applyAlignment="1">
      <alignment horizontal="right"/>
    </xf>
    <xf numFmtId="0" fontId="3" fillId="0" borderId="5" xfId="1" applyFont="1" applyBorder="1" applyAlignment="1">
      <alignment vertical="center" wrapText="1"/>
    </xf>
    <xf numFmtId="0" fontId="3" fillId="0" borderId="5" xfId="1" applyFont="1" applyBorder="1" applyAlignment="1">
      <alignment vertical="top" wrapText="1"/>
    </xf>
    <xf numFmtId="4" fontId="0" fillId="0" borderId="5" xfId="0" applyNumberFormat="1" applyBorder="1" applyAlignment="1">
      <alignment vertical="top"/>
    </xf>
    <xf numFmtId="4" fontId="2" fillId="0" borderId="4" xfId="1" applyNumberFormat="1" applyFont="1" applyBorder="1" applyAlignment="1">
      <alignment horizontal="right" vertical="center" wrapText="1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2" xfId="0" applyBorder="1" applyAlignment="1">
      <alignment horizontal="right"/>
    </xf>
    <xf numFmtId="0" fontId="0" fillId="0" borderId="5" xfId="0" applyBorder="1" applyAlignment="1">
      <alignment horizontal="right" vertical="top"/>
    </xf>
    <xf numFmtId="0" fontId="3" fillId="0" borderId="6" xfId="1" applyFont="1" applyBorder="1" applyAlignment="1">
      <alignment vertical="center" wrapText="1"/>
    </xf>
    <xf numFmtId="0" fontId="3" fillId="0" borderId="7" xfId="1" applyFont="1" applyBorder="1" applyAlignment="1">
      <alignment vertical="center" wrapText="1"/>
    </xf>
    <xf numFmtId="0" fontId="3" fillId="0" borderId="2" xfId="1" applyFont="1" applyBorder="1" applyAlignment="1">
      <alignment vertical="center" wrapText="1"/>
    </xf>
    <xf numFmtId="0" fontId="3" fillId="0" borderId="1" xfId="1" applyFont="1" applyBorder="1" applyAlignment="1">
      <alignment vertical="center" wrapText="1"/>
    </xf>
  </cellXfs>
  <cellStyles count="2">
    <cellStyle name="Normalny" xfId="0" builtinId="0"/>
    <cellStyle name="Normalny 2" xfId="1" xr:uid="{7BB85B79-F3A5-432F-8538-DB5015B115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F225B-1AB1-4B7B-B3E8-D6C8191DE820}">
  <sheetPr>
    <tabColor rgb="FF00B0F0"/>
  </sheetPr>
  <dimension ref="A1:I14"/>
  <sheetViews>
    <sheetView zoomScaleNormal="100" workbookViewId="0">
      <selection activeCell="B1" sqref="B1"/>
    </sheetView>
  </sheetViews>
  <sheetFormatPr defaultColWidth="8.5703125" defaultRowHeight="15" x14ac:dyDescent="0.25"/>
  <cols>
    <col min="1" max="1" width="5.42578125" style="1" customWidth="1"/>
    <col min="2" max="2" width="45.7109375" style="1" customWidth="1"/>
    <col min="3" max="3" width="6" style="1" customWidth="1"/>
    <col min="4" max="4" width="8.5703125" style="1"/>
    <col min="5" max="5" width="8.42578125" style="1" customWidth="1"/>
    <col min="6" max="6" width="10.42578125" style="1" customWidth="1"/>
    <col min="7" max="8" width="8.5703125" style="1"/>
    <col min="9" max="9" width="13" style="1" customWidth="1"/>
    <col min="10" max="16384" width="8.5703125" style="1"/>
  </cols>
  <sheetData>
    <row r="1" spans="1:9" x14ac:dyDescent="0.25">
      <c r="B1" s="2" t="s">
        <v>120</v>
      </c>
    </row>
    <row r="2" spans="1:9" x14ac:dyDescent="0.25">
      <c r="B2" s="3" t="s">
        <v>103</v>
      </c>
    </row>
    <row r="3" spans="1:9" ht="15.75" thickBot="1" x14ac:dyDescent="0.3"/>
    <row r="4" spans="1:9" ht="15.75" thickBot="1" x14ac:dyDescent="0.3">
      <c r="A4" s="4" t="s">
        <v>0</v>
      </c>
      <c r="B4" s="5" t="s">
        <v>1</v>
      </c>
      <c r="C4" s="5" t="s">
        <v>2</v>
      </c>
      <c r="D4" s="5" t="s">
        <v>3</v>
      </c>
      <c r="E4" s="6" t="s">
        <v>4</v>
      </c>
      <c r="F4" s="5" t="s">
        <v>5</v>
      </c>
    </row>
    <row r="5" spans="1:9" ht="26.25" thickBot="1" x14ac:dyDescent="0.3">
      <c r="A5" s="25" t="s">
        <v>6</v>
      </c>
      <c r="B5" s="8" t="s">
        <v>20</v>
      </c>
      <c r="C5" s="9" t="s">
        <v>7</v>
      </c>
      <c r="D5" s="10">
        <v>4</v>
      </c>
      <c r="E5" s="10"/>
      <c r="F5" s="10">
        <f t="shared" ref="F5" si="0">ROUND(D5*E5,2)</f>
        <v>0</v>
      </c>
    </row>
    <row r="6" spans="1:9" ht="39.75" customHeight="1" thickBot="1" x14ac:dyDescent="0.3">
      <c r="A6" s="37" t="s">
        <v>8</v>
      </c>
      <c r="B6" s="41" t="s">
        <v>107</v>
      </c>
      <c r="C6" s="38" t="s">
        <v>7</v>
      </c>
      <c r="D6" s="39">
        <f>180*4.2</f>
        <v>756</v>
      </c>
      <c r="E6" s="42"/>
      <c r="F6" s="39">
        <f>ROUND(D6*E6,2)</f>
        <v>0</v>
      </c>
    </row>
    <row r="7" spans="1:9" ht="26.25" thickBot="1" x14ac:dyDescent="0.3">
      <c r="A7" s="25" t="s">
        <v>10</v>
      </c>
      <c r="B7" s="41" t="s">
        <v>99</v>
      </c>
      <c r="C7" s="38" t="s">
        <v>7</v>
      </c>
      <c r="D7" s="39">
        <f>180*4.2</f>
        <v>756</v>
      </c>
      <c r="E7" s="39"/>
      <c r="F7" s="39">
        <f>ROUND(D7*E7,2)</f>
        <v>0</v>
      </c>
    </row>
    <row r="8" spans="1:9" ht="27.75" customHeight="1" thickBot="1" x14ac:dyDescent="0.3">
      <c r="A8" s="37" t="s">
        <v>11</v>
      </c>
      <c r="B8" s="41" t="s">
        <v>101</v>
      </c>
      <c r="C8" s="38" t="s">
        <v>7</v>
      </c>
      <c r="D8" s="39">
        <f>180*4.2</f>
        <v>756</v>
      </c>
      <c r="E8" s="39"/>
      <c r="F8" s="39">
        <f>ROUND(D8*E8,2)</f>
        <v>0</v>
      </c>
    </row>
    <row r="9" spans="1:9" ht="39" thickBot="1" x14ac:dyDescent="0.3">
      <c r="A9" s="25" t="s">
        <v>12</v>
      </c>
      <c r="B9" s="41" t="s">
        <v>100</v>
      </c>
      <c r="C9" s="38" t="s">
        <v>7</v>
      </c>
      <c r="D9" s="39">
        <f>180*4</f>
        <v>720</v>
      </c>
      <c r="E9" s="42"/>
      <c r="F9" s="39">
        <f t="shared" ref="F9" si="1">ROUND(D9*E9,2)</f>
        <v>0</v>
      </c>
      <c r="I9"/>
    </row>
    <row r="10" spans="1:9" ht="26.25" thickBot="1" x14ac:dyDescent="0.3">
      <c r="A10" s="37" t="s">
        <v>13</v>
      </c>
      <c r="B10" s="41" t="s">
        <v>22</v>
      </c>
      <c r="C10" s="38" t="s">
        <v>7</v>
      </c>
      <c r="D10" s="39">
        <f>180*1.5</f>
        <v>270</v>
      </c>
      <c r="E10" s="42"/>
      <c r="F10" s="43">
        <f>ROUND(D10*E10,2)</f>
        <v>0</v>
      </c>
    </row>
    <row r="11" spans="1:9" ht="15.75" thickBot="1" x14ac:dyDescent="0.3">
      <c r="A11" s="37" t="s">
        <v>29</v>
      </c>
      <c r="B11" s="8" t="s">
        <v>109</v>
      </c>
      <c r="C11" s="38" t="s">
        <v>21</v>
      </c>
      <c r="D11" s="39">
        <v>1</v>
      </c>
      <c r="E11" s="42"/>
      <c r="F11" s="43">
        <f>ROUND(D11*E11,2)</f>
        <v>0</v>
      </c>
    </row>
    <row r="12" spans="1:9" ht="13.5" customHeight="1" thickBot="1" x14ac:dyDescent="0.3">
      <c r="A12" s="57" t="s">
        <v>14</v>
      </c>
      <c r="B12" s="58"/>
      <c r="C12" s="58"/>
      <c r="D12" s="58"/>
      <c r="E12" s="59"/>
      <c r="F12" s="49">
        <f>SUM(F5:F11)</f>
        <v>0</v>
      </c>
      <c r="I12" s="11"/>
    </row>
    <row r="13" spans="1:9" ht="13.5" customHeight="1" thickBot="1" x14ac:dyDescent="0.3">
      <c r="A13" s="57" t="s">
        <v>15</v>
      </c>
      <c r="B13" s="58"/>
      <c r="C13" s="58"/>
      <c r="D13" s="58" t="s">
        <v>16</v>
      </c>
      <c r="E13" s="59" t="s">
        <v>16</v>
      </c>
      <c r="F13" s="10">
        <f>ROUND(0.23*F12,2)</f>
        <v>0</v>
      </c>
      <c r="I13" s="12"/>
    </row>
    <row r="14" spans="1:9" ht="13.5" customHeight="1" thickBot="1" x14ac:dyDescent="0.3">
      <c r="A14" s="60" t="s">
        <v>17</v>
      </c>
      <c r="B14" s="60"/>
      <c r="C14" s="60"/>
      <c r="D14" s="60" t="s">
        <v>16</v>
      </c>
      <c r="E14" s="60" t="s">
        <v>18</v>
      </c>
      <c r="F14" s="49">
        <f>F12+F13</f>
        <v>0</v>
      </c>
      <c r="I14" s="12"/>
    </row>
  </sheetData>
  <mergeCells count="3">
    <mergeCell ref="A12:E12"/>
    <mergeCell ref="A13:E13"/>
    <mergeCell ref="A14:E14"/>
  </mergeCells>
  <phoneticPr fontId="4" type="noConversion"/>
  <pageMargins left="0.7" right="0.7" top="0.75" bottom="0.75" header="0.51180555555555496" footer="0.51180555555555496"/>
  <pageSetup paperSize="9" firstPageNumber="0"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331D4-A833-47B4-AE29-AE691AC24868}">
  <dimension ref="A1:D11"/>
  <sheetViews>
    <sheetView tabSelected="1" workbookViewId="0">
      <selection activeCell="B17" sqref="B17"/>
    </sheetView>
  </sheetViews>
  <sheetFormatPr defaultRowHeight="15" x14ac:dyDescent="0.25"/>
  <cols>
    <col min="1" max="1" width="5.42578125" customWidth="1"/>
    <col min="2" max="2" width="49" customWidth="1"/>
    <col min="3" max="4" width="11.85546875" customWidth="1"/>
  </cols>
  <sheetData>
    <row r="1" spans="1:4" x14ac:dyDescent="0.25">
      <c r="A1" s="50" t="s">
        <v>23</v>
      </c>
      <c r="B1" s="51"/>
      <c r="C1" s="51"/>
      <c r="D1" s="52"/>
    </row>
    <row r="2" spans="1:4" x14ac:dyDescent="0.25">
      <c r="A2" s="53"/>
      <c r="D2" s="54"/>
    </row>
    <row r="3" spans="1:4" ht="30" x14ac:dyDescent="0.25">
      <c r="A3" s="18" t="s">
        <v>27</v>
      </c>
      <c r="B3" s="18" t="s">
        <v>28</v>
      </c>
      <c r="C3" s="19" t="s">
        <v>24</v>
      </c>
      <c r="D3" s="19" t="s">
        <v>25</v>
      </c>
    </row>
    <row r="4" spans="1:4" x14ac:dyDescent="0.25">
      <c r="A4" s="45" t="s">
        <v>6</v>
      </c>
      <c r="B4" s="46" t="s">
        <v>103</v>
      </c>
      <c r="C4" s="24">
        <f>'1.Kurcze-Bagna - 180 m'!F12</f>
        <v>0</v>
      </c>
      <c r="D4" s="24">
        <f>'1.Kurcze-Bagna - 180 m'!F14</f>
        <v>0</v>
      </c>
    </row>
    <row r="5" spans="1:4" x14ac:dyDescent="0.25">
      <c r="A5" s="45" t="s">
        <v>8</v>
      </c>
      <c r="B5" s="46" t="s">
        <v>31</v>
      </c>
      <c r="C5" s="21">
        <f>'2.Lutom 2024 - 250 m'!F11</f>
        <v>0</v>
      </c>
      <c r="D5" s="21">
        <f>'2.Lutom 2024 - 250 m'!F13</f>
        <v>0</v>
      </c>
    </row>
    <row r="6" spans="1:4" x14ac:dyDescent="0.25">
      <c r="A6" s="55" t="s">
        <v>10</v>
      </c>
      <c r="B6" s="46" t="s">
        <v>108</v>
      </c>
      <c r="C6" s="21">
        <f>'3.Kłodnia 2025 - 200 m'!F11</f>
        <v>0</v>
      </c>
      <c r="D6" s="21">
        <f>'3.Kłodnia 2025 - 200 m'!F13</f>
        <v>0</v>
      </c>
    </row>
    <row r="7" spans="1:4" ht="15" customHeight="1" x14ac:dyDescent="0.25">
      <c r="A7" s="45" t="s">
        <v>11</v>
      </c>
      <c r="B7" s="46" t="s">
        <v>122</v>
      </c>
      <c r="C7" s="21">
        <f>'4.ul. Krótka w Czersku etap II'!F9</f>
        <v>0</v>
      </c>
      <c r="D7" s="21">
        <f>'4.ul. Krótka w Czersku etap II'!F11</f>
        <v>0</v>
      </c>
    </row>
    <row r="8" spans="1:4" x14ac:dyDescent="0.25">
      <c r="A8" s="45" t="s">
        <v>12</v>
      </c>
      <c r="B8" s="46" t="s">
        <v>95</v>
      </c>
      <c r="C8" s="21">
        <f>'5.Będźmierowice - 300 m'!F15</f>
        <v>0</v>
      </c>
      <c r="D8" s="21">
        <f>'5.Będźmierowice - 300 m'!F17</f>
        <v>0</v>
      </c>
    </row>
    <row r="9" spans="1:4" x14ac:dyDescent="0.25">
      <c r="A9" s="56" t="s">
        <v>13</v>
      </c>
      <c r="B9" s="47" t="s">
        <v>119</v>
      </c>
      <c r="C9" s="48">
        <f>'6.Bielawy - 115 m'!F10</f>
        <v>0</v>
      </c>
      <c r="D9" s="48">
        <f>'6.Bielawy - 115 m'!F12</f>
        <v>0</v>
      </c>
    </row>
    <row r="10" spans="1:4" x14ac:dyDescent="0.25">
      <c r="A10" s="56" t="s">
        <v>29</v>
      </c>
      <c r="B10" s="46" t="s">
        <v>93</v>
      </c>
      <c r="C10" s="48">
        <f>'7.Malachin-Łubna'!F12</f>
        <v>0</v>
      </c>
      <c r="D10" s="48">
        <f>'7.Malachin-Łubna'!F14</f>
        <v>0</v>
      </c>
    </row>
    <row r="11" spans="1:4" x14ac:dyDescent="0.25">
      <c r="A11" s="20"/>
      <c r="B11" s="22" t="s">
        <v>26</v>
      </c>
      <c r="C11" s="23">
        <f>SUM(C4:C10)</f>
        <v>0</v>
      </c>
      <c r="D11" s="23">
        <f>SUM(D4:D10)</f>
        <v>0</v>
      </c>
    </row>
  </sheetData>
  <phoneticPr fontId="4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84AA4-CB8C-43E9-9666-EED49B503039}">
  <sheetPr>
    <tabColor rgb="FF00B0F0"/>
  </sheetPr>
  <dimension ref="A1:I13"/>
  <sheetViews>
    <sheetView zoomScaleNormal="100" workbookViewId="0">
      <selection activeCell="B1" sqref="B1"/>
    </sheetView>
  </sheetViews>
  <sheetFormatPr defaultColWidth="8.5703125" defaultRowHeight="15" x14ac:dyDescent="0.25"/>
  <cols>
    <col min="1" max="1" width="5.42578125" style="1" customWidth="1"/>
    <col min="2" max="2" width="45.140625" style="1" customWidth="1"/>
    <col min="3" max="3" width="6" style="1" customWidth="1"/>
    <col min="4" max="4" width="8.5703125" style="1" customWidth="1"/>
    <col min="5" max="5" width="8.42578125" style="1" customWidth="1"/>
    <col min="6" max="6" width="10.42578125" style="1" customWidth="1"/>
    <col min="7" max="7" width="8.5703125" style="1"/>
    <col min="8" max="9" width="16.5703125" style="1" customWidth="1"/>
    <col min="10" max="16384" width="8.5703125" style="1"/>
  </cols>
  <sheetData>
    <row r="1" spans="1:9" x14ac:dyDescent="0.25">
      <c r="B1" s="2" t="s">
        <v>120</v>
      </c>
    </row>
    <row r="2" spans="1:9" x14ac:dyDescent="0.25">
      <c r="B2" s="3" t="s">
        <v>31</v>
      </c>
    </row>
    <row r="3" spans="1:9" ht="15.75" thickBot="1" x14ac:dyDescent="0.3"/>
    <row r="4" spans="1:9" ht="15.75" thickBot="1" x14ac:dyDescent="0.3">
      <c r="A4" s="4" t="s">
        <v>0</v>
      </c>
      <c r="B4" s="5" t="s">
        <v>1</v>
      </c>
      <c r="C4" s="5" t="s">
        <v>2</v>
      </c>
      <c r="D4" s="5" t="s">
        <v>3</v>
      </c>
      <c r="E4" s="6" t="s">
        <v>4</v>
      </c>
      <c r="F4" s="5" t="s">
        <v>5</v>
      </c>
    </row>
    <row r="5" spans="1:9" ht="26.25" thickBot="1" x14ac:dyDescent="0.3">
      <c r="A5" s="25" t="s">
        <v>6</v>
      </c>
      <c r="B5" s="8" t="s">
        <v>20</v>
      </c>
      <c r="C5" s="9" t="s">
        <v>7</v>
      </c>
      <c r="D5" s="10">
        <v>4</v>
      </c>
      <c r="E5" s="10"/>
      <c r="F5" s="10">
        <f t="shared" ref="F5" si="0">ROUND(D5*E5,2)</f>
        <v>0</v>
      </c>
    </row>
    <row r="6" spans="1:9" ht="64.5" thickBot="1" x14ac:dyDescent="0.3">
      <c r="A6" s="7" t="s">
        <v>8</v>
      </c>
      <c r="B6" s="14" t="s">
        <v>96</v>
      </c>
      <c r="C6" s="15" t="s">
        <v>9</v>
      </c>
      <c r="D6" s="16">
        <f>250*4.2*0.08</f>
        <v>84</v>
      </c>
      <c r="E6" s="16"/>
      <c r="F6" s="16">
        <f>ROUND(D6*E6,2)</f>
        <v>0</v>
      </c>
    </row>
    <row r="7" spans="1:9" ht="28.5" customHeight="1" thickBot="1" x14ac:dyDescent="0.3">
      <c r="A7" s="13" t="s">
        <v>10</v>
      </c>
      <c r="B7" s="8" t="s">
        <v>97</v>
      </c>
      <c r="C7" s="9" t="s">
        <v>7</v>
      </c>
      <c r="D7" s="16">
        <f>(250*4.2)</f>
        <v>1050</v>
      </c>
      <c r="E7" s="10"/>
      <c r="F7" s="17">
        <f>ROUND(D7*E7,2)</f>
        <v>0</v>
      </c>
    </row>
    <row r="8" spans="1:9" ht="39" thickBot="1" x14ac:dyDescent="0.3">
      <c r="A8" s="7" t="s">
        <v>11</v>
      </c>
      <c r="B8" s="8" t="s">
        <v>98</v>
      </c>
      <c r="C8" s="9" t="s">
        <v>7</v>
      </c>
      <c r="D8" s="10">
        <f>(250*4)</f>
        <v>1000</v>
      </c>
      <c r="E8" s="10"/>
      <c r="F8" s="17">
        <f>ROUND(D8*E8,2)</f>
        <v>0</v>
      </c>
    </row>
    <row r="9" spans="1:9" ht="26.25" thickBot="1" x14ac:dyDescent="0.3">
      <c r="A9" s="13" t="s">
        <v>12</v>
      </c>
      <c r="B9" s="8" t="s">
        <v>22</v>
      </c>
      <c r="C9" s="9" t="s">
        <v>7</v>
      </c>
      <c r="D9" s="10">
        <f>(250*1.5)</f>
        <v>375</v>
      </c>
      <c r="E9" s="10"/>
      <c r="F9" s="17">
        <f>ROUND(D9*E9,2)</f>
        <v>0</v>
      </c>
    </row>
    <row r="10" spans="1:9" ht="15.75" thickBot="1" x14ac:dyDescent="0.3">
      <c r="A10" s="7" t="s">
        <v>13</v>
      </c>
      <c r="B10" s="8" t="s">
        <v>109</v>
      </c>
      <c r="C10" s="9" t="s">
        <v>21</v>
      </c>
      <c r="D10" s="10">
        <v>1</v>
      </c>
      <c r="E10" s="10"/>
      <c r="F10" s="10">
        <f t="shared" ref="F10" si="1">ROUND(D10*E10,2)</f>
        <v>0</v>
      </c>
    </row>
    <row r="11" spans="1:9" ht="13.5" customHeight="1" thickBot="1" x14ac:dyDescent="0.3">
      <c r="A11" s="60" t="s">
        <v>14</v>
      </c>
      <c r="B11" s="60"/>
      <c r="C11" s="60"/>
      <c r="D11" s="60"/>
      <c r="E11" s="60"/>
      <c r="F11" s="49">
        <f>SUM(F6:F10)</f>
        <v>0</v>
      </c>
      <c r="I11" s="11"/>
    </row>
    <row r="12" spans="1:9" ht="13.5" customHeight="1" thickBot="1" x14ac:dyDescent="0.3">
      <c r="A12" s="60" t="s">
        <v>15</v>
      </c>
      <c r="B12" s="60"/>
      <c r="C12" s="60"/>
      <c r="D12" s="60" t="s">
        <v>16</v>
      </c>
      <c r="E12" s="60" t="s">
        <v>16</v>
      </c>
      <c r="F12" s="10">
        <f>ROUND(0.23*F11,2)</f>
        <v>0</v>
      </c>
      <c r="I12" s="12"/>
    </row>
    <row r="13" spans="1:9" ht="13.5" customHeight="1" thickBot="1" x14ac:dyDescent="0.3">
      <c r="A13" s="60" t="s">
        <v>17</v>
      </c>
      <c r="B13" s="60"/>
      <c r="C13" s="60"/>
      <c r="D13" s="60" t="s">
        <v>16</v>
      </c>
      <c r="E13" s="60" t="s">
        <v>18</v>
      </c>
      <c r="F13" s="49">
        <f>F11+F12</f>
        <v>0</v>
      </c>
      <c r="I13" s="12"/>
    </row>
  </sheetData>
  <mergeCells count="3">
    <mergeCell ref="A11:E11"/>
    <mergeCell ref="A12:E12"/>
    <mergeCell ref="A13:E13"/>
  </mergeCells>
  <phoneticPr fontId="4" type="noConversion"/>
  <pageMargins left="0.7" right="0.7" top="0.75" bottom="0.75" header="0.51180555555555496" footer="0.51180555555555496"/>
  <pageSetup paperSize="9" firstPageNumber="0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BB40E-D2FB-451D-80A0-41CBF5D31776}">
  <sheetPr>
    <tabColor rgb="FF00B0F0"/>
  </sheetPr>
  <dimension ref="A1:H13"/>
  <sheetViews>
    <sheetView zoomScaleNormal="100" workbookViewId="0">
      <selection activeCell="N11" sqref="N11"/>
    </sheetView>
  </sheetViews>
  <sheetFormatPr defaultColWidth="8.5703125" defaultRowHeight="15" x14ac:dyDescent="0.25"/>
  <cols>
    <col min="1" max="1" width="5.42578125" style="1" customWidth="1"/>
    <col min="2" max="2" width="44.28515625" style="1" customWidth="1"/>
    <col min="3" max="3" width="6" style="1" customWidth="1"/>
    <col min="4" max="4" width="8.5703125" style="1"/>
    <col min="5" max="5" width="8.42578125" style="1" customWidth="1"/>
    <col min="6" max="6" width="10.42578125" style="1" customWidth="1"/>
    <col min="7" max="7" width="8.5703125" style="1"/>
    <col min="8" max="8" width="13" style="1" customWidth="1"/>
    <col min="9" max="16384" width="8.5703125" style="1"/>
  </cols>
  <sheetData>
    <row r="1" spans="1:8" x14ac:dyDescent="0.25">
      <c r="B1" s="2" t="s">
        <v>120</v>
      </c>
    </row>
    <row r="2" spans="1:8" x14ac:dyDescent="0.25">
      <c r="B2" s="3" t="s">
        <v>108</v>
      </c>
    </row>
    <row r="3" spans="1:8" ht="15.75" thickBot="1" x14ac:dyDescent="0.3"/>
    <row r="4" spans="1:8" ht="15.75" thickBot="1" x14ac:dyDescent="0.3">
      <c r="A4" s="4" t="s">
        <v>0</v>
      </c>
      <c r="B4" s="5" t="s">
        <v>1</v>
      </c>
      <c r="C4" s="5" t="s">
        <v>2</v>
      </c>
      <c r="D4" s="5" t="s">
        <v>3</v>
      </c>
      <c r="E4" s="6" t="s">
        <v>4</v>
      </c>
      <c r="F4" s="5" t="s">
        <v>5</v>
      </c>
    </row>
    <row r="5" spans="1:8" ht="26.25" thickBot="1" x14ac:dyDescent="0.3">
      <c r="A5" s="25" t="s">
        <v>6</v>
      </c>
      <c r="B5" s="8" t="s">
        <v>20</v>
      </c>
      <c r="C5" s="9" t="s">
        <v>7</v>
      </c>
      <c r="D5" s="10">
        <v>4</v>
      </c>
      <c r="E5" s="10"/>
      <c r="F5" s="10">
        <f t="shared" ref="F5:F10" si="0">ROUND(D5*E5,2)</f>
        <v>0</v>
      </c>
    </row>
    <row r="6" spans="1:8" ht="64.5" thickBot="1" x14ac:dyDescent="0.3">
      <c r="A6" s="25" t="s">
        <v>8</v>
      </c>
      <c r="B6" s="14" t="s">
        <v>104</v>
      </c>
      <c r="C6" s="15" t="s">
        <v>9</v>
      </c>
      <c r="D6" s="16">
        <v>67.2</v>
      </c>
      <c r="E6" s="16"/>
      <c r="F6" s="16">
        <f>ROUND(D6*E6,2)</f>
        <v>0</v>
      </c>
    </row>
    <row r="7" spans="1:8" ht="26.25" thickBot="1" x14ac:dyDescent="0.3">
      <c r="A7" s="25" t="s">
        <v>10</v>
      </c>
      <c r="B7" s="8" t="s">
        <v>105</v>
      </c>
      <c r="C7" s="9" t="s">
        <v>7</v>
      </c>
      <c r="D7" s="10">
        <v>840</v>
      </c>
      <c r="E7" s="10"/>
      <c r="F7" s="10">
        <f t="shared" si="0"/>
        <v>0</v>
      </c>
    </row>
    <row r="8" spans="1:8" ht="39" thickBot="1" x14ac:dyDescent="0.3">
      <c r="A8" s="25" t="s">
        <v>11</v>
      </c>
      <c r="B8" s="8" t="s">
        <v>100</v>
      </c>
      <c r="C8" s="9" t="s">
        <v>7</v>
      </c>
      <c r="D8" s="10">
        <v>800</v>
      </c>
      <c r="E8" s="10"/>
      <c r="F8" s="10">
        <f t="shared" si="0"/>
        <v>0</v>
      </c>
    </row>
    <row r="9" spans="1:8" ht="26.25" thickBot="1" x14ac:dyDescent="0.3">
      <c r="A9" s="25" t="s">
        <v>12</v>
      </c>
      <c r="B9" s="8" t="s">
        <v>22</v>
      </c>
      <c r="C9" s="9" t="s">
        <v>7</v>
      </c>
      <c r="D9" s="10">
        <v>300</v>
      </c>
      <c r="E9" s="10"/>
      <c r="F9" s="10">
        <f t="shared" si="0"/>
        <v>0</v>
      </c>
    </row>
    <row r="10" spans="1:8" ht="15.75" thickBot="1" x14ac:dyDescent="0.3">
      <c r="A10" s="25" t="s">
        <v>13</v>
      </c>
      <c r="B10" s="8" t="s">
        <v>109</v>
      </c>
      <c r="C10" s="9" t="s">
        <v>21</v>
      </c>
      <c r="D10" s="10">
        <v>1</v>
      </c>
      <c r="E10" s="10"/>
      <c r="F10" s="10">
        <f t="shared" si="0"/>
        <v>0</v>
      </c>
    </row>
    <row r="11" spans="1:8" ht="13.5" customHeight="1" thickBot="1" x14ac:dyDescent="0.3">
      <c r="A11" s="60" t="s">
        <v>14</v>
      </c>
      <c r="B11" s="60"/>
      <c r="C11" s="60"/>
      <c r="D11" s="60"/>
      <c r="E11" s="60"/>
      <c r="F11" s="49">
        <f>SUM(F5:F10)</f>
        <v>0</v>
      </c>
      <c r="H11" s="11"/>
    </row>
    <row r="12" spans="1:8" ht="13.5" customHeight="1" thickBot="1" x14ac:dyDescent="0.3">
      <c r="A12" s="60" t="s">
        <v>15</v>
      </c>
      <c r="B12" s="60"/>
      <c r="C12" s="60"/>
      <c r="D12" s="60" t="s">
        <v>16</v>
      </c>
      <c r="E12" s="60" t="s">
        <v>16</v>
      </c>
      <c r="F12" s="10">
        <f>ROUND(0.23*F11,2)</f>
        <v>0</v>
      </c>
      <c r="H12" s="12"/>
    </row>
    <row r="13" spans="1:8" ht="13.5" customHeight="1" thickBot="1" x14ac:dyDescent="0.3">
      <c r="A13" s="60" t="s">
        <v>17</v>
      </c>
      <c r="B13" s="60"/>
      <c r="C13" s="60"/>
      <c r="D13" s="60" t="s">
        <v>16</v>
      </c>
      <c r="E13" s="60" t="s">
        <v>18</v>
      </c>
      <c r="F13" s="49">
        <f>F11+F12</f>
        <v>0</v>
      </c>
      <c r="H13" s="12"/>
    </row>
  </sheetData>
  <mergeCells count="3">
    <mergeCell ref="A11:E11"/>
    <mergeCell ref="A12:E12"/>
    <mergeCell ref="A13:E13"/>
  </mergeCells>
  <phoneticPr fontId="4" type="noConversion"/>
  <pageMargins left="0.7" right="0.7" top="0.75" bottom="0.75" header="0.51180555555555496" footer="0.51180555555555496"/>
  <pageSetup paperSize="9" firstPageNumber="0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264E6-144C-47CB-B7B8-F6E104A38D37}">
  <sheetPr>
    <tabColor rgb="FF00B0F0"/>
  </sheetPr>
  <dimension ref="A1:I11"/>
  <sheetViews>
    <sheetView zoomScaleNormal="100" workbookViewId="0">
      <selection activeCell="B6" sqref="B6"/>
    </sheetView>
  </sheetViews>
  <sheetFormatPr defaultColWidth="8.5703125" defaultRowHeight="15" x14ac:dyDescent="0.25"/>
  <cols>
    <col min="1" max="1" width="5.42578125" style="1" customWidth="1"/>
    <col min="2" max="2" width="45.7109375" style="1" customWidth="1"/>
    <col min="3" max="3" width="6" style="1" customWidth="1"/>
    <col min="4" max="4" width="8.5703125" style="1"/>
    <col min="5" max="5" width="9.85546875" style="1" customWidth="1"/>
    <col min="6" max="6" width="10.42578125" style="1" customWidth="1"/>
    <col min="7" max="8" width="8.5703125" style="1"/>
    <col min="9" max="9" width="13" style="1" customWidth="1"/>
    <col min="10" max="16384" width="8.5703125" style="1"/>
  </cols>
  <sheetData>
    <row r="1" spans="1:9" x14ac:dyDescent="0.25">
      <c r="B1" s="2" t="s">
        <v>120</v>
      </c>
    </row>
    <row r="2" spans="1:9" x14ac:dyDescent="0.25">
      <c r="B2" s="3" t="s">
        <v>92</v>
      </c>
    </row>
    <row r="3" spans="1:9" ht="15.75" thickBot="1" x14ac:dyDescent="0.3"/>
    <row r="4" spans="1:9" ht="15.75" thickBot="1" x14ac:dyDescent="0.3">
      <c r="A4" s="4" t="s">
        <v>0</v>
      </c>
      <c r="B4" s="5" t="s">
        <v>1</v>
      </c>
      <c r="C4" s="5" t="s">
        <v>2</v>
      </c>
      <c r="D4" s="5" t="s">
        <v>3</v>
      </c>
      <c r="E4" s="6" t="s">
        <v>4</v>
      </c>
      <c r="F4" s="5" t="s">
        <v>5</v>
      </c>
    </row>
    <row r="5" spans="1:9" ht="28.5" customHeight="1" thickBot="1" x14ac:dyDescent="0.3">
      <c r="A5" s="25" t="s">
        <v>6</v>
      </c>
      <c r="B5" s="41" t="s">
        <v>94</v>
      </c>
      <c r="C5" s="38" t="s">
        <v>86</v>
      </c>
      <c r="D5" s="39">
        <f>((41.5+67)*4.2)+16</f>
        <v>471.70000000000005</v>
      </c>
      <c r="E5" s="42"/>
      <c r="F5" s="42">
        <f t="shared" ref="F5" si="0">ROUND(D5*E5,2)</f>
        <v>0</v>
      </c>
    </row>
    <row r="6" spans="1:9" ht="28.5" customHeight="1" thickBot="1" x14ac:dyDescent="0.3">
      <c r="A6" s="37" t="s">
        <v>8</v>
      </c>
      <c r="B6" s="41" t="s">
        <v>121</v>
      </c>
      <c r="C6" s="38" t="s">
        <v>7</v>
      </c>
      <c r="D6" s="39">
        <f>D5</f>
        <v>471.70000000000005</v>
      </c>
      <c r="E6" s="39"/>
      <c r="F6" s="39">
        <f>ROUND(D6*E6,2)</f>
        <v>0</v>
      </c>
    </row>
    <row r="7" spans="1:9" ht="40.5" customHeight="1" thickBot="1" x14ac:dyDescent="0.3">
      <c r="A7" s="25" t="s">
        <v>10</v>
      </c>
      <c r="B7" s="41" t="s">
        <v>106</v>
      </c>
      <c r="C7" s="38" t="s">
        <v>7</v>
      </c>
      <c r="D7" s="39">
        <f>((41.5+67)*4)+16</f>
        <v>450</v>
      </c>
      <c r="E7" s="42"/>
      <c r="F7" s="39">
        <f>ROUND(D7*E7,2)</f>
        <v>0</v>
      </c>
    </row>
    <row r="8" spans="1:9" ht="27" customHeight="1" thickBot="1" x14ac:dyDescent="0.3">
      <c r="A8" s="37" t="s">
        <v>11</v>
      </c>
      <c r="B8" s="41" t="s">
        <v>22</v>
      </c>
      <c r="C8" s="38" t="s">
        <v>7</v>
      </c>
      <c r="D8" s="39">
        <f>((41.5+67)*1.5)</f>
        <v>162.75</v>
      </c>
      <c r="E8" s="42"/>
      <c r="F8" s="42">
        <f>ROUND(D8*E8,2)</f>
        <v>0</v>
      </c>
    </row>
    <row r="9" spans="1:9" ht="13.5" customHeight="1" thickBot="1" x14ac:dyDescent="0.3">
      <c r="A9" s="57" t="s">
        <v>14</v>
      </c>
      <c r="B9" s="58"/>
      <c r="C9" s="58"/>
      <c r="D9" s="58"/>
      <c r="E9" s="59"/>
      <c r="F9" s="49">
        <f>SUM(F5:F8)</f>
        <v>0</v>
      </c>
      <c r="I9" s="11"/>
    </row>
    <row r="10" spans="1:9" ht="13.5" customHeight="1" thickBot="1" x14ac:dyDescent="0.3">
      <c r="A10" s="57" t="s">
        <v>15</v>
      </c>
      <c r="B10" s="58"/>
      <c r="C10" s="58"/>
      <c r="D10" s="58" t="s">
        <v>16</v>
      </c>
      <c r="E10" s="59" t="s">
        <v>16</v>
      </c>
      <c r="F10" s="10">
        <f>ROUND(0.23*F9,2)</f>
        <v>0</v>
      </c>
      <c r="I10" s="12"/>
    </row>
    <row r="11" spans="1:9" ht="13.5" customHeight="1" thickBot="1" x14ac:dyDescent="0.3">
      <c r="A11" s="60" t="s">
        <v>17</v>
      </c>
      <c r="B11" s="60"/>
      <c r="C11" s="60"/>
      <c r="D11" s="60" t="s">
        <v>16</v>
      </c>
      <c r="E11" s="60" t="s">
        <v>18</v>
      </c>
      <c r="F11" s="49">
        <f>F9+F10</f>
        <v>0</v>
      </c>
      <c r="I11" s="12"/>
    </row>
  </sheetData>
  <mergeCells count="3">
    <mergeCell ref="A9:E9"/>
    <mergeCell ref="A10:E10"/>
    <mergeCell ref="A11:E11"/>
  </mergeCells>
  <phoneticPr fontId="4" type="noConversion"/>
  <pageMargins left="0.7" right="0.7" top="0.75" bottom="0.75" header="0.51180555555555496" footer="0.51180555555555496"/>
  <pageSetup paperSize="9" firstPageNumber="0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0CA3C-4E07-47E4-9406-730976E4D706}">
  <sheetPr>
    <tabColor rgb="FF00B0F0"/>
  </sheetPr>
  <dimension ref="A1:I17"/>
  <sheetViews>
    <sheetView zoomScaleNormal="100" workbookViewId="0">
      <selection activeCell="B1" sqref="B1"/>
    </sheetView>
  </sheetViews>
  <sheetFormatPr defaultColWidth="8.5703125" defaultRowHeight="15" x14ac:dyDescent="0.25"/>
  <cols>
    <col min="1" max="1" width="5.42578125" style="1" customWidth="1"/>
    <col min="2" max="2" width="47" style="1" customWidth="1"/>
    <col min="3" max="3" width="6" style="1" customWidth="1"/>
    <col min="4" max="4" width="8.5703125" style="1" customWidth="1"/>
    <col min="5" max="5" width="8.42578125" style="1" customWidth="1"/>
    <col min="6" max="6" width="10.42578125" style="1" customWidth="1"/>
    <col min="7" max="8" width="8.5703125" style="1"/>
    <col min="9" max="9" width="13" style="1" customWidth="1"/>
    <col min="10" max="16384" width="8.5703125" style="1"/>
  </cols>
  <sheetData>
    <row r="1" spans="1:9" x14ac:dyDescent="0.25">
      <c r="B1" s="2" t="s">
        <v>120</v>
      </c>
    </row>
    <row r="2" spans="1:9" x14ac:dyDescent="0.25">
      <c r="B2" s="3" t="s">
        <v>95</v>
      </c>
    </row>
    <row r="3" spans="1:9" ht="15.75" thickBot="1" x14ac:dyDescent="0.3"/>
    <row r="4" spans="1:9" ht="15.75" thickBot="1" x14ac:dyDescent="0.3">
      <c r="A4" s="4" t="s">
        <v>0</v>
      </c>
      <c r="B4" s="5" t="s">
        <v>1</v>
      </c>
      <c r="C4" s="5" t="s">
        <v>2</v>
      </c>
      <c r="D4" s="5" t="s">
        <v>3</v>
      </c>
      <c r="E4" s="6" t="s">
        <v>4</v>
      </c>
      <c r="F4" s="5" t="s">
        <v>5</v>
      </c>
    </row>
    <row r="5" spans="1:9" ht="15.75" thickBot="1" x14ac:dyDescent="0.3">
      <c r="A5" s="33"/>
      <c r="B5" s="34" t="s">
        <v>50</v>
      </c>
      <c r="C5" s="35"/>
      <c r="D5" s="35"/>
      <c r="E5" s="34"/>
      <c r="F5" s="36"/>
    </row>
    <row r="6" spans="1:9" ht="39" thickBot="1" x14ac:dyDescent="0.3">
      <c r="A6" s="25" t="s">
        <v>6</v>
      </c>
      <c r="B6" s="32" t="s">
        <v>110</v>
      </c>
      <c r="C6" s="40" t="s">
        <v>7</v>
      </c>
      <c r="D6" s="39">
        <f>300*1.6</f>
        <v>480</v>
      </c>
      <c r="E6" s="42"/>
      <c r="F6" s="39">
        <f>ROUND(D6*E6,2)</f>
        <v>0</v>
      </c>
    </row>
    <row r="7" spans="1:9" ht="39" thickBot="1" x14ac:dyDescent="0.3">
      <c r="A7" s="25" t="s">
        <v>8</v>
      </c>
      <c r="B7" s="32" t="s">
        <v>52</v>
      </c>
      <c r="C7" s="40" t="s">
        <v>7</v>
      </c>
      <c r="D7" s="39">
        <f>300*1.6</f>
        <v>480</v>
      </c>
      <c r="E7" s="42"/>
      <c r="F7" s="39">
        <f t="shared" ref="F7:F11" si="0">ROUND(D7*E7,2)</f>
        <v>0</v>
      </c>
    </row>
    <row r="8" spans="1:9" ht="26.25" thickBot="1" x14ac:dyDescent="0.3">
      <c r="A8" s="25" t="s">
        <v>10</v>
      </c>
      <c r="B8" s="32" t="s">
        <v>53</v>
      </c>
      <c r="C8" s="40" t="s">
        <v>7</v>
      </c>
      <c r="D8" s="39">
        <f>300*1.5</f>
        <v>450</v>
      </c>
      <c r="E8" s="42"/>
      <c r="F8" s="39">
        <f t="shared" si="0"/>
        <v>0</v>
      </c>
    </row>
    <row r="9" spans="1:9" ht="26.25" thickBot="1" x14ac:dyDescent="0.3">
      <c r="A9" s="25" t="s">
        <v>11</v>
      </c>
      <c r="B9" s="32" t="s">
        <v>88</v>
      </c>
      <c r="C9" s="40" t="s">
        <v>86</v>
      </c>
      <c r="D9" s="39">
        <v>300</v>
      </c>
      <c r="E9" s="42"/>
      <c r="F9" s="39">
        <f t="shared" si="0"/>
        <v>0</v>
      </c>
    </row>
    <row r="10" spans="1:9" ht="15.75" thickBot="1" x14ac:dyDescent="0.3">
      <c r="A10" s="25" t="s">
        <v>12</v>
      </c>
      <c r="B10" s="32" t="s">
        <v>60</v>
      </c>
      <c r="C10" s="40" t="s">
        <v>7</v>
      </c>
      <c r="D10" s="39">
        <f t="shared" ref="D10:D11" si="1">300*1.5</f>
        <v>450</v>
      </c>
      <c r="E10" s="42"/>
      <c r="F10" s="39">
        <f t="shared" si="0"/>
        <v>0</v>
      </c>
    </row>
    <row r="11" spans="1:9" ht="26.25" thickBot="1" x14ac:dyDescent="0.3">
      <c r="A11" s="25" t="s">
        <v>13</v>
      </c>
      <c r="B11" s="41" t="s">
        <v>87</v>
      </c>
      <c r="C11" s="40" t="s">
        <v>7</v>
      </c>
      <c r="D11" s="39">
        <f t="shared" si="1"/>
        <v>450</v>
      </c>
      <c r="E11" s="42"/>
      <c r="F11" s="39">
        <f t="shared" si="0"/>
        <v>0</v>
      </c>
    </row>
    <row r="12" spans="1:9" ht="15.75" thickBot="1" x14ac:dyDescent="0.3">
      <c r="A12" s="33"/>
      <c r="B12" s="34" t="s">
        <v>90</v>
      </c>
      <c r="C12" s="35"/>
      <c r="D12" s="35"/>
      <c r="E12" s="34"/>
      <c r="F12" s="36"/>
    </row>
    <row r="13" spans="1:9" ht="26.25" thickBot="1" x14ac:dyDescent="0.3">
      <c r="A13" s="37" t="s">
        <v>29</v>
      </c>
      <c r="B13" s="41" t="s">
        <v>84</v>
      </c>
      <c r="C13" s="38" t="s">
        <v>7</v>
      </c>
      <c r="D13" s="42">
        <f>(300*0.75)</f>
        <v>225</v>
      </c>
      <c r="E13" s="42"/>
      <c r="F13" s="43">
        <f>ROUND(D13*E13,2)</f>
        <v>0</v>
      </c>
    </row>
    <row r="14" spans="1:9" ht="26.25" thickBot="1" x14ac:dyDescent="0.3">
      <c r="A14" s="7" t="s">
        <v>55</v>
      </c>
      <c r="B14" s="8" t="s">
        <v>91</v>
      </c>
      <c r="C14" s="9" t="s">
        <v>7</v>
      </c>
      <c r="D14" s="10">
        <v>15</v>
      </c>
      <c r="E14" s="10"/>
      <c r="F14" s="17">
        <f>ROUND(D14*E14,2)</f>
        <v>0</v>
      </c>
    </row>
    <row r="15" spans="1:9" ht="13.5" customHeight="1" thickBot="1" x14ac:dyDescent="0.3">
      <c r="A15" s="60" t="s">
        <v>14</v>
      </c>
      <c r="B15" s="60"/>
      <c r="C15" s="60"/>
      <c r="D15" s="60"/>
      <c r="E15" s="60"/>
      <c r="F15" s="49">
        <f>SUM(F5:F14)</f>
        <v>0</v>
      </c>
      <c r="I15" s="11"/>
    </row>
    <row r="16" spans="1:9" ht="13.5" customHeight="1" thickBot="1" x14ac:dyDescent="0.3">
      <c r="A16" s="60" t="s">
        <v>15</v>
      </c>
      <c r="B16" s="60"/>
      <c r="C16" s="60"/>
      <c r="D16" s="60" t="s">
        <v>16</v>
      </c>
      <c r="E16" s="60" t="s">
        <v>16</v>
      </c>
      <c r="F16" s="10">
        <f>ROUND(0.23*F15,2)</f>
        <v>0</v>
      </c>
      <c r="I16" s="12"/>
    </row>
    <row r="17" spans="1:9" ht="13.5" customHeight="1" thickBot="1" x14ac:dyDescent="0.3">
      <c r="A17" s="60" t="s">
        <v>17</v>
      </c>
      <c r="B17" s="60"/>
      <c r="C17" s="60"/>
      <c r="D17" s="60" t="s">
        <v>16</v>
      </c>
      <c r="E17" s="60" t="s">
        <v>18</v>
      </c>
      <c r="F17" s="49">
        <f>F15+F16</f>
        <v>0</v>
      </c>
      <c r="I17" s="12"/>
    </row>
  </sheetData>
  <mergeCells count="3">
    <mergeCell ref="A15:E15"/>
    <mergeCell ref="A16:E16"/>
    <mergeCell ref="A17:E17"/>
  </mergeCells>
  <phoneticPr fontId="4" type="noConversion"/>
  <pageMargins left="0.7" right="0.7" top="0.75" bottom="0.75" header="0.51180555555555496" footer="0.51180555555555496"/>
  <pageSetup paperSize="9" firstPageNumber="0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8B6C8-6963-4CF9-8581-08C50D294985}">
  <sheetPr>
    <tabColor rgb="FF00B0F0"/>
  </sheetPr>
  <dimension ref="A1:I12"/>
  <sheetViews>
    <sheetView zoomScaleNormal="100" workbookViewId="0">
      <selection activeCell="B6" sqref="B6"/>
    </sheetView>
  </sheetViews>
  <sheetFormatPr defaultColWidth="8.5703125" defaultRowHeight="15" x14ac:dyDescent="0.25"/>
  <cols>
    <col min="1" max="1" width="5.42578125" style="1" customWidth="1"/>
    <col min="2" max="2" width="45.7109375" style="1" customWidth="1"/>
    <col min="3" max="3" width="6" style="1" customWidth="1"/>
    <col min="4" max="4" width="8.5703125" style="1"/>
    <col min="5" max="5" width="8.42578125" style="1" customWidth="1"/>
    <col min="6" max="6" width="10.42578125" style="1" customWidth="1"/>
    <col min="7" max="8" width="8.5703125" style="1"/>
    <col min="9" max="9" width="13" style="1" customWidth="1"/>
    <col min="10" max="16384" width="8.5703125" style="1"/>
  </cols>
  <sheetData>
    <row r="1" spans="1:9" x14ac:dyDescent="0.25">
      <c r="B1" s="2" t="s">
        <v>120</v>
      </c>
    </row>
    <row r="2" spans="1:9" x14ac:dyDescent="0.25">
      <c r="B2" s="3" t="s">
        <v>111</v>
      </c>
    </row>
    <row r="3" spans="1:9" ht="15.75" thickBot="1" x14ac:dyDescent="0.3"/>
    <row r="4" spans="1:9" ht="15.75" thickBot="1" x14ac:dyDescent="0.3">
      <c r="A4" s="4" t="s">
        <v>0</v>
      </c>
      <c r="B4" s="5" t="s">
        <v>1</v>
      </c>
      <c r="C4" s="5" t="s">
        <v>2</v>
      </c>
      <c r="D4" s="5" t="s">
        <v>3</v>
      </c>
      <c r="E4" s="6" t="s">
        <v>4</v>
      </c>
      <c r="F4" s="5" t="s">
        <v>5</v>
      </c>
    </row>
    <row r="5" spans="1:9" ht="39.75" customHeight="1" thickBot="1" x14ac:dyDescent="0.3">
      <c r="A5" s="37" t="s">
        <v>6</v>
      </c>
      <c r="B5" s="41" t="s">
        <v>112</v>
      </c>
      <c r="C5" s="38" t="s">
        <v>7</v>
      </c>
      <c r="D5" s="39">
        <f>(16+(115*4.2))</f>
        <v>499</v>
      </c>
      <c r="E5" s="42"/>
      <c r="F5" s="39">
        <f>ROUND(D5*E5,2)</f>
        <v>0</v>
      </c>
    </row>
    <row r="6" spans="1:9" ht="26.25" thickBot="1" x14ac:dyDescent="0.3">
      <c r="A6" s="37" t="s">
        <v>8</v>
      </c>
      <c r="B6" s="41" t="s">
        <v>89</v>
      </c>
      <c r="C6" s="38" t="s">
        <v>7</v>
      </c>
      <c r="D6" s="39">
        <f>(16+(115*4.2))</f>
        <v>499</v>
      </c>
      <c r="E6" s="39"/>
      <c r="F6" s="39">
        <f>ROUND(D6*E6,2)</f>
        <v>0</v>
      </c>
    </row>
    <row r="7" spans="1:9" ht="18.75" customHeight="1" thickBot="1" x14ac:dyDescent="0.3">
      <c r="A7" s="37" t="s">
        <v>10</v>
      </c>
      <c r="B7" s="41" t="s">
        <v>114</v>
      </c>
      <c r="C7" s="38" t="s">
        <v>7</v>
      </c>
      <c r="D7" s="39">
        <f>(16+(115*4.2))</f>
        <v>499</v>
      </c>
      <c r="E7" s="39"/>
      <c r="F7" s="39">
        <f>ROUND(D7*E7,2)</f>
        <v>0</v>
      </c>
    </row>
    <row r="8" spans="1:9" ht="39" thickBot="1" x14ac:dyDescent="0.3">
      <c r="A8" s="37" t="s">
        <v>11</v>
      </c>
      <c r="B8" s="41" t="s">
        <v>113</v>
      </c>
      <c r="C8" s="38" t="s">
        <v>7</v>
      </c>
      <c r="D8" s="39">
        <f>(16+(115*4))</f>
        <v>476</v>
      </c>
      <c r="E8" s="42"/>
      <c r="F8" s="39">
        <f>ROUND(D8*E8,2)</f>
        <v>0</v>
      </c>
      <c r="I8"/>
    </row>
    <row r="9" spans="1:9" ht="26.25" thickBot="1" x14ac:dyDescent="0.3">
      <c r="A9" s="37" t="s">
        <v>12</v>
      </c>
      <c r="B9" s="41" t="s">
        <v>22</v>
      </c>
      <c r="C9" s="38" t="s">
        <v>7</v>
      </c>
      <c r="D9" s="39">
        <f>115*1.5</f>
        <v>172.5</v>
      </c>
      <c r="E9" s="42"/>
      <c r="F9" s="42">
        <f>ROUND(D9*E9,2)</f>
        <v>0</v>
      </c>
    </row>
    <row r="10" spans="1:9" ht="13.5" customHeight="1" thickBot="1" x14ac:dyDescent="0.3">
      <c r="A10" s="57" t="s">
        <v>14</v>
      </c>
      <c r="B10" s="58"/>
      <c r="C10" s="58"/>
      <c r="D10" s="58"/>
      <c r="E10" s="59"/>
      <c r="F10" s="49">
        <f>SUM(F5:F9)</f>
        <v>0</v>
      </c>
      <c r="I10" s="11"/>
    </row>
    <row r="11" spans="1:9" ht="13.5" customHeight="1" thickBot="1" x14ac:dyDescent="0.3">
      <c r="A11" s="57" t="s">
        <v>15</v>
      </c>
      <c r="B11" s="58"/>
      <c r="C11" s="58"/>
      <c r="D11" s="58" t="s">
        <v>16</v>
      </c>
      <c r="E11" s="59" t="s">
        <v>16</v>
      </c>
      <c r="F11" s="10">
        <f>ROUND(0.23*F10,2)</f>
        <v>0</v>
      </c>
      <c r="I11" s="12"/>
    </row>
    <row r="12" spans="1:9" ht="13.5" customHeight="1" thickBot="1" x14ac:dyDescent="0.3">
      <c r="A12" s="60" t="s">
        <v>17</v>
      </c>
      <c r="B12" s="60"/>
      <c r="C12" s="60"/>
      <c r="D12" s="60" t="s">
        <v>16</v>
      </c>
      <c r="E12" s="60" t="s">
        <v>18</v>
      </c>
      <c r="F12" s="49">
        <f>F10+F11</f>
        <v>0</v>
      </c>
      <c r="I12" s="12"/>
    </row>
  </sheetData>
  <mergeCells count="3">
    <mergeCell ref="A10:E10"/>
    <mergeCell ref="A11:E11"/>
    <mergeCell ref="A12:E12"/>
  </mergeCells>
  <pageMargins left="0.7" right="0.7" top="0.75" bottom="0.75" header="0.51180555555555496" footer="0.51180555555555496"/>
  <pageSetup paperSize="9" firstPageNumber="0"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1B6FA-94FA-4EBC-91A9-9B0130B6758D}">
  <dimension ref="A2:F63"/>
  <sheetViews>
    <sheetView workbookViewId="0">
      <selection activeCell="H9" sqref="H9"/>
    </sheetView>
  </sheetViews>
  <sheetFormatPr defaultRowHeight="15" x14ac:dyDescent="0.25"/>
  <cols>
    <col min="3" max="3" width="6.85546875" customWidth="1"/>
    <col min="5" max="5" width="7.140625" customWidth="1"/>
  </cols>
  <sheetData>
    <row r="2" spans="1:1" x14ac:dyDescent="0.25">
      <c r="A2" t="s">
        <v>32</v>
      </c>
    </row>
    <row r="4" spans="1:1" x14ac:dyDescent="0.25">
      <c r="A4" t="s">
        <v>33</v>
      </c>
    </row>
    <row r="6" spans="1:1" x14ac:dyDescent="0.25">
      <c r="A6">
        <v>16</v>
      </c>
    </row>
    <row r="7" spans="1:1" x14ac:dyDescent="0.25">
      <c r="A7">
        <v>11</v>
      </c>
    </row>
    <row r="8" spans="1:1" x14ac:dyDescent="0.25">
      <c r="A8">
        <v>12</v>
      </c>
    </row>
    <row r="9" spans="1:1" x14ac:dyDescent="0.25">
      <c r="A9">
        <v>5</v>
      </c>
    </row>
    <row r="10" spans="1:1" x14ac:dyDescent="0.25">
      <c r="A10">
        <v>2.6</v>
      </c>
    </row>
    <row r="11" spans="1:1" x14ac:dyDescent="0.25">
      <c r="A11">
        <v>3.6</v>
      </c>
    </row>
    <row r="12" spans="1:1" x14ac:dyDescent="0.25">
      <c r="A12">
        <v>3.6</v>
      </c>
    </row>
    <row r="13" spans="1:1" x14ac:dyDescent="0.25">
      <c r="A13">
        <v>6.5</v>
      </c>
    </row>
    <row r="14" spans="1:1" x14ac:dyDescent="0.25">
      <c r="A14">
        <v>1</v>
      </c>
    </row>
    <row r="15" spans="1:1" x14ac:dyDescent="0.25">
      <c r="A15">
        <v>3.6</v>
      </c>
    </row>
    <row r="16" spans="1:1" x14ac:dyDescent="0.25">
      <c r="A16">
        <v>5</v>
      </c>
    </row>
    <row r="17" spans="1:3" x14ac:dyDescent="0.25">
      <c r="A17">
        <v>3.6</v>
      </c>
    </row>
    <row r="18" spans="1:3" x14ac:dyDescent="0.25">
      <c r="A18">
        <v>2</v>
      </c>
    </row>
    <row r="19" spans="1:3" x14ac:dyDescent="0.25">
      <c r="A19">
        <v>2</v>
      </c>
    </row>
    <row r="20" spans="1:3" x14ac:dyDescent="0.25">
      <c r="A20">
        <v>3.6</v>
      </c>
    </row>
    <row r="21" spans="1:3" x14ac:dyDescent="0.25">
      <c r="A21">
        <v>3.6</v>
      </c>
    </row>
    <row r="22" spans="1:3" x14ac:dyDescent="0.25">
      <c r="A22">
        <v>3.6</v>
      </c>
    </row>
    <row r="23" spans="1:3" x14ac:dyDescent="0.25">
      <c r="A23">
        <v>3.6</v>
      </c>
    </row>
    <row r="24" spans="1:3" x14ac:dyDescent="0.25">
      <c r="A24">
        <v>1</v>
      </c>
    </row>
    <row r="25" spans="1:3" x14ac:dyDescent="0.25">
      <c r="A25">
        <v>2</v>
      </c>
    </row>
    <row r="26" spans="1:3" x14ac:dyDescent="0.25">
      <c r="A26">
        <v>15</v>
      </c>
    </row>
    <row r="27" spans="1:3" x14ac:dyDescent="0.25">
      <c r="A27">
        <v>2.6</v>
      </c>
    </row>
    <row r="28" spans="1:3" x14ac:dyDescent="0.25">
      <c r="A28" s="26">
        <f>SUM(A6:A27)</f>
        <v>112.49999999999997</v>
      </c>
      <c r="B28" s="30" t="s">
        <v>35</v>
      </c>
      <c r="C28">
        <v>150</v>
      </c>
    </row>
    <row r="30" spans="1:3" x14ac:dyDescent="0.25">
      <c r="A30" t="s">
        <v>34</v>
      </c>
    </row>
    <row r="32" spans="1:3" x14ac:dyDescent="0.25">
      <c r="A32" s="28">
        <v>16</v>
      </c>
      <c r="B32" s="28">
        <v>1.5</v>
      </c>
      <c r="C32" s="27">
        <f>A32*B32</f>
        <v>24</v>
      </c>
    </row>
    <row r="33" spans="1:6" x14ac:dyDescent="0.25">
      <c r="A33" s="28">
        <v>2</v>
      </c>
      <c r="B33" s="28">
        <v>3.6</v>
      </c>
      <c r="C33" s="27">
        <f t="shared" ref="C33:C36" si="0">A33*B33</f>
        <v>7.2</v>
      </c>
    </row>
    <row r="34" spans="1:6" x14ac:dyDescent="0.25">
      <c r="A34" s="28">
        <v>1</v>
      </c>
      <c r="B34" s="28">
        <v>12</v>
      </c>
      <c r="C34" s="27">
        <f t="shared" si="0"/>
        <v>12</v>
      </c>
    </row>
    <row r="35" spans="1:6" x14ac:dyDescent="0.25">
      <c r="A35" s="28">
        <v>5</v>
      </c>
      <c r="B35" s="28">
        <v>1</v>
      </c>
      <c r="C35" s="27">
        <f t="shared" si="0"/>
        <v>5</v>
      </c>
    </row>
    <row r="36" spans="1:6" x14ac:dyDescent="0.25">
      <c r="A36" s="28">
        <v>1</v>
      </c>
      <c r="B36" s="28">
        <v>6.5</v>
      </c>
      <c r="C36" s="27">
        <f t="shared" si="0"/>
        <v>6.5</v>
      </c>
    </row>
    <row r="37" spans="1:6" x14ac:dyDescent="0.25">
      <c r="C37" s="29">
        <f>SUM(C32:C36)</f>
        <v>54.7</v>
      </c>
      <c r="D37" s="30" t="s">
        <v>35</v>
      </c>
      <c r="E37">
        <v>70</v>
      </c>
      <c r="F37" t="s">
        <v>7</v>
      </c>
    </row>
    <row r="40" spans="1:6" x14ac:dyDescent="0.25">
      <c r="A40" t="s">
        <v>36</v>
      </c>
    </row>
    <row r="41" spans="1:6" x14ac:dyDescent="0.25">
      <c r="A41">
        <f>250</f>
        <v>250</v>
      </c>
      <c r="B41">
        <f>(1.4+0.2)</f>
        <v>1.5999999999999999</v>
      </c>
      <c r="C41">
        <v>0.4</v>
      </c>
      <c r="D41" s="29">
        <f>A41*B41*C41</f>
        <v>160</v>
      </c>
      <c r="E41" t="s">
        <v>9</v>
      </c>
    </row>
    <row r="43" spans="1:6" x14ac:dyDescent="0.25">
      <c r="A43" t="s">
        <v>37</v>
      </c>
    </row>
    <row r="44" spans="1:6" x14ac:dyDescent="0.25">
      <c r="D44" s="31">
        <f>250*1.6</f>
        <v>400</v>
      </c>
      <c r="E44" t="s">
        <v>7</v>
      </c>
    </row>
    <row r="45" spans="1:6" x14ac:dyDescent="0.25">
      <c r="A45" t="s">
        <v>43</v>
      </c>
    </row>
    <row r="46" spans="1:6" x14ac:dyDescent="0.25">
      <c r="D46" s="31">
        <v>70</v>
      </c>
      <c r="E46" t="s">
        <v>7</v>
      </c>
    </row>
    <row r="47" spans="1:6" x14ac:dyDescent="0.25">
      <c r="A47" t="s">
        <v>41</v>
      </c>
    </row>
    <row r="48" spans="1:6" x14ac:dyDescent="0.25">
      <c r="D48" s="31">
        <f>250*1.5</f>
        <v>375</v>
      </c>
      <c r="E48" t="s">
        <v>7</v>
      </c>
    </row>
    <row r="49" spans="1:5" x14ac:dyDescent="0.25">
      <c r="A49" t="s">
        <v>42</v>
      </c>
    </row>
    <row r="50" spans="1:5" x14ac:dyDescent="0.25">
      <c r="D50" s="31">
        <v>70</v>
      </c>
      <c r="E50" t="s">
        <v>7</v>
      </c>
    </row>
    <row r="51" spans="1:5" x14ac:dyDescent="0.25">
      <c r="A51" t="s">
        <v>40</v>
      </c>
    </row>
    <row r="52" spans="1:5" x14ac:dyDescent="0.25">
      <c r="D52" s="31">
        <f>250*1.5</f>
        <v>375</v>
      </c>
      <c r="E52" t="s">
        <v>7</v>
      </c>
    </row>
    <row r="53" spans="1:5" x14ac:dyDescent="0.25">
      <c r="A53" t="s">
        <v>38</v>
      </c>
    </row>
    <row r="54" spans="1:5" x14ac:dyDescent="0.25">
      <c r="D54" s="31">
        <f>250*5.1</f>
        <v>1275</v>
      </c>
      <c r="E54" t="s">
        <v>7</v>
      </c>
    </row>
    <row r="55" spans="1:5" x14ac:dyDescent="0.25">
      <c r="A55" t="s">
        <v>45</v>
      </c>
    </row>
    <row r="56" spans="1:5" x14ac:dyDescent="0.25">
      <c r="D56" s="31">
        <f>250*5</f>
        <v>1250</v>
      </c>
      <c r="E56" t="s">
        <v>7</v>
      </c>
    </row>
    <row r="60" spans="1:5" x14ac:dyDescent="0.25">
      <c r="A60" t="s">
        <v>39</v>
      </c>
    </row>
    <row r="61" spans="1:5" x14ac:dyDescent="0.25">
      <c r="D61">
        <f>32*1</f>
        <v>32</v>
      </c>
      <c r="E61" t="s">
        <v>7</v>
      </c>
    </row>
    <row r="62" spans="1:5" x14ac:dyDescent="0.25">
      <c r="A62" t="s">
        <v>44</v>
      </c>
    </row>
    <row r="63" spans="1:5" x14ac:dyDescent="0.25">
      <c r="D63">
        <f>32*1.5</f>
        <v>48</v>
      </c>
      <c r="E63" t="s">
        <v>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A99B7-B70E-40EA-A733-D5F5142A566B}">
  <dimension ref="A1:L36"/>
  <sheetViews>
    <sheetView topLeftCell="A14" zoomScaleNormal="100" workbookViewId="0">
      <selection activeCell="F35" sqref="F35"/>
    </sheetView>
  </sheetViews>
  <sheetFormatPr defaultColWidth="8.5703125" defaultRowHeight="15" x14ac:dyDescent="0.25"/>
  <cols>
    <col min="1" max="1" width="5.42578125" style="1" customWidth="1"/>
    <col min="2" max="2" width="47" style="1" customWidth="1"/>
    <col min="3" max="3" width="6" style="1" customWidth="1"/>
    <col min="4" max="4" width="8.5703125" style="1" customWidth="1"/>
    <col min="5" max="5" width="8.42578125" style="1" customWidth="1"/>
    <col min="6" max="6" width="10.42578125" style="1" customWidth="1"/>
    <col min="7" max="8" width="8.5703125" style="1"/>
    <col min="9" max="9" width="13" style="1" customWidth="1"/>
    <col min="10" max="16384" width="8.5703125" style="1"/>
  </cols>
  <sheetData>
    <row r="1" spans="1:12" x14ac:dyDescent="0.25">
      <c r="B1" s="2" t="s">
        <v>19</v>
      </c>
    </row>
    <row r="2" spans="1:12" x14ac:dyDescent="0.25">
      <c r="B2" s="3" t="s">
        <v>47</v>
      </c>
    </row>
    <row r="3" spans="1:12" ht="15.75" thickBot="1" x14ac:dyDescent="0.3"/>
    <row r="4" spans="1:12" ht="15.75" thickBot="1" x14ac:dyDescent="0.3">
      <c r="A4" s="4" t="s">
        <v>0</v>
      </c>
      <c r="B4" s="5" t="s">
        <v>1</v>
      </c>
      <c r="C4" s="5" t="s">
        <v>2</v>
      </c>
      <c r="D4" s="5" t="s">
        <v>3</v>
      </c>
      <c r="E4" s="6" t="s">
        <v>4</v>
      </c>
      <c r="F4" s="5" t="s">
        <v>5</v>
      </c>
    </row>
    <row r="5" spans="1:12" ht="15.75" thickBot="1" x14ac:dyDescent="0.3">
      <c r="A5" s="33"/>
      <c r="B5" s="34" t="s">
        <v>48</v>
      </c>
      <c r="C5" s="35"/>
      <c r="D5" s="35"/>
      <c r="E5" s="34"/>
      <c r="F5" s="36"/>
    </row>
    <row r="6" spans="1:12" ht="26.25" thickBot="1" x14ac:dyDescent="0.3">
      <c r="A6" s="37" t="s">
        <v>6</v>
      </c>
      <c r="B6" s="32" t="s">
        <v>61</v>
      </c>
      <c r="C6" s="38" t="s">
        <v>7</v>
      </c>
      <c r="D6" s="39">
        <v>36</v>
      </c>
      <c r="E6" s="42">
        <v>15.3</v>
      </c>
      <c r="F6" s="39">
        <f t="shared" ref="F6:F13" si="0">ROUND(D6*E6,2)</f>
        <v>550.79999999999995</v>
      </c>
      <c r="L6" s="1">
        <f>5*3.6</f>
        <v>18</v>
      </c>
    </row>
    <row r="7" spans="1:12" ht="39" thickBot="1" x14ac:dyDescent="0.3">
      <c r="A7" s="37" t="s">
        <v>8</v>
      </c>
      <c r="B7" s="32" t="s">
        <v>49</v>
      </c>
      <c r="C7" s="38" t="s">
        <v>7</v>
      </c>
      <c r="D7" s="39">
        <f>10*1.6*0.5*0.25</f>
        <v>2</v>
      </c>
      <c r="E7" s="42">
        <v>12</v>
      </c>
      <c r="F7" s="39">
        <f t="shared" si="0"/>
        <v>24</v>
      </c>
    </row>
    <row r="8" spans="1:12" ht="39" thickBot="1" x14ac:dyDescent="0.3">
      <c r="A8" s="37" t="s">
        <v>10</v>
      </c>
      <c r="B8" s="32" t="s">
        <v>46</v>
      </c>
      <c r="C8" s="38" t="s">
        <v>7</v>
      </c>
      <c r="D8" s="39">
        <f>10*1.6*0.5*0.25</f>
        <v>2</v>
      </c>
      <c r="E8" s="42">
        <v>62.5</v>
      </c>
      <c r="F8" s="39">
        <f t="shared" si="0"/>
        <v>125</v>
      </c>
    </row>
    <row r="9" spans="1:12" ht="15.75" thickBot="1" x14ac:dyDescent="0.3">
      <c r="A9" s="37" t="s">
        <v>11</v>
      </c>
      <c r="B9" s="32" t="s">
        <v>60</v>
      </c>
      <c r="C9" s="38" t="s">
        <v>7</v>
      </c>
      <c r="D9" s="39">
        <f>D10+D11+D12</f>
        <v>86</v>
      </c>
      <c r="E9" s="42">
        <v>2</v>
      </c>
      <c r="F9" s="39">
        <f t="shared" si="0"/>
        <v>172</v>
      </c>
    </row>
    <row r="10" spans="1:12" ht="39" thickBot="1" x14ac:dyDescent="0.3">
      <c r="A10" s="37" t="s">
        <v>12</v>
      </c>
      <c r="B10" s="32" t="s">
        <v>85</v>
      </c>
      <c r="C10" s="38" t="s">
        <v>7</v>
      </c>
      <c r="D10" s="39">
        <f>D12/2</f>
        <v>19</v>
      </c>
      <c r="E10" s="42">
        <v>50.2</v>
      </c>
      <c r="F10" s="39">
        <f t="shared" si="0"/>
        <v>953.8</v>
      </c>
    </row>
    <row r="11" spans="1:12" ht="51.75" thickBot="1" x14ac:dyDescent="0.3">
      <c r="A11" s="37" t="s">
        <v>13</v>
      </c>
      <c r="B11" s="32" t="s">
        <v>64</v>
      </c>
      <c r="C11" s="38" t="s">
        <v>7</v>
      </c>
      <c r="D11" s="39">
        <v>29</v>
      </c>
      <c r="E11" s="42">
        <v>57.6</v>
      </c>
      <c r="F11" s="39">
        <f t="shared" si="0"/>
        <v>1670.4</v>
      </c>
    </row>
    <row r="12" spans="1:12" ht="51.75" thickBot="1" x14ac:dyDescent="0.3">
      <c r="A12" s="37" t="s">
        <v>29</v>
      </c>
      <c r="B12" s="32" t="s">
        <v>62</v>
      </c>
      <c r="C12" s="38" t="s">
        <v>7</v>
      </c>
      <c r="D12" s="39">
        <f>36+2</f>
        <v>38</v>
      </c>
      <c r="E12" s="42">
        <v>68.599999999999994</v>
      </c>
      <c r="F12" s="39">
        <f t="shared" si="0"/>
        <v>2606.8000000000002</v>
      </c>
    </row>
    <row r="13" spans="1:12" ht="39" thickBot="1" x14ac:dyDescent="0.3">
      <c r="A13" s="37" t="s">
        <v>55</v>
      </c>
      <c r="B13" s="32" t="s">
        <v>65</v>
      </c>
      <c r="C13" s="38" t="s">
        <v>7</v>
      </c>
      <c r="D13" s="39">
        <v>32</v>
      </c>
      <c r="E13" s="42">
        <v>130</v>
      </c>
      <c r="F13" s="39">
        <f t="shared" si="0"/>
        <v>4160</v>
      </c>
    </row>
    <row r="14" spans="1:12" ht="15.75" thickBot="1" x14ac:dyDescent="0.3">
      <c r="A14" s="33"/>
      <c r="B14" s="34" t="s">
        <v>54</v>
      </c>
      <c r="C14" s="35"/>
      <c r="D14" s="35"/>
      <c r="E14" s="34"/>
      <c r="F14" s="36"/>
    </row>
    <row r="15" spans="1:12" ht="26.25" thickBot="1" x14ac:dyDescent="0.3">
      <c r="A15" s="37" t="s">
        <v>30</v>
      </c>
      <c r="B15" s="32" t="s">
        <v>66</v>
      </c>
      <c r="C15" s="40" t="s">
        <v>7</v>
      </c>
      <c r="D15" s="39">
        <v>70</v>
      </c>
      <c r="E15" s="42">
        <f>E6</f>
        <v>15.3</v>
      </c>
      <c r="F15" s="39">
        <f t="shared" ref="F15:F20" si="1">ROUND(D15*E15,2)</f>
        <v>1071</v>
      </c>
    </row>
    <row r="16" spans="1:12" ht="15.75" thickBot="1" x14ac:dyDescent="0.3">
      <c r="A16" s="25" t="s">
        <v>56</v>
      </c>
      <c r="B16" s="32" t="s">
        <v>58</v>
      </c>
      <c r="C16" s="40" t="s">
        <v>7</v>
      </c>
      <c r="D16" s="39">
        <v>70</v>
      </c>
      <c r="E16" s="42">
        <v>18.399999999999999</v>
      </c>
      <c r="F16" s="39">
        <f t="shared" si="1"/>
        <v>1288</v>
      </c>
    </row>
    <row r="17" spans="1:12" ht="39" thickBot="1" x14ac:dyDescent="0.3">
      <c r="A17" s="25" t="s">
        <v>57</v>
      </c>
      <c r="B17" s="32" t="s">
        <v>52</v>
      </c>
      <c r="C17" s="40" t="s">
        <v>7</v>
      </c>
      <c r="D17" s="39">
        <v>70</v>
      </c>
      <c r="E17" s="39">
        <v>48.3</v>
      </c>
      <c r="F17" s="39">
        <f t="shared" si="1"/>
        <v>3381</v>
      </c>
      <c r="L17" s="1">
        <f>0.15*200</f>
        <v>30</v>
      </c>
    </row>
    <row r="18" spans="1:12" ht="26.25" thickBot="1" x14ac:dyDescent="0.3">
      <c r="A18" s="37" t="s">
        <v>59</v>
      </c>
      <c r="B18" s="32" t="s">
        <v>53</v>
      </c>
      <c r="C18" s="40" t="s">
        <v>7</v>
      </c>
      <c r="D18" s="39">
        <v>70</v>
      </c>
      <c r="E18" s="39">
        <v>62.5</v>
      </c>
      <c r="F18" s="39">
        <f t="shared" si="1"/>
        <v>4375</v>
      </c>
    </row>
    <row r="19" spans="1:12" ht="15.75" thickBot="1" x14ac:dyDescent="0.3">
      <c r="A19" s="25" t="s">
        <v>67</v>
      </c>
      <c r="B19" s="32" t="s">
        <v>60</v>
      </c>
      <c r="C19" s="40" t="s">
        <v>7</v>
      </c>
      <c r="D19" s="39">
        <v>70</v>
      </c>
      <c r="E19" s="39">
        <v>2</v>
      </c>
      <c r="F19" s="39">
        <f t="shared" si="1"/>
        <v>140</v>
      </c>
    </row>
    <row r="20" spans="1:12" ht="26.25" thickBot="1" x14ac:dyDescent="0.3">
      <c r="A20" s="25" t="s">
        <v>68</v>
      </c>
      <c r="B20" s="32" t="s">
        <v>63</v>
      </c>
      <c r="C20" s="40" t="s">
        <v>7</v>
      </c>
      <c r="D20" s="39">
        <v>70</v>
      </c>
      <c r="E20" s="39">
        <v>78.3</v>
      </c>
      <c r="F20" s="39">
        <f t="shared" si="1"/>
        <v>5481</v>
      </c>
    </row>
    <row r="21" spans="1:12" ht="15.75" thickBot="1" x14ac:dyDescent="0.3">
      <c r="A21" s="33"/>
      <c r="B21" s="34" t="s">
        <v>50</v>
      </c>
      <c r="C21" s="35"/>
      <c r="D21" s="35"/>
      <c r="E21" s="34"/>
      <c r="F21" s="36"/>
    </row>
    <row r="22" spans="1:12" ht="39" thickBot="1" x14ac:dyDescent="0.3">
      <c r="A22" s="25" t="s">
        <v>69</v>
      </c>
      <c r="B22" s="32" t="s">
        <v>51</v>
      </c>
      <c r="C22" s="40" t="s">
        <v>7</v>
      </c>
      <c r="D22" s="39">
        <f>250*1.6</f>
        <v>400</v>
      </c>
      <c r="E22" s="39">
        <f>E7</f>
        <v>12</v>
      </c>
      <c r="F22" s="39">
        <f>ROUND(D22*E22,2)</f>
        <v>4800</v>
      </c>
    </row>
    <row r="23" spans="1:12" ht="39" thickBot="1" x14ac:dyDescent="0.3">
      <c r="A23" s="25" t="s">
        <v>70</v>
      </c>
      <c r="B23" s="32" t="s">
        <v>52</v>
      </c>
      <c r="C23" s="40" t="s">
        <v>7</v>
      </c>
      <c r="D23" s="39">
        <f>250*1.6</f>
        <v>400</v>
      </c>
      <c r="E23" s="39">
        <f>E17</f>
        <v>48.3</v>
      </c>
      <c r="F23" s="39">
        <f t="shared" ref="F23:F26" si="2">ROUND(D23*E23,2)</f>
        <v>19320</v>
      </c>
    </row>
    <row r="24" spans="1:12" ht="26.25" thickBot="1" x14ac:dyDescent="0.3">
      <c r="A24" s="25" t="s">
        <v>71</v>
      </c>
      <c r="B24" s="32" t="s">
        <v>53</v>
      </c>
      <c r="C24" s="40" t="s">
        <v>7</v>
      </c>
      <c r="D24" s="39">
        <f>250*1.5</f>
        <v>375</v>
      </c>
      <c r="E24" s="39">
        <f>E18</f>
        <v>62.5</v>
      </c>
      <c r="F24" s="39">
        <f t="shared" si="2"/>
        <v>23437.5</v>
      </c>
    </row>
    <row r="25" spans="1:12" ht="15.75" thickBot="1" x14ac:dyDescent="0.3">
      <c r="A25" s="25" t="s">
        <v>72</v>
      </c>
      <c r="B25" s="32" t="s">
        <v>60</v>
      </c>
      <c r="C25" s="40" t="s">
        <v>7</v>
      </c>
      <c r="D25" s="39">
        <v>375</v>
      </c>
      <c r="E25" s="39">
        <f>E19</f>
        <v>2</v>
      </c>
      <c r="F25" s="39">
        <f t="shared" si="2"/>
        <v>750</v>
      </c>
    </row>
    <row r="26" spans="1:12" ht="26.25" thickBot="1" x14ac:dyDescent="0.3">
      <c r="A26" s="25" t="s">
        <v>73</v>
      </c>
      <c r="B26" s="41" t="s">
        <v>74</v>
      </c>
      <c r="C26" s="40" t="s">
        <v>7</v>
      </c>
      <c r="D26" s="39">
        <v>375</v>
      </c>
      <c r="E26" s="39">
        <f>E10</f>
        <v>50.2</v>
      </c>
      <c r="F26" s="39">
        <f t="shared" si="2"/>
        <v>18825</v>
      </c>
    </row>
    <row r="27" spans="1:12" ht="15.75" thickBot="1" x14ac:dyDescent="0.3">
      <c r="A27" s="33"/>
      <c r="B27" s="34" t="s">
        <v>82</v>
      </c>
      <c r="C27" s="35"/>
      <c r="D27" s="35"/>
      <c r="E27" s="34"/>
      <c r="F27" s="36"/>
    </row>
    <row r="28" spans="1:12" ht="26.25" thickBot="1" x14ac:dyDescent="0.3">
      <c r="A28" s="37" t="s">
        <v>76</v>
      </c>
      <c r="B28" s="41" t="s">
        <v>75</v>
      </c>
      <c r="C28" s="38" t="s">
        <v>7</v>
      </c>
      <c r="D28" s="39">
        <f>(250*5.1)+(250*5)</f>
        <v>2525</v>
      </c>
      <c r="E28" s="44">
        <v>2</v>
      </c>
      <c r="F28" s="43">
        <f>ROUND(D28*E28,2)</f>
        <v>5050</v>
      </c>
    </row>
    <row r="29" spans="1:12" ht="15.75" thickBot="1" x14ac:dyDescent="0.3">
      <c r="A29" s="37" t="s">
        <v>77</v>
      </c>
      <c r="B29" s="41" t="s">
        <v>80</v>
      </c>
      <c r="C29" s="38" t="s">
        <v>7</v>
      </c>
      <c r="D29" s="39">
        <f>150+250</f>
        <v>400</v>
      </c>
      <c r="E29" s="44">
        <v>11.9</v>
      </c>
      <c r="F29" s="43">
        <f t="shared" ref="F29:F31" si="3">ROUND(D29*E29,2)</f>
        <v>4760</v>
      </c>
    </row>
    <row r="30" spans="1:12" ht="51.75" thickBot="1" x14ac:dyDescent="0.3">
      <c r="A30" s="37" t="s">
        <v>78</v>
      </c>
      <c r="B30" s="32" t="s">
        <v>64</v>
      </c>
      <c r="C30" s="38" t="s">
        <v>7</v>
      </c>
      <c r="D30" s="39">
        <f>5.1*250</f>
        <v>1275</v>
      </c>
      <c r="E30" s="44">
        <f>E11</f>
        <v>57.6</v>
      </c>
      <c r="F30" s="43">
        <f t="shared" si="3"/>
        <v>73440</v>
      </c>
    </row>
    <row r="31" spans="1:12" ht="39" thickBot="1" x14ac:dyDescent="0.3">
      <c r="A31" s="37" t="s">
        <v>79</v>
      </c>
      <c r="B31" s="41" t="s">
        <v>81</v>
      </c>
      <c r="C31" s="38" t="s">
        <v>7</v>
      </c>
      <c r="D31" s="42">
        <f>5*250</f>
        <v>1250</v>
      </c>
      <c r="E31" s="44">
        <v>68.599999999999994</v>
      </c>
      <c r="F31" s="43">
        <f t="shared" si="3"/>
        <v>85750</v>
      </c>
    </row>
    <row r="32" spans="1:12" ht="15.75" thickBot="1" x14ac:dyDescent="0.3">
      <c r="A32" s="33"/>
      <c r="B32" s="34" t="s">
        <v>83</v>
      </c>
      <c r="C32" s="35"/>
      <c r="D32" s="35"/>
      <c r="E32" s="34"/>
      <c r="F32" s="36"/>
    </row>
    <row r="33" spans="1:9" ht="26.25" thickBot="1" x14ac:dyDescent="0.3">
      <c r="A33" s="37" t="s">
        <v>79</v>
      </c>
      <c r="B33" s="41" t="s">
        <v>84</v>
      </c>
      <c r="C33" s="38" t="s">
        <v>7</v>
      </c>
      <c r="D33" s="42">
        <f>(250*1.5)+15*0.75</f>
        <v>386.25</v>
      </c>
      <c r="E33" s="42">
        <v>12.6</v>
      </c>
      <c r="F33" s="43">
        <f>ROUND(D33*E33,2)</f>
        <v>4866.75</v>
      </c>
    </row>
    <row r="34" spans="1:9" ht="13.5" customHeight="1" thickBot="1" x14ac:dyDescent="0.3">
      <c r="A34" s="60" t="s">
        <v>14</v>
      </c>
      <c r="B34" s="60"/>
      <c r="C34" s="60"/>
      <c r="D34" s="60"/>
      <c r="E34" s="60"/>
      <c r="F34" s="10">
        <f>SUM(F6:F33)</f>
        <v>266998.05</v>
      </c>
      <c r="I34" s="11"/>
    </row>
    <row r="35" spans="1:9" ht="13.5" customHeight="1" thickBot="1" x14ac:dyDescent="0.3">
      <c r="A35" s="60" t="s">
        <v>15</v>
      </c>
      <c r="B35" s="60"/>
      <c r="C35" s="60"/>
      <c r="D35" s="60" t="s">
        <v>16</v>
      </c>
      <c r="E35" s="60" t="s">
        <v>16</v>
      </c>
      <c r="F35" s="10">
        <f>ROUND(0.23*F34,2)</f>
        <v>61409.55</v>
      </c>
      <c r="I35" s="12"/>
    </row>
    <row r="36" spans="1:9" ht="13.5" customHeight="1" thickBot="1" x14ac:dyDescent="0.3">
      <c r="A36" s="60" t="s">
        <v>17</v>
      </c>
      <c r="B36" s="60"/>
      <c r="C36" s="60"/>
      <c r="D36" s="60" t="s">
        <v>16</v>
      </c>
      <c r="E36" s="60" t="s">
        <v>18</v>
      </c>
      <c r="F36" s="10">
        <f>F34+F35</f>
        <v>328407.59999999998</v>
      </c>
      <c r="I36" s="12"/>
    </row>
  </sheetData>
  <mergeCells count="3">
    <mergeCell ref="A34:E34"/>
    <mergeCell ref="A35:E35"/>
    <mergeCell ref="A36:E36"/>
  </mergeCells>
  <phoneticPr fontId="4" type="noConversion"/>
  <pageMargins left="0.7" right="0.7" top="0.75" bottom="0.75" header="0.51180555555555496" footer="0.51180555555555496"/>
  <pageSetup paperSize="9" firstPageNumber="0" orientation="portrait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C7F73-D0EE-4812-AF8C-9488817C085F}">
  <sheetPr>
    <tabColor rgb="FF00B0F0"/>
  </sheetPr>
  <dimension ref="A1:I14"/>
  <sheetViews>
    <sheetView zoomScaleNormal="100" workbookViewId="0">
      <selection activeCell="B1" sqref="B1"/>
    </sheetView>
  </sheetViews>
  <sheetFormatPr defaultColWidth="8.5703125" defaultRowHeight="15" x14ac:dyDescent="0.25"/>
  <cols>
    <col min="1" max="1" width="5.42578125" style="1" customWidth="1"/>
    <col min="2" max="2" width="45.7109375" style="1" customWidth="1"/>
    <col min="3" max="3" width="6" style="1" customWidth="1"/>
    <col min="4" max="4" width="8.5703125" style="1"/>
    <col min="5" max="5" width="8.42578125" style="1" customWidth="1"/>
    <col min="6" max="6" width="10.42578125" style="1" customWidth="1"/>
    <col min="7" max="8" width="8.5703125" style="1"/>
    <col min="9" max="9" width="13" style="1" customWidth="1"/>
    <col min="10" max="16384" width="8.5703125" style="1"/>
  </cols>
  <sheetData>
    <row r="1" spans="1:9" x14ac:dyDescent="0.25">
      <c r="B1" s="2" t="s">
        <v>120</v>
      </c>
    </row>
    <row r="2" spans="1:9" x14ac:dyDescent="0.25">
      <c r="B2" s="3" t="s">
        <v>93</v>
      </c>
    </row>
    <row r="3" spans="1:9" ht="15.75" thickBot="1" x14ac:dyDescent="0.3"/>
    <row r="4" spans="1:9" ht="15.75" thickBot="1" x14ac:dyDescent="0.3">
      <c r="A4" s="4" t="s">
        <v>0</v>
      </c>
      <c r="B4" s="5" t="s">
        <v>1</v>
      </c>
      <c r="C4" s="5" t="s">
        <v>2</v>
      </c>
      <c r="D4" s="5" t="s">
        <v>3</v>
      </c>
      <c r="E4" s="6" t="s">
        <v>4</v>
      </c>
      <c r="F4" s="5" t="s">
        <v>5</v>
      </c>
    </row>
    <row r="5" spans="1:9" ht="26.25" thickBot="1" x14ac:dyDescent="0.3">
      <c r="A5" s="25" t="s">
        <v>6</v>
      </c>
      <c r="B5" s="32" t="s">
        <v>117</v>
      </c>
      <c r="C5" s="40" t="s">
        <v>86</v>
      </c>
      <c r="D5" s="39">
        <f>5.5*2</f>
        <v>11</v>
      </c>
      <c r="E5" s="42"/>
      <c r="F5" s="39">
        <f t="shared" ref="F5" si="0">ROUND(D5*E5,2)</f>
        <v>0</v>
      </c>
    </row>
    <row r="6" spans="1:9" ht="26.25" thickBot="1" x14ac:dyDescent="0.3">
      <c r="A6" s="25" t="s">
        <v>8</v>
      </c>
      <c r="B6" s="8" t="s">
        <v>102</v>
      </c>
      <c r="C6" s="9" t="s">
        <v>7</v>
      </c>
      <c r="D6" s="10">
        <f>9*5.5</f>
        <v>49.5</v>
      </c>
      <c r="E6" s="10"/>
      <c r="F6" s="10">
        <f t="shared" ref="F6:F7" si="1">ROUND(D6*E6,2)</f>
        <v>0</v>
      </c>
    </row>
    <row r="7" spans="1:9" ht="26.25" thickBot="1" x14ac:dyDescent="0.3">
      <c r="A7" s="25" t="s">
        <v>10</v>
      </c>
      <c r="B7" s="8" t="s">
        <v>94</v>
      </c>
      <c r="C7" s="9" t="s">
        <v>86</v>
      </c>
      <c r="D7" s="10">
        <f>9*5.6</f>
        <v>50.4</v>
      </c>
      <c r="E7" s="10"/>
      <c r="F7" s="10">
        <f t="shared" si="1"/>
        <v>0</v>
      </c>
    </row>
    <row r="8" spans="1:9" ht="20.25" customHeight="1" thickBot="1" x14ac:dyDescent="0.3">
      <c r="A8" s="25" t="s">
        <v>11</v>
      </c>
      <c r="B8" s="41" t="s">
        <v>116</v>
      </c>
      <c r="C8" s="38" t="s">
        <v>7</v>
      </c>
      <c r="D8" s="39">
        <f>D9+D10</f>
        <v>99.9</v>
      </c>
      <c r="E8" s="39"/>
      <c r="F8" s="39">
        <f>ROUND(D8*E8,2)</f>
        <v>0</v>
      </c>
    </row>
    <row r="9" spans="1:9" ht="46.5" customHeight="1" thickBot="1" x14ac:dyDescent="0.3">
      <c r="A9" s="25" t="s">
        <v>12</v>
      </c>
      <c r="B9" s="41" t="s">
        <v>118</v>
      </c>
      <c r="C9" s="38" t="s">
        <v>9</v>
      </c>
      <c r="D9" s="39">
        <f>9*5.6</f>
        <v>50.4</v>
      </c>
      <c r="E9" s="39"/>
      <c r="F9" s="39">
        <f>ROUND(D9*E9,2)</f>
        <v>0</v>
      </c>
    </row>
    <row r="10" spans="1:9" ht="39" thickBot="1" x14ac:dyDescent="0.3">
      <c r="A10" s="25" t="s">
        <v>13</v>
      </c>
      <c r="B10" s="41" t="s">
        <v>115</v>
      </c>
      <c r="C10" s="38" t="s">
        <v>7</v>
      </c>
      <c r="D10" s="39">
        <f>9*5.5</f>
        <v>49.5</v>
      </c>
      <c r="E10" s="42"/>
      <c r="F10" s="39">
        <f>ROUND(D10*E10,2)</f>
        <v>0</v>
      </c>
      <c r="I10"/>
    </row>
    <row r="11" spans="1:9" ht="26.25" thickBot="1" x14ac:dyDescent="0.3">
      <c r="A11" s="25" t="s">
        <v>29</v>
      </c>
      <c r="B11" s="41" t="s">
        <v>22</v>
      </c>
      <c r="C11" s="38" t="s">
        <v>7</v>
      </c>
      <c r="D11" s="39">
        <f>9*0.75</f>
        <v>6.75</v>
      </c>
      <c r="E11" s="42"/>
      <c r="F11" s="42">
        <f>ROUND(D11*E11,2)</f>
        <v>0</v>
      </c>
    </row>
    <row r="12" spans="1:9" ht="13.5" customHeight="1" thickBot="1" x14ac:dyDescent="0.3">
      <c r="A12" s="57" t="s">
        <v>14</v>
      </c>
      <c r="B12" s="58"/>
      <c r="C12" s="58"/>
      <c r="D12" s="58"/>
      <c r="E12" s="59"/>
      <c r="F12" s="49">
        <f>SUM(F8:F11)</f>
        <v>0</v>
      </c>
      <c r="I12" s="11"/>
    </row>
    <row r="13" spans="1:9" ht="13.5" customHeight="1" thickBot="1" x14ac:dyDescent="0.3">
      <c r="A13" s="57" t="s">
        <v>15</v>
      </c>
      <c r="B13" s="58"/>
      <c r="C13" s="58"/>
      <c r="D13" s="58" t="s">
        <v>16</v>
      </c>
      <c r="E13" s="59" t="s">
        <v>16</v>
      </c>
      <c r="F13" s="10">
        <f>ROUND(0.23*F12,2)</f>
        <v>0</v>
      </c>
      <c r="I13" s="12"/>
    </row>
    <row r="14" spans="1:9" ht="13.5" customHeight="1" thickBot="1" x14ac:dyDescent="0.3">
      <c r="A14" s="60" t="s">
        <v>17</v>
      </c>
      <c r="B14" s="60"/>
      <c r="C14" s="60"/>
      <c r="D14" s="60" t="s">
        <v>16</v>
      </c>
      <c r="E14" s="60" t="s">
        <v>18</v>
      </c>
      <c r="F14" s="49">
        <f>F12+F13</f>
        <v>0</v>
      </c>
      <c r="I14" s="12"/>
    </row>
  </sheetData>
  <mergeCells count="3">
    <mergeCell ref="A12:E12"/>
    <mergeCell ref="A13:E13"/>
    <mergeCell ref="A14:E14"/>
  </mergeCells>
  <pageMargins left="0.7" right="0.7" top="0.75" bottom="0.75" header="0.51180555555555496" footer="0.51180555555555496"/>
  <pageSetup paperSize="9" firstPageNumber="0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10</vt:i4>
      </vt:variant>
    </vt:vector>
  </HeadingPairs>
  <TitlesOfParts>
    <vt:vector size="10" baseType="lpstr">
      <vt:lpstr>1.Kurcze-Bagna - 180 m</vt:lpstr>
      <vt:lpstr>2.Lutom 2024 - 250 m</vt:lpstr>
      <vt:lpstr>3.Kłodnia 2025 - 200 m</vt:lpstr>
      <vt:lpstr>4.ul. Krótka w Czersku etap II</vt:lpstr>
      <vt:lpstr>5.Będźmierowice - 300 m</vt:lpstr>
      <vt:lpstr>6.Bielawy - 115 m</vt:lpstr>
      <vt:lpstr>pr Będżmierowice</vt:lpstr>
      <vt:lpstr>4.Będźmierowice 2024-250 m v.1</vt:lpstr>
      <vt:lpstr>7.Malachin-Łubna</vt:lpstr>
      <vt:lpstr>ZESTAWIENIE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 Szyca</dc:creator>
  <cp:lastModifiedBy>Marek Szyca</cp:lastModifiedBy>
  <cp:lastPrinted>2025-03-11T08:45:38Z</cp:lastPrinted>
  <dcterms:created xsi:type="dcterms:W3CDTF">2022-04-05T11:01:39Z</dcterms:created>
  <dcterms:modified xsi:type="dcterms:W3CDTF">2025-04-08T12:43:01Z</dcterms:modified>
</cp:coreProperties>
</file>