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YK\Desktop\POSTĘPOWANIA NA ROK 2023!\ENERGIA 2024-2025\II postępowanie -ENERGA\"/>
    </mc:Choice>
  </mc:AlternateContent>
  <bookViews>
    <workbookView xWindow="0" yWindow="0" windowWidth="28800" windowHeight="12435"/>
  </bookViews>
  <sheets>
    <sheet name="ENERGA" sheetId="1" r:id="rId1"/>
  </sheets>
  <calcPr calcId="152511"/>
</workbook>
</file>

<file path=xl/calcChain.xml><?xml version="1.0" encoding="utf-8"?>
<calcChain xmlns="http://schemas.openxmlformats.org/spreadsheetml/2006/main">
  <c r="L29" i="1" l="1"/>
  <c r="J29" i="1"/>
  <c r="L28" i="1"/>
  <c r="M28" i="1" s="1"/>
  <c r="M27" i="1"/>
  <c r="L27" i="1"/>
  <c r="L26" i="1"/>
  <c r="M26" i="1" s="1"/>
  <c r="M25" i="1"/>
  <c r="L25" i="1"/>
  <c r="L24" i="1"/>
  <c r="M24" i="1" s="1"/>
  <c r="L23" i="1"/>
  <c r="M23" i="1" s="1"/>
  <c r="M22" i="1"/>
  <c r="L22" i="1"/>
  <c r="N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M12" i="1"/>
  <c r="L12" i="1"/>
  <c r="N12" i="1" s="1"/>
  <c r="L11" i="1"/>
  <c r="M11" i="1" s="1"/>
  <c r="N27" i="1" l="1"/>
  <c r="D2" i="1"/>
  <c r="Q28" i="1"/>
  <c r="R28" i="1" s="1"/>
  <c r="Q27" i="1"/>
  <c r="R27" i="1" s="1"/>
  <c r="Q26" i="1"/>
  <c r="R26" i="1" s="1"/>
  <c r="Q25" i="1"/>
  <c r="R25" i="1" s="1"/>
  <c r="Q24" i="1"/>
  <c r="R24" i="1" s="1"/>
  <c r="Q23" i="1"/>
  <c r="R23" i="1" s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S25" i="1" l="1"/>
  <c r="T25" i="1" s="1"/>
  <c r="S26" i="1"/>
  <c r="T26" i="1" s="1"/>
  <c r="S16" i="1"/>
  <c r="T16" i="1" s="1"/>
  <c r="R29" i="1"/>
  <c r="S11" i="1"/>
  <c r="T11" i="1" s="1"/>
  <c r="S19" i="1"/>
  <c r="T19" i="1"/>
  <c r="S27" i="1"/>
  <c r="T27" i="1" s="1"/>
  <c r="S17" i="1"/>
  <c r="T17" i="1" s="1"/>
  <c r="S20" i="1"/>
  <c r="T20" i="1"/>
  <c r="S28" i="1"/>
  <c r="T28" i="1" s="1"/>
  <c r="S24" i="1"/>
  <c r="T24" i="1" s="1"/>
  <c r="S13" i="1"/>
  <c r="T13" i="1" s="1"/>
  <c r="S21" i="1"/>
  <c r="T21" i="1" s="1"/>
  <c r="S18" i="1"/>
  <c r="T18" i="1" s="1"/>
  <c r="S12" i="1"/>
  <c r="T12" i="1" s="1"/>
  <c r="S14" i="1"/>
  <c r="T14" i="1" s="1"/>
  <c r="S22" i="1"/>
  <c r="T22" i="1" s="1"/>
  <c r="S15" i="1"/>
  <c r="T15" i="1" s="1"/>
  <c r="S23" i="1"/>
  <c r="T23" i="1" s="1"/>
  <c r="S29" i="1" l="1"/>
  <c r="D3" i="1" s="1"/>
  <c r="T29" i="1" l="1"/>
  <c r="D4" i="1" s="1"/>
</calcChain>
</file>

<file path=xl/sharedStrings.xml><?xml version="1.0" encoding="utf-8"?>
<sst xmlns="http://schemas.openxmlformats.org/spreadsheetml/2006/main" count="208" uniqueCount="93">
  <si>
    <t>Cena jednostkowa netto energii elektrycznej w zł/ kWh</t>
  </si>
  <si>
    <t>Cena oferty netto ogółem</t>
  </si>
  <si>
    <t>VAT</t>
  </si>
  <si>
    <t>Cena oferty brutto ogółem</t>
  </si>
  <si>
    <t>W powyżej zaznaczonej komórce żółtym kolorem należy wpisać cenę jednostkową za 1 kWh zachowując format ceny</t>
  </si>
  <si>
    <t>Lp.</t>
  </si>
  <si>
    <t>Nazwa klienta</t>
  </si>
  <si>
    <t>Adres do korespondencji</t>
  </si>
  <si>
    <t>NumerPPE</t>
  </si>
  <si>
    <t>Nazwa PPE</t>
  </si>
  <si>
    <t>Kod pocztowy (adres PPE)</t>
  </si>
  <si>
    <t>Poczta (adres PPE)</t>
  </si>
  <si>
    <t>Miejscowość (adres PPE)</t>
  </si>
  <si>
    <t>Ulica (adres PPE)</t>
  </si>
  <si>
    <t>Moc</t>
  </si>
  <si>
    <t>Grupa taryfowa</t>
  </si>
  <si>
    <t>Szacunkowe zapotrzebowanie na 2 lata [kWh]</t>
  </si>
  <si>
    <t>Ilość ppe</t>
  </si>
  <si>
    <t>Ilość miesięcy</t>
  </si>
  <si>
    <t>Cena energii elektrycznej w zł/kWh</t>
  </si>
  <si>
    <t>Koszt oferty brutto</t>
  </si>
  <si>
    <t>strefa I</t>
  </si>
  <si>
    <t>strefa II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</si>
  <si>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</si>
  <si>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</si>
  <si>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</si>
  <si>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</si>
  <si>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</si>
  <si>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</si>
  <si>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</si>
  <si>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</si>
  <si>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</si>
  <si>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</t>
  </si>
  <si>
    <t>N</t>
  </si>
  <si>
    <t>O</t>
  </si>
  <si>
    <t>P</t>
  </si>
  <si>
    <t>R</t>
  </si>
  <si>
    <t>WODOCIĄGI ZACHODNIOPOMORSKIE SP. Z O. O.</t>
  </si>
  <si>
    <t>WODOCIĄGI ZACHODNIOPOMORSKIE SP. Z O. O., ul. I Brygady Legionów 8-10, 72-100 Goleniów</t>
  </si>
  <si>
    <t>PRZEPOMPOWNIA ŚCIEKÓW PS13</t>
  </si>
  <si>
    <t>78-316</t>
  </si>
  <si>
    <t>BRZEŻNO</t>
  </si>
  <si>
    <t xml:space="preserve"> 13</t>
  </si>
  <si>
    <t>C11</t>
  </si>
  <si>
    <t>OCZYSZCZALNIA ŚCIEKÓW</t>
  </si>
  <si>
    <t>C12A</t>
  </si>
  <si>
    <t>STACJA WODOCIĄGOWA</t>
  </si>
  <si>
    <t>SŁONOWICE</t>
  </si>
  <si>
    <t xml:space="preserve"> DZ. 274/1</t>
  </si>
  <si>
    <t>PRZEPOMPOWNIA ŚCIEKÓW PS2</t>
  </si>
  <si>
    <t>PRZEPOMPOWNIA ŚCIEKÓW PD1</t>
  </si>
  <si>
    <t>PRZEPOMPOWNIA ŚCIEKÓW PD3</t>
  </si>
  <si>
    <t>PRZEPOMPOWNIA ŚCIEKÓW PS1</t>
  </si>
  <si>
    <t>STACJA WODOCIĄGOWA  PW</t>
  </si>
  <si>
    <t>RZEPCZYNO</t>
  </si>
  <si>
    <t>PRZEPOMPOWNIA ŚCIEKÓW PS</t>
  </si>
  <si>
    <t>STACJA WODOCIĄGOWA  02</t>
  </si>
  <si>
    <t>PRZEPOMPOWNIA ŚCIEKÓW PSD2</t>
  </si>
  <si>
    <t>PĘCERZYNO</t>
  </si>
  <si>
    <t xml:space="preserve"> dz. 696/9</t>
  </si>
  <si>
    <t>PRZEPOMPOWNIA ŚCIEKÓW PSL3</t>
  </si>
  <si>
    <t>PRZEPOMPOWNIA ŚCIEKÓW PLW14</t>
  </si>
  <si>
    <t>WILCZKOWO</t>
  </si>
  <si>
    <t xml:space="preserve"> DZ.60/9</t>
  </si>
  <si>
    <t>PRZEPOMPOWNIA ŚCIEKÓW PSW11</t>
  </si>
  <si>
    <t>DZ. 56</t>
  </si>
  <si>
    <t>PRZEPOMPOWNIA ŚCIEKÓW PR</t>
  </si>
  <si>
    <t>PRZEPOMPOWNIA ŚCIEKÓW PLW12</t>
  </si>
  <si>
    <t xml:space="preserve"> DZ.57/34</t>
  </si>
  <si>
    <t>PRZEPOMPOWNIA ŚCIEKÓW PLW13</t>
  </si>
  <si>
    <t xml:space="preserve"> DZ.8/1</t>
  </si>
  <si>
    <t>RAZEM</t>
  </si>
  <si>
    <t>590243851030264134</t>
  </si>
  <si>
    <t>590243851030031873</t>
  </si>
  <si>
    <t>590243851030144085</t>
  </si>
  <si>
    <t>590243851029942401</t>
  </si>
  <si>
    <t>590243851030124223</t>
  </si>
  <si>
    <t>590243851030299532</t>
  </si>
  <si>
    <t>590243851030168289</t>
  </si>
  <si>
    <t>590243851030022734</t>
  </si>
  <si>
    <t>590243851030185507</t>
  </si>
  <si>
    <t>590243851030305530</t>
  </si>
  <si>
    <t>590243851030174006</t>
  </si>
  <si>
    <t>590243851030064574</t>
  </si>
  <si>
    <t>590243851030283470</t>
  </si>
  <si>
    <t>590243851030299488</t>
  </si>
  <si>
    <t>590243851030260372</t>
  </si>
  <si>
    <t>590243851030283494</t>
  </si>
  <si>
    <t>590243851030305448</t>
  </si>
  <si>
    <t>590243851030283500</t>
  </si>
  <si>
    <t>-</t>
  </si>
  <si>
    <t>Koszt ofert netto</t>
  </si>
  <si>
    <r>
      <t>Załącznik nr 2a Arkusz kalkulacyjny oferty</t>
    </r>
    <r>
      <rPr>
        <sz val="9"/>
        <color rgb="FF000000"/>
        <rFont val="Calibri1"/>
        <charset val="238"/>
      </rPr>
      <t xml:space="preserve"> -  „Zakup energii elektrycznej na potrzeby obiektów Wodociągów Zachodniopomorskich Sp. z o. o. – obszar dystrybucji ENERGA – OPERATOR S.A.”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</si>
</sst>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5]General"/>
    <numFmt numFmtId="165" formatCode="#,##0.00000&quot; zł&quot;"/>
    <numFmt numFmtId="166" formatCode="&quot; &quot;#,##0.00&quot; zł &quot;;&quot;-&quot;#,##0.00&quot; zł &quot;;&quot; -&quot;#&quot; zł &quot;;@&quot; &quot;"/>
    <numFmt numFmtId="167" formatCode="[$-415]0"/>
    <numFmt numFmtId="168" formatCode="#,##0.0000&quot; zł&quot;"/>
    <numFmt numFmtId="169" formatCode="#,##0.00&quot; &quot;[$zł-415];[Red]&quot;-&quot;#,##0.00&quot; &quot;[$zł-415]"/>
  </numFmts>
  <fonts count="21">
    <font>
      <sz val="11"/>
      <color rgb="FF000000"/>
      <name val="Arial1"/>
      <charset val="238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1"/>
      <charset val="238"/>
    </font>
    <font>
      <sz val="10"/>
      <color rgb="FF000000"/>
      <name val="Arial CE"/>
      <charset val="238"/>
    </font>
    <font>
      <sz val="10"/>
      <color rgb="FF000000"/>
      <name val="MS Sans Serif"/>
      <charset val="238"/>
    </font>
    <font>
      <b/>
      <i/>
      <u/>
      <sz val="11"/>
      <color rgb="FF000000"/>
      <name val="Arial1"/>
      <charset val="238"/>
    </font>
    <font>
      <b/>
      <sz val="11"/>
      <color rgb="FF000000"/>
      <name val="Arial1"/>
      <charset val="238"/>
    </font>
    <font>
      <sz val="9"/>
      <color rgb="FFFF0000"/>
      <name val="Arial1"/>
      <charset val="238"/>
    </font>
    <font>
      <b/>
      <sz val="9"/>
      <color rgb="FF000000"/>
      <name val="Calibri"/>
      <family val="2"/>
      <charset val="238"/>
    </font>
    <font>
      <b/>
      <sz val="9"/>
      <color rgb="FF000000"/>
      <name val="Calibri1"/>
      <charset val="238"/>
    </font>
    <font>
      <sz val="9"/>
      <color rgb="FF000000"/>
      <name val="Calibri1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9"/>
      <color rgb="FF000000"/>
      <name val="Arial1"/>
      <charset val="238"/>
    </font>
    <font>
      <sz val="9"/>
      <color rgb="FFFF0000"/>
      <name val="Calibri"/>
      <family val="2"/>
      <charset val="238"/>
    </font>
    <font>
      <b/>
      <sz val="9"/>
      <color rgb="FF000000"/>
      <name val="Arial1"/>
      <charset val="238"/>
    </font>
    <font>
      <b/>
      <sz val="9"/>
      <color rgb="FF000000"/>
      <name val="Arial2"/>
      <charset val="238"/>
    </font>
    <font>
      <b/>
      <sz val="9"/>
      <color rgb="FFFFFFFF"/>
      <name val="Arial1"/>
      <charset val="238"/>
    </font>
    <font>
      <sz val="10"/>
      <color rgb="FF000000"/>
      <name val="Calibri1"/>
      <charset val="238"/>
    </font>
    <font>
      <sz val="10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FF0000"/>
        <bgColor rgb="FFFF000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1" fillId="0" borderId="0">
      <alignment horizontal="left"/>
    </xf>
    <xf numFmtId="0" fontId="1" fillId="0" borderId="0"/>
    <xf numFmtId="164" fontId="4" fillId="0" borderId="0"/>
    <xf numFmtId="164" fontId="5" fillId="0" borderId="0"/>
    <xf numFmtId="164" fontId="2" fillId="0" borderId="0"/>
    <xf numFmtId="164" fontId="2" fillId="0" borderId="0"/>
    <xf numFmtId="0" fontId="1" fillId="0" borderId="0"/>
    <xf numFmtId="0" fontId="6" fillId="0" borderId="0"/>
    <xf numFmtId="169" fontId="6" fillId="0" borderId="0"/>
    <xf numFmtId="0" fontId="7" fillId="0" borderId="0">
      <alignment horizontal="left"/>
    </xf>
    <xf numFmtId="0" fontId="1" fillId="0" borderId="0"/>
    <xf numFmtId="0" fontId="7" fillId="0" borderId="0"/>
  </cellStyleXfs>
  <cellXfs count="49">
    <xf numFmtId="0" fontId="0" fillId="0" borderId="0" xfId="0"/>
    <xf numFmtId="164" fontId="8" fillId="0" borderId="0" xfId="1" applyFont="1" applyFill="1" applyAlignment="1" applyProtection="1"/>
    <xf numFmtId="164" fontId="12" fillId="0" borderId="1" xfId="1" applyFont="1" applyFill="1" applyBorder="1" applyAlignment="1" applyProtection="1">
      <alignment vertical="center" wrapText="1"/>
    </xf>
    <xf numFmtId="165" fontId="13" fillId="2" borderId="1" xfId="1" applyNumberFormat="1" applyFont="1" applyFill="1" applyBorder="1" applyAlignment="1" applyProtection="1">
      <alignment horizontal="right" vertical="center"/>
    </xf>
    <xf numFmtId="167" fontId="8" fillId="0" borderId="0" xfId="1" applyNumberFormat="1" applyFont="1" applyFill="1" applyAlignment="1" applyProtection="1">
      <alignment horizontal="center"/>
    </xf>
    <xf numFmtId="164" fontId="8" fillId="0" borderId="0" xfId="1" applyFont="1" applyFill="1" applyAlignment="1" applyProtection="1">
      <alignment horizontal="center" vertical="center"/>
    </xf>
    <xf numFmtId="166" fontId="8" fillId="0" borderId="0" xfId="1" applyNumberFormat="1" applyFont="1" applyFill="1" applyAlignment="1" applyProtection="1">
      <alignment horizontal="center" vertical="center"/>
    </xf>
    <xf numFmtId="166" fontId="13" fillId="0" borderId="1" xfId="1" applyNumberFormat="1" applyFont="1" applyFill="1" applyBorder="1" applyAlignment="1" applyProtection="1"/>
    <xf numFmtId="164" fontId="14" fillId="0" borderId="0" xfId="1" applyFont="1" applyFill="1" applyAlignment="1" applyProtection="1"/>
    <xf numFmtId="164" fontId="16" fillId="0" borderId="2" xfId="1" applyFont="1" applyFill="1" applyBorder="1" applyAlignment="1" applyProtection="1"/>
    <xf numFmtId="167" fontId="16" fillId="0" borderId="2" xfId="1" applyNumberFormat="1" applyFont="1" applyFill="1" applyBorder="1" applyAlignment="1" applyProtection="1">
      <alignment horizontal="center"/>
    </xf>
    <xf numFmtId="167" fontId="17" fillId="3" borderId="1" xfId="8" applyNumberFormat="1" applyFont="1" applyFill="1" applyBorder="1" applyAlignment="1" applyProtection="1">
      <alignment horizontal="center" vertical="center" wrapText="1"/>
    </xf>
    <xf numFmtId="164" fontId="18" fillId="4" borderId="3" xfId="1" applyFont="1" applyFill="1" applyBorder="1" applyAlignment="1" applyProtection="1">
      <alignment horizontal="center" vertical="center" wrapText="1"/>
    </xf>
    <xf numFmtId="167" fontId="18" fillId="4" borderId="3" xfId="1" applyNumberFormat="1" applyFont="1" applyFill="1" applyBorder="1" applyAlignment="1" applyProtection="1">
      <alignment horizontal="center" vertical="center"/>
    </xf>
    <xf numFmtId="166" fontId="18" fillId="4" borderId="3" xfId="1" applyNumberFormat="1" applyFont="1" applyFill="1" applyBorder="1" applyAlignment="1" applyProtection="1">
      <alignment horizontal="center" vertical="center" wrapText="1"/>
    </xf>
    <xf numFmtId="164" fontId="14" fillId="5" borderId="1" xfId="1" applyFont="1" applyFill="1" applyBorder="1" applyAlignment="1" applyProtection="1">
      <alignment horizontal="center" vertical="center"/>
    </xf>
    <xf numFmtId="49" fontId="13" fillId="6" borderId="1" xfId="2" applyNumberFormat="1" applyFont="1" applyFill="1" applyBorder="1" applyAlignment="1" applyProtection="1">
      <alignment horizontal="center" vertical="center" wrapText="1"/>
    </xf>
    <xf numFmtId="164" fontId="16" fillId="0" borderId="1" xfId="1" applyFont="1" applyFill="1" applyBorder="1" applyAlignment="1" applyProtection="1">
      <alignment horizontal="center" vertical="center"/>
    </xf>
    <xf numFmtId="168" fontId="14" fillId="5" borderId="3" xfId="1" applyNumberFormat="1" applyFont="1" applyFill="1" applyBorder="1" applyAlignment="1" applyProtection="1">
      <alignment horizontal="center" vertical="center"/>
    </xf>
    <xf numFmtId="166" fontId="14" fillId="5" borderId="3" xfId="1" applyNumberFormat="1" applyFont="1" applyFill="1" applyBorder="1" applyAlignment="1" applyProtection="1">
      <alignment horizontal="center" vertical="center"/>
    </xf>
    <xf numFmtId="166" fontId="14" fillId="5" borderId="1" xfId="1" applyNumberFormat="1" applyFont="1" applyFill="1" applyBorder="1" applyAlignment="1" applyProtection="1">
      <alignment horizontal="center" vertical="center"/>
    </xf>
    <xf numFmtId="166" fontId="14" fillId="5" borderId="5" xfId="1" applyNumberFormat="1" applyFont="1" applyFill="1" applyBorder="1" applyAlignment="1" applyProtection="1">
      <alignment horizontal="center" vertical="center"/>
    </xf>
    <xf numFmtId="168" fontId="14" fillId="5" borderId="1" xfId="1" applyNumberFormat="1" applyFont="1" applyFill="1" applyBorder="1" applyAlignment="1" applyProtection="1">
      <alignment horizontal="center" vertical="center"/>
    </xf>
    <xf numFmtId="168" fontId="14" fillId="5" borderId="6" xfId="1" applyNumberFormat="1" applyFont="1" applyFill="1" applyBorder="1" applyAlignment="1" applyProtection="1">
      <alignment horizontal="center" vertical="center"/>
    </xf>
    <xf numFmtId="166" fontId="14" fillId="5" borderId="6" xfId="1" applyNumberFormat="1" applyFont="1" applyFill="1" applyBorder="1" applyAlignment="1" applyProtection="1">
      <alignment horizontal="center" vertical="center"/>
    </xf>
    <xf numFmtId="164" fontId="14" fillId="0" borderId="5" xfId="1" applyFont="1" applyFill="1" applyBorder="1" applyAlignment="1" applyProtection="1"/>
    <xf numFmtId="164" fontId="16" fillId="0" borderId="5" xfId="1" applyFont="1" applyFill="1" applyBorder="1" applyAlignment="1" applyProtection="1">
      <alignment horizontal="center" vertical="center"/>
    </xf>
    <xf numFmtId="167" fontId="16" fillId="0" borderId="5" xfId="1" applyNumberFormat="1" applyFont="1" applyFill="1" applyBorder="1" applyAlignment="1" applyProtection="1">
      <alignment horizontal="center"/>
    </xf>
    <xf numFmtId="164" fontId="8" fillId="0" borderId="1" xfId="1" applyFont="1" applyFill="1" applyBorder="1" applyAlignment="1" applyProtection="1">
      <alignment horizontal="center" vertical="center"/>
    </xf>
    <xf numFmtId="164" fontId="8" fillId="0" borderId="7" xfId="1" applyFont="1" applyFill="1" applyBorder="1" applyAlignment="1" applyProtection="1">
      <alignment horizontal="center" vertical="center"/>
    </xf>
    <xf numFmtId="164" fontId="14" fillId="0" borderId="7" xfId="1" applyFont="1" applyFill="1" applyBorder="1" applyAlignment="1" applyProtection="1">
      <alignment horizontal="center"/>
    </xf>
    <xf numFmtId="164" fontId="8" fillId="0" borderId="7" xfId="1" applyFont="1" applyFill="1" applyBorder="1" applyAlignment="1" applyProtection="1">
      <alignment horizontal="center"/>
    </xf>
    <xf numFmtId="167" fontId="16" fillId="0" borderId="7" xfId="1" applyNumberFormat="1" applyFont="1" applyFill="1" applyBorder="1" applyAlignment="1" applyProtection="1">
      <alignment horizontal="center"/>
    </xf>
    <xf numFmtId="0" fontId="0" fillId="0" borderId="4" xfId="0" applyFill="1" applyBorder="1" applyAlignment="1">
      <alignment horizontal="center"/>
    </xf>
    <xf numFmtId="49" fontId="19" fillId="6" borderId="1" xfId="1" applyNumberFormat="1" applyFont="1" applyFill="1" applyBorder="1" applyAlignment="1" applyProtection="1">
      <alignment horizontal="center" vertical="center" wrapText="1"/>
    </xf>
    <xf numFmtId="164" fontId="19" fillId="6" borderId="1" xfId="1" applyFont="1" applyFill="1" applyBorder="1" applyAlignment="1" applyProtection="1">
      <alignment horizontal="center" vertical="center" wrapText="1"/>
    </xf>
    <xf numFmtId="1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4" fontId="19" fillId="0" borderId="1" xfId="1" applyFont="1" applyFill="1" applyBorder="1" applyAlignment="1" applyProtection="1">
      <alignment horizontal="center" vertical="center"/>
    </xf>
    <xf numFmtId="49" fontId="20" fillId="0" borderId="0" xfId="1" applyNumberFormat="1" applyFont="1" applyFill="1" applyAlignment="1" applyProtection="1">
      <alignment horizontal="center" wrapText="1"/>
    </xf>
    <xf numFmtId="164" fontId="16" fillId="0" borderId="9" xfId="1" applyNumberFormat="1" applyFont="1" applyFill="1" applyBorder="1" applyAlignment="1" applyProtection="1">
      <alignment horizontal="center"/>
    </xf>
    <xf numFmtId="164" fontId="17" fillId="3" borderId="1" xfId="8" applyFont="1" applyFill="1" applyBorder="1" applyAlignment="1" applyProtection="1">
      <alignment horizontal="center" vertical="center" wrapText="1"/>
    </xf>
    <xf numFmtId="166" fontId="17" fillId="3" borderId="3" xfId="8" applyNumberFormat="1" applyFont="1" applyFill="1" applyBorder="1" applyAlignment="1" applyProtection="1">
      <alignment horizontal="center" vertical="center" wrapText="1"/>
    </xf>
    <xf numFmtId="166" fontId="17" fillId="3" borderId="8" xfId="8" applyNumberFormat="1" applyFont="1" applyFill="1" applyBorder="1" applyAlignment="1" applyProtection="1">
      <alignment horizontal="center" vertical="center" wrapText="1"/>
    </xf>
    <xf numFmtId="166" fontId="17" fillId="3" borderId="6" xfId="8" applyNumberFormat="1" applyFont="1" applyFill="1" applyBorder="1" applyAlignment="1" applyProtection="1">
      <alignment horizontal="center" vertical="center" wrapText="1"/>
    </xf>
    <xf numFmtId="167" fontId="17" fillId="3" borderId="1" xfId="8" applyNumberFormat="1" applyFont="1" applyFill="1" applyBorder="1" applyAlignment="1" applyProtection="1">
      <alignment horizontal="center" vertical="center" wrapText="1"/>
    </xf>
    <xf numFmtId="164" fontId="10" fillId="0" borderId="1" xfId="1" applyFont="1" applyFill="1" applyBorder="1" applyAlignment="1" applyProtection="1">
      <alignment horizontal="center" vertical="center" wrapText="1"/>
    </xf>
    <xf numFmtId="164" fontId="9" fillId="0" borderId="1" xfId="1" applyFont="1" applyFill="1" applyBorder="1" applyAlignment="1" applyProtection="1">
      <alignment horizontal="center" vertical="center" wrapText="1"/>
    </xf>
    <xf numFmtId="164" fontId="15" fillId="2" borderId="1" xfId="1" applyFont="1" applyFill="1" applyBorder="1" applyAlignment="1" applyProtection="1">
      <alignment horizontal="left" vertical="center" wrapText="1"/>
    </xf>
  </cellXfs>
  <cellStyles count="17">
    <cellStyle name="Excel Built-in Normal" xfId="1"/>
    <cellStyle name="Excel Built-in Normal 1" xfId="2"/>
    <cellStyle name="Heading" xfId="3"/>
    <cellStyle name="Heading1" xfId="4"/>
    <cellStyle name="Kategoria tabeli przestawnej" xfId="5"/>
    <cellStyle name="Narożnik tabeli przestawnej" xfId="6"/>
    <cellStyle name="Normalny" xfId="0" builtinId="0" customBuiltin="1"/>
    <cellStyle name="Normalny 2 2" xfId="7"/>
    <cellStyle name="Normalny 3" xfId="8"/>
    <cellStyle name="Normalny 4" xfId="9"/>
    <cellStyle name="Normalny 5 2" xfId="10"/>
    <cellStyle name="Pole tabeli przestawnej" xfId="11"/>
    <cellStyle name="Result" xfId="12"/>
    <cellStyle name="Result2" xfId="13"/>
    <cellStyle name="Tytul tabeli przestawnej" xfId="14"/>
    <cellStyle name="Wartość tabeli przestawnej" xfId="15"/>
    <cellStyle name="Wynik tabeli przestawnej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W38"/>
  <sheetViews>
    <sheetView tabSelected="1" workbookViewId="0">
      <selection activeCell="B1" sqref="B1:B5"/>
    </sheetView>
  </sheetViews>
  <sheetFormatPr defaultRowHeight="14.25"/>
  <cols>
    <col min="1" max="1" width="3.25" style="1" customWidth="1"/>
    <col min="2" max="2" width="17.25" style="1" customWidth="1"/>
    <col min="3" max="3" width="22.25" style="1" customWidth="1"/>
    <col min="4" max="4" width="17.25" style="1" customWidth="1"/>
    <col min="5" max="5" width="15.25" style="1" customWidth="1"/>
    <col min="6" max="6" width="8.5" style="1" customWidth="1"/>
    <col min="7" max="7" width="7.75" style="1" customWidth="1"/>
    <col min="8" max="8" width="9.125" style="1" customWidth="1"/>
    <col min="9" max="9" width="8.625" style="1" customWidth="1"/>
    <col min="10" max="10" width="4.875" style="1" customWidth="1"/>
    <col min="11" max="11" width="6.625" style="1" customWidth="1"/>
    <col min="12" max="12" width="11.125" style="1" customWidth="1"/>
    <col min="13" max="13" width="8" style="4" customWidth="1"/>
    <col min="14" max="14" width="6.25" style="1" customWidth="1"/>
    <col min="15" max="15" width="5.25" style="5" customWidth="1"/>
    <col min="16" max="16" width="7.375" style="5" customWidth="1"/>
    <col min="17" max="17" width="9.875" style="5" customWidth="1"/>
    <col min="18" max="18" width="9.375" style="5" customWidth="1"/>
    <col min="19" max="19" width="9.625" style="6" customWidth="1"/>
    <col min="20" max="20" width="10" style="6" customWidth="1"/>
    <col min="21" max="1011" width="6.75" style="1" customWidth="1"/>
  </cols>
  <sheetData>
    <row r="1" spans="1:20" ht="24">
      <c r="B1" s="46" t="s">
        <v>92</v>
      </c>
      <c r="C1" s="2" t="s">
        <v>0</v>
      </c>
      <c r="D1" s="3">
        <v>0</v>
      </c>
    </row>
    <row r="2" spans="1:20">
      <c r="B2" s="47"/>
      <c r="C2" s="2" t="s">
        <v>1</v>
      </c>
      <c r="D2" s="7">
        <f>D1*L29</f>
        <v>0</v>
      </c>
    </row>
    <row r="3" spans="1:20">
      <c r="B3" s="47"/>
      <c r="C3" s="2" t="s">
        <v>2</v>
      </c>
      <c r="D3" s="7">
        <f>S29</f>
        <v>0</v>
      </c>
    </row>
    <row r="4" spans="1:20">
      <c r="B4" s="47"/>
      <c r="C4" s="2" t="s">
        <v>3</v>
      </c>
      <c r="D4" s="7">
        <f>T29</f>
        <v>0</v>
      </c>
    </row>
    <row r="5" spans="1:20" ht="95.25" customHeight="1">
      <c r="B5" s="47"/>
      <c r="C5" s="48" t="s">
        <v>4</v>
      </c>
      <c r="D5" s="48"/>
      <c r="E5" s="8"/>
    </row>
    <row r="6" spans="1:20">
      <c r="J6" s="9"/>
      <c r="K6" s="9"/>
      <c r="L6" s="9"/>
      <c r="M6" s="10"/>
    </row>
    <row r="7" spans="1:20" s="8" customFormat="1" ht="11.45" customHeight="1">
      <c r="A7" s="41" t="s">
        <v>5</v>
      </c>
      <c r="B7" s="41" t="s">
        <v>6</v>
      </c>
      <c r="C7" s="41" t="s">
        <v>7</v>
      </c>
      <c r="D7" s="41" t="s">
        <v>8</v>
      </c>
      <c r="E7" s="41" t="s">
        <v>9</v>
      </c>
      <c r="F7" s="41" t="s">
        <v>10</v>
      </c>
      <c r="G7" s="41" t="s">
        <v>11</v>
      </c>
      <c r="H7" s="41" t="s">
        <v>12</v>
      </c>
      <c r="I7" s="41" t="s">
        <v>13</v>
      </c>
      <c r="J7" s="41" t="s">
        <v>14</v>
      </c>
      <c r="K7" s="41" t="s">
        <v>15</v>
      </c>
      <c r="L7" s="45" t="s">
        <v>16</v>
      </c>
      <c r="M7" s="45" t="s">
        <v>16</v>
      </c>
      <c r="N7" s="45"/>
      <c r="O7" s="41" t="s">
        <v>17</v>
      </c>
      <c r="P7" s="41" t="s">
        <v>18</v>
      </c>
      <c r="Q7" s="41" t="s">
        <v>19</v>
      </c>
      <c r="R7" s="41" t="s">
        <v>91</v>
      </c>
      <c r="S7" s="42" t="s">
        <v>2</v>
      </c>
      <c r="T7" s="41" t="s">
        <v>20</v>
      </c>
    </row>
    <row r="8" spans="1:20" s="8" customFormat="1" ht="30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5"/>
      <c r="M8" s="45"/>
      <c r="N8" s="45"/>
      <c r="O8" s="41"/>
      <c r="P8" s="41"/>
      <c r="Q8" s="41"/>
      <c r="R8" s="41"/>
      <c r="S8" s="43"/>
      <c r="T8" s="41"/>
    </row>
    <row r="9" spans="1:20" s="8" customFormat="1" ht="50.8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5"/>
      <c r="M9" s="11" t="s">
        <v>21</v>
      </c>
      <c r="N9" s="11" t="s">
        <v>22</v>
      </c>
      <c r="O9" s="41"/>
      <c r="P9" s="41"/>
      <c r="Q9" s="41"/>
      <c r="R9" s="41"/>
      <c r="S9" s="44"/>
      <c r="T9" s="41"/>
    </row>
    <row r="10" spans="1:20" s="5" customFormat="1" ht="12">
      <c r="A10" s="12" t="s">
        <v>23</v>
      </c>
      <c r="B10" s="12" t="s">
        <v>24</v>
      </c>
      <c r="C10" s="12" t="s">
        <v>25</v>
      </c>
      <c r="D10" s="12" t="s">
        <v>26</v>
      </c>
      <c r="E10" s="12" t="s">
        <v>27</v>
      </c>
      <c r="F10" s="12" t="s">
        <v>28</v>
      </c>
      <c r="G10" s="12" t="s">
        <v>29</v>
      </c>
      <c r="H10" s="12" t="s">
        <v>30</v>
      </c>
      <c r="I10" s="12" t="s">
        <v>31</v>
      </c>
      <c r="J10" s="12" t="s">
        <v>32</v>
      </c>
      <c r="K10" s="13" t="s">
        <v>33</v>
      </c>
      <c r="L10" s="13" t="s">
        <v>34</v>
      </c>
      <c r="M10" s="13" t="s">
        <v>35</v>
      </c>
      <c r="N10" s="13" t="s">
        <v>36</v>
      </c>
      <c r="O10" s="12"/>
      <c r="P10" s="12"/>
      <c r="Q10" s="12"/>
      <c r="R10" s="12"/>
      <c r="S10" s="14"/>
      <c r="T10" s="14"/>
    </row>
    <row r="11" spans="1:20" s="8" customFormat="1" ht="33.75">
      <c r="A11" s="15">
        <v>1</v>
      </c>
      <c r="B11" s="16" t="s">
        <v>37</v>
      </c>
      <c r="C11" s="16" t="s">
        <v>38</v>
      </c>
      <c r="D11" s="34" t="s">
        <v>72</v>
      </c>
      <c r="E11" s="34" t="s">
        <v>39</v>
      </c>
      <c r="F11" s="34" t="s">
        <v>41</v>
      </c>
      <c r="G11" s="34" t="s">
        <v>40</v>
      </c>
      <c r="H11" s="34" t="s">
        <v>41</v>
      </c>
      <c r="I11" s="34" t="s">
        <v>42</v>
      </c>
      <c r="J11" s="35">
        <v>5</v>
      </c>
      <c r="K11" s="34" t="s">
        <v>43</v>
      </c>
      <c r="L11" s="36">
        <f>(86*2)*1.1*0.03+(86*2)*1.1</f>
        <v>194.876</v>
      </c>
      <c r="M11" s="36">
        <f>L11</f>
        <v>194.876</v>
      </c>
      <c r="N11" s="37" t="s">
        <v>90</v>
      </c>
      <c r="O11" s="38">
        <v>1</v>
      </c>
      <c r="P11" s="38">
        <v>24</v>
      </c>
      <c r="Q11" s="18">
        <f t="shared" ref="Q11:Q28" si="0">D$1</f>
        <v>0</v>
      </c>
      <c r="R11" s="19">
        <f t="shared" ref="R11:R28" si="1">Q11*L11</f>
        <v>0</v>
      </c>
      <c r="S11" s="21">
        <f>R11*0.23</f>
        <v>0</v>
      </c>
      <c r="T11" s="20">
        <f>R11+S11</f>
        <v>0</v>
      </c>
    </row>
    <row r="12" spans="1:20" s="8" customFormat="1" ht="33.75">
      <c r="A12" s="15">
        <v>2</v>
      </c>
      <c r="B12" s="16" t="s">
        <v>37</v>
      </c>
      <c r="C12" s="16" t="s">
        <v>38</v>
      </c>
      <c r="D12" s="39" t="s">
        <v>73</v>
      </c>
      <c r="E12" s="34" t="s">
        <v>44</v>
      </c>
      <c r="F12" s="34" t="s">
        <v>41</v>
      </c>
      <c r="G12" s="34" t="s">
        <v>40</v>
      </c>
      <c r="H12" s="34" t="s">
        <v>41</v>
      </c>
      <c r="I12" s="35"/>
      <c r="J12" s="35">
        <v>25</v>
      </c>
      <c r="K12" s="34" t="s">
        <v>45</v>
      </c>
      <c r="L12" s="36">
        <f>(143583*2)*1.1*0.03+(143583*2)*1.1</f>
        <v>325359.07800000004</v>
      </c>
      <c r="M12" s="36">
        <f>105294*0.03+105294</f>
        <v>108452.82</v>
      </c>
      <c r="N12" s="36">
        <f>L12-M12</f>
        <v>216906.25800000003</v>
      </c>
      <c r="O12" s="38">
        <v>1</v>
      </c>
      <c r="P12" s="38">
        <v>24</v>
      </c>
      <c r="Q12" s="22">
        <f t="shared" si="0"/>
        <v>0</v>
      </c>
      <c r="R12" s="20">
        <f t="shared" si="1"/>
        <v>0</v>
      </c>
      <c r="S12" s="21">
        <f t="shared" ref="S12:S28" si="2">R12*0.23</f>
        <v>0</v>
      </c>
      <c r="T12" s="20">
        <f t="shared" ref="T12:T28" si="3">R12+S12</f>
        <v>0</v>
      </c>
    </row>
    <row r="13" spans="1:20" s="8" customFormat="1" ht="33.75">
      <c r="A13" s="15">
        <v>3</v>
      </c>
      <c r="B13" s="16" t="s">
        <v>37</v>
      </c>
      <c r="C13" s="16" t="s">
        <v>38</v>
      </c>
      <c r="D13" s="34" t="s">
        <v>74</v>
      </c>
      <c r="E13" s="34" t="s">
        <v>46</v>
      </c>
      <c r="F13" s="34" t="s">
        <v>41</v>
      </c>
      <c r="G13" s="34" t="s">
        <v>40</v>
      </c>
      <c r="H13" s="34" t="s">
        <v>47</v>
      </c>
      <c r="I13" s="34" t="s">
        <v>48</v>
      </c>
      <c r="J13" s="35">
        <v>15</v>
      </c>
      <c r="K13" s="34" t="s">
        <v>43</v>
      </c>
      <c r="L13" s="36">
        <f>(25389*2)*1.1*0.03+(25389*2)*1.1</f>
        <v>57531.474000000002</v>
      </c>
      <c r="M13" s="36">
        <f t="shared" ref="M13:M21" si="4">L13</f>
        <v>57531.474000000002</v>
      </c>
      <c r="N13" s="36" t="s">
        <v>90</v>
      </c>
      <c r="O13" s="38">
        <v>1</v>
      </c>
      <c r="P13" s="38">
        <v>24</v>
      </c>
      <c r="Q13" s="22">
        <f t="shared" si="0"/>
        <v>0</v>
      </c>
      <c r="R13" s="20">
        <f t="shared" si="1"/>
        <v>0</v>
      </c>
      <c r="S13" s="21">
        <f t="shared" si="2"/>
        <v>0</v>
      </c>
      <c r="T13" s="20">
        <f t="shared" si="3"/>
        <v>0</v>
      </c>
    </row>
    <row r="14" spans="1:20" s="8" customFormat="1" ht="33.75">
      <c r="A14" s="15">
        <v>4</v>
      </c>
      <c r="B14" s="16" t="s">
        <v>37</v>
      </c>
      <c r="C14" s="16" t="s">
        <v>38</v>
      </c>
      <c r="D14" s="34" t="s">
        <v>75</v>
      </c>
      <c r="E14" s="34" t="s">
        <v>49</v>
      </c>
      <c r="F14" s="34" t="s">
        <v>41</v>
      </c>
      <c r="G14" s="34" t="s">
        <v>40</v>
      </c>
      <c r="H14" s="34" t="s">
        <v>47</v>
      </c>
      <c r="I14" s="35"/>
      <c r="J14" s="35">
        <v>8.6</v>
      </c>
      <c r="K14" s="34" t="s">
        <v>43</v>
      </c>
      <c r="L14" s="36">
        <f>(4963*2)*1.1*0.03+(4963*2)*1.1</f>
        <v>11246.157999999999</v>
      </c>
      <c r="M14" s="36">
        <f t="shared" si="4"/>
        <v>11246.157999999999</v>
      </c>
      <c r="N14" s="36" t="s">
        <v>90</v>
      </c>
      <c r="O14" s="38">
        <v>1</v>
      </c>
      <c r="P14" s="38">
        <v>24</v>
      </c>
      <c r="Q14" s="22">
        <f t="shared" si="0"/>
        <v>0</v>
      </c>
      <c r="R14" s="20">
        <f t="shared" si="1"/>
        <v>0</v>
      </c>
      <c r="S14" s="21">
        <f t="shared" si="2"/>
        <v>0</v>
      </c>
      <c r="T14" s="20">
        <f t="shared" si="3"/>
        <v>0</v>
      </c>
    </row>
    <row r="15" spans="1:20" s="8" customFormat="1" ht="33.75">
      <c r="A15" s="15">
        <v>5</v>
      </c>
      <c r="B15" s="16" t="s">
        <v>37</v>
      </c>
      <c r="C15" s="16" t="s">
        <v>38</v>
      </c>
      <c r="D15" s="34" t="s">
        <v>76</v>
      </c>
      <c r="E15" s="34" t="s">
        <v>50</v>
      </c>
      <c r="F15" s="34" t="s">
        <v>41</v>
      </c>
      <c r="G15" s="34" t="s">
        <v>40</v>
      </c>
      <c r="H15" s="34" t="s">
        <v>47</v>
      </c>
      <c r="I15" s="35"/>
      <c r="J15" s="35">
        <v>1.7</v>
      </c>
      <c r="K15" s="34" t="s">
        <v>43</v>
      </c>
      <c r="L15" s="36">
        <f>(187*2)*1.1*0.03+(187*2)*1.1</f>
        <v>423.74200000000002</v>
      </c>
      <c r="M15" s="36">
        <f t="shared" si="4"/>
        <v>423.74200000000002</v>
      </c>
      <c r="N15" s="36" t="s">
        <v>90</v>
      </c>
      <c r="O15" s="38">
        <v>1</v>
      </c>
      <c r="P15" s="38">
        <v>24</v>
      </c>
      <c r="Q15" s="22">
        <f t="shared" si="0"/>
        <v>0</v>
      </c>
      <c r="R15" s="20">
        <f t="shared" si="1"/>
        <v>0</v>
      </c>
      <c r="S15" s="21">
        <f t="shared" si="2"/>
        <v>0</v>
      </c>
      <c r="T15" s="20">
        <f t="shared" si="3"/>
        <v>0</v>
      </c>
    </row>
    <row r="16" spans="1:20" s="8" customFormat="1" ht="33.75">
      <c r="A16" s="15">
        <v>6</v>
      </c>
      <c r="B16" s="16" t="s">
        <v>37</v>
      </c>
      <c r="C16" s="16" t="s">
        <v>38</v>
      </c>
      <c r="D16" s="34" t="s">
        <v>77</v>
      </c>
      <c r="E16" s="34" t="s">
        <v>51</v>
      </c>
      <c r="F16" s="34" t="s">
        <v>41</v>
      </c>
      <c r="G16" s="34" t="s">
        <v>40</v>
      </c>
      <c r="H16" s="34" t="s">
        <v>47</v>
      </c>
      <c r="I16" s="35"/>
      <c r="J16" s="35">
        <v>1.7</v>
      </c>
      <c r="K16" s="34" t="s">
        <v>43</v>
      </c>
      <c r="L16" s="36">
        <f>(5768*2)*1.1*0.03+(5768*2)*1.1</f>
        <v>13070.288</v>
      </c>
      <c r="M16" s="36">
        <f t="shared" si="4"/>
        <v>13070.288</v>
      </c>
      <c r="N16" s="36" t="s">
        <v>90</v>
      </c>
      <c r="O16" s="38">
        <v>1</v>
      </c>
      <c r="P16" s="38">
        <v>24</v>
      </c>
      <c r="Q16" s="22">
        <f t="shared" si="0"/>
        <v>0</v>
      </c>
      <c r="R16" s="20">
        <f t="shared" si="1"/>
        <v>0</v>
      </c>
      <c r="S16" s="21">
        <f t="shared" si="2"/>
        <v>0</v>
      </c>
      <c r="T16" s="20">
        <f t="shared" si="3"/>
        <v>0</v>
      </c>
    </row>
    <row r="17" spans="1:20" s="8" customFormat="1" ht="33.75">
      <c r="A17" s="15">
        <v>7</v>
      </c>
      <c r="B17" s="16" t="s">
        <v>37</v>
      </c>
      <c r="C17" s="16" t="s">
        <v>38</v>
      </c>
      <c r="D17" s="34" t="s">
        <v>78</v>
      </c>
      <c r="E17" s="34" t="s">
        <v>52</v>
      </c>
      <c r="F17" s="34" t="s">
        <v>41</v>
      </c>
      <c r="G17" s="34" t="s">
        <v>40</v>
      </c>
      <c r="H17" s="34" t="s">
        <v>47</v>
      </c>
      <c r="I17" s="35"/>
      <c r="J17" s="35">
        <v>10</v>
      </c>
      <c r="K17" s="34" t="s">
        <v>43</v>
      </c>
      <c r="L17" s="36">
        <f>(3764*2)*1.1*0.03+(3764*2)*1.1</f>
        <v>8529.224000000002</v>
      </c>
      <c r="M17" s="36">
        <f t="shared" si="4"/>
        <v>8529.224000000002</v>
      </c>
      <c r="N17" s="36" t="s">
        <v>90</v>
      </c>
      <c r="O17" s="38">
        <v>1</v>
      </c>
      <c r="P17" s="38">
        <v>24</v>
      </c>
      <c r="Q17" s="23">
        <f t="shared" si="0"/>
        <v>0</v>
      </c>
      <c r="R17" s="24">
        <f t="shared" si="1"/>
        <v>0</v>
      </c>
      <c r="S17" s="21">
        <f t="shared" si="2"/>
        <v>0</v>
      </c>
      <c r="T17" s="20">
        <f t="shared" si="3"/>
        <v>0</v>
      </c>
    </row>
    <row r="18" spans="1:20" s="8" customFormat="1" ht="38.25">
      <c r="A18" s="15">
        <v>8</v>
      </c>
      <c r="B18" s="16" t="s">
        <v>37</v>
      </c>
      <c r="C18" s="16" t="s">
        <v>38</v>
      </c>
      <c r="D18" s="34" t="s">
        <v>79</v>
      </c>
      <c r="E18" s="34" t="s">
        <v>53</v>
      </c>
      <c r="F18" s="34" t="s">
        <v>41</v>
      </c>
      <c r="G18" s="34" t="s">
        <v>40</v>
      </c>
      <c r="H18" s="34" t="s">
        <v>54</v>
      </c>
      <c r="I18" s="35"/>
      <c r="J18" s="35">
        <v>8</v>
      </c>
      <c r="K18" s="34" t="s">
        <v>43</v>
      </c>
      <c r="L18" s="36">
        <f>(1783*2)*1.1*0.03+(1783*2)*1.1</f>
        <v>4040.2780000000002</v>
      </c>
      <c r="M18" s="36">
        <f t="shared" si="4"/>
        <v>4040.2780000000002</v>
      </c>
      <c r="N18" s="36" t="s">
        <v>90</v>
      </c>
      <c r="O18" s="38">
        <v>1</v>
      </c>
      <c r="P18" s="38">
        <v>24</v>
      </c>
      <c r="Q18" s="22">
        <f t="shared" si="0"/>
        <v>0</v>
      </c>
      <c r="R18" s="20">
        <f t="shared" si="1"/>
        <v>0</v>
      </c>
      <c r="S18" s="21">
        <f t="shared" si="2"/>
        <v>0</v>
      </c>
      <c r="T18" s="20">
        <f t="shared" si="3"/>
        <v>0</v>
      </c>
    </row>
    <row r="19" spans="1:20" s="8" customFormat="1" ht="33.75">
      <c r="A19" s="15">
        <v>9</v>
      </c>
      <c r="B19" s="16" t="s">
        <v>37</v>
      </c>
      <c r="C19" s="16" t="s">
        <v>38</v>
      </c>
      <c r="D19" s="34" t="s">
        <v>80</v>
      </c>
      <c r="E19" s="34" t="s">
        <v>55</v>
      </c>
      <c r="F19" s="34" t="s">
        <v>41</v>
      </c>
      <c r="G19" s="34" t="s">
        <v>40</v>
      </c>
      <c r="H19" s="34" t="s">
        <v>54</v>
      </c>
      <c r="I19" s="35"/>
      <c r="J19" s="35">
        <v>6</v>
      </c>
      <c r="K19" s="34" t="s">
        <v>43</v>
      </c>
      <c r="L19" s="36">
        <f>(1966*2)*1.1*0.03+(1966*2)*1.1</f>
        <v>4454.956000000001</v>
      </c>
      <c r="M19" s="36">
        <f t="shared" si="4"/>
        <v>4454.956000000001</v>
      </c>
      <c r="N19" s="36" t="s">
        <v>90</v>
      </c>
      <c r="O19" s="38">
        <v>1</v>
      </c>
      <c r="P19" s="38">
        <v>24</v>
      </c>
      <c r="Q19" s="18">
        <f t="shared" si="0"/>
        <v>0</v>
      </c>
      <c r="R19" s="19">
        <f t="shared" si="1"/>
        <v>0</v>
      </c>
      <c r="S19" s="21">
        <f t="shared" si="2"/>
        <v>0</v>
      </c>
      <c r="T19" s="20">
        <f t="shared" si="3"/>
        <v>0</v>
      </c>
    </row>
    <row r="20" spans="1:20" s="8" customFormat="1" ht="38.25">
      <c r="A20" s="15">
        <v>10</v>
      </c>
      <c r="B20" s="16" t="s">
        <v>37</v>
      </c>
      <c r="C20" s="16" t="s">
        <v>38</v>
      </c>
      <c r="D20" s="34" t="s">
        <v>81</v>
      </c>
      <c r="E20" s="34" t="s">
        <v>56</v>
      </c>
      <c r="F20" s="34" t="s">
        <v>41</v>
      </c>
      <c r="G20" s="34" t="s">
        <v>40</v>
      </c>
      <c r="H20" s="34" t="s">
        <v>54</v>
      </c>
      <c r="I20" s="35"/>
      <c r="J20" s="35">
        <v>30</v>
      </c>
      <c r="K20" s="34" t="s">
        <v>43</v>
      </c>
      <c r="L20" s="36">
        <f>(26972*2)*1.1*0.03+(26972*2)*1.1</f>
        <v>61118.552000000003</v>
      </c>
      <c r="M20" s="36">
        <f t="shared" si="4"/>
        <v>61118.552000000003</v>
      </c>
      <c r="N20" s="36" t="s">
        <v>90</v>
      </c>
      <c r="O20" s="38">
        <v>1</v>
      </c>
      <c r="P20" s="38">
        <v>24</v>
      </c>
      <c r="Q20" s="22">
        <f t="shared" si="0"/>
        <v>0</v>
      </c>
      <c r="R20" s="20">
        <f t="shared" si="1"/>
        <v>0</v>
      </c>
      <c r="S20" s="21">
        <f t="shared" si="2"/>
        <v>0</v>
      </c>
      <c r="T20" s="20">
        <f t="shared" si="3"/>
        <v>0</v>
      </c>
    </row>
    <row r="21" spans="1:20" s="8" customFormat="1" ht="33.75">
      <c r="A21" s="15">
        <v>11</v>
      </c>
      <c r="B21" s="16" t="s">
        <v>37</v>
      </c>
      <c r="C21" s="16" t="s">
        <v>38</v>
      </c>
      <c r="D21" s="34" t="s">
        <v>82</v>
      </c>
      <c r="E21" s="34" t="s">
        <v>57</v>
      </c>
      <c r="F21" s="34" t="s">
        <v>41</v>
      </c>
      <c r="G21" s="34" t="s">
        <v>40</v>
      </c>
      <c r="H21" s="34" t="s">
        <v>58</v>
      </c>
      <c r="I21" s="34" t="s">
        <v>59</v>
      </c>
      <c r="J21" s="35">
        <v>12</v>
      </c>
      <c r="K21" s="34" t="s">
        <v>43</v>
      </c>
      <c r="L21" s="36">
        <f>(3.6*2)*1.1*0.03+(3.6*2)*1.1</f>
        <v>8.1576000000000004</v>
      </c>
      <c r="M21" s="36">
        <f t="shared" si="4"/>
        <v>8.1576000000000004</v>
      </c>
      <c r="N21" s="36" t="s">
        <v>90</v>
      </c>
      <c r="O21" s="38">
        <v>1</v>
      </c>
      <c r="P21" s="38">
        <v>24</v>
      </c>
      <c r="Q21" s="22">
        <f t="shared" si="0"/>
        <v>0</v>
      </c>
      <c r="R21" s="20">
        <f t="shared" si="1"/>
        <v>0</v>
      </c>
      <c r="S21" s="21">
        <f t="shared" si="2"/>
        <v>0</v>
      </c>
      <c r="T21" s="20">
        <f t="shared" si="3"/>
        <v>0</v>
      </c>
    </row>
    <row r="22" spans="1:20" s="8" customFormat="1" ht="33.75">
      <c r="A22" s="15">
        <v>12</v>
      </c>
      <c r="B22" s="16" t="s">
        <v>37</v>
      </c>
      <c r="C22" s="16" t="s">
        <v>38</v>
      </c>
      <c r="D22" s="34" t="s">
        <v>83</v>
      </c>
      <c r="E22" s="34" t="s">
        <v>60</v>
      </c>
      <c r="F22" s="34" t="s">
        <v>41</v>
      </c>
      <c r="G22" s="34" t="s">
        <v>40</v>
      </c>
      <c r="H22" s="34" t="s">
        <v>58</v>
      </c>
      <c r="I22" s="35"/>
      <c r="J22" s="35">
        <v>30</v>
      </c>
      <c r="K22" s="34" t="s">
        <v>45</v>
      </c>
      <c r="L22" s="36">
        <f>(4989*2)*1.1*0.03+(4989*2)*1.1</f>
        <v>11305.074000000001</v>
      </c>
      <c r="M22" s="36">
        <f>3658*0.03+3658</f>
        <v>3767.74</v>
      </c>
      <c r="N22" s="36">
        <f>L22-M22</f>
        <v>7537.3340000000007</v>
      </c>
      <c r="O22" s="38">
        <v>1</v>
      </c>
      <c r="P22" s="38">
        <v>24</v>
      </c>
      <c r="Q22" s="22">
        <f t="shared" si="0"/>
        <v>0</v>
      </c>
      <c r="R22" s="20">
        <f t="shared" si="1"/>
        <v>0</v>
      </c>
      <c r="S22" s="21">
        <f t="shared" si="2"/>
        <v>0</v>
      </c>
      <c r="T22" s="20">
        <f t="shared" si="3"/>
        <v>0</v>
      </c>
    </row>
    <row r="23" spans="1:20" s="8" customFormat="1" ht="38.25">
      <c r="A23" s="15">
        <v>13</v>
      </c>
      <c r="B23" s="16" t="s">
        <v>37</v>
      </c>
      <c r="C23" s="16" t="s">
        <v>38</v>
      </c>
      <c r="D23" s="34" t="s">
        <v>84</v>
      </c>
      <c r="E23" s="34" t="s">
        <v>61</v>
      </c>
      <c r="F23" s="34" t="s">
        <v>41</v>
      </c>
      <c r="G23" s="34" t="s">
        <v>40</v>
      </c>
      <c r="H23" s="34" t="s">
        <v>62</v>
      </c>
      <c r="I23" s="34" t="s">
        <v>63</v>
      </c>
      <c r="J23" s="35">
        <v>4</v>
      </c>
      <c r="K23" s="34" t="s">
        <v>43</v>
      </c>
      <c r="L23" s="36">
        <f>(868*2)*1.1*0.03+(868*2)*1.1</f>
        <v>1966.8880000000001</v>
      </c>
      <c r="M23" s="36">
        <f>L23</f>
        <v>1966.8880000000001</v>
      </c>
      <c r="N23" s="36" t="s">
        <v>90</v>
      </c>
      <c r="O23" s="38">
        <v>1</v>
      </c>
      <c r="P23" s="38">
        <v>24</v>
      </c>
      <c r="Q23" s="22">
        <f t="shared" si="0"/>
        <v>0</v>
      </c>
      <c r="R23" s="20">
        <f t="shared" si="1"/>
        <v>0</v>
      </c>
      <c r="S23" s="21">
        <f t="shared" si="2"/>
        <v>0</v>
      </c>
      <c r="T23" s="20">
        <f t="shared" si="3"/>
        <v>0</v>
      </c>
    </row>
    <row r="24" spans="1:20" s="8" customFormat="1" ht="38.25">
      <c r="A24" s="15">
        <v>14</v>
      </c>
      <c r="B24" s="16" t="s">
        <v>37</v>
      </c>
      <c r="C24" s="16" t="s">
        <v>38</v>
      </c>
      <c r="D24" s="34" t="s">
        <v>85</v>
      </c>
      <c r="E24" s="34" t="s">
        <v>64</v>
      </c>
      <c r="F24" s="34" t="s">
        <v>41</v>
      </c>
      <c r="G24" s="34" t="s">
        <v>40</v>
      </c>
      <c r="H24" s="34" t="s">
        <v>62</v>
      </c>
      <c r="I24" s="35" t="s">
        <v>65</v>
      </c>
      <c r="J24" s="35">
        <v>22</v>
      </c>
      <c r="K24" s="34" t="s">
        <v>43</v>
      </c>
      <c r="L24" s="36">
        <f>(2785*2)*1.1*0.03+(2785*2)*1.1</f>
        <v>6310.8100000000013</v>
      </c>
      <c r="M24" s="36">
        <f>L24</f>
        <v>6310.8100000000013</v>
      </c>
      <c r="N24" s="36" t="s">
        <v>90</v>
      </c>
      <c r="O24" s="38">
        <v>1</v>
      </c>
      <c r="P24" s="38">
        <v>24</v>
      </c>
      <c r="Q24" s="22">
        <f t="shared" si="0"/>
        <v>0</v>
      </c>
      <c r="R24" s="20">
        <f t="shared" si="1"/>
        <v>0</v>
      </c>
      <c r="S24" s="21">
        <f t="shared" si="2"/>
        <v>0</v>
      </c>
      <c r="T24" s="20">
        <f t="shared" si="3"/>
        <v>0</v>
      </c>
    </row>
    <row r="25" spans="1:20" s="8" customFormat="1" ht="33.75">
      <c r="A25" s="15">
        <v>15</v>
      </c>
      <c r="B25" s="16" t="s">
        <v>37</v>
      </c>
      <c r="C25" s="16" t="s">
        <v>38</v>
      </c>
      <c r="D25" s="34" t="s">
        <v>86</v>
      </c>
      <c r="E25" s="34" t="s">
        <v>66</v>
      </c>
      <c r="F25" s="34" t="s">
        <v>41</v>
      </c>
      <c r="G25" s="34" t="s">
        <v>40</v>
      </c>
      <c r="H25" s="34" t="s">
        <v>41</v>
      </c>
      <c r="I25" s="35"/>
      <c r="J25" s="35">
        <v>9</v>
      </c>
      <c r="K25" s="34" t="s">
        <v>43</v>
      </c>
      <c r="L25" s="36">
        <f>(2385*2)*1.1*0.03+(2385*2)*1.1</f>
        <v>5404.41</v>
      </c>
      <c r="M25" s="36">
        <f>L25</f>
        <v>5404.41</v>
      </c>
      <c r="N25" s="36" t="s">
        <v>90</v>
      </c>
      <c r="O25" s="38">
        <v>1</v>
      </c>
      <c r="P25" s="38">
        <v>24</v>
      </c>
      <c r="Q25" s="22">
        <f t="shared" si="0"/>
        <v>0</v>
      </c>
      <c r="R25" s="20">
        <f t="shared" si="1"/>
        <v>0</v>
      </c>
      <c r="S25" s="21">
        <f t="shared" si="2"/>
        <v>0</v>
      </c>
      <c r="T25" s="20">
        <f t="shared" si="3"/>
        <v>0</v>
      </c>
    </row>
    <row r="26" spans="1:20" s="8" customFormat="1" ht="38.25">
      <c r="A26" s="15">
        <v>16</v>
      </c>
      <c r="B26" s="16" t="s">
        <v>37</v>
      </c>
      <c r="C26" s="16" t="s">
        <v>38</v>
      </c>
      <c r="D26" s="34" t="s">
        <v>87</v>
      </c>
      <c r="E26" s="34" t="s">
        <v>67</v>
      </c>
      <c r="F26" s="34" t="s">
        <v>41</v>
      </c>
      <c r="G26" s="34" t="s">
        <v>40</v>
      </c>
      <c r="H26" s="34" t="s">
        <v>62</v>
      </c>
      <c r="I26" s="34" t="s">
        <v>68</v>
      </c>
      <c r="J26" s="35">
        <v>4</v>
      </c>
      <c r="K26" s="34" t="s">
        <v>43</v>
      </c>
      <c r="L26" s="36">
        <f>(2765*2)*1.1*0.03+(2765*2)*1.1</f>
        <v>6265.4900000000007</v>
      </c>
      <c r="M26" s="36">
        <f>L26</f>
        <v>6265.4900000000007</v>
      </c>
      <c r="N26" s="36" t="s">
        <v>90</v>
      </c>
      <c r="O26" s="38">
        <v>1</v>
      </c>
      <c r="P26" s="38">
        <v>24</v>
      </c>
      <c r="Q26" s="22">
        <f t="shared" si="0"/>
        <v>0</v>
      </c>
      <c r="R26" s="20">
        <f t="shared" si="1"/>
        <v>0</v>
      </c>
      <c r="S26" s="21">
        <f t="shared" si="2"/>
        <v>0</v>
      </c>
      <c r="T26" s="20">
        <f t="shared" si="3"/>
        <v>0</v>
      </c>
    </row>
    <row r="27" spans="1:20" s="8" customFormat="1" ht="33.75">
      <c r="A27" s="15">
        <v>17</v>
      </c>
      <c r="B27" s="16" t="s">
        <v>37</v>
      </c>
      <c r="C27" s="16" t="s">
        <v>38</v>
      </c>
      <c r="D27" s="34" t="s">
        <v>88</v>
      </c>
      <c r="E27" s="34" t="s">
        <v>52</v>
      </c>
      <c r="F27" s="34" t="s">
        <v>41</v>
      </c>
      <c r="G27" s="34" t="s">
        <v>40</v>
      </c>
      <c r="H27" s="34" t="s">
        <v>58</v>
      </c>
      <c r="I27" s="35"/>
      <c r="J27" s="35">
        <v>30</v>
      </c>
      <c r="K27" s="34" t="s">
        <v>45</v>
      </c>
      <c r="L27" s="36">
        <f>(20953*2)*1.1*0.03+(20953*2)*1.1</f>
        <v>47479.498000000007</v>
      </c>
      <c r="M27" s="36">
        <f>15365*0.03+15365</f>
        <v>15825.95</v>
      </c>
      <c r="N27" s="36">
        <f>L27-M27</f>
        <v>31653.548000000006</v>
      </c>
      <c r="O27" s="38">
        <v>1</v>
      </c>
      <c r="P27" s="38">
        <v>24</v>
      </c>
      <c r="Q27" s="22">
        <f t="shared" si="0"/>
        <v>0</v>
      </c>
      <c r="R27" s="20">
        <f t="shared" si="1"/>
        <v>0</v>
      </c>
      <c r="S27" s="21">
        <f t="shared" si="2"/>
        <v>0</v>
      </c>
      <c r="T27" s="20">
        <f t="shared" si="3"/>
        <v>0</v>
      </c>
    </row>
    <row r="28" spans="1:20" s="8" customFormat="1" ht="38.25">
      <c r="A28" s="15">
        <v>18</v>
      </c>
      <c r="B28" s="16" t="s">
        <v>37</v>
      </c>
      <c r="C28" s="16" t="s">
        <v>38</v>
      </c>
      <c r="D28" s="34" t="s">
        <v>89</v>
      </c>
      <c r="E28" s="34" t="s">
        <v>69</v>
      </c>
      <c r="F28" s="34" t="s">
        <v>41</v>
      </c>
      <c r="G28" s="34" t="s">
        <v>40</v>
      </c>
      <c r="H28" s="34" t="s">
        <v>62</v>
      </c>
      <c r="I28" s="34" t="s">
        <v>70</v>
      </c>
      <c r="J28" s="35">
        <v>3</v>
      </c>
      <c r="K28" s="34" t="s">
        <v>43</v>
      </c>
      <c r="L28" s="36">
        <f>(287*2)*1.1*0.03+(287*2)*1.1</f>
        <v>650.3420000000001</v>
      </c>
      <c r="M28" s="36">
        <f>L28</f>
        <v>650.3420000000001</v>
      </c>
      <c r="N28" s="36" t="s">
        <v>90</v>
      </c>
      <c r="O28" s="38">
        <v>1</v>
      </c>
      <c r="P28" s="38">
        <v>24</v>
      </c>
      <c r="Q28" s="22">
        <f t="shared" si="0"/>
        <v>0</v>
      </c>
      <c r="R28" s="20">
        <f t="shared" si="1"/>
        <v>0</v>
      </c>
      <c r="S28" s="21">
        <f t="shared" si="2"/>
        <v>0</v>
      </c>
      <c r="T28" s="20">
        <f t="shared" si="3"/>
        <v>0</v>
      </c>
    </row>
    <row r="29" spans="1:20" ht="24.95" customHeight="1">
      <c r="A29" s="25"/>
      <c r="B29" s="17" t="s">
        <v>71</v>
      </c>
      <c r="C29" s="30"/>
      <c r="D29" s="30"/>
      <c r="E29" s="30"/>
      <c r="F29" s="30"/>
      <c r="G29" s="30"/>
      <c r="H29" s="30"/>
      <c r="I29" s="30"/>
      <c r="J29" s="40">
        <f>SUM(J11:J28)</f>
        <v>225</v>
      </c>
      <c r="K29" s="31"/>
      <c r="L29" s="26">
        <f>SUM(L11:L28)</f>
        <v>565359.29559999995</v>
      </c>
      <c r="M29" s="27"/>
      <c r="N29" s="32"/>
      <c r="O29" s="33"/>
      <c r="P29" s="28"/>
      <c r="Q29" s="29"/>
      <c r="R29" s="20">
        <f>SUM(R11:R28)</f>
        <v>0</v>
      </c>
      <c r="S29" s="21">
        <f>SUM(S11:S28)*R29*0.23</f>
        <v>0</v>
      </c>
      <c r="T29" s="20">
        <f>SUM(R29+S29)</f>
        <v>0</v>
      </c>
    </row>
    <row r="33" spans="3:4">
      <c r="C33"/>
      <c r="D33"/>
    </row>
    <row r="34" spans="3:4">
      <c r="C34"/>
      <c r="D34"/>
    </row>
    <row r="35" spans="3:4">
      <c r="C35"/>
      <c r="D35"/>
    </row>
    <row r="36" spans="3:4">
      <c r="C36"/>
      <c r="D36"/>
    </row>
    <row r="37" spans="3:4">
      <c r="C37"/>
      <c r="D37"/>
    </row>
    <row r="38" spans="3:4">
      <c r="C38"/>
      <c r="D38"/>
    </row>
  </sheetData>
  <mergeCells count="21">
    <mergeCell ref="M7:N8"/>
    <mergeCell ref="B1:B5"/>
    <mergeCell ref="C5:D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T7:T9"/>
    <mergeCell ref="S7:S9"/>
    <mergeCell ref="O7:O9"/>
    <mergeCell ref="P7:P9"/>
    <mergeCell ref="Q7:Q9"/>
    <mergeCell ref="R7:R9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ENERGA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ALEYK</dc:creator>
  <cp:lastModifiedBy>Anna Leyk</cp:lastModifiedBy>
  <cp:revision>10</cp:revision>
  <dcterms:created xsi:type="dcterms:W3CDTF">2019-10-24T07:42:31Z</dcterms:created>
  <dcterms:modified xsi:type="dcterms:W3CDTF">2023-09-12T10:39:02Z</dcterms:modified>
</cp:coreProperties>
</file>