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Refmie2\KaszubaA\Osiedle Skorodeckiego\"/>
    </mc:Choice>
  </mc:AlternateContent>
  <bookViews>
    <workbookView xWindow="0" yWindow="0" windowWidth="28740" windowHeight="12210" tabRatio="500" activeTab="2"/>
  </bookViews>
  <sheets>
    <sheet name="Przedmiar robót" sheetId="13" r:id="rId1"/>
    <sheet name="ZZK" sheetId="34" r:id="rId2"/>
    <sheet name="KO" sheetId="37" r:id="rId3"/>
    <sheet name="ZAŁ_1" sheetId="19" r:id="rId4"/>
    <sheet name="1. Zjazdy" sheetId="20" r:id="rId5"/>
    <sheet name="2. Roboty rozbiórkowe " sheetId="21" r:id="rId6"/>
    <sheet name="3. Odwodnienie korpusu" sheetId="22" r:id="rId7"/>
    <sheet name="4. El. pref. 5.konstr." sheetId="23" r:id="rId8"/>
    <sheet name="6. TRZ" sheetId="24" r:id="rId9"/>
    <sheet name="7. gaz WC" sheetId="36" r:id="rId10"/>
  </sheets>
  <definedNames>
    <definedName name="_xlnm.Print_Area" localSheetId="4">'1. Zjazdy'!$A$1:$J$18</definedName>
    <definedName name="_xlnm.Print_Area" localSheetId="5">'2. Roboty rozbiórkowe '!$A$1:$D$7</definedName>
    <definedName name="_xlnm.Print_Area" localSheetId="6">'3. Odwodnienie korpusu'!$A$1:$D$43</definedName>
    <definedName name="_xlnm.Print_Area" localSheetId="7">'4. El. pref. 5.konstr.'!$A$2:$D$30</definedName>
    <definedName name="_xlnm.Print_Area" localSheetId="8">'6. TRZ'!$A$1:$H$76</definedName>
    <definedName name="_xlnm.Print_Area" localSheetId="9">'7. gaz WC'!$A$1:$G$13</definedName>
    <definedName name="_xlnm.Print_Area" localSheetId="2">KO!$A$1:$H$161</definedName>
    <definedName name="_xlnm.Print_Area" localSheetId="0">'Przedmiar robót'!$A$1:$F$147</definedName>
    <definedName name="_xlnm.Print_Area" localSheetId="3">ZAŁ_1!$A$1:$H$16</definedName>
    <definedName name="_xlnm.Print_Area" localSheetId="1">ZZK!$A$3:$E$37</definedName>
  </definedNames>
  <calcPr calcId="152511" iterateDelta="1E-4"/>
</workbook>
</file>

<file path=xl/calcChain.xml><?xml version="1.0" encoding="utf-8"?>
<calcChain xmlns="http://schemas.openxmlformats.org/spreadsheetml/2006/main">
  <c r="F73" i="24" l="1"/>
  <c r="F155" i="37" l="1"/>
  <c r="F148" i="37"/>
  <c r="E144" i="37"/>
  <c r="F143" i="37"/>
  <c r="E141" i="37"/>
  <c r="F140" i="37" s="1"/>
  <c r="E138" i="37"/>
  <c r="F137" i="37"/>
  <c r="E135" i="37"/>
  <c r="F134" i="37" s="1"/>
  <c r="F128" i="37"/>
  <c r="F125" i="37"/>
  <c r="F122" i="37"/>
  <c r="F117" i="37"/>
  <c r="E113" i="37"/>
  <c r="F112" i="37" s="1"/>
  <c r="E110" i="37"/>
  <c r="F109" i="37"/>
  <c r="E108" i="37"/>
  <c r="F107" i="37" s="1"/>
  <c r="E106" i="37"/>
  <c r="F105" i="37"/>
  <c r="E103" i="37"/>
  <c r="F102" i="37" s="1"/>
  <c r="E98" i="37"/>
  <c r="F97" i="37" s="1"/>
  <c r="E96" i="37"/>
  <c r="F95" i="37"/>
  <c r="E91" i="37"/>
  <c r="F90" i="37"/>
  <c r="E89" i="37"/>
  <c r="F88" i="37"/>
  <c r="E86" i="37"/>
  <c r="F85" i="37" s="1"/>
  <c r="E84" i="37"/>
  <c r="F83" i="37" s="1"/>
  <c r="E81" i="37"/>
  <c r="F80" i="37"/>
  <c r="H77" i="37"/>
  <c r="E67" i="37"/>
  <c r="F66" i="37"/>
  <c r="E64" i="37"/>
  <c r="F63" i="37"/>
  <c r="E62" i="37"/>
  <c r="F61" i="37" s="1"/>
  <c r="E59" i="37"/>
  <c r="F58" i="37"/>
  <c r="E57" i="37"/>
  <c r="F56" i="37" s="1"/>
  <c r="E55" i="37"/>
  <c r="F54" i="37" s="1"/>
  <c r="E53" i="37"/>
  <c r="F52" i="37"/>
  <c r="E51" i="37"/>
  <c r="F50" i="37"/>
  <c r="E49" i="37"/>
  <c r="F48" i="37"/>
  <c r="E46" i="37"/>
  <c r="F45" i="37" s="1"/>
  <c r="E44" i="37"/>
  <c r="F43" i="37" s="1"/>
  <c r="E39" i="37"/>
  <c r="F38" i="37"/>
  <c r="E31" i="37"/>
  <c r="F30" i="37" s="1"/>
  <c r="E29" i="37"/>
  <c r="F28" i="37"/>
  <c r="E27" i="37"/>
  <c r="F26" i="37" s="1"/>
  <c r="E25" i="37"/>
  <c r="F24" i="37"/>
  <c r="E23" i="37"/>
  <c r="F22" i="37"/>
  <c r="F19" i="37"/>
  <c r="E17" i="37"/>
  <c r="F16" i="37"/>
  <c r="F10" i="37"/>
  <c r="F9" i="37"/>
  <c r="F8" i="37"/>
  <c r="F7" i="37"/>
  <c r="E9" i="34"/>
  <c r="E10" i="34" s="1"/>
  <c r="F124" i="13"/>
  <c r="F146" i="13" l="1"/>
  <c r="E44" i="13"/>
  <c r="F43" i="13" s="1"/>
  <c r="E58" i="13"/>
  <c r="F57" i="13" s="1"/>
  <c r="F74" i="13"/>
  <c r="F73" i="13"/>
  <c r="F72" i="13"/>
  <c r="F69" i="13"/>
  <c r="F68" i="13"/>
  <c r="D22" i="22"/>
  <c r="F71" i="13" s="1"/>
  <c r="D21" i="22" l="1"/>
  <c r="F141" i="13" l="1"/>
  <c r="E138" i="13"/>
  <c r="F137" i="13" s="1"/>
  <c r="E135" i="13"/>
  <c r="E132" i="13"/>
  <c r="F122" i="13"/>
  <c r="E129" i="13"/>
  <c r="E106" i="13"/>
  <c r="E104" i="13"/>
  <c r="E102" i="13"/>
  <c r="E109" i="13"/>
  <c r="F101" i="13"/>
  <c r="E95" i="13"/>
  <c r="E88" i="13"/>
  <c r="E86" i="13"/>
  <c r="E83" i="13"/>
  <c r="E81" i="13"/>
  <c r="G73" i="24"/>
  <c r="E60" i="13"/>
  <c r="E62" i="13"/>
  <c r="E65" i="13"/>
  <c r="F64" i="13" s="1"/>
  <c r="E56" i="13"/>
  <c r="E54" i="13"/>
  <c r="F53" i="13" s="1"/>
  <c r="E52" i="13"/>
  <c r="E50" i="13"/>
  <c r="E42" i="13"/>
  <c r="E40" i="13"/>
  <c r="E29" i="13"/>
  <c r="E27" i="13"/>
  <c r="E25" i="13"/>
  <c r="E23" i="13"/>
  <c r="F22" i="13" s="1"/>
  <c r="E21" i="13"/>
  <c r="E15" i="13"/>
  <c r="G76" i="24"/>
  <c r="G75" i="24"/>
  <c r="F75" i="24"/>
  <c r="H66" i="24"/>
  <c r="H67" i="24"/>
  <c r="H68" i="24"/>
  <c r="H69" i="24"/>
  <c r="H70" i="24"/>
  <c r="H71" i="24"/>
  <c r="H65" i="24"/>
  <c r="G67" i="24"/>
  <c r="G68" i="24" s="1"/>
  <c r="G69" i="24" s="1"/>
  <c r="G70" i="24" s="1"/>
  <c r="G71" i="24" s="1"/>
  <c r="G66" i="24"/>
  <c r="E67" i="24"/>
  <c r="E68" i="24"/>
  <c r="E69" i="24"/>
  <c r="E70" i="24"/>
  <c r="E71" i="24"/>
  <c r="E66" i="24"/>
  <c r="F67" i="24"/>
  <c r="F68" i="24"/>
  <c r="F69" i="24"/>
  <c r="F70" i="24" s="1"/>
  <c r="F71" i="24" s="1"/>
  <c r="F66" i="24"/>
  <c r="C67" i="24"/>
  <c r="C68" i="24"/>
  <c r="C69" i="24"/>
  <c r="C70" i="24"/>
  <c r="C71" i="24"/>
  <c r="C66" i="24"/>
  <c r="H57" i="24"/>
  <c r="E59" i="24"/>
  <c r="E60" i="24"/>
  <c r="E61" i="24"/>
  <c r="E62" i="24"/>
  <c r="E63" i="24"/>
  <c r="E58" i="24"/>
  <c r="G58" i="24" s="1"/>
  <c r="G59" i="24" s="1"/>
  <c r="G60" i="24" s="1"/>
  <c r="G61" i="24" s="1"/>
  <c r="C59" i="24"/>
  <c r="C60" i="24"/>
  <c r="C61" i="24"/>
  <c r="C62" i="24"/>
  <c r="C63" i="24"/>
  <c r="C58" i="24"/>
  <c r="F58" i="24" s="1"/>
  <c r="F76" i="24"/>
  <c r="H50" i="24"/>
  <c r="E52" i="24"/>
  <c r="E53" i="24"/>
  <c r="E54" i="24"/>
  <c r="E55" i="24"/>
  <c r="E51" i="24"/>
  <c r="G51" i="24" s="1"/>
  <c r="C52" i="24"/>
  <c r="C53" i="24"/>
  <c r="C54" i="24"/>
  <c r="C55" i="24"/>
  <c r="C51" i="24"/>
  <c r="F51" i="24" s="1"/>
  <c r="H31" i="24"/>
  <c r="E33" i="24"/>
  <c r="E34" i="24"/>
  <c r="E35" i="24"/>
  <c r="E36" i="24"/>
  <c r="E37" i="24"/>
  <c r="E38" i="24"/>
  <c r="E39" i="24"/>
  <c r="E40" i="24"/>
  <c r="E41" i="24"/>
  <c r="E42" i="24"/>
  <c r="E43" i="24"/>
  <c r="E44" i="24"/>
  <c r="E45" i="24"/>
  <c r="E46" i="24"/>
  <c r="E47" i="24"/>
  <c r="E48" i="24"/>
  <c r="E32" i="24"/>
  <c r="G32" i="24" s="1"/>
  <c r="G33" i="24" s="1"/>
  <c r="C39" i="24"/>
  <c r="C40" i="24"/>
  <c r="C41" i="24"/>
  <c r="C42" i="24"/>
  <c r="C43" i="24"/>
  <c r="C44" i="24"/>
  <c r="C45" i="24"/>
  <c r="C46" i="24"/>
  <c r="C47" i="24"/>
  <c r="C48" i="24"/>
  <c r="C33" i="24"/>
  <c r="C34" i="24"/>
  <c r="C35" i="24"/>
  <c r="C36" i="24"/>
  <c r="C37" i="24"/>
  <c r="C38" i="24"/>
  <c r="C32" i="24"/>
  <c r="F32" i="24" s="1"/>
  <c r="E6" i="24"/>
  <c r="E7" i="24"/>
  <c r="E8" i="24"/>
  <c r="E9" i="24"/>
  <c r="E10" i="24"/>
  <c r="E11" i="24"/>
  <c r="E12" i="24"/>
  <c r="E13" i="24"/>
  <c r="E14" i="24"/>
  <c r="E15" i="24"/>
  <c r="E16" i="24"/>
  <c r="E17" i="24"/>
  <c r="E18" i="24"/>
  <c r="E19" i="24"/>
  <c r="E20" i="24"/>
  <c r="E21" i="24"/>
  <c r="E22" i="24"/>
  <c r="E23" i="24"/>
  <c r="E24" i="24"/>
  <c r="E25" i="24"/>
  <c r="E26" i="24"/>
  <c r="E27" i="24"/>
  <c r="E28" i="24"/>
  <c r="E29" i="24"/>
  <c r="E5" i="24"/>
  <c r="G5" i="24" s="1"/>
  <c r="C7" i="24"/>
  <c r="C8" i="24"/>
  <c r="C9" i="24"/>
  <c r="C10" i="24"/>
  <c r="C11" i="24"/>
  <c r="C12" i="24"/>
  <c r="C13" i="24"/>
  <c r="C14" i="24"/>
  <c r="C15" i="24"/>
  <c r="C16" i="24"/>
  <c r="C17" i="24"/>
  <c r="C18" i="24"/>
  <c r="C19" i="24"/>
  <c r="C20" i="24"/>
  <c r="C21" i="24"/>
  <c r="C22" i="24"/>
  <c r="C23" i="24"/>
  <c r="C24" i="24"/>
  <c r="C25" i="24"/>
  <c r="C26" i="24"/>
  <c r="C27" i="24"/>
  <c r="C28" i="24"/>
  <c r="C29" i="24"/>
  <c r="C5" i="24"/>
  <c r="F5" i="24" s="1"/>
  <c r="H4" i="24"/>
  <c r="C6" i="24"/>
  <c r="E36" i="37" l="1"/>
  <c r="F35" i="37" s="1"/>
  <c r="E33" i="13"/>
  <c r="E36" i="13"/>
  <c r="A75" i="34"/>
  <c r="G34" i="24"/>
  <c r="G35" i="24" s="1"/>
  <c r="G62" i="24"/>
  <c r="G63" i="24" s="1"/>
  <c r="G52" i="24"/>
  <c r="G53" i="24" s="1"/>
  <c r="G54" i="24" s="1"/>
  <c r="G55" i="24" s="1"/>
  <c r="G6" i="24"/>
  <c r="G7" i="24" s="1"/>
  <c r="G8" i="24" s="1"/>
  <c r="G9" i="24" s="1"/>
  <c r="G10" i="24" s="1"/>
  <c r="G11" i="24" s="1"/>
  <c r="G12" i="24" s="1"/>
  <c r="G36" i="24"/>
  <c r="G37" i="24" s="1"/>
  <c r="G38" i="24" s="1"/>
  <c r="G39" i="24" s="1"/>
  <c r="G40" i="24" s="1"/>
  <c r="G41" i="24" s="1"/>
  <c r="G42" i="24" s="1"/>
  <c r="G43" i="24" s="1"/>
  <c r="G44" i="24" s="1"/>
  <c r="G45" i="24" s="1"/>
  <c r="G46" i="24" s="1"/>
  <c r="G47" i="24" s="1"/>
  <c r="G48" i="24" s="1"/>
  <c r="F33" i="24"/>
  <c r="H32" i="24"/>
  <c r="H51" i="24"/>
  <c r="F52" i="24"/>
  <c r="H58" i="24"/>
  <c r="F59" i="24"/>
  <c r="G13" i="24"/>
  <c r="G14" i="24" s="1"/>
  <c r="G15" i="24" s="1"/>
  <c r="G16" i="24" s="1"/>
  <c r="G17" i="24" s="1"/>
  <c r="G18" i="24" s="1"/>
  <c r="G19" i="24" s="1"/>
  <c r="G20" i="24" s="1"/>
  <c r="G21" i="24" s="1"/>
  <c r="G22" i="24" s="1"/>
  <c r="G23" i="24" s="1"/>
  <c r="G24" i="24" s="1"/>
  <c r="G25" i="24" s="1"/>
  <c r="G26" i="24" s="1"/>
  <c r="G27" i="24" s="1"/>
  <c r="G28" i="24" s="1"/>
  <c r="G29" i="24" s="1"/>
  <c r="A87" i="34" l="1"/>
  <c r="A85" i="34"/>
  <c r="J85" i="34" s="1"/>
  <c r="A77" i="34"/>
  <c r="H59" i="24"/>
  <c r="F60" i="24"/>
  <c r="F53" i="24"/>
  <c r="H52" i="24"/>
  <c r="F34" i="24"/>
  <c r="H33" i="24"/>
  <c r="F77" i="34" l="1"/>
  <c r="E77" i="34"/>
  <c r="D77" i="34"/>
  <c r="C77" i="34"/>
  <c r="A78" i="34"/>
  <c r="F54" i="24"/>
  <c r="H53" i="24"/>
  <c r="F35" i="24"/>
  <c r="H34" i="24"/>
  <c r="H60" i="24"/>
  <c r="F61" i="24"/>
  <c r="J77" i="34" l="1"/>
  <c r="E78" i="34"/>
  <c r="D78" i="34"/>
  <c r="C78" i="34"/>
  <c r="H78" i="34"/>
  <c r="G78" i="34"/>
  <c r="F78" i="34"/>
  <c r="A79" i="34"/>
  <c r="F62" i="24"/>
  <c r="H61" i="24"/>
  <c r="F36" i="24"/>
  <c r="H35" i="24"/>
  <c r="F55" i="24"/>
  <c r="H55" i="24" s="1"/>
  <c r="H54" i="24"/>
  <c r="J78" i="34" l="1"/>
  <c r="C79" i="34"/>
  <c r="F79" i="34"/>
  <c r="E79" i="34"/>
  <c r="D79" i="34"/>
  <c r="A80" i="34"/>
  <c r="F37" i="24"/>
  <c r="H36" i="24"/>
  <c r="F63" i="24"/>
  <c r="H63" i="24" s="1"/>
  <c r="H62" i="24"/>
  <c r="F80" i="34" l="1"/>
  <c r="C80" i="34"/>
  <c r="D80" i="34"/>
  <c r="A81" i="34"/>
  <c r="E80" i="34" s="1"/>
  <c r="J79" i="34"/>
  <c r="F38" i="24"/>
  <c r="H37" i="24"/>
  <c r="J80" i="34" l="1"/>
  <c r="H81" i="34"/>
  <c r="G81" i="34"/>
  <c r="F81" i="34"/>
  <c r="E81" i="34"/>
  <c r="D81" i="34"/>
  <c r="C81" i="34"/>
  <c r="A82" i="34"/>
  <c r="F39" i="24"/>
  <c r="H38" i="24"/>
  <c r="F82" i="34" l="1"/>
  <c r="E82" i="34"/>
  <c r="D82" i="34"/>
  <c r="C82" i="34"/>
  <c r="A83" i="34"/>
  <c r="J81" i="34"/>
  <c r="F40" i="24"/>
  <c r="H39" i="24"/>
  <c r="J82" i="34" l="1"/>
  <c r="C83" i="34"/>
  <c r="F83" i="34"/>
  <c r="D83" i="34"/>
  <c r="E83" i="34"/>
  <c r="A84" i="34"/>
  <c r="F41" i="24"/>
  <c r="H40" i="24"/>
  <c r="J83" i="34" l="1"/>
  <c r="H84" i="34"/>
  <c r="C84" i="34"/>
  <c r="G84" i="34"/>
  <c r="F84" i="34"/>
  <c r="E84" i="34"/>
  <c r="D84" i="34"/>
  <c r="F42" i="24"/>
  <c r="H41" i="24"/>
  <c r="J84" i="34" l="1"/>
  <c r="E87" i="34" s="1"/>
  <c r="F43" i="24"/>
  <c r="H42" i="24"/>
  <c r="F44" i="24" l="1"/>
  <c r="H43" i="24"/>
  <c r="F45" i="24" l="1"/>
  <c r="H44" i="24"/>
  <c r="F46" i="24" l="1"/>
  <c r="H45" i="24"/>
  <c r="F47" i="24" l="1"/>
  <c r="H46" i="24"/>
  <c r="F48" i="24" l="1"/>
  <c r="H48" i="24" s="1"/>
  <c r="H47" i="24"/>
  <c r="C27" i="23" l="1"/>
  <c r="F131" i="13" s="1"/>
  <c r="C22" i="23"/>
  <c r="C25" i="23"/>
  <c r="C24" i="23"/>
  <c r="C23" i="23"/>
  <c r="D39" i="22"/>
  <c r="D4" i="21"/>
  <c r="D5" i="21"/>
  <c r="D6" i="21"/>
  <c r="D18" i="20"/>
  <c r="E18" i="20"/>
  <c r="F18" i="20"/>
  <c r="G18" i="20"/>
  <c r="H18" i="20"/>
  <c r="J18" i="20"/>
  <c r="I18" i="20"/>
  <c r="J17" i="20"/>
  <c r="F17" i="20"/>
  <c r="J15" i="20"/>
  <c r="F15" i="20"/>
  <c r="F13" i="20"/>
  <c r="E13" i="20"/>
  <c r="F12" i="20"/>
  <c r="E12" i="20"/>
  <c r="F11" i="20"/>
  <c r="E11" i="20"/>
  <c r="F10" i="20"/>
  <c r="E10" i="20"/>
  <c r="J7" i="20"/>
  <c r="E48" i="13"/>
  <c r="H5" i="24"/>
  <c r="F6" i="24"/>
  <c r="H75" i="24"/>
  <c r="C20" i="23"/>
  <c r="C19" i="23"/>
  <c r="C18" i="23"/>
  <c r="E93" i="13" l="1"/>
  <c r="E78" i="13"/>
  <c r="E99" i="13"/>
  <c r="F98" i="13" s="1"/>
  <c r="F7" i="24"/>
  <c r="F35" i="13" l="1"/>
  <c r="F8" i="24"/>
  <c r="H7" i="24"/>
  <c r="H6" i="24"/>
  <c r="D31" i="22"/>
  <c r="F70" i="13" s="1"/>
  <c r="C29" i="23"/>
  <c r="F105" i="13"/>
  <c r="F134" i="13"/>
  <c r="F9" i="20"/>
  <c r="E9" i="20"/>
  <c r="F7" i="20"/>
  <c r="F119" i="13"/>
  <c r="F116" i="13"/>
  <c r="F112" i="13"/>
  <c r="F89" i="13"/>
  <c r="F87" i="13"/>
  <c r="F61" i="13"/>
  <c r="F59" i="13"/>
  <c r="F55" i="13"/>
  <c r="F51" i="13"/>
  <c r="F47" i="13"/>
  <c r="F28" i="13"/>
  <c r="F26" i="13"/>
  <c r="F24" i="13"/>
  <c r="F20" i="13"/>
  <c r="F17" i="13"/>
  <c r="F14" i="13"/>
  <c r="F10" i="13"/>
  <c r="F9" i="13"/>
  <c r="F8" i="13"/>
  <c r="F7" i="13"/>
  <c r="E46" i="13" l="1"/>
  <c r="F45" i="13" s="1"/>
  <c r="F41" i="13"/>
  <c r="F39" i="13"/>
  <c r="F49" i="13"/>
  <c r="F85" i="13"/>
  <c r="F108" i="13"/>
  <c r="F128" i="13"/>
  <c r="H73" i="24"/>
  <c r="F9" i="24"/>
  <c r="H8" i="24"/>
  <c r="F80" i="13"/>
  <c r="C28" i="23"/>
  <c r="F92" i="13" l="1"/>
  <c r="F10" i="24"/>
  <c r="H9" i="24"/>
  <c r="F103" i="13"/>
  <c r="F94" i="13"/>
  <c r="C30" i="23"/>
  <c r="F82" i="13"/>
  <c r="F11" i="24" l="1"/>
  <c r="H10" i="24"/>
  <c r="F77" i="13"/>
  <c r="F12" i="24" l="1"/>
  <c r="H11" i="24"/>
  <c r="F13" i="24" l="1"/>
  <c r="H12" i="24"/>
  <c r="F14" i="24" l="1"/>
  <c r="H13" i="24"/>
  <c r="F15" i="24" l="1"/>
  <c r="H14" i="24"/>
  <c r="F16" i="24" l="1"/>
  <c r="H15" i="24"/>
  <c r="F17" i="24" l="1"/>
  <c r="H16" i="24"/>
  <c r="F18" i="24" l="1"/>
  <c r="H17" i="24"/>
  <c r="F19" i="24" l="1"/>
  <c r="H18" i="24"/>
  <c r="F20" i="24" l="1"/>
  <c r="H19" i="24"/>
  <c r="F21" i="24" l="1"/>
  <c r="H20" i="24"/>
  <c r="F22" i="24" l="1"/>
  <c r="H21" i="24"/>
  <c r="F23" i="24" l="1"/>
  <c r="H22" i="24"/>
  <c r="F24" i="24" l="1"/>
  <c r="H23" i="24"/>
  <c r="F25" i="24" l="1"/>
  <c r="H24" i="24"/>
  <c r="F26" i="24" l="1"/>
  <c r="H25" i="24"/>
  <c r="F27" i="24" l="1"/>
  <c r="H26" i="24"/>
  <c r="F28" i="24" l="1"/>
  <c r="H27" i="24"/>
  <c r="F29" i="24" l="1"/>
  <c r="H28" i="24"/>
  <c r="H29" i="24" l="1"/>
  <c r="F32" i="13" l="1"/>
</calcChain>
</file>

<file path=xl/sharedStrings.xml><?xml version="1.0" encoding="utf-8"?>
<sst xmlns="http://schemas.openxmlformats.org/spreadsheetml/2006/main" count="1578" uniqueCount="557">
  <si>
    <t>Poz.</t>
  </si>
  <si>
    <t>Nazwa jednostki</t>
  </si>
  <si>
    <t>Ilość jednostek</t>
  </si>
  <si>
    <t>ROBOTY  PRZYGOTOWAWCZE</t>
  </si>
  <si>
    <t>x</t>
  </si>
  <si>
    <t>1.1</t>
  </si>
  <si>
    <t>m</t>
  </si>
  <si>
    <t>1.2</t>
  </si>
  <si>
    <t>1.3</t>
  </si>
  <si>
    <t>1.4</t>
  </si>
  <si>
    <t>2.1</t>
  </si>
  <si>
    <t>ryczałt</t>
  </si>
  <si>
    <t>2.2</t>
  </si>
  <si>
    <t>3.1</t>
  </si>
  <si>
    <t>4.1</t>
  </si>
  <si>
    <t>szt.</t>
  </si>
  <si>
    <t>4.2</t>
  </si>
  <si>
    <t>5.1</t>
  </si>
  <si>
    <t>H</t>
  </si>
  <si>
    <t>6.1</t>
  </si>
  <si>
    <t>6.2</t>
  </si>
  <si>
    <t>7.1</t>
  </si>
  <si>
    <t>8.1</t>
  </si>
  <si>
    <t>8.2</t>
  </si>
  <si>
    <t>m2</t>
  </si>
  <si>
    <t>PODATEK VAT 23%:</t>
  </si>
  <si>
    <t>OGÓŁEM WARTOŚĆ KOSZTORYSOWA ROBÓT BRUTTO:</t>
  </si>
  <si>
    <t>ok</t>
  </si>
  <si>
    <t>m3</t>
  </si>
  <si>
    <t>km</t>
  </si>
  <si>
    <t>1.</t>
  </si>
  <si>
    <t>2.</t>
  </si>
  <si>
    <t>3.</t>
  </si>
  <si>
    <t>Nazwa zadania:</t>
  </si>
  <si>
    <t>Słownie:</t>
  </si>
  <si>
    <t>0-5</t>
  </si>
  <si>
    <t>6-9</t>
  </si>
  <si>
    <t>dodatek</t>
  </si>
  <si>
    <t>sumuj te ciągi</t>
  </si>
  <si>
    <t>KALKULACJA SZACUNKOWA</t>
  </si>
  <si>
    <t xml:space="preserve"> ZBIORCZE ZESTAWIENIE KOSZTÓW</t>
  </si>
  <si>
    <t>Lp</t>
  </si>
  <si>
    <t>Oznaczenie elementu</t>
  </si>
  <si>
    <t>Wyszczególnienie</t>
  </si>
  <si>
    <t xml:space="preserve">Wartość netto 
(PLN) </t>
  </si>
  <si>
    <t>I</t>
  </si>
  <si>
    <t>WYMAGANIA OGÓLNE (DZIAŁ OGÓLNY)</t>
  </si>
  <si>
    <t>A</t>
  </si>
  <si>
    <t>KOSZT DOSTOSOWANIA SIĘ DO WYMAGAŃ WARUNKÓW KONTRAKTU</t>
  </si>
  <si>
    <t>RAZEM [I]</t>
  </si>
  <si>
    <t>KOSZT DOSTOSOWANIA SIĘ DO WYMAGAŃ 
WARUNKÓW KONTRAKTU</t>
  </si>
  <si>
    <t>II</t>
  </si>
  <si>
    <t>BRANŻA DROGOWA</t>
  </si>
  <si>
    <t>B</t>
  </si>
  <si>
    <t>C</t>
  </si>
  <si>
    <t>ROBOTY ZIEMNE</t>
  </si>
  <si>
    <t>4.</t>
  </si>
  <si>
    <t>D</t>
  </si>
  <si>
    <t>ODWODNIENIE KORPUSU DROGOWEGO</t>
  </si>
  <si>
    <t>5.</t>
  </si>
  <si>
    <t>E</t>
  </si>
  <si>
    <t>PODBUDOWY</t>
  </si>
  <si>
    <t>6.</t>
  </si>
  <si>
    <t>F</t>
  </si>
  <si>
    <t>NAWIERZCHNIE</t>
  </si>
  <si>
    <t>7.</t>
  </si>
  <si>
    <t>G</t>
  </si>
  <si>
    <t>ROBOTY  WYKOŃCZENIOWE</t>
  </si>
  <si>
    <t>8.</t>
  </si>
  <si>
    <t>OZNAKOWANIE DRÓG I URZĄDZENIA BEZPIECZEŃSTWA RUCHU</t>
  </si>
  <si>
    <t>9.</t>
  </si>
  <si>
    <t>ELEMENTY ULIC</t>
  </si>
  <si>
    <t>RAZEM [II]</t>
  </si>
  <si>
    <t>III</t>
  </si>
  <si>
    <t>IV</t>
  </si>
  <si>
    <t>BRANŻA ELEKTROENERGETYCZNA</t>
  </si>
  <si>
    <t>K</t>
  </si>
  <si>
    <t>RAZEM [IV]</t>
  </si>
  <si>
    <t>BRANŻA TELETECHNICZNA</t>
  </si>
  <si>
    <t>12.</t>
  </si>
  <si>
    <t>L</t>
  </si>
  <si>
    <t>RAZEM [V]</t>
  </si>
  <si>
    <t>PODATEK VAT 23%</t>
  </si>
  <si>
    <t>OGÓŁEM WARTOŚĆ KOSZTORYSOWA ROBÓT BRUTTO</t>
  </si>
  <si>
    <t>Podstawy
[Nr STWiORB/ CPV]</t>
  </si>
  <si>
    <t>Wyszczególnienie elementów rozliczeniowych
(Opis robót)</t>
  </si>
  <si>
    <t>Razem</t>
  </si>
  <si>
    <t>Cena jednostkowa</t>
  </si>
  <si>
    <t>Wartość robót netto</t>
  </si>
  <si>
    <t>DM 00.00.00</t>
  </si>
  <si>
    <t>00.00.00</t>
  </si>
  <si>
    <t xml:space="preserve">Koszt dostosowania się do warunków kontraktowych </t>
  </si>
  <si>
    <t>Wykonanie geodezyjnej inwentaryzacji powykonawczej</t>
  </si>
  <si>
    <t>Koszt dostosowania się do pozostałych wymagań Warunków Kontraktu,Wymagań Ogólnych zawartych w Specyfikacji Technicznej Wykonania i Odbioru Robót Budowlanych DM.00.00.00 oraz szczegółowych STWiORB. Koszty spełnienia wymagań zarządców/właścicieli istniejących sieci zgodnie z załączonymi do dokumentacji technicznej uzgodnieniami, decyzjami i warunkami technicznymi (w tym min. nadzór arecheologiczny).</t>
  </si>
  <si>
    <t>RAZEM [A]</t>
  </si>
  <si>
    <t>OGÓŁEM [I]: WYMAGANIA OGÓLNE  (DZIAŁ OGÓLNY)</t>
  </si>
  <si>
    <t>ROBOTY DROGOWE</t>
  </si>
  <si>
    <t>SST 01.00.00
CPV 45111000-8</t>
  </si>
  <si>
    <t>01.01.01</t>
  </si>
  <si>
    <t xml:space="preserve">Wyznaczenie trasy i punktów wysokościowych </t>
  </si>
  <si>
    <t>01.01.01.22</t>
  </si>
  <si>
    <t>01.02.02</t>
  </si>
  <si>
    <t>Zdjęcie warstwy humusu i darniny</t>
  </si>
  <si>
    <t>2.3</t>
  </si>
  <si>
    <t>01.02.02.12</t>
  </si>
  <si>
    <t>Mechaniczne usunięcie warstwy ziemi urodzajnej (humusu) o średniej gr. w-wy 15 cm z darniną z transportem na odkład</t>
  </si>
  <si>
    <t>01.02.04</t>
  </si>
  <si>
    <t>Rozbiórki elementów dróg, ogrodzeń i przepustów</t>
  </si>
  <si>
    <t>2.4</t>
  </si>
  <si>
    <t>2.5</t>
  </si>
  <si>
    <t>2.6</t>
  </si>
  <si>
    <t>2.7</t>
  </si>
  <si>
    <t>01.02.04.20</t>
  </si>
  <si>
    <t>01.02.04.29</t>
  </si>
  <si>
    <t>RAZEM [B]</t>
  </si>
  <si>
    <t>SST 02.00.00
CPV 45112000-5</t>
  </si>
  <si>
    <t>02.01.01</t>
  </si>
  <si>
    <t>Wykonanie wykopów w gruntach I-V kat.</t>
  </si>
  <si>
    <t>02.01.01.13</t>
  </si>
  <si>
    <t>Wykonanie wykopów mechanicznie w gr. kat. I-V z transportem urobku
 na odkład na odl. 2-5 km</t>
  </si>
  <si>
    <t>02.03.01</t>
  </si>
  <si>
    <t>Wykonanie nasypów</t>
  </si>
  <si>
    <t>3.2</t>
  </si>
  <si>
    <t>02.03.01.11</t>
  </si>
  <si>
    <t>Wykonanie nasypów mechanicznie z gruntu kat. I-VI pozyskanego z wykopu</t>
  </si>
  <si>
    <t>RAZEM [C]</t>
  </si>
  <si>
    <t>SST 03.00.00
CPV 45231000-5</t>
  </si>
  <si>
    <t>4.3</t>
  </si>
  <si>
    <t>4.4</t>
  </si>
  <si>
    <t>03.02.01</t>
  </si>
  <si>
    <t>Kanalizacja deszczowa</t>
  </si>
  <si>
    <t>4.5</t>
  </si>
  <si>
    <t>03.02.01.16</t>
  </si>
  <si>
    <t>4.6</t>
  </si>
  <si>
    <t>03.02.01.17</t>
  </si>
  <si>
    <t xml:space="preserve">Wykonanie kanalizacji deszczowej z rur PP o średnicy 40cm </t>
  </si>
  <si>
    <t>4.7</t>
  </si>
  <si>
    <t>03.02.01.18</t>
  </si>
  <si>
    <t xml:space="preserve">Wykonanie kanalizacji deszczowej z rur PP o średnicy 50cm </t>
  </si>
  <si>
    <t>4.8</t>
  </si>
  <si>
    <t>Wykonanie prefabrykowanych ścianek czołowych na wlotach/wylotach KD</t>
  </si>
  <si>
    <t>4.9</t>
  </si>
  <si>
    <t>03.02.01.23</t>
  </si>
  <si>
    <t>Wykonanie przykanalików rur polipropylenowych PP ø200mm</t>
  </si>
  <si>
    <t>4.10</t>
  </si>
  <si>
    <t>03.02.01.31</t>
  </si>
  <si>
    <t>4.11</t>
  </si>
  <si>
    <t>03.02.01.33</t>
  </si>
  <si>
    <t>4.12</t>
  </si>
  <si>
    <t>03.02.01.34</t>
  </si>
  <si>
    <t>4.13</t>
  </si>
  <si>
    <t>4.14</t>
  </si>
  <si>
    <t>03.02.01.41</t>
  </si>
  <si>
    <t>Wykonanie studzienek ściekowych z kregów betonowych o średnicy ø50cm, z wpustem żeliwnym klasy D400</t>
  </si>
  <si>
    <t>03.02.01.73</t>
  </si>
  <si>
    <t>Regulacja pionowa zaworów wodociągowych</t>
  </si>
  <si>
    <t xml:space="preserve">Wykonanie regulacji zasuw wodociągowych z pokrywą na istniejących sieciach wodociągowych.
&lt;N=1,0szt&gt; - wg Tabeli nr 3  </t>
  </si>
  <si>
    <t>RAZEM [D]</t>
  </si>
  <si>
    <t>SST 04.00.00
CPV 45233000-9</t>
  </si>
  <si>
    <t>04.01.01</t>
  </si>
  <si>
    <t>Koryto wraz z profilowaniem i zagęszczeniem podłoża</t>
  </si>
  <si>
    <t>04.01.01.15</t>
  </si>
  <si>
    <t>Wykonanie koryta mechanicznie wraz z profilowaniem i zagęszczaniem podłoża w gr. kat I-VI, głębok. koryta ponad 40 cm</t>
  </si>
  <si>
    <t>04.03.01</t>
  </si>
  <si>
    <t>Oczyszczenie i skropienie warstw konstrukcyjnych</t>
  </si>
  <si>
    <t>5.2</t>
  </si>
  <si>
    <t>04.03.01.13
04.03.01.23</t>
  </si>
  <si>
    <t>Oczyszcznie i skropienie emulsją asfaltową warstw konstrukcyjnych nieulepszonych mechanicznie</t>
  </si>
  <si>
    <t>5.3</t>
  </si>
  <si>
    <t>04.03.01.14
04.03.01.24</t>
  </si>
  <si>
    <t>Oczyszcznie i skropienie emulsją asfaltową warstw konstrukcyjnych ulepszonych mechanicznie</t>
  </si>
  <si>
    <t>04.04.02</t>
  </si>
  <si>
    <t>Podbudowa z kruszywa łamanego stabilizowanego mechanicznie</t>
  </si>
  <si>
    <t>5.4</t>
  </si>
  <si>
    <t>5.5</t>
  </si>
  <si>
    <t>5.6</t>
  </si>
  <si>
    <t>5.7</t>
  </si>
  <si>
    <t>04.04.02.23</t>
  </si>
  <si>
    <t>Wykonanie podbudowy z kruszywa łamanego 0/31,5mm stabilizowanego mechanicznie, gr. w-wy 15cm</t>
  </si>
  <si>
    <t>5.8</t>
  </si>
  <si>
    <t>04.04.02.25</t>
  </si>
  <si>
    <t>04.04.02.51</t>
  </si>
  <si>
    <t>04.05.01</t>
  </si>
  <si>
    <t>Podbudowa i ulepszone podłoże z gruntu lub kruszywa stabilizowanego cementem</t>
  </si>
  <si>
    <t>04.05.01.14</t>
  </si>
  <si>
    <t>Wykonanie podbudowy z gruntu stabilizowanego cementem gr. 30cm</t>
  </si>
  <si>
    <t>RAZEM [E]</t>
  </si>
  <si>
    <t>SST 05.00.00
CPV 45233000-9</t>
  </si>
  <si>
    <t>05.02.01</t>
  </si>
  <si>
    <t>Nawierzchnia tłuczniowa</t>
  </si>
  <si>
    <t>05.03.05</t>
  </si>
  <si>
    <t>Nawierzchnia z betonu asfaltowego</t>
  </si>
  <si>
    <t>6.3</t>
  </si>
  <si>
    <t>6.4</t>
  </si>
  <si>
    <t>6.5</t>
  </si>
  <si>
    <t>05.03.05.15</t>
  </si>
  <si>
    <t>05.03.05.17</t>
  </si>
  <si>
    <t>Wykonanie nawierzchni z betonu asfaltowego AC16W, warstwa wiążąca, gr. w-wy 8 cm</t>
  </si>
  <si>
    <t>05.03.05.26</t>
  </si>
  <si>
    <t>05.03.23</t>
  </si>
  <si>
    <t>Nawierzchnia z kostki brukowej betonowej</t>
  </si>
  <si>
    <t>05.03.23.12</t>
  </si>
  <si>
    <t>Wykonanie nawierzchni z kostki brukowej betonowej kolorowej o gr. 8cm</t>
  </si>
  <si>
    <t>RAZEM [F]</t>
  </si>
  <si>
    <t>SST 06.00.00
CPV 45233000-9</t>
  </si>
  <si>
    <t>06.01.01</t>
  </si>
  <si>
    <t>Umocnienie skarp, rowów i ścieków</t>
  </si>
  <si>
    <t>06.01.01.22</t>
  </si>
  <si>
    <t>Humusowanie z obsianiem skarp przy grubości humusu gr. 10 cm</t>
  </si>
  <si>
    <t>RAZEM [G]</t>
  </si>
  <si>
    <t>SST 07.00.00
CPV 45233000-9</t>
  </si>
  <si>
    <t>07.01.01</t>
  </si>
  <si>
    <t>Oznakowanie poziome</t>
  </si>
  <si>
    <t>07.01.01.11</t>
  </si>
  <si>
    <t>Wykonanie malowania oznakowania poziomego</t>
  </si>
  <si>
    <t>07.02.01</t>
  </si>
  <si>
    <t>Oznakowanie pionowe</t>
  </si>
  <si>
    <t>07.02.01.41</t>
  </si>
  <si>
    <t xml:space="preserve">Ustawienie słupków wraz z przymocowaniem tarcz </t>
  </si>
  <si>
    <t>07.06.02</t>
  </si>
  <si>
    <t>Urządzenia zabezpieczające ruch pieszych</t>
  </si>
  <si>
    <t>RAZEM [H]</t>
  </si>
  <si>
    <t>SST 08.00.00
CPV 45233000-9</t>
  </si>
  <si>
    <t>08.01.01</t>
  </si>
  <si>
    <t>Krawężniki betonowe</t>
  </si>
  <si>
    <t>9.1</t>
  </si>
  <si>
    <t>08.01.01.11</t>
  </si>
  <si>
    <t xml:space="preserve">Ustawienie krawężników betonowych  o wymiarach 15x30 cm na ławie betonowej z oporem </t>
  </si>
  <si>
    <t>9.2</t>
  </si>
  <si>
    <t>9.3</t>
  </si>
  <si>
    <t>08.03.01</t>
  </si>
  <si>
    <t xml:space="preserve">Betonowe obrzeża chodnikowe </t>
  </si>
  <si>
    <t>9.4</t>
  </si>
  <si>
    <t>08.03.01.12</t>
  </si>
  <si>
    <t>Ustawienie obrzeży betonowych o wymiarach 30x8 cm na ławie betonowej z oporem</t>
  </si>
  <si>
    <t>OGÓŁEM [II]: ROBOTY DROGOWE</t>
  </si>
  <si>
    <t>Wyszczególnienie elementów rozliczeniowych
(Opis robót i obliczenie ich ilości)</t>
  </si>
  <si>
    <t xml:space="preserve"> ZAŁĄCZNIKI DO PRZEDMIARU ROBÓT</t>
  </si>
  <si>
    <t>ZJAZDY Z KOSTKI 
BRUKOWEJ BETONOWEJ</t>
  </si>
  <si>
    <t>kilometraż</t>
  </si>
  <si>
    <t>strona</t>
  </si>
  <si>
    <t>Szerokość 
[m]</t>
  </si>
  <si>
    <t>Kostka brukowa betonowa gr. 8 cm na podsypce cementowo-piaskowej 1:4 gr. 4cm</t>
  </si>
  <si>
    <t>Warstwa z kruszywa łamanego 0/31,5 stabilizowanego mechanicznie o gr. 15cm</t>
  </si>
  <si>
    <t>Warstwa ulepszonego podłoża stabilizowanego cementem o gr. 20cm</t>
  </si>
  <si>
    <t>Długość krawężnika 15x30 cm</t>
  </si>
  <si>
    <t>Długość obrzeża 8x30 cm</t>
  </si>
  <si>
    <t>P</t>
  </si>
  <si>
    <t xml:space="preserve">Tabela nr 2. Roboty rozbiórkowe </t>
  </si>
  <si>
    <t>Rodzaj robót</t>
  </si>
  <si>
    <t>Jednostka</t>
  </si>
  <si>
    <t>Wymiar</t>
  </si>
  <si>
    <t>Ilość</t>
  </si>
  <si>
    <t>Rozbiórka nawierzchni gruntowo – żwirowej o łącznej gr. około 15cm. Materiał z rozbiórki przechodzi na własność Wykonawcy.</t>
  </si>
  <si>
    <t>Ø500</t>
  </si>
  <si>
    <t xml:space="preserve">Tabela nr 3. Odwodnienie korpusu </t>
  </si>
  <si>
    <t>Ø1500</t>
  </si>
  <si>
    <t xml:space="preserve">Wykonanie przewodowej części kanalizacji deszczowej z rur polipropylenowych PP ø400 </t>
  </si>
  <si>
    <t>Ø400</t>
  </si>
  <si>
    <t>Przykanaliki z rur PPø200</t>
  </si>
  <si>
    <t>Ø200</t>
  </si>
  <si>
    <t>Wykonanie studni deszczowych z wpustami ulicznymi klasy D400</t>
  </si>
  <si>
    <t>Regulacja zasów wodociągowych</t>
  </si>
  <si>
    <t>Wykonanie studni kanalizacyjnych ø1500 z kręgów żelbetowych</t>
  </si>
  <si>
    <t xml:space="preserve">Tabela nr 4. Elementy drogowe </t>
  </si>
  <si>
    <t xml:space="preserve">Rodzaj </t>
  </si>
  <si>
    <t>Wymiary</t>
  </si>
  <si>
    <t>1. Krawężniki drogowe prefabrykowane betonowe o wym. 15x30cm</t>
  </si>
  <si>
    <t>Betonowe krawężniki drogowe o wym. 15x30cm na podsypce cementowo - piaskowej o gr. 5cm i ławie betonowej C16/20 gr. 15cm (V=0,08m3/m)</t>
  </si>
  <si>
    <t>15x30cm</t>
  </si>
  <si>
    <t>2. Krawężniki drogowe prefabrykowane betonowe o wym. 15x30cm układane "na płask"</t>
  </si>
  <si>
    <t>Betonowe krawężniki drogowe o wym. 30x15 układane na płask na podsypce cementowo - piaskowej o gr. 5cm i ławie betonowej C16/20 gr. 15cm (V=0,10m3/m)</t>
  </si>
  <si>
    <t>30x15cm</t>
  </si>
  <si>
    <t>Ustawienie obrzeży betonowych o wym. 8x30cm na podsypce cementowo-piaskowej 
o gr. 3cm i ławie betonowej z betonu C12/15 gr. 10cm</t>
  </si>
  <si>
    <t>8x30cm</t>
  </si>
  <si>
    <t>Tabela nr 5. Konstrukcje</t>
  </si>
  <si>
    <t>Warstwa wiążąca z betonu asfaltowego 
AC16W gr. 8cm</t>
  </si>
  <si>
    <t>CHODNIK</t>
  </si>
  <si>
    <t>Podbudowa z kruszywa łamanego 0/31,5 stabil. mech. o gr. 15cm</t>
  </si>
  <si>
    <t>Pikieta</t>
  </si>
  <si>
    <t>Obj. Wykopu
[m3]</t>
  </si>
  <si>
    <t>Obj. Nasypu
[m3]</t>
  </si>
  <si>
    <t>Całkowita obj. wykopu
[m3]</t>
  </si>
  <si>
    <t>Całkowita obj. nasypu
[m3]</t>
  </si>
  <si>
    <t>Obj. netto - bilans
[m3]</t>
  </si>
  <si>
    <t>1. Kanalizacja deszczowa</t>
  </si>
  <si>
    <t xml:space="preserve">Wykonanie przewodowej części kanalizacji deszczowej z rur polipropylenowych PP ø600 </t>
  </si>
  <si>
    <t>Ø600</t>
  </si>
  <si>
    <t xml:space="preserve">Wykonanie przewodowej części kanalizacji deszczowej z rur polipropylenowych PP ø300 </t>
  </si>
  <si>
    <t>Ø300</t>
  </si>
  <si>
    <t>Wykonanie studni kanalizacyjnych ø1000 z kręgów żelbetowych</t>
  </si>
  <si>
    <t>Ø1000</t>
  </si>
  <si>
    <t>Roboty ziemne - wykop</t>
  </si>
  <si>
    <t>Pospółka o gr. 30cm</t>
  </si>
  <si>
    <t>Wykonanie ogrodzenia zbiornika wraz z bramą o szer. 4,0m</t>
  </si>
  <si>
    <t>60x40x10</t>
  </si>
  <si>
    <t>Prefabrykaty betonowe typu "KRATA" wraz z podsypką piaskowo-cementową o gr. 10cm układane na dnie zbiornika. Wypełnienie otworów kruszywem 0-16,0 mm.</t>
  </si>
  <si>
    <t>Wykonanie prefabrykowanej obudowy wylotu wg KPED 02.16 na kruszywie łamanym 0/31,5 gr. 30cm oraz mieszance kruszyw stabilizowanych cementem gr. 20cm</t>
  </si>
  <si>
    <t>Geowłóknina separacyjno - filtracyjna</t>
  </si>
  <si>
    <t xml:space="preserve">Prefabrykaty betonowe typu "KRATA" wraz z podsypką piaskowo-cementową o gr. 10cm układane na skarpie zbiornika. Kotwienie palikami drewnianymi (2 szt./płytę). Wypełnienie otworów kruszywem 0-16,0 mm. </t>
  </si>
  <si>
    <t xml:space="preserve">Płyty chodnikowe 50x50x7 cm wraz z podsypką piaskowo-cementową o gr. 10cm układane na skarpie poniżej wylotu </t>
  </si>
  <si>
    <t>3. Obrzeża betonowe o wym. 8x30x100cm</t>
  </si>
  <si>
    <t xml:space="preserve">Warstwa ścieralna z betonu asfaltowego AC11S gr. 5cm </t>
  </si>
  <si>
    <t>Podbudowa z kruszywa łamanego C50/30 0/31,5 stabil. mech. o gr. 30cm</t>
  </si>
  <si>
    <t>Warstwa podłoża z gruntu stabilizowanego cementem o Rm = 2,5 MPa gr. 30cm</t>
  </si>
  <si>
    <t>Kostka brukowa betonowa gr. 8cm - kolor szary</t>
  </si>
  <si>
    <t>Warstwa podłoża z gruntu stabilizowanego cementem gr. 20cm</t>
  </si>
  <si>
    <t>Tabela nr 1. Zestawienie zjazdów</t>
  </si>
  <si>
    <t>Wykonanie wyznaczenia granic istniejącego i projektowanego pasa drogowego (I.P.D/P.P.D.) w terenie wraz z stabilizacją granic słupkami granicznymi</t>
  </si>
  <si>
    <r>
      <t xml:space="preserve">ROBOTY PRZYGOTOWAWCZE
</t>
    </r>
    <r>
      <rPr>
        <sz val="10"/>
        <rFont val="Times New Roman"/>
        <family val="1"/>
        <charset val="238"/>
      </rPr>
      <t>Roboty w zakresie burzenia, roboty ziemne</t>
    </r>
  </si>
  <si>
    <t>Wyznaczenie trasy i punktów wysokościowych w terenie pagórkowatym</t>
  </si>
  <si>
    <t>Tabela nr 6 Tabela robót ziemnych</t>
  </si>
  <si>
    <t>SKRZYŻOWANIA</t>
  </si>
  <si>
    <t>SUMA</t>
  </si>
  <si>
    <t>DODATKOWE ROBOTY 
ZIEMNE PRZY SKRZYŻOWANIACH</t>
  </si>
  <si>
    <r>
      <t>m</t>
    </r>
    <r>
      <rPr>
        <b/>
        <vertAlign val="superscript"/>
        <sz val="10"/>
        <rFont val="Times New Roman"/>
        <family val="1"/>
        <charset val="238"/>
      </rPr>
      <t>2</t>
    </r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</si>
  <si>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</si>
  <si>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15cm</t>
  </si>
  <si>
    <t>Rozebranie nawierzchni gruntowo-żwirowej, gr. w-wy 15 cm</t>
  </si>
  <si>
    <r>
      <t>m</t>
    </r>
    <r>
      <rPr>
        <b/>
        <vertAlign val="superscript"/>
        <sz val="10"/>
        <rFont val="Times New Roman"/>
        <family val="1"/>
        <charset val="238"/>
      </rPr>
      <t>3</t>
    </r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</si>
  <si>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</si>
  <si>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r>
      <t xml:space="preserve">ROBOTY ZIEMNE
</t>
    </r>
    <r>
      <rPr>
        <sz val="10"/>
        <rFont val="Times New Roman"/>
        <family val="1"/>
        <charset val="238"/>
      </rPr>
      <t>Roboty w zakresie usuwania gleby</t>
    </r>
  </si>
  <si>
    <r>
      <t xml:space="preserve">ODWODNIENIE KORPUSU DROGOWEGO
</t>
    </r>
    <r>
      <rPr>
        <sz val="10"/>
        <rFont val="Times New Roman"/>
        <family val="1"/>
        <charset val="238"/>
      </rPr>
      <t>Roboty budowlane w zakresie budowy rurociągów</t>
    </r>
  </si>
  <si>
    <t xml:space="preserve">Wykonanie kanalizacji deszczowej z rur PP o średnicy 30cm </t>
  </si>
  <si>
    <t>03.02.01.19</t>
  </si>
  <si>
    <t>03.02.01.20</t>
  </si>
  <si>
    <t xml:space="preserve">Wykonanie kanalizacji deszczowej z rur PP o średnicy 60cm </t>
  </si>
  <si>
    <t>Wykonanie prefabrykowanej obudowy wylotu wg KPED 02.16 na kruszywie łamanym 0/31,5 gr. 30cm oraz mieszance kruszyw stabilizowanych cementem gr. 20cm
&lt;N = 2 szt.  &gt; - wg Tabeli nr 3</t>
  </si>
  <si>
    <t>Wykonanie kanalizacji deszczowej z rur karbowanych PP o śr. 50 cm wraz z wykopem, podsypką piaskową gr. 20cm i zasypaniem.
&lt;L = 113 m  &gt; - wg Tabeli nr 3</t>
  </si>
  <si>
    <t>03.05.02</t>
  </si>
  <si>
    <t>&lt;Pospółka o gr. 30cm&gt;</t>
  </si>
  <si>
    <t>03.05.02.10</t>
  </si>
  <si>
    <t>&lt;Prefabrykaty betonowe typu "KRATA" wraz z podsypką piaskowo-cementową o gr. 10cm układane na dnie zbiornika. Wypełnienie otworów kruszywem 0-16,0 mm&gt;</t>
  </si>
  <si>
    <t>&lt;Prefabrykaty betonowe typu "KRATA" wraz z podsypką piaskowo-cementową o gr. 10cm układane na skarpie zbiornika. Kotwienie palikami drewnianymi (2 szt./płytę). Wypełnienie otworów kruszywem 0-16,0 mm&gt;</t>
  </si>
  <si>
    <t>&lt;Geowłóknina separacyjno - filtracyjna&gt;</t>
  </si>
  <si>
    <t>&lt;Płyty chodnikowe 50x50x7 cm wraz z podsypką piaskowo-cementową o gr. 10cm układane na skarpie poniżej wylotu&gt;</t>
  </si>
  <si>
    <r>
      <t xml:space="preserve">PODBUDOWY
</t>
    </r>
    <r>
      <rPr>
        <sz val="10"/>
        <rFont val="Times New Roman"/>
        <family val="1"/>
        <charset val="238"/>
      </rPr>
      <t>Roboty w zakresie konstruowania, fundamentowania oraz wykonywania nawierzchni dróg</t>
    </r>
  </si>
  <si>
    <t>OK</t>
  </si>
  <si>
    <t>Wykonanie podbudowy z kruszywa łamanego 0/31,5mm stabilizowanego mechanicznie, gr. w-wy 30cm</t>
  </si>
  <si>
    <t>Wykonanie pobocza z kruszywa o gr. w-wy 15 cm</t>
  </si>
  <si>
    <t>Wykonanie podbudowy z gruntu stabilizowanego cementem gr. 20cm</t>
  </si>
  <si>
    <t>04.05.01.13</t>
  </si>
  <si>
    <r>
      <t xml:space="preserve">NAWIERZCHNIE
</t>
    </r>
    <r>
      <rPr>
        <sz val="10"/>
        <rFont val="Times New Roman"/>
        <family val="1"/>
        <charset val="238"/>
      </rPr>
      <t>Roboty w zakresie konstruowania, fundamentowania oraz wykonywania nawierzchni dróg</t>
    </r>
  </si>
  <si>
    <t>Chodniki z brukowej kostki betonowej</t>
  </si>
  <si>
    <t>08.02.02.23</t>
  </si>
  <si>
    <t>08.02.02</t>
  </si>
  <si>
    <t xml:space="preserve">Podsypka cementowo-piaskowa 1:4 gr.4 cm </t>
  </si>
  <si>
    <t>Wykonanie chodnika z kostki brukowej brukowej betonowej gr. 8 cm</t>
  </si>
  <si>
    <t>Wykonanie nawierzchni z betonu asfaltowego AC 11S warstwa ścieralna, gr. w-wy 5 cm</t>
  </si>
  <si>
    <r>
      <t xml:space="preserve">ROBOTY WYKOŃCZENIOWE
</t>
    </r>
    <r>
      <rPr>
        <sz val="10"/>
        <rFont val="Times New Roman"/>
        <family val="1"/>
        <charset val="238"/>
      </rPr>
      <t>Roboty w zakresie konstruowania, fundamentowania oraz wykonywania nawierzchni dróg</t>
    </r>
  </si>
  <si>
    <r>
      <t xml:space="preserve">OZNAKOWANIE DRÓG I URZĄDZENIA BEZPIECZEŃSTWA RUCHU
</t>
    </r>
    <r>
      <rPr>
        <sz val="10"/>
        <rFont val="Times New Roman"/>
        <family val="1"/>
        <charset val="238"/>
      </rPr>
      <t>Roboty w zakresie konstruowania, fundamentowania oraz wykonywania nawierzchni dróg</t>
    </r>
  </si>
  <si>
    <r>
      <t xml:space="preserve">ELEMENTY ULIC
</t>
    </r>
    <r>
      <rPr>
        <sz val="10"/>
        <rFont val="Times New Roman"/>
        <family val="1"/>
        <charset val="238"/>
      </rPr>
      <t>Roboty w zakresie konstruowania, fundamentowania oraz wykonywania nawierzchni dróg</t>
    </r>
  </si>
  <si>
    <t>KANAŁ TECHNOLOGICZNY</t>
  </si>
  <si>
    <t>J</t>
  </si>
  <si>
    <t>M</t>
  </si>
  <si>
    <t>10.</t>
  </si>
  <si>
    <t xml:space="preserve">WARTOŚĆ KOSZTORYSOWA ROBÓT NETTO [I-V] </t>
  </si>
  <si>
    <t>RAZEM [III]</t>
  </si>
  <si>
    <t>Nawierzchnia z kruszywa łamanego 0/31,5 stabilizowanego mechanicznie o gr. 15cm</t>
  </si>
  <si>
    <t>ZJAZDY Z KRUSZYWA
- do zbiorników</t>
  </si>
  <si>
    <t>ODCINEK B</t>
  </si>
  <si>
    <t>0+535,00</t>
  </si>
  <si>
    <t>ODCINEK C</t>
  </si>
  <si>
    <t>0+116,00</t>
  </si>
  <si>
    <t>0+138,00</t>
  </si>
  <si>
    <t>0+209,25</t>
  </si>
  <si>
    <t>0+266,00</t>
  </si>
  <si>
    <t>0+307,10</t>
  </si>
  <si>
    <t>ODCINEK XIV</t>
  </si>
  <si>
    <t>0+095,00</t>
  </si>
  <si>
    <t>ODCINEK XVI</t>
  </si>
  <si>
    <t>0+107,00</t>
  </si>
  <si>
    <t>wg tab. 4</t>
  </si>
  <si>
    <t>Rozbiórka krawężnika betonowego 20x30cm</t>
  </si>
  <si>
    <t>20cm</t>
  </si>
  <si>
    <t>8cm</t>
  </si>
  <si>
    <t>Rozbiórka obrzeża betonowego 8x30cm</t>
  </si>
  <si>
    <t>6cm</t>
  </si>
  <si>
    <t>Rozbiórka kostki brukowej betonowej gr. 6cm na istniejącym chodniku dla pieszych</t>
  </si>
  <si>
    <t>Rozbiórka balustrady dla pieszych</t>
  </si>
  <si>
    <t xml:space="preserve">Wykonanie studni chłonnych ø1500 </t>
  </si>
  <si>
    <t>Wykonanie studni wpadowo-przelotowych kanalizacyjnych ø1000 z kręgów żelbetowych</t>
  </si>
  <si>
    <t>Roboty ziemne - nasyp</t>
  </si>
  <si>
    <t>Wykonanie ściany oporowej typu L na podsypce cementowo piaskowej 1:2 gr. 10 cm oraz ławie z kruszywa stab. mech. 0/31,5 gr. 25 cm</t>
  </si>
  <si>
    <t>4. Ścieki korytkowe muldowe  o wym. 50x50x15m</t>
  </si>
  <si>
    <t>50x50x15cm</t>
  </si>
  <si>
    <t>JEZDNIA DROGI GMINNEJ - ODC. B, ODC. C- KR2</t>
  </si>
  <si>
    <t>JEZDNIA DROGI GMINNEJ - ODC. XIV, XV, XVI- KR1</t>
  </si>
  <si>
    <t>Warstwa wiążąca z betonu asfaltowego 
AC16W gr. 6cm</t>
  </si>
  <si>
    <t>255x99</t>
  </si>
  <si>
    <t>BEZ ZJAZDÓW</t>
  </si>
  <si>
    <t>Pow. wykopu
[m2]</t>
  </si>
  <si>
    <t>Pow. nasypu
[m2]</t>
  </si>
  <si>
    <t>ZBIORNIKI</t>
  </si>
  <si>
    <t>DROGA - ODCINEK 16</t>
  </si>
  <si>
    <t>DROGA - ODCINEK 15</t>
  </si>
  <si>
    <t>DROGA - ODCINEK 14</t>
  </si>
  <si>
    <t>DROGA - ODCINEK B</t>
  </si>
  <si>
    <t>DROGA - ODCINEK C</t>
  </si>
  <si>
    <r>
      <t xml:space="preserve">Wyznaczenie trasy i punktów wysokościowych dróg
km 0+000 - 0+535 - odcinek B - 0,535 km
km 0+000 - 0+353 - odcinek C - 0,353 km
km 0+000 - 0+095 - odcinek XIV - 0,095 km
km 0+000 - 0+116 - odcinek XV - 0,116 km
km 0+000 - 0+113 - odcinek XV - 0,113 km
 wraz z zjazdami, chodnikiem, elementami odwodnienia (studnie, wpusty itd.) oraz istniejących sieci uzbrojenia terenu, itd. </t>
    </r>
    <r>
      <rPr>
        <b/>
        <sz val="10"/>
        <rFont val="Times New Roman"/>
        <family val="1"/>
        <charset val="238"/>
      </rPr>
      <t xml:space="preserve">Kompletna obsługa geodezyjna inwestycji.
</t>
    </r>
    <r>
      <rPr>
        <sz val="10"/>
        <rFont val="Times New Roman"/>
        <family val="1"/>
        <charset val="238"/>
      </rPr>
      <t>&lt;L=1,21 km&gt;</t>
    </r>
  </si>
  <si>
    <t>Mechaniczne usunięcie warstwy urodzajnej (humusu) gr. w-wy 15cm z transportem na odkład. Transport i miejsce składowania (ewen. utylizacji) zapewnia Wykonawca robót. Darnina i humus przechodzi na własność Wykonawcy.
&lt;F=13724 m2&gt;</t>
  </si>
  <si>
    <t>Rozebranie krawężników betonowych</t>
  </si>
  <si>
    <t>Rozebranie obrzeży betonowych</t>
  </si>
  <si>
    <t>01.02.04.41</t>
  </si>
  <si>
    <t>01.02.04.44</t>
  </si>
  <si>
    <t>Rozebranie chodników z kostki brukowej betonowej</t>
  </si>
  <si>
    <t>01.02.04.50</t>
  </si>
  <si>
    <t>Rozebranie elementów ogrodzeń lub poręczy ochronnych</t>
  </si>
  <si>
    <t>Rozebranie nawierzchni gruntowo-żwirowej w rejonie istniejących zjazdów, śr. gr. w-wy około 15cm. Materiał z rozbiórki przechodzi na własność Wykonawcy.Transport materiału przez Wykonawcę na plac składowania.
&lt; F=2598,3 m2&gt; - wg Tabel nr 2</t>
  </si>
  <si>
    <t>Rozebranie nawierzchni gruntowo-żwirowej w rejonie istniejących zjazdów, śr. gr. w-wy około 15cm. Materiał z rozbiórki przechodzi na własność Wykonawcy.Transport materiału przez Wykonawcę na plac składowania.
&lt; F=22 m2&gt; - wg Tabel nr 2</t>
  </si>
  <si>
    <t>Rozebranie istniejących krawężników betonowych 20x30cm w rejonie ronda. Materiał z rozbiórki stanowi własność Zamawiającego. Transport materiału przez Wykonawcę na plac składowania.
&lt;F= 22 m2 &gt; - wg Tabel nr 2</t>
  </si>
  <si>
    <t>Rozebranie istniejących obrzeży betonowych 8x30cm w zakresie dostosowania istniejących chodników do projektowanych rozwiązań. Materiał z rozbiórki stanowi własność Zamawiającego. Transport materiału przez Wykonawcę na plac składowania.
&lt;L=25,2m&gt; - wg Tabeli nr 2</t>
  </si>
  <si>
    <t>Rozebranie istniejących balustrad dla pieszych. Materiał z rozbiórki stanowi własność Zamawiającego. Transport materiału przez Wykonawcę na plac składowania.
&lt;V=6 m3&gt;- wg Tabeli nr 2</t>
  </si>
  <si>
    <t>Wykonanie wykopów mechanicznie w gr. kat. I-V z transportem urobku na odkład. Wykonawca zapewni miejsce składowania gruntu własnym staraniem i na własny koszt.
&lt;V=4972,41 m3&gt; - wg Tabel nr 6</t>
  </si>
  <si>
    <t>Wykonanie nasypów mechanicznie z gruntu pozyskanego z wykopu.
&lt;V= 1279,86 m3&gt; - wg Tabeli nr 6</t>
  </si>
  <si>
    <t>Budowa zbiorników retencyjno - odparowujacych</t>
  </si>
  <si>
    <t>&lt;Wykonanie ściany oporowej typu L na podsypce cementowo piaskowej 1:2 gr. 10 cm oraz ławie z kruszywa stab. mech. 0/31,5 gr. 25 cm&gt;</t>
  </si>
  <si>
    <t>03.04.01</t>
  </si>
  <si>
    <t>Studnie chłonne</t>
  </si>
  <si>
    <t>Wykonanie studni chłonnych o średnicy ø150cm wraz z wykopem</t>
  </si>
  <si>
    <r>
      <t xml:space="preserve">Wykonanie studni chłonnej o średnicy </t>
    </r>
    <r>
      <rPr>
        <sz val="10"/>
        <rFont val="Czcionka tekstu podstawowego"/>
        <charset val="238"/>
      </rPr>
      <t>ø</t>
    </r>
    <r>
      <rPr>
        <sz val="10"/>
        <rFont val="Times New Roman"/>
        <family val="1"/>
        <charset val="238"/>
      </rPr>
      <t>150cm wraz z wykopem i zasypaniem. Studnie kompletne z uszczelnieniem bocznym gliną gr. 35 cm oraz wypełnieniem złoża (żwir, szlaka wielkopiecowa, żużel, kamień łamany). Wypełnienie z warstwy filtracyjnej - piasek 0-2mm gr. 50cm, żwir 2-16mm gr. 100cm
&lt;N=1,0szt&gt; - wg Tabeli nr 3</t>
    </r>
  </si>
  <si>
    <t>Wykonanie studni kanalizacyjnych wpadowo-przelotowych betonowych o średnicy ø100cm wraz z wykopem</t>
  </si>
  <si>
    <t>Wykonanie studni kanalizacyjnych przelotowych betonowych o średnicy ø100cm wraz z wykopem</t>
  </si>
  <si>
    <r>
      <t xml:space="preserve">Wykonanie studni kanalizacyjnych przelotowych betonowych o średnicy </t>
    </r>
    <r>
      <rPr>
        <b/>
        <sz val="10"/>
        <rFont val="Czcionka tekstu podstawowego"/>
        <charset val="238"/>
      </rPr>
      <t>ø</t>
    </r>
    <r>
      <rPr>
        <b/>
        <sz val="10"/>
        <rFont val="Times New Roman"/>
        <family val="1"/>
        <charset val="238"/>
      </rPr>
      <t>150cm wraz z wykopem</t>
    </r>
  </si>
  <si>
    <t>Wykonanie kanalizacji deszczowej z rur karbowanych PP o śr. 30cm wraz z wykopem, podsypką piaskową gr. 20cm i zasypaniem.
&lt;L = 220,5 m  &gt; - wg Tabeli nr 3</t>
  </si>
  <si>
    <t>Wykonanie kanalizacji deszczowej z rur karbowanych PP o śr. 40 cm wraz z wykopem, podsypką piaskową gr. 20cm i zasypaniem.
&lt;L = 475 m  &gt; - wg Tabeli nr 3</t>
  </si>
  <si>
    <t>Wykonanie kanalizacji deszczowej z rur karbowanych PP o śr. 60 cm wraz z wykopem, podsypką piaskową gr. 20cm i zasypaniem.
&lt;L = 148 m  &gt; - wg Tabeli nr 3</t>
  </si>
  <si>
    <t>Wbudowanie ścienek czołowych prefabrykowanych na wlotach i wylotach kanalizacji deszczowej.
&lt;L=121,5 m&gt; - wg Tabeli nr 3</t>
  </si>
  <si>
    <r>
      <t xml:space="preserve">Wykonanie studni kanalizacyjnych przelotowych systemowych z kręgów betonowych o średnicy </t>
    </r>
    <r>
      <rPr>
        <sz val="10"/>
        <rFont val="Czcionka tekstu podstawowego"/>
        <charset val="238"/>
      </rPr>
      <t>ø</t>
    </r>
    <r>
      <rPr>
        <sz val="10"/>
        <rFont val="Times New Roman"/>
        <family val="1"/>
        <charset val="238"/>
      </rPr>
      <t>100cm wraz z wykopem i zasypaniem. Studnie kompletne wraz fundamentem z betonu C12/15 gr. 15 cm oraz podbudową z kruszywa łamanego 0/31,5 gr. 10cm. 
&lt;N=24,0szt&gt; - wg Tabeli nr 3</t>
    </r>
  </si>
  <si>
    <r>
      <t xml:space="preserve">Wykonanie studni kanalizacyjnych wpadowo-przelotowych systemowych z kręgów betonowych o średnicy </t>
    </r>
    <r>
      <rPr>
        <sz val="10"/>
        <rFont val="Czcionka tekstu podstawowego"/>
        <charset val="238"/>
      </rPr>
      <t>ø</t>
    </r>
    <r>
      <rPr>
        <sz val="10"/>
        <rFont val="Times New Roman"/>
        <family val="1"/>
        <charset val="238"/>
      </rPr>
      <t>100cm wraz z wykopem i zasypaniem. Studnie kompletne wraz fundamentem z betonu C12/15 gr. 15 cm oraz podbudową z kruszywa łamanego 0/31,5 gr. 10cm. 
&lt;N=4,0szt&gt; - wg Tabeli nr 3</t>
    </r>
  </si>
  <si>
    <r>
      <t xml:space="preserve">Wykonanie studni kanalizacyjnych przelotowych systemowych z kręgów betonowych o średnicy </t>
    </r>
    <r>
      <rPr>
        <sz val="10"/>
        <rFont val="Czcionka tekstu podstawowego"/>
        <charset val="238"/>
      </rPr>
      <t>ø</t>
    </r>
    <r>
      <rPr>
        <sz val="10"/>
        <rFont val="Times New Roman"/>
        <family val="1"/>
        <charset val="238"/>
      </rPr>
      <t>150cm wraz z wykopem i zasypaniem. Studnie kompletne wrazfundamentem z betonu C12/15 gr. 15 cm oraz podbudową z kruszywa łamanego 0/31,5 gr. 10cm. 
&lt;N=10 szt.- wg Tabeli nr 3&gt;</t>
    </r>
  </si>
  <si>
    <t xml:space="preserve">Wykonanie studzienek ściekowych o średnicy 500mm z osadnikiem i wpustem klasy D400, na warstwie chudego betonu  o gr. 15 cm i podbudowie z kruszywa o gr. 10cm wraz z wykonaniem wykopu i zasypaniem. Studzienki kompletne.
&lt;N=39,0szt&gt; - wg Tabeli nr 3  </t>
  </si>
  <si>
    <t xml:space="preserve">WG TABELI NR 3 
- POZ. ROBOTY ZIEMNE </t>
  </si>
  <si>
    <r>
      <rPr>
        <sz val="10"/>
        <rFont val="Times New Roman"/>
        <family val="1"/>
        <charset val="238"/>
      </rPr>
      <t>Wykonanie koryta pod konstrukcję jezdni, chodników i zjazdów wraz z profilowaniem i zagęszczaniem podłoża w gr. kat. I-VI. Średnia głębokość korytowania 40cm.</t>
    </r>
    <r>
      <rPr>
        <sz val="10"/>
        <color rgb="FFFF000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&lt;F1=7130,75 m2 - jezdnia DG KR2 - wg Tabeli nr 5
F2=1637,76 m2 - jezdnia DG KR1 - wg Tabeli nr 5</t>
    </r>
    <r>
      <rPr>
        <sz val="10"/>
        <color rgb="FFFF000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F3=1823,8 m2 - chodnik - wg Tabeli nr 5</t>
    </r>
    <r>
      <rPr>
        <sz val="10"/>
        <color rgb="FFFF000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F4=332 m2 - zjazdy z kruszywa - wg Tabeli nr 1</t>
    </r>
    <r>
      <rPr>
        <sz val="10"/>
        <color rgb="FFFF000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F5=99,1 m2 - zjazdy z kostki brukowej - wg Tabeli nr 1</t>
    </r>
    <r>
      <rPr>
        <sz val="10"/>
        <color rgb="FFFF000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F=F1+F2+F3+F4+F5=11015,41 m2&gt;</t>
    </r>
  </si>
  <si>
    <t>Oczyszczenie i skropienie emulsją asfaltową warstw konstrukcyjnych nieulepszonych mechanicznie:
&lt;F1= 1407,45 m2 - warstwa kruszywa łamanego 0/31,5 na KR1 - wg Tabeli nr 5
F2= 6127,99 m2 - warstwa kruszywa łamanego 0/31,5 na KR2 - wg Tabeli nr 5
F=F1+F2=7535,44 m2&gt;</t>
  </si>
  <si>
    <t>Oczyszczenie i skropienie emulsją asfaltową warstw konstrukcyjnych ulepszonych mechanicznie:
&lt;F1 = 1305,09 m2 - warstwa wiążąca AC16W na KR1 - wg Tabeli nr 5
F2 = 5682,32 m2 - warstwa wiążąca AC16W na KR2 - wg Tabeli nr 5
F=F1+F2=6987,41 m2&gt;</t>
  </si>
  <si>
    <r>
      <rPr>
        <sz val="10"/>
        <rFont val="Times New Roman"/>
        <family val="1"/>
        <charset val="238"/>
      </rPr>
      <t>Wykonanie podbudowy z kruszywa łamanego 0/31,5mm stabilizowanego mechanicznie, gr. w-wy 15cm na chodniku oraz zjazdach.</t>
    </r>
    <r>
      <rPr>
        <sz val="10"/>
        <color rgb="FFFF000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&lt;F1=91,1 m2 - wg Tabeli nr 1</t>
    </r>
    <r>
      <rPr>
        <sz val="10"/>
        <color rgb="FFFF000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F2=1823,8 m2 - wg Tabeli nr 5</t>
    </r>
    <r>
      <rPr>
        <sz val="10"/>
        <color rgb="FFFF000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F=F1+F2 = 1914,9 m2&gt;</t>
    </r>
  </si>
  <si>
    <t>Wykonanie podbudowy z kruszywa łamanego 0/31,5mm stabilizowanego mechanicznie, gr. w-wy 30cm w zakresie projektowanej jezdni drogi gminnej.
&lt;F1=1407,45 m2 - wg Tabeli nr 5 - KR1
F2=6127,99 m2 - wg Tabeli nr 5 - KR2
F=F1+F2 = 7535,44 m2&gt;</t>
  </si>
  <si>
    <t>Wykonanie poboczy z kruszywa gr. 15cm po zagęszczeniu, projektowana szerokość poboczy 75cm
&lt;F=1875,5 m2&gt; - wg rys. Plan sytuacyjny</t>
  </si>
  <si>
    <r>
      <rPr>
        <sz val="10"/>
        <rFont val="Times New Roman"/>
        <family val="1"/>
        <charset val="238"/>
      </rPr>
      <t>Wykonanie podbudowy z gruntu stabilizowanego cementem o Rm=2,5 MPa  gr. 20cm na chodniku i zjazdach.</t>
    </r>
    <r>
      <rPr>
        <sz val="10"/>
        <color rgb="FFFF000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&lt;F1= 91,1 m2 - zjazdy z kostki brukowej - wg Tabeli nr 1</t>
    </r>
    <r>
      <rPr>
        <sz val="10"/>
        <color rgb="FFFF000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F2= 332 m2 - zjazdy z kruszywa - wg Tabeli nr 1</t>
    </r>
    <r>
      <rPr>
        <sz val="10"/>
        <color rgb="FFFF000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F3= 1823,8 m2 - wg Tabeli nr 5</t>
    </r>
    <r>
      <rPr>
        <sz val="10"/>
        <color rgb="FFFF000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F=F1+F2+F3=2246,9 m2&gt;</t>
    </r>
  </si>
  <si>
    <t>Wykonanie podbudowy z gruntu stabilizowanego cementem o Rm=2,5 MPa  gr. 30cm 
w zakresie projektowanej jezdni dróg gminnych.
&lt;F1=1637,76 m2 - wg Tabeli nr 5 - KR1
F2=7130,75 m2 - wg Tabeli nr 5 - KR2
F=F1+F2 = 8768,51 m2&gt;</t>
  </si>
  <si>
    <t>05.02.01.12</t>
  </si>
  <si>
    <t>Wykonanie nawierzchni z kruszywa łamanego 0/31,5 stabilizowanego mechanicznie 
o gr. 15cm</t>
  </si>
  <si>
    <t>Wykonanie nawierzchni z betonu asfaltowego AC16W, warstwa wiążąca, gr. w-wy 6 cm</t>
  </si>
  <si>
    <t>Wykonanie nawierzchni z z kruszywa stabilizowanego mechanicznie na zjazdach do zbiorników otwartych ,  gr. w-wy 15 cm. 
&lt;F=265,6 m2&gt; - wg Tabeli nr 1</t>
  </si>
  <si>
    <t>Wykonanie nawierzchni z betonu asfaltowego AC 16W na pełnej konstrukcji jezdni drogi gminnej, KR1  gr. w-wy 6 cm. 
&lt;F=1305,09 m2&gt; - wg Tabeli nr 5</t>
  </si>
  <si>
    <t>Wykonanie nawierzchni z betonu asfaltowego AC 16W na pełnej konstrukcji jezdni drogi gminnej, KR2  gr. w-wy 8 cm. 
&lt;F=5682,32 m2&gt; - wg Tabeli nr 5</t>
  </si>
  <si>
    <t>Wykonanie nawierzchni ścieralnej z betonu asfaltowego AC 11S, gr. w-wy 5 cm 
&lt;F1=1279,5 m2 - wg Tabeli nr 5 - KR1
F2=5570,9 m2 - wg Tabeli nr 5 - KR2
F=F1+F2 = 6850,4 m2&gt;</t>
  </si>
  <si>
    <t>Humusowanie z obsianiem i pielęgnacją skarp przy grubości humusu 10 cm. Wykonawca pozyska  nasiona traw własnym staraniem i na własny koszt.
&lt;F=2123,55 m2&gt; wg rys przekroje poprzeczne</t>
  </si>
  <si>
    <t>Wykonanie malowania znaków poziomych zgodnie z Projektem Stałej Organizacji Ruchu.
&lt;F=133 m2&gt; - wg PSOR</t>
  </si>
  <si>
    <t>Ustawienie słupków z rur stalowych dla znaków drogowych zaprojektowanych zgodnie z Projektem Stałej Organizacji Ruchu wraz z przymocowaniem tarcz.
&lt;N=59 szt.&gt; - wg PSOR</t>
  </si>
  <si>
    <r>
      <rPr>
        <sz val="10"/>
        <rFont val="Times New Roman"/>
        <family val="1"/>
        <charset val="238"/>
      </rPr>
      <t>Ustawienie krawężników betonowych drogowych o wym. 15x30cm  na podsypce cementowo - piaskowej o gr. 5cm i ławie betonowej C16/20.</t>
    </r>
    <r>
      <rPr>
        <sz val="10"/>
        <color rgb="FFFF000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&lt;L1=980 m - wg Tabeli nr 4, stojące
L2=22,5 m - wg Tabeli nr 4, na płask
L2=36 m - wg Tabeli nr 1, na płask
L=L1+L2+L3=1038,5 m2&gt;</t>
    </r>
  </si>
  <si>
    <t>07.06.02.11</t>
  </si>
  <si>
    <t>Ustawienie poręczy ochronnych sztywnych</t>
  </si>
  <si>
    <t>Ustawienie balustrad typu U-11a (z poprzeczką) o wysokości 1,1m w rejonie występowania spadków podłużnych na chodnikach przekraczających 6%.
&lt;L=319 m&gt; - wg rys. Plan sytuacyjny</t>
  </si>
  <si>
    <t>08.05.01</t>
  </si>
  <si>
    <t>08.05.01.13</t>
  </si>
  <si>
    <t>Ustawienie korytka z prefabrykatu betonowego na podsypce cementowo-piaskowej o gr. 3cm i ławie betonowej z betonu C16/20 gr. 15cm</t>
  </si>
  <si>
    <t>Ułożenie ścieku z prefabrykowanych korytek betonowych o wym. 50x50x15 cm</t>
  </si>
  <si>
    <t xml:space="preserve">Ścieki z prefabrykowanych elementów betonowych </t>
  </si>
  <si>
    <t>Wykonanie nawierzchni chodnika z kostku brukowej betonowej szarej o grubości 8cm na podsypce cementowo-piaskowej 1:4 gr. 3cm
&lt;F=1823,8 m2&gt; - wg Tabeli nr 4</t>
  </si>
  <si>
    <t>Ustawienie obrzeży betonowych o wym. 8x30cm na podsypce cementowo-piaskowej o gr. 3cm i ławie betonowej z betonu C12/15.
&lt;L1=934 m&gt; - wg Tabeli nr 4
&lt;L2=62,5 m - wg Tabeli nr 1
L=L1+L2=996,5 m&gt;</t>
  </si>
  <si>
    <t>Ułożenie korytka z prefabrykatu betonowego na podsypce cementowo-piaskowej o gr. 3cm i ławie betonowej z betonu C16/20 gr. 15cm
&lt;L=368,5 m&gt; - wg Tabeli nr 4</t>
  </si>
  <si>
    <t>Wykonanie nawierzchni z kostki brukowej betonowej na zjazdach, kolor czerwony o gr. 8cm na podsypce cementowo-piaskowej 1:4 gr. 4cm 
&lt;F=91,1 m2&gt; - wg Tabeli nr 1</t>
  </si>
  <si>
    <t>SST 09.00.00
CPV 45233000-9</t>
  </si>
  <si>
    <r>
      <t xml:space="preserve">ZIELEŃ DROGOWA
</t>
    </r>
    <r>
      <rPr>
        <sz val="10"/>
        <rFont val="Times New Roman"/>
        <family val="1"/>
        <charset val="238"/>
      </rPr>
      <t>Roboty w zakresie nasadzeń zieleni drogowej</t>
    </r>
  </si>
  <si>
    <t>09.01.01</t>
  </si>
  <si>
    <t>09.01.01.21</t>
  </si>
  <si>
    <t>ZIELEŃ DROGOWA</t>
  </si>
  <si>
    <t>Zieleń drogowa</t>
  </si>
  <si>
    <t>Sadzenie drzew</t>
  </si>
  <si>
    <t>Wykonanie nasadzeń drzew o funcji izolacyjnej w rejonie projektowanych zbiorników otwartych
&lt;N=4 szt.&gt; - wg rys. 2 Plan sytuacyjny</t>
  </si>
  <si>
    <t>10.1</t>
  </si>
  <si>
    <t>RAZEM [J]</t>
  </si>
  <si>
    <t>03.04.01.34</t>
  </si>
  <si>
    <t>V</t>
  </si>
  <si>
    <t>BRANŻA SANITARNA</t>
  </si>
  <si>
    <t>ZABEZPIECZENIE GAZOCIĄGÓW WYSOKIEGO CIŚNIENIA</t>
  </si>
  <si>
    <t>Wbudowanie przykanalików z rur PP o śr. 20 cm wraz z wykopem, podsypką piaskową i zasypaniem.
&lt;L=121,5 m&gt; - wg Tabeli nr 3</t>
  </si>
  <si>
    <t>2.1 Zbiornik retencyjno - odparowujący ZB-1</t>
  </si>
  <si>
    <t>2.2 Zbiornik retencyjno - odparowujący ZB-2</t>
  </si>
  <si>
    <t>2.3 Zbiornik retencyjno - odparowujący ZB-3</t>
  </si>
  <si>
    <t>Wykonanie zbiorników ZB-1, ZB-2 i ZB-3 otwartych w gruncie rodzimym kt I-VI.</t>
  </si>
  <si>
    <t>&lt;Ogrodzenie zbiornika wraz z bramą wjazdwą (x3) o szer. 4m&gt;</t>
  </si>
  <si>
    <t>z</t>
  </si>
  <si>
    <t>Wykonanie studni kanalizacyjnych ø2000 z kręgów żelbetowych</t>
  </si>
  <si>
    <t>Ø2000</t>
  </si>
  <si>
    <r>
      <t xml:space="preserve">Wykonanie studni kanalizacyjnych przelotowych systemowych z kręgów betonowych o średnicy </t>
    </r>
    <r>
      <rPr>
        <sz val="10"/>
        <rFont val="Czcionka tekstu podstawowego"/>
        <charset val="238"/>
      </rPr>
      <t>ø</t>
    </r>
    <r>
      <rPr>
        <sz val="10"/>
        <rFont val="Times New Roman"/>
        <family val="1"/>
        <charset val="238"/>
      </rPr>
      <t>150cm wraz z wykopem i zasypaniem. Studnie kompletne wraz z fundamentem z betonu C12/15 gr. 15 cm oraz podbudową z kruszywa łamanego 0/31,5 gr. 10cm. 
&lt;N=14 szt.- wg Tabeli nr 3&gt;</t>
    </r>
  </si>
  <si>
    <t>Wykonanie kanalizacji deszczowej z rur karbowanych PP o śr. 60 cm wraz z wykopem, podsypką piaskową gr. 20cm i zasypaniem.
&lt;L = 158 m  &gt; - wg Tabeli nr 3</t>
  </si>
  <si>
    <t>03.02.01.32</t>
  </si>
  <si>
    <t xml:space="preserve">Wykonanie przewodowej części kanalizacji deszczowej z rur polipropylenowych PP ø500 </t>
  </si>
  <si>
    <t>Wykonanie prefabrykowanej obudowy wylotu wg KPED 02.16 na kruszywie łamanym 0/31,5 gr. 30cm oraz mieszance kruszyw stabilizowanych cementem gr. 20cm
&lt;N = 3 szt.  &gt; - wg Tabeli nr 3</t>
  </si>
  <si>
    <r>
      <t xml:space="preserve">Wykonanie studni kanalizacyjnych betonowych o średnicy </t>
    </r>
    <r>
      <rPr>
        <b/>
        <sz val="10"/>
        <rFont val="Czcionka tekstu podstawowego"/>
        <charset val="238"/>
      </rPr>
      <t>ø</t>
    </r>
    <r>
      <rPr>
        <b/>
        <sz val="10"/>
        <rFont val="Times New Roman"/>
        <family val="1"/>
        <charset val="238"/>
      </rPr>
      <t>200cm wraz z wykopem</t>
    </r>
  </si>
  <si>
    <r>
      <t xml:space="preserve">Wykonanie studni kanalizacyjnych systemowych z kręgów betonowych o średnicy </t>
    </r>
    <r>
      <rPr>
        <sz val="10"/>
        <rFont val="Czcionka tekstu podstawowego"/>
        <charset val="238"/>
      </rPr>
      <t>ø</t>
    </r>
    <r>
      <rPr>
        <sz val="10"/>
        <rFont val="Times New Roman"/>
        <family val="1"/>
        <charset val="238"/>
      </rPr>
      <t>200cm wraz z wykopem i zasypaniem. Studnie kompletne wraz z fundamentem z betonu C12/15 gr. 15 cm oraz podbudową z kruszywa łamanego 0/31,5 gr. 10cm. 
&lt;N=1 szt.- wg Tabeli nr 3&gt;</t>
    </r>
  </si>
  <si>
    <t>Wykonanie nawierzchni z z kruszywa stabilizowanego mechanicznie na zjazdach do zbiorników otwartych ,  gr. w-wy 15 cm. 
&lt;F=437,6 m2&gt; - wg Tabeli nr 1</t>
  </si>
  <si>
    <t>Wykonanie poboczy z kruszywa gr. 15cm po zagęszczeniu, projektowana szerokość poboczy 75cm
&lt;F=1980 m2&gt; - wg rys. Plan sytuacyjny</t>
  </si>
  <si>
    <t>SST 01.03.06
CPV 45111000-8</t>
  </si>
  <si>
    <t>ROBOTY SANITARNE: ZABEZPIECZENIE ISTNIEJĄCYCH SIECI</t>
  </si>
  <si>
    <r>
      <t xml:space="preserve">ROBOTY W ZAKRESIE PODZIEMNYCH SIECI GAZOWYCH
</t>
    </r>
    <r>
      <rPr>
        <sz val="10"/>
        <rFont val="Times New Roman"/>
        <family val="1"/>
        <charset val="238"/>
      </rPr>
      <t>Roboty budowlane w zakresie budowy i przebudowy sieci gazowych</t>
    </r>
  </si>
  <si>
    <t>01.03.06</t>
  </si>
  <si>
    <t>Przebudowa i zabezpieczenie skrzyżowań z istn. sieciami gazowymi</t>
  </si>
  <si>
    <t>11.1</t>
  </si>
  <si>
    <t>01.03.06.10</t>
  </si>
  <si>
    <t>Zabezpieczenie sieci gazowych wysokiego ciśnienia</t>
  </si>
  <si>
    <t>Z</t>
  </si>
  <si>
    <t>Zabezpieczenie istniejących gazociągów DN400 oraz DN700 za pomocą płyt odciążających zbrojonych o wymiarach 3,0 x 1,5 x 0,15 m posadowionych na płytach podporowych zbrojonych o wymiarach 3,0 x 1,0 x 0,15 m. Płyty żelbetowe o wytrzymałości min. 50 kN. Płyty podporowe posadowione na podsypce piaskowej 0-2mm Id min. 0,97 gr. 10cm. Odległości od gazociągu oraz szczegóły rozwiązań zgodnie z projektem branżowym. Prowadzenie i warunki prac w sąsiedztwie gazociągów wysokiego ciśnienia zgodnie z uzgodnieniem oraz wydanymi warunkami technicznymi przez operatora GAZ-SYSTEM.
&lt;wg tabeli nr 7&gt;</t>
  </si>
  <si>
    <t>lp</t>
  </si>
  <si>
    <t>opis robót</t>
  </si>
  <si>
    <t>jednostka</t>
  </si>
  <si>
    <t>ilość</t>
  </si>
  <si>
    <t>Tabela ma charakter poglądowy. Wykonawca zobowiązany jest do wykonania elementu zgodnie z zaakceptowaną ceną ryczałtową</t>
  </si>
  <si>
    <t>Wykonanie wykopów ręcznie i mechanicznie w gr. kat. I-V z odwozem urobku poza obręb robót. Materiał stanowi własność Wykonawcy.</t>
  </si>
  <si>
    <t>Profilowanie i zagęszczanie podłoża ręcznie pod warstwę podsypki piaskowej w gruntach kat. I-IV</t>
  </si>
  <si>
    <t>Wykonanie warstwy podsypki piaskowej 0-2,0 mm - pod płyty betonowe o grubości warstwy po zagęszczeniu min. 10 cm.</t>
  </si>
  <si>
    <t>Zakup, dostawa i montaż płyt betonowych zbrojonych o wymiarach 3,0x1,0x0,15 m - płyty ułożone prostopadle do kierunku jazdy</t>
  </si>
  <si>
    <t>Zakup, dostawa i montaż płyt betonowych zbrojonych o wymiarach 3,0x1,5x0,15 m - płyty ułożone równolegle do kierunku jazdy</t>
  </si>
  <si>
    <t>Wykonanie nasypów. Grunt dostarczony z dokopu staraniem Wykonawcy. Pozycja obejmuje pozyskanie, transport i wbudowanie materiału w nasyp. Grunt niewysadzinowy</t>
  </si>
  <si>
    <t>Nadzór gestora - GAZ System S.A.</t>
  </si>
  <si>
    <t>kpl.</t>
  </si>
  <si>
    <t>Inne roboty i działania określone w STWiORB oraz warunkach technicznych/uzgodnieniach</t>
  </si>
  <si>
    <t>Tabela nr 7. Zabezpieczenie Gazociągów DN400 i DN700</t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</si>
  <si>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</si>
  <si>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</si>
  <si>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RAZEM [K]</t>
  </si>
  <si>
    <t>OGÓŁEM [III]: ROBOTY SANITARNE</t>
  </si>
  <si>
    <t>8.3</t>
  </si>
  <si>
    <t>8.4</t>
  </si>
  <si>
    <t>07.06.02.19</t>
  </si>
  <si>
    <t>Ustawienie zestawu doświetlajacego maszt z wyśięgnikiem. 
Lampy led z optyką asymetryczną</t>
  </si>
  <si>
    <t>13.</t>
  </si>
  <si>
    <t>14.</t>
  </si>
  <si>
    <t xml:space="preserve">PRZEBUDOWA I ZABEZPIECZENIE LINII KABLOWYCH SN 15 kV </t>
  </si>
  <si>
    <t>PRZEBUDOWA I ZABEZPIECZENIE LINII KABLOWYCH Nn</t>
  </si>
  <si>
    <t>N</t>
  </si>
  <si>
    <t>WARTOŚĆ KOSZTORYSOWA ROBÓT BEZ PODATKU VAT [I-III]:</t>
  </si>
  <si>
    <t>Wykonanie wyznaczenia granic istniejącego i projektowanego pasa drogowego (I.P.D/P.P.D.) w terenie wraz ze stabilizacją granic słupkami granicznymi</t>
  </si>
  <si>
    <t>Wykonanie i zatwierdzenie projektu oznakowania robót i organizacji ruchu na czas prowadzenia robót (4 egz.) wraz z zakupem, ustawieniem, rozbiórką (po zakończeniu robót) i utrzymaniem oznakowania w trakcie realizacji robót oraz zakup i ustawienie tablicy informacyjnej</t>
  </si>
  <si>
    <r>
      <t xml:space="preserve">Wykonanie i zatwierdzenie projektu oznakowania robót i organizacji ruchu na czas prowadzenia robót (4 egz.) wraz z zakupem, ustawieniem, rozbiórką (po zakończeniu robót) i utrzymaniem oznakowania w trakcie realizacji robót oraz </t>
    </r>
    <r>
      <rPr>
        <b/>
        <sz val="10"/>
        <rFont val="Times New Roman"/>
        <family val="1"/>
        <charset val="238"/>
      </rPr>
      <t>zakup i ustawienie tablicy informacyjnej</t>
    </r>
  </si>
  <si>
    <t>Wykonanie kanalizacji deszczowej z rur karbowanych PP o śr. 30cm wraz z wykopem, podsypką piaskową gr. 20cm i zasypaniem.
&lt;L = 260 m  &gt; - wg Tabeli nr 3</t>
  </si>
  <si>
    <t>Wykonanie kanalizacji deszczowej z rur karbowanych PP o śr. 40 cm wraz z wykopem, podsypką piaskową gr. 20cm i zasypaniem.
&lt;L = 487 m  &gt; - wg Tabeli nr 3</t>
  </si>
  <si>
    <r>
      <t xml:space="preserve">Wykonanie studni kanalizacyjnych wpadowo-przelotowych systemowych z kręgów betonowych o średnicy </t>
    </r>
    <r>
      <rPr>
        <sz val="10"/>
        <rFont val="Czcionka tekstu podstawowego"/>
        <charset val="238"/>
      </rPr>
      <t>ø</t>
    </r>
    <r>
      <rPr>
        <sz val="10"/>
        <rFont val="Times New Roman"/>
        <family val="1"/>
        <charset val="238"/>
      </rPr>
      <t>100cm wraz z wykopem i zasypaniem. Studnie kompletne wraz fundamentem z betonu C12/15 gr. 15 cm oraz podbudową z kruszywa łamanego 0/31,5 gr. 10cm. 
&lt;N=6 szt.&gt; - wg Tabeli nr 3</t>
    </r>
  </si>
  <si>
    <t xml:space="preserve">Wykonanie studzienek ściekowych o średnicy 500mm z osadnikiem i wpustem klasy D400, na warstwie chudego betonu  o gr. 15 cm i podbudowie z kruszywa o gr. 10cm wraz z wykonaniem wykopu i zasypaniem. Studzienki kompletne.
&lt;N=41 szt.&gt; - wg Tabeli nr 3  </t>
  </si>
  <si>
    <r>
      <t xml:space="preserve">Wykonanie studni kanalizacyjnych przelotowych systemowych z kręgów betonowych o średnicy </t>
    </r>
    <r>
      <rPr>
        <sz val="10"/>
        <rFont val="Czcionka tekstu podstawowego"/>
        <charset val="238"/>
      </rPr>
      <t>ø</t>
    </r>
    <r>
      <rPr>
        <sz val="10"/>
        <rFont val="Times New Roman"/>
        <family val="1"/>
        <charset val="238"/>
      </rPr>
      <t>100cm wraz z wykopem i zasypaniem. Studnie kompletne wraz fundamentem z betonu C12/15 gr. 15 cm oraz podbudową z kruszywa łamanego 0/31,5 gr. 10cm. 
&lt;N=26 szt.&gt; - wg Tabeli nr 3</t>
    </r>
  </si>
  <si>
    <r>
      <rPr>
        <sz val="10"/>
        <rFont val="Times New Roman"/>
        <family val="1"/>
        <charset val="238"/>
      </rPr>
      <t>Wykonanie koryta pod konstrukcję jezdni, chodników i zjazdów wraz z profilowaniem i zagęszczaniem podłoża w gr. kat. I-VI. Średnia głębokość korytowania 40cm.</t>
    </r>
    <r>
      <rPr>
        <sz val="10"/>
        <color rgb="FFFF000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&lt;F1=7130,75 m2 - jezdnia DG KR2 - wg Tabeli nr 5
F2=1637,76 m2 - jezdnia DG KR1 - wg Tabeli nr 5</t>
    </r>
    <r>
      <rPr>
        <sz val="10"/>
        <color rgb="FFFF000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F3=1823,8 m2 - chodnik - wg Tabeli nr 5</t>
    </r>
    <r>
      <rPr>
        <sz val="10"/>
        <color rgb="FFFF000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F4=547 m2 - zjazdy z kruszywa - wg Tabeli nr 1</t>
    </r>
    <r>
      <rPr>
        <sz val="10"/>
        <color rgb="FFFF000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F5=91,1 m2 - zjazdy z kostki brukowej - wg Tabeli nr 1</t>
    </r>
    <r>
      <rPr>
        <sz val="10"/>
        <color rgb="FFFF000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F=F1+F2+F3+F4+F5=11 230,41 m2&gt;</t>
    </r>
  </si>
  <si>
    <t>02.03.01.13</t>
  </si>
  <si>
    <t xml:space="preserve">Wykonanie nasypów mechanicznie z gruntu kat. I-VI z pozyskaniem i transportem gruntu </t>
  </si>
  <si>
    <t>Wykonanie nasypów mechanicznie z gruntu pozyskanego z wykopu.
&lt;V= 1359,22 m3&gt; - wg Tabeli nr 6</t>
  </si>
  <si>
    <t>Wykonanie wykopów mechanicznie w gr. kat. I-V z transportem urobku na odkład. Wykonawca zapewni miejsce składowania gruntu własnym staraniem i na własny koszt.
&lt;V=6321,01 m3&gt; - wg Tabel nr 6</t>
  </si>
  <si>
    <r>
      <rPr>
        <sz val="10"/>
        <rFont val="Times New Roman"/>
        <family val="1"/>
        <charset val="238"/>
      </rPr>
      <t>Wykonanie podbudowy z kruszywa stabilizowanego cementem o Rm=2,5 MPa  gr. 20cm na chodniku i zjazdach.</t>
    </r>
    <r>
      <rPr>
        <sz val="10"/>
        <color rgb="FFFF000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&lt;F1= 91,1 m2 - zjazdy z kostki brukowej - wg Tabeli nr 1</t>
    </r>
    <r>
      <rPr>
        <sz val="10"/>
        <color rgb="FFFF000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F2= 574 m2 - zjazdy z kruszywa - wg Tabeli nr 1</t>
    </r>
    <r>
      <rPr>
        <sz val="10"/>
        <color rgb="FFFF000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F3= 1823,8 m2 - wg Tabeli nr 5</t>
    </r>
    <r>
      <rPr>
        <sz val="10"/>
        <color rgb="FFFF000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F=F1+F2+F3=2461,9 m2&gt;</t>
    </r>
  </si>
  <si>
    <r>
      <t xml:space="preserve">Wyznaczenie trasy i punktów wysokościowych dróg
km 0+000 - 0+535 - odcinek B - 0,535 km
km 0+000 - 0+353 - odcinek C - 0,353 km
km 0+000 - 0+095 - odcinek XIV - 0,095 km
km 0+000 - 0+116 - odcinek XV - 0,116 km
km 0+000 - 0+113 - odcinek XV - 0,113 km
 wraz ze zjazdami, chodnikiem, elementami odwodnienia (studnie, wpusty itd.) oraz istniejących sieci uzbrojenia terenu, itd. </t>
    </r>
    <r>
      <rPr>
        <b/>
        <sz val="10"/>
        <rFont val="Times New Roman"/>
        <family val="1"/>
        <charset val="238"/>
      </rPr>
      <t xml:space="preserve">Kompletna obsługa geodezyjna inwestycji.
</t>
    </r>
    <r>
      <rPr>
        <sz val="10"/>
        <rFont val="Times New Roman"/>
        <family val="1"/>
        <charset val="238"/>
      </rPr>
      <t>&lt;L=1,21 km&gt;</t>
    </r>
  </si>
  <si>
    <t>Rozebranie nawierzchni z kostki brukowej betonowej na istniejacym chodniku.Transport materiału przez Wykonawcę na plac składowania.
&lt; F=44,3 m2&gt; - wg Tabel nr 2</t>
  </si>
  <si>
    <t xml:space="preserve">Zakup montaż i uruchomienie zestawu doświetlającego zgodnego z wytycznymi  projektowania infrastruktury dla pieszych WR-D-41-4 składającego się z dwóch lamp na słupach aluminiowych posadowionych na fundamencie prefabrykowanym. Zestaw wyposażony w oprawy aluminiowe o oprtyce asymetrycznej dedykowanej dla przejść dla pieszych. Oprawy odporne na zmienne warunki atmosferyczne przystosowane do współpracy z zestawem solarnym montowanym na tym samym wsporniku słupowym. Moc oprawy led min. 40W, strumień świetlny min 4500lm barwa światła neutralna (ok 5000K). Rodzaj zastosowanych opraw Wykonawca uzgodni z Zamawiającym. 
Sterowanie za pomocą zautomatyzowanego programowalnego kontrolera elektronicznego sterującego układem typu PWM, montowany we wnęce słupowej.
Panele o mocy minimum 320W oraz akumulatory żelowe montowane w podziemnej hermetycznej skrzyni 150Ah na jedną oprawę doświetlającą.
&lt;N=1 kpl&gt; - przejście przy rondzie </t>
  </si>
  <si>
    <r>
      <rPr>
        <b/>
        <sz val="11"/>
        <rFont val="Times New Roman"/>
        <family val="1"/>
        <charset val="238"/>
      </rPr>
      <t xml:space="preserve">„Budowa drogi gminnej na osiedlu Skorodeckiego w mieście Ropczyce wraz z niezbędną infrastrukturą oraz przebudową sieci uzbrojenia terenu" </t>
    </r>
    <r>
      <rPr>
        <b/>
        <sz val="12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                    BUDOWA ODCINKÓW DRÓG GMINNYCH NA OSIEDLU SKORODECKIEGO W M. ROPCZYCE O ŁĄCZNEJ DŁUGOŚCI OK. 4,5KM WRAZ Z NIEZBĘDNĄ INFRASTRUKTURĄ ORAZ PRZEBUDOWĄ SIECI UZBROJENIA TERENU
 - ODCINEK B - ; - ODCINEK C - ; - ODCINEK 14 - ; - ODCINEK 15 - ; - ODCINEK 16 - </t>
    </r>
  </si>
  <si>
    <r>
      <t xml:space="preserve">„Budowa drogi gminnej na osiedlu Skorodeckiego w mieście Ropczyce wraz z niezbędną infrastrukturą oraz przebudową sieci uzbrojenia terenu”                                                    BUDOWA ODCINKÓW DRÓG GMINNYCH NA OSIEDLU SKORODECKIEGO W M. ROPCZYCE O ŁĄCZNEJ DŁUGOŚCI OK. 4,5KM WRAZ Z NIEZBĘDNĄ INFRASTRUKTURĄ ORAZ PRZEBUDOWĄ SIECI UZBROJENIA TERENU
</t>
    </r>
    <r>
      <rPr>
        <b/>
        <i/>
        <sz val="14"/>
        <color rgb="FFC00000"/>
        <rFont val="Arial"/>
        <family val="2"/>
        <charset val="238"/>
      </rPr>
      <t xml:space="preserve"> - ODCINEK B - ; - ODCINEK C - ; - ODCINEK 14 - ; - ODCINEK 15 - ; - ODCINEK 16 - </t>
    </r>
  </si>
  <si>
    <t xml:space="preserve">KOSZTORYS OFERTOWY </t>
  </si>
  <si>
    <t xml:space="preserve">„Budowa drogi gminnej na osiedlu Skorodeckiego w mieście Ropczyce wraz z niezbędną infrastrukturą oraz przebudową sieci uzbrojenia terenu”                          BUDOWA ODCINKÓW DRÓG GMINNYCH NA OSIEDLU SKORODECKIEGO W M. ROPCZYCE O ŁĄCZNEJ DŁUGOŚCI OK. 4,5KM WRAZ Z NIEZBĘDNĄ INFRASTRUKTURĄ ORAZ PRZEBUDOWĄ SIECI UZBROJENIA TERENU
 - ODCINEK B - ; - ODCINEK C - ; - ODCINEK 14 - ; - ODCINEK 15 - ; - ODCINEK 16 - </t>
  </si>
  <si>
    <t xml:space="preserve">PRZEDMIAR ROBÓT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</si>
</sst>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z_ł_-;\-* #,##0.00\ _z_ł_-;_-* &quot;-&quot;??\ _z_ł_-;_-@_-"/>
    <numFmt numFmtId="164" formatCode="_-* #,##0.00\ _z_ł_-;\-* #,##0.00\ _z_ł_-;_-* \-??\ _z_ł_-;_-@_-"/>
    <numFmt numFmtId="165" formatCode="0#\.##\.##\.##\."/>
    <numFmt numFmtId="166" formatCode="##\.##\.##\.00\."/>
    <numFmt numFmtId="167" formatCode="0.0"/>
    <numFmt numFmtId="168" formatCode="dd\-mmm"/>
    <numFmt numFmtId="169" formatCode="0.000"/>
    <numFmt numFmtId="170" formatCode="0\+000"/>
  </numFmts>
  <fonts count="62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000000"/>
      <name val="Arial"/>
      <family val="2"/>
      <charset val="1"/>
    </font>
    <font>
      <sz val="10"/>
      <name val="Arial CE"/>
      <charset val="238"/>
    </font>
    <font>
      <sz val="10"/>
      <color rgb="FF000000"/>
      <name val="Times New Roman"/>
      <charset val="204"/>
    </font>
    <font>
      <sz val="10"/>
      <name val="Arial CE"/>
      <family val="2"/>
      <charset val="238"/>
    </font>
    <font>
      <sz val="11"/>
      <name val="Times New Roman CE"/>
      <charset val="238"/>
    </font>
    <font>
      <b/>
      <sz val="16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rgb="FFFF0000"/>
      <name val="Calibri"/>
      <family val="2"/>
      <charset val="238"/>
    </font>
    <font>
      <b/>
      <i/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2"/>
      <name val="Arial"/>
      <family val="2"/>
      <charset val="238"/>
    </font>
    <font>
      <b/>
      <i/>
      <sz val="24"/>
      <name val="Arial"/>
      <family val="2"/>
      <charset val="238"/>
    </font>
    <font>
      <b/>
      <i/>
      <sz val="14"/>
      <name val="Arial"/>
      <family val="2"/>
      <charset val="238"/>
    </font>
    <font>
      <sz val="10"/>
      <color rgb="FFBFBFBF"/>
      <name val="Arial CE"/>
      <charset val="238"/>
    </font>
    <font>
      <b/>
      <sz val="10"/>
      <color rgb="FFBFBFBF"/>
      <name val="Arial CE"/>
      <charset val="238"/>
    </font>
    <font>
      <b/>
      <i/>
      <sz val="12"/>
      <color rgb="FFFF0000"/>
      <name val="Arial"/>
      <family val="2"/>
      <charset val="238"/>
    </font>
    <font>
      <b/>
      <sz val="10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11"/>
      <name val="Calibri"/>
      <family val="2"/>
      <charset val="238"/>
    </font>
    <font>
      <sz val="10"/>
      <name val="Czcionka tekstu podstawowego"/>
      <charset val="238"/>
    </font>
    <font>
      <b/>
      <sz val="10"/>
      <name val="Czcionka tekstu podstawowego"/>
      <charset val="238"/>
    </font>
    <font>
      <b/>
      <i/>
      <sz val="10"/>
      <color rgb="FFFF0000"/>
      <name val="Times New Roman"/>
      <family val="1"/>
      <charset val="238"/>
    </font>
    <font>
      <sz val="10"/>
      <color rgb="FFFF0000"/>
      <name val="MS Sans Serif"/>
      <family val="2"/>
      <charset val="238"/>
    </font>
    <font>
      <sz val="10"/>
      <name val="MS Sans Serif"/>
      <family val="2"/>
      <charset val="238"/>
    </font>
    <font>
      <sz val="11"/>
      <color rgb="FFC9211E"/>
      <name val="Calibri"/>
      <family val="2"/>
      <charset val="238"/>
    </font>
    <font>
      <b/>
      <i/>
      <sz val="24"/>
      <color rgb="FFFF0000"/>
      <name val="Arial"/>
      <family val="2"/>
      <charset val="238"/>
    </font>
    <font>
      <b/>
      <sz val="12"/>
      <name val="Arial CE"/>
      <family val="2"/>
      <charset val="238"/>
    </font>
    <font>
      <sz val="10"/>
      <color rgb="FFFF0000"/>
      <name val="Arial CE"/>
      <charset val="238"/>
    </font>
    <font>
      <sz val="10"/>
      <color rgb="FFFF0000"/>
      <name val="Arial CE"/>
      <family val="2"/>
      <charset val="238"/>
    </font>
    <font>
      <b/>
      <sz val="12"/>
      <color rgb="FFFF0000"/>
      <name val="Arial CE"/>
      <family val="2"/>
      <charset val="238"/>
    </font>
    <font>
      <sz val="10"/>
      <color rgb="FFFF0000"/>
      <name val="Verdana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Arial"/>
      <family val="2"/>
    </font>
    <font>
      <sz val="11"/>
      <color rgb="FFC00000"/>
      <name val="Calibri"/>
      <family val="2"/>
      <charset val="238"/>
      <scheme val="minor"/>
    </font>
    <font>
      <sz val="10"/>
      <name val="Verdana"/>
      <family val="2"/>
      <charset val="238"/>
    </font>
    <font>
      <b/>
      <sz val="12"/>
      <color rgb="FFFF0000"/>
      <name val="Arial"/>
      <family val="2"/>
      <charset val="238"/>
    </font>
    <font>
      <b/>
      <sz val="10"/>
      <color rgb="FFFF0000"/>
      <name val="Verdana"/>
      <family val="2"/>
      <charset val="238"/>
    </font>
    <font>
      <sz val="11"/>
      <color rgb="FFFF0000"/>
      <name val="Verdana"/>
      <family val="2"/>
      <charset val="238"/>
    </font>
    <font>
      <b/>
      <sz val="10"/>
      <name val="Verdana"/>
      <family val="2"/>
      <charset val="238"/>
    </font>
    <font>
      <b/>
      <sz val="14"/>
      <name val="Calibri"/>
      <family val="2"/>
      <charset val="238"/>
    </font>
    <font>
      <sz val="8"/>
      <name val="Calibri"/>
      <family val="2"/>
      <charset val="238"/>
    </font>
    <font>
      <b/>
      <sz val="14"/>
      <name val="Calibri"/>
      <family val="2"/>
      <charset val="238"/>
      <scheme val="minor"/>
    </font>
    <font>
      <b/>
      <i/>
      <sz val="14"/>
      <color rgb="FFC00000"/>
      <name val="Arial"/>
      <family val="2"/>
      <charset val="238"/>
    </font>
    <font>
      <b/>
      <i/>
      <u/>
      <sz val="11"/>
      <name val="Arial"/>
      <family val="2"/>
      <charset val="238"/>
    </font>
    <font>
      <sz val="14"/>
      <color rgb="FFFF0000"/>
      <name val="Calibri"/>
      <family val="2"/>
      <charset val="238"/>
    </font>
    <font>
      <sz val="11"/>
      <color rgb="FFC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rgb="FFFFFF00"/>
        <bgColor rgb="FFFFCC00"/>
      </patternFill>
    </fill>
    <fill>
      <patternFill patternType="solid">
        <fgColor rgb="FFFCD5B5"/>
        <bgColor rgb="FFFFCC99"/>
      </patternFill>
    </fill>
    <fill>
      <patternFill patternType="solid">
        <fgColor rgb="FFA6A6A6"/>
        <bgColor rgb="FFC4BD97"/>
      </patternFill>
    </fill>
    <fill>
      <patternFill patternType="solid">
        <fgColor rgb="FFDBEEF4"/>
        <bgColor rgb="FFE4EDF8"/>
      </patternFill>
    </fill>
    <fill>
      <patternFill patternType="solid">
        <fgColor rgb="FFFFFFFF"/>
        <bgColor rgb="FFEFEFEF"/>
      </patternFill>
    </fill>
    <fill>
      <patternFill patternType="solid">
        <fgColor rgb="FFCCFFCC"/>
        <bgColor rgb="FFCCFFFF"/>
      </patternFill>
    </fill>
    <fill>
      <patternFill patternType="solid">
        <fgColor rgb="FFCCFFFF"/>
        <bgColor rgb="FFDBEEF4"/>
      </patternFill>
    </fill>
    <fill>
      <patternFill patternType="solid">
        <fgColor rgb="FFBFBFBF"/>
        <bgColor rgb="FFCCCCCC"/>
      </patternFill>
    </fill>
    <fill>
      <patternFill patternType="solid">
        <fgColor rgb="FFFAC090"/>
        <bgColor rgb="FFFFCC99"/>
      </patternFill>
    </fill>
    <fill>
      <patternFill patternType="solid">
        <fgColor rgb="FFFFCC99"/>
        <bgColor rgb="FFFAC090"/>
      </patternFill>
    </fill>
    <fill>
      <patternFill patternType="solid">
        <fgColor rgb="FFD7E4BD"/>
        <bgColor rgb="FFDDD9C3"/>
      </patternFill>
    </fill>
    <fill>
      <patternFill patternType="solid">
        <fgColor rgb="FFDDD9C3"/>
        <bgColor rgb="FFD9D9D9"/>
      </patternFill>
    </fill>
    <fill>
      <patternFill patternType="solid">
        <fgColor rgb="FFC4BD97"/>
        <bgColor rgb="FFBFBFBF"/>
      </patternFill>
    </fill>
    <fill>
      <patternFill patternType="solid">
        <fgColor rgb="FFFFCC00"/>
        <bgColor rgb="FFFFFF00"/>
      </patternFill>
    </fill>
    <fill>
      <patternFill patternType="solid">
        <fgColor rgb="FF808000"/>
        <bgColor rgb="FF808080"/>
      </patternFill>
    </fill>
    <fill>
      <patternFill patternType="solid">
        <fgColor rgb="FF00CCFF"/>
        <bgColor rgb="FF00B0F0"/>
      </patternFill>
    </fill>
    <fill>
      <patternFill patternType="solid">
        <fgColor rgb="FFC6D9F1"/>
        <bgColor rgb="FFD9D9D9"/>
      </patternFill>
    </fill>
    <fill>
      <patternFill patternType="solid">
        <fgColor rgb="FFE4EDF8"/>
        <bgColor rgb="FFDBEEF4"/>
      </patternFill>
    </fill>
    <fill>
      <patternFill patternType="solid">
        <fgColor rgb="FFEEECE1"/>
        <bgColor rgb="FFEBF1DE"/>
      </patternFill>
    </fill>
    <fill>
      <patternFill patternType="solid">
        <fgColor rgb="FFD9D9D9"/>
        <bgColor rgb="FFDDD9C3"/>
      </patternFill>
    </fill>
    <fill>
      <patternFill patternType="solid">
        <fgColor rgb="FFEBF1DE"/>
        <bgColor rgb="FFEEECE1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DD9C3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</fills>
  <borders count="7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2">
    <xf numFmtId="0" fontId="0" fillId="0" borderId="0"/>
    <xf numFmtId="164" fontId="42" fillId="0" borderId="0" applyBorder="0" applyProtection="0"/>
    <xf numFmtId="164" fontId="42" fillId="0" borderId="0" applyBorder="0" applyProtection="0"/>
    <xf numFmtId="164" fontId="42" fillId="0" borderId="0" applyBorder="0" applyProtection="0"/>
    <xf numFmtId="164" fontId="42" fillId="0" borderId="0" applyBorder="0" applyProtection="0"/>
    <xf numFmtId="164" fontId="42" fillId="0" borderId="0" applyBorder="0" applyProtection="0"/>
    <xf numFmtId="164" fontId="42" fillId="0" borderId="0" applyBorder="0" applyProtection="0"/>
    <xf numFmtId="0" fontId="3" fillId="0" borderId="0"/>
    <xf numFmtId="0" fontId="4" fillId="0" borderId="0"/>
    <xf numFmtId="0" fontId="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4" fillId="0" borderId="0"/>
    <xf numFmtId="0" fontId="42" fillId="0" borderId="0" applyBorder="0" applyProtection="0"/>
    <xf numFmtId="0" fontId="42" fillId="0" borderId="0"/>
    <xf numFmtId="0" fontId="6" fillId="0" borderId="0"/>
    <xf numFmtId="0" fontId="7" fillId="0" borderId="0"/>
    <xf numFmtId="0" fontId="3" fillId="0" borderId="0"/>
    <xf numFmtId="0" fontId="3" fillId="0" borderId="0"/>
    <xf numFmtId="0" fontId="8" fillId="0" borderId="1">
      <alignment horizontal="center"/>
    </xf>
    <xf numFmtId="0" fontId="2" fillId="0" borderId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4" fillId="0" borderId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4" fillId="0" borderId="0"/>
    <xf numFmtId="0" fontId="8" fillId="0" borderId="37">
      <alignment horizontal="center"/>
    </xf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</cellStyleXfs>
  <cellXfs count="453">
    <xf numFmtId="0" fontId="0" fillId="0" borderId="0" xfId="0"/>
    <xf numFmtId="0" fontId="14" fillId="0" borderId="0" xfId="0" applyFont="1"/>
    <xf numFmtId="0" fontId="5" fillId="0" borderId="0" xfId="20"/>
    <xf numFmtId="4" fontId="20" fillId="0" borderId="0" xfId="0" applyNumberFormat="1" applyFont="1"/>
    <xf numFmtId="0" fontId="20" fillId="0" borderId="0" xfId="0" applyFont="1"/>
    <xf numFmtId="0" fontId="21" fillId="0" borderId="0" xfId="0" applyFont="1" applyAlignment="1">
      <alignment horizontal="center"/>
    </xf>
    <xf numFmtId="0" fontId="20" fillId="0" borderId="13" xfId="0" applyFont="1" applyBorder="1"/>
    <xf numFmtId="168" fontId="21" fillId="0" borderId="0" xfId="0" applyNumberFormat="1" applyFont="1" applyAlignment="1">
      <alignment horizontal="center"/>
    </xf>
    <xf numFmtId="0" fontId="21" fillId="0" borderId="0" xfId="0" applyFont="1"/>
    <xf numFmtId="0" fontId="20" fillId="0" borderId="0" xfId="0" applyFont="1" applyAlignment="1">
      <alignment horizontal="center"/>
    </xf>
    <xf numFmtId="0" fontId="20" fillId="7" borderId="0" xfId="0" applyFont="1" applyFill="1"/>
    <xf numFmtId="0" fontId="20" fillId="0" borderId="0" xfId="0" applyFont="1" applyAlignment="1">
      <alignment horizontal="right"/>
    </xf>
    <xf numFmtId="0" fontId="15" fillId="11" borderId="1" xfId="25" applyFont="1" applyFill="1" applyBorder="1" applyAlignment="1">
      <alignment horizontal="center" vertical="center" wrapText="1"/>
    </xf>
    <xf numFmtId="0" fontId="15" fillId="2" borderId="1" xfId="25" applyFont="1" applyFill="1" applyBorder="1" applyAlignment="1">
      <alignment horizontal="center" vertical="center"/>
    </xf>
    <xf numFmtId="4" fontId="15" fillId="2" borderId="1" xfId="25" applyNumberFormat="1" applyFont="1" applyFill="1" applyBorder="1" applyAlignment="1">
      <alignment horizontal="center" vertical="center"/>
    </xf>
    <xf numFmtId="0" fontId="16" fillId="0" borderId="1" xfId="25" applyFont="1" applyBorder="1" applyAlignment="1">
      <alignment horizontal="center" vertical="center"/>
    </xf>
    <xf numFmtId="4" fontId="16" fillId="0" borderId="1" xfId="25" applyNumberFormat="1" applyFont="1" applyBorder="1" applyAlignment="1">
      <alignment horizontal="center" vertical="center"/>
    </xf>
    <xf numFmtId="4" fontId="15" fillId="0" borderId="1" xfId="25" applyNumberFormat="1" applyFont="1" applyBorder="1" applyAlignment="1">
      <alignment horizontal="center" vertical="center"/>
    </xf>
    <xf numFmtId="0" fontId="22" fillId="2" borderId="1" xfId="25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2" fontId="10" fillId="0" borderId="5" xfId="26" applyNumberFormat="1" applyFont="1" applyBorder="1" applyAlignment="1">
      <alignment horizontal="center" vertical="center" wrapText="1"/>
    </xf>
    <xf numFmtId="164" fontId="26" fillId="13" borderId="16" xfId="1" applyFont="1" applyFill="1" applyBorder="1" applyAlignment="1" applyProtection="1">
      <alignment horizontal="center" vertical="center" wrapText="1"/>
    </xf>
    <xf numFmtId="0" fontId="12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6" borderId="0" xfId="27" applyFont="1" applyFill="1" applyAlignment="1">
      <alignment horizontal="left" vertical="center"/>
    </xf>
    <xf numFmtId="0" fontId="25" fillId="15" borderId="0" xfId="27" applyFont="1" applyFill="1" applyAlignment="1">
      <alignment horizontal="left" vertical="center"/>
    </xf>
    <xf numFmtId="4" fontId="10" fillId="0" borderId="5" xfId="27" applyNumberFormat="1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5" fillId="0" borderId="0" xfId="27" applyFont="1" applyAlignment="1">
      <alignment horizontal="left" vertical="center"/>
    </xf>
    <xf numFmtId="0" fontId="24" fillId="6" borderId="0" xfId="0" applyFont="1" applyFill="1" applyAlignment="1">
      <alignment vertical="center"/>
    </xf>
    <xf numFmtId="0" fontId="24" fillId="16" borderId="0" xfId="0" applyFont="1" applyFill="1" applyAlignment="1">
      <alignment vertical="center"/>
    </xf>
    <xf numFmtId="0" fontId="14" fillId="6" borderId="0" xfId="0" applyFont="1" applyFill="1" applyAlignment="1">
      <alignment vertical="center"/>
    </xf>
    <xf numFmtId="0" fontId="14" fillId="17" borderId="0" xfId="0" applyFont="1" applyFill="1" applyAlignment="1">
      <alignment vertical="center"/>
    </xf>
    <xf numFmtId="0" fontId="12" fillId="0" borderId="0" xfId="27" applyFont="1" applyAlignment="1">
      <alignment horizontal="left" vertical="center"/>
    </xf>
    <xf numFmtId="0" fontId="33" fillId="0" borderId="6" xfId="0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/>
    </xf>
    <xf numFmtId="167" fontId="25" fillId="0" borderId="0" xfId="0" applyNumberFormat="1" applyFont="1" applyAlignment="1">
      <alignment horizontal="center" vertical="center"/>
    </xf>
    <xf numFmtId="0" fontId="12" fillId="0" borderId="0" xfId="26" applyFont="1" applyAlignment="1">
      <alignment vertical="center" wrapText="1"/>
    </xf>
    <xf numFmtId="4" fontId="12" fillId="0" borderId="0" xfId="27" applyNumberFormat="1" applyFont="1" applyAlignment="1">
      <alignment horizontal="center" vertical="center"/>
    </xf>
    <xf numFmtId="0" fontId="25" fillId="0" borderId="0" xfId="27" applyFont="1" applyAlignment="1">
      <alignment horizontal="left"/>
    </xf>
    <xf numFmtId="0" fontId="35" fillId="0" borderId="0" xfId="0" applyFont="1"/>
    <xf numFmtId="2" fontId="5" fillId="0" borderId="0" xfId="0" applyNumberFormat="1" applyFont="1" applyAlignment="1">
      <alignment horizontal="center"/>
    </xf>
    <xf numFmtId="2" fontId="5" fillId="0" borderId="18" xfId="0" applyNumberFormat="1" applyFont="1" applyBorder="1" applyAlignment="1">
      <alignment horizontal="center"/>
    </xf>
    <xf numFmtId="2" fontId="38" fillId="20" borderId="0" xfId="0" applyNumberFormat="1" applyFont="1" applyFill="1" applyAlignment="1">
      <alignment horizontal="center"/>
    </xf>
    <xf numFmtId="2" fontId="5" fillId="20" borderId="0" xfId="0" applyNumberFormat="1" applyFont="1" applyFill="1" applyAlignment="1">
      <alignment horizontal="center"/>
    </xf>
    <xf numFmtId="2" fontId="7" fillId="0" borderId="0" xfId="0" applyNumberFormat="1" applyFont="1" applyAlignment="1">
      <alignment horizontal="center"/>
    </xf>
    <xf numFmtId="2" fontId="39" fillId="0" borderId="0" xfId="0" applyNumberFormat="1" applyFont="1" applyAlignment="1">
      <alignment horizontal="center"/>
    </xf>
    <xf numFmtId="2" fontId="7" fillId="0" borderId="18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2" fontId="14" fillId="0" borderId="0" xfId="0" applyNumberFormat="1" applyFont="1" applyAlignment="1">
      <alignment horizontal="center" vertical="center"/>
    </xf>
    <xf numFmtId="2" fontId="14" fillId="0" borderId="0" xfId="0" applyNumberFormat="1" applyFont="1" applyAlignment="1">
      <alignment horizontal="center"/>
    </xf>
    <xf numFmtId="2" fontId="14" fillId="0" borderId="0" xfId="0" applyNumberFormat="1" applyFont="1" applyAlignment="1">
      <alignment horizontal="center" vertical="center" wrapText="1"/>
    </xf>
    <xf numFmtId="2" fontId="35" fillId="0" borderId="0" xfId="0" applyNumberFormat="1" applyFont="1" applyAlignment="1">
      <alignment horizontal="center"/>
    </xf>
    <xf numFmtId="2" fontId="35" fillId="0" borderId="0" xfId="0" applyNumberFormat="1" applyFont="1" applyAlignment="1">
      <alignment horizontal="center" vertical="center"/>
    </xf>
    <xf numFmtId="2" fontId="37" fillId="0" borderId="0" xfId="0" applyNumberFormat="1" applyFont="1" applyAlignment="1">
      <alignment vertical="center"/>
    </xf>
    <xf numFmtId="2" fontId="40" fillId="0" borderId="0" xfId="0" applyNumberFormat="1" applyFont="1" applyAlignment="1">
      <alignment vertical="center"/>
    </xf>
    <xf numFmtId="2" fontId="23" fillId="18" borderId="22" xfId="0" applyNumberFormat="1" applyFont="1" applyFill="1" applyBorder="1" applyAlignment="1">
      <alignment horizontal="center" vertical="center" wrapText="1"/>
    </xf>
    <xf numFmtId="2" fontId="23" fillId="18" borderId="23" xfId="0" applyNumberFormat="1" applyFont="1" applyFill="1" applyBorder="1" applyAlignment="1">
      <alignment horizontal="center" vertical="center" wrapText="1"/>
    </xf>
    <xf numFmtId="2" fontId="23" fillId="18" borderId="25" xfId="0" applyNumberFormat="1" applyFont="1" applyFill="1" applyBorder="1" applyAlignment="1">
      <alignment horizontal="center" vertical="center" wrapText="1"/>
    </xf>
    <xf numFmtId="2" fontId="23" fillId="18" borderId="26" xfId="0" applyNumberFormat="1" applyFont="1" applyFill="1" applyBorder="1" applyAlignment="1">
      <alignment horizontal="center" vertical="center" wrapText="1"/>
    </xf>
    <xf numFmtId="2" fontId="29" fillId="0" borderId="27" xfId="0" applyNumberFormat="1" applyFont="1" applyBorder="1" applyAlignment="1">
      <alignment horizontal="left" vertical="center" wrapText="1"/>
    </xf>
    <xf numFmtId="2" fontId="29" fillId="0" borderId="11" xfId="0" applyNumberFormat="1" applyFont="1" applyBorder="1" applyAlignment="1">
      <alignment horizontal="center" vertical="center" wrapText="1"/>
    </xf>
    <xf numFmtId="2" fontId="30" fillId="0" borderId="17" xfId="0" applyNumberFormat="1" applyFont="1" applyBorder="1" applyAlignment="1">
      <alignment horizontal="center" vertical="center" wrapText="1"/>
    </xf>
    <xf numFmtId="2" fontId="29" fillId="0" borderId="6" xfId="0" applyNumberFormat="1" applyFont="1" applyBorder="1" applyAlignment="1">
      <alignment horizontal="left" vertical="center" wrapText="1"/>
    </xf>
    <xf numFmtId="2" fontId="23" fillId="18" borderId="28" xfId="0" applyNumberFormat="1" applyFont="1" applyFill="1" applyBorder="1" applyAlignment="1">
      <alignment horizontal="center" vertical="center" wrapText="1"/>
    </xf>
    <xf numFmtId="2" fontId="29" fillId="0" borderId="29" xfId="0" applyNumberFormat="1" applyFont="1" applyBorder="1" applyAlignment="1">
      <alignment horizontal="left" vertical="center" wrapText="1"/>
    </xf>
    <xf numFmtId="2" fontId="30" fillId="0" borderId="30" xfId="0" applyNumberFormat="1" applyFont="1" applyBorder="1" applyAlignment="1">
      <alignment horizontal="center" vertical="center" wrapText="1"/>
    </xf>
    <xf numFmtId="2" fontId="29" fillId="0" borderId="31" xfId="0" applyNumberFormat="1" applyFont="1" applyBorder="1" applyAlignment="1">
      <alignment horizontal="left" vertical="center" wrapText="1"/>
    </xf>
    <xf numFmtId="2" fontId="30" fillId="0" borderId="32" xfId="0" applyNumberFormat="1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2" fontId="45" fillId="23" borderId="0" xfId="38" applyNumberFormat="1" applyFont="1" applyFill="1" applyAlignment="1">
      <alignment horizontal="center" vertical="center" wrapText="1"/>
    </xf>
    <xf numFmtId="2" fontId="45" fillId="23" borderId="0" xfId="38" applyNumberFormat="1" applyFont="1" applyFill="1" applyAlignment="1">
      <alignment horizontal="left" vertical="center" wrapText="1"/>
    </xf>
    <xf numFmtId="2" fontId="29" fillId="0" borderId="37" xfId="0" applyNumberFormat="1" applyFont="1" applyBorder="1" applyAlignment="1">
      <alignment horizontal="center" vertical="center" wrapText="1"/>
    </xf>
    <xf numFmtId="2" fontId="23" fillId="9" borderId="41" xfId="2" applyNumberFormat="1" applyFont="1" applyFill="1" applyBorder="1" applyAlignment="1" applyProtection="1">
      <alignment horizontal="center" vertical="center" wrapText="1"/>
    </xf>
    <xf numFmtId="2" fontId="23" fillId="9" borderId="36" xfId="2" applyNumberFormat="1" applyFont="1" applyFill="1" applyBorder="1" applyAlignment="1" applyProtection="1">
      <alignment horizontal="center" vertical="center" wrapText="1"/>
    </xf>
    <xf numFmtId="2" fontId="23" fillId="9" borderId="39" xfId="2" applyNumberFormat="1" applyFont="1" applyFill="1" applyBorder="1" applyAlignment="1" applyProtection="1">
      <alignment horizontal="center" vertical="center" wrapText="1"/>
    </xf>
    <xf numFmtId="2" fontId="23" fillId="9" borderId="40" xfId="2" applyNumberFormat="1" applyFont="1" applyFill="1" applyBorder="1" applyAlignment="1" applyProtection="1">
      <alignment horizontal="center" vertical="center" wrapText="1"/>
    </xf>
    <xf numFmtId="0" fontId="47" fillId="0" borderId="0" xfId="0" applyFont="1"/>
    <xf numFmtId="0" fontId="41" fillId="0" borderId="0" xfId="0" applyFont="1" applyAlignment="1">
      <alignment horizontal="left" vertical="center"/>
    </xf>
    <xf numFmtId="0" fontId="49" fillId="0" borderId="0" xfId="0" applyFont="1"/>
    <xf numFmtId="2" fontId="50" fillId="21" borderId="3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46" fillId="21" borderId="34" xfId="0" applyFont="1" applyFill="1" applyBorder="1" applyAlignment="1">
      <alignment horizontal="center" vertical="center" wrapText="1"/>
    </xf>
    <xf numFmtId="2" fontId="48" fillId="21" borderId="0" xfId="0" applyNumberFormat="1" applyFont="1" applyFill="1" applyAlignment="1">
      <alignment horizontal="center" vertical="center" wrapText="1"/>
    </xf>
    <xf numFmtId="2" fontId="41" fillId="0" borderId="0" xfId="0" applyNumberFormat="1" applyFont="1" applyAlignment="1">
      <alignment horizontal="center" vertical="center"/>
    </xf>
    <xf numFmtId="0" fontId="48" fillId="0" borderId="0" xfId="0" applyFont="1" applyAlignment="1">
      <alignment horizontal="right" vertical="center"/>
    </xf>
    <xf numFmtId="2" fontId="48" fillId="21" borderId="0" xfId="0" applyNumberFormat="1" applyFont="1" applyFill="1" applyAlignment="1">
      <alignment horizontal="center" vertical="center"/>
    </xf>
    <xf numFmtId="2" fontId="46" fillId="21" borderId="34" xfId="0" applyNumberFormat="1" applyFont="1" applyFill="1" applyBorder="1" applyAlignment="1">
      <alignment horizontal="center" vertical="center" wrapText="1"/>
    </xf>
    <xf numFmtId="0" fontId="53" fillId="25" borderId="15" xfId="0" applyFont="1" applyFill="1" applyBorder="1" applyAlignment="1">
      <alignment horizontal="center" vertical="center" wrapText="1"/>
    </xf>
    <xf numFmtId="0" fontId="12" fillId="5" borderId="7" xfId="26" applyFont="1" applyFill="1" applyBorder="1" applyAlignment="1">
      <alignment vertical="center" wrapText="1"/>
    </xf>
    <xf numFmtId="0" fontId="13" fillId="0" borderId="39" xfId="27" applyFont="1" applyBorder="1" applyAlignment="1">
      <alignment horizontal="center" vertical="center" wrapText="1"/>
    </xf>
    <xf numFmtId="2" fontId="39" fillId="0" borderId="18" xfId="0" applyNumberFormat="1" applyFont="1" applyBorder="1" applyAlignment="1">
      <alignment horizontal="center"/>
    </xf>
    <xf numFmtId="0" fontId="34" fillId="0" borderId="6" xfId="0" applyFont="1" applyBorder="1" applyAlignment="1">
      <alignment horizontal="center" vertical="center"/>
    </xf>
    <xf numFmtId="0" fontId="33" fillId="0" borderId="39" xfId="0" applyFont="1" applyBorder="1" applyAlignment="1">
      <alignment horizontal="center" vertical="center"/>
    </xf>
    <xf numFmtId="0" fontId="13" fillId="0" borderId="39" xfId="27" applyFont="1" applyBorder="1" applyAlignment="1">
      <alignment horizontal="left" vertical="center" wrapText="1"/>
    </xf>
    <xf numFmtId="4" fontId="13" fillId="0" borderId="39" xfId="27" applyNumberFormat="1" applyFont="1" applyBorder="1" applyAlignment="1">
      <alignment horizontal="center" vertical="center"/>
    </xf>
    <xf numFmtId="0" fontId="10" fillId="5" borderId="13" xfId="26" applyFont="1" applyFill="1" applyBorder="1" applyAlignment="1">
      <alignment vertical="center" wrapText="1"/>
    </xf>
    <xf numFmtId="0" fontId="10" fillId="5" borderId="30" xfId="26" applyFont="1" applyFill="1" applyBorder="1" applyAlignment="1">
      <alignment vertical="center" wrapText="1"/>
    </xf>
    <xf numFmtId="164" fontId="26" fillId="9" borderId="8" xfId="0" applyNumberFormat="1" applyFont="1" applyFill="1" applyBorder="1" applyAlignment="1">
      <alignment vertical="center"/>
    </xf>
    <xf numFmtId="164" fontId="26" fillId="14" borderId="21" xfId="1" applyFont="1" applyFill="1" applyBorder="1" applyAlignment="1" applyProtection="1">
      <alignment horizontal="center" vertical="center" wrapText="1"/>
    </xf>
    <xf numFmtId="0" fontId="55" fillId="0" borderId="0" xfId="20" applyFont="1" applyAlignment="1">
      <alignment horizontal="left" vertical="top" wrapText="1"/>
    </xf>
    <xf numFmtId="4" fontId="16" fillId="0" borderId="37" xfId="25" applyNumberFormat="1" applyFont="1" applyBorder="1" applyAlignment="1">
      <alignment horizontal="center" vertical="center"/>
    </xf>
    <xf numFmtId="4" fontId="15" fillId="12" borderId="1" xfId="25" applyNumberFormat="1" applyFont="1" applyFill="1" applyBorder="1" applyAlignment="1">
      <alignment horizontal="center" vertical="center"/>
    </xf>
    <xf numFmtId="0" fontId="10" fillId="0" borderId="45" xfId="26" applyFont="1" applyBorder="1" applyAlignment="1">
      <alignment horizontal="center" vertical="center" wrapText="1"/>
    </xf>
    <xf numFmtId="165" fontId="10" fillId="0" borderId="46" xfId="26" applyNumberFormat="1" applyFont="1" applyBorder="1" applyAlignment="1">
      <alignment horizontal="center" vertical="center" wrapText="1"/>
    </xf>
    <xf numFmtId="0" fontId="10" fillId="0" borderId="46" xfId="26" applyFont="1" applyBorder="1" applyAlignment="1">
      <alignment horizontal="center" vertical="center" wrapText="1"/>
    </xf>
    <xf numFmtId="0" fontId="10" fillId="0" borderId="46" xfId="0" applyFont="1" applyBorder="1" applyAlignment="1">
      <alignment horizontal="center" vertical="center" wrapText="1"/>
    </xf>
    <xf numFmtId="165" fontId="11" fillId="3" borderId="45" xfId="26" applyNumberFormat="1" applyFont="1" applyFill="1" applyBorder="1" applyAlignment="1">
      <alignment horizontal="center" vertical="center" wrapText="1"/>
    </xf>
    <xf numFmtId="0" fontId="10" fillId="4" borderId="45" xfId="0" applyFont="1" applyFill="1" applyBorder="1" applyAlignment="1">
      <alignment horizontal="center" vertical="center" wrapText="1"/>
    </xf>
    <xf numFmtId="0" fontId="10" fillId="4" borderId="46" xfId="0" applyFont="1" applyFill="1" applyBorder="1" applyAlignment="1">
      <alignment horizontal="center" vertical="center" wrapText="1"/>
    </xf>
    <xf numFmtId="0" fontId="10" fillId="5" borderId="45" xfId="26" applyFont="1" applyFill="1" applyBorder="1" applyAlignment="1">
      <alignment horizontal="center" vertical="center" wrapText="1"/>
    </xf>
    <xf numFmtId="4" fontId="10" fillId="0" borderId="46" xfId="26" applyNumberFormat="1" applyFont="1" applyBorder="1" applyAlignment="1">
      <alignment horizontal="left" vertical="center" wrapText="1"/>
    </xf>
    <xf numFmtId="4" fontId="10" fillId="0" borderId="46" xfId="0" applyNumberFormat="1" applyFont="1" applyBorder="1" applyAlignment="1">
      <alignment horizontal="center" vertical="center"/>
    </xf>
    <xf numFmtId="2" fontId="10" fillId="0" borderId="46" xfId="26" applyNumberFormat="1" applyFont="1" applyBorder="1" applyAlignment="1">
      <alignment horizontal="center" vertical="center" wrapText="1"/>
    </xf>
    <xf numFmtId="2" fontId="10" fillId="0" borderId="47" xfId="26" applyNumberFormat="1" applyFont="1" applyBorder="1" applyAlignment="1">
      <alignment horizontal="center" vertical="center" wrapText="1"/>
    </xf>
    <xf numFmtId="49" fontId="10" fillId="0" borderId="45" xfId="26" applyNumberFormat="1" applyFont="1" applyBorder="1" applyAlignment="1">
      <alignment horizontal="center" vertical="center" wrapText="1"/>
    </xf>
    <xf numFmtId="164" fontId="26" fillId="14" borderId="47" xfId="1" applyFont="1" applyFill="1" applyBorder="1" applyAlignment="1" applyProtection="1">
      <alignment horizontal="center" vertical="center" wrapText="1"/>
    </xf>
    <xf numFmtId="165" fontId="10" fillId="5" borderId="45" xfId="26" applyNumberFormat="1" applyFont="1" applyFill="1" applyBorder="1" applyAlignment="1">
      <alignment horizontal="center" vertical="center" wrapText="1"/>
    </xf>
    <xf numFmtId="165" fontId="10" fillId="5" borderId="46" xfId="26" applyNumberFormat="1" applyFont="1" applyFill="1" applyBorder="1" applyAlignment="1">
      <alignment horizontal="center" vertical="center" wrapText="1"/>
    </xf>
    <xf numFmtId="0" fontId="10" fillId="0" borderId="46" xfId="26" applyFont="1" applyBorder="1" applyAlignment="1">
      <alignment vertical="center" wrapText="1"/>
    </xf>
    <xf numFmtId="4" fontId="10" fillId="0" borderId="46" xfId="26" applyNumberFormat="1" applyFont="1" applyBorder="1" applyAlignment="1">
      <alignment horizontal="center" vertical="center"/>
    </xf>
    <xf numFmtId="165" fontId="13" fillId="0" borderId="45" xfId="26" applyNumberFormat="1" applyFont="1" applyBorder="1" applyAlignment="1">
      <alignment horizontal="center" vertical="center" wrapText="1"/>
    </xf>
    <xf numFmtId="0" fontId="13" fillId="0" borderId="46" xfId="26" applyFont="1" applyBorder="1" applyAlignment="1">
      <alignment vertical="center" wrapText="1"/>
    </xf>
    <xf numFmtId="0" fontId="13" fillId="0" borderId="46" xfId="26" applyFont="1" applyBorder="1" applyAlignment="1">
      <alignment horizontal="center" vertical="center" wrapText="1"/>
    </xf>
    <xf numFmtId="4" fontId="13" fillId="0" borderId="46" xfId="26" applyNumberFormat="1" applyFont="1" applyBorder="1" applyAlignment="1">
      <alignment horizontal="center" vertical="center"/>
    </xf>
    <xf numFmtId="0" fontId="25" fillId="0" borderId="46" xfId="0" applyFont="1" applyBorder="1" applyAlignment="1">
      <alignment vertical="center"/>
    </xf>
    <xf numFmtId="165" fontId="25" fillId="0" borderId="46" xfId="26" applyNumberFormat="1" applyFont="1" applyBorder="1" applyAlignment="1">
      <alignment horizontal="center" vertical="center" wrapText="1"/>
    </xf>
    <xf numFmtId="0" fontId="10" fillId="5" borderId="46" xfId="26" applyFont="1" applyFill="1" applyBorder="1" applyAlignment="1">
      <alignment horizontal="center" vertical="center" wrapText="1"/>
    </xf>
    <xf numFmtId="0" fontId="25" fillId="0" borderId="46" xfId="27" applyFont="1" applyBorder="1" applyAlignment="1">
      <alignment horizontal="left" vertical="center"/>
    </xf>
    <xf numFmtId="0" fontId="25" fillId="6" borderId="47" xfId="27" applyFont="1" applyFill="1" applyBorder="1" applyAlignment="1">
      <alignment horizontal="left" vertical="center"/>
    </xf>
    <xf numFmtId="0" fontId="13" fillId="0" borderId="45" xfId="26" applyFont="1" applyBorder="1" applyAlignment="1">
      <alignment horizontal="center" vertical="center" wrapText="1"/>
    </xf>
    <xf numFmtId="0" fontId="13" fillId="0" borderId="46" xfId="0" applyFont="1" applyBorder="1" applyAlignment="1">
      <alignment vertical="center" wrapText="1"/>
    </xf>
    <xf numFmtId="4" fontId="13" fillId="0" borderId="46" xfId="0" applyNumberFormat="1" applyFont="1" applyBorder="1" applyAlignment="1">
      <alignment horizontal="center" vertical="center" wrapText="1"/>
    </xf>
    <xf numFmtId="165" fontId="10" fillId="0" borderId="45" xfId="26" applyNumberFormat="1" applyFont="1" applyBorder="1" applyAlignment="1">
      <alignment horizontal="center" vertical="center" wrapText="1"/>
    </xf>
    <xf numFmtId="165" fontId="12" fillId="0" borderId="46" xfId="26" applyNumberFormat="1" applyFont="1" applyBorder="1" applyAlignment="1">
      <alignment horizontal="center" vertical="center" wrapText="1"/>
    </xf>
    <xf numFmtId="0" fontId="10" fillId="0" borderId="46" xfId="26" applyFont="1" applyBorder="1" applyAlignment="1">
      <alignment horizontal="left" vertical="center" wrapText="1"/>
    </xf>
    <xf numFmtId="0" fontId="10" fillId="0" borderId="46" xfId="27" applyFont="1" applyBorder="1" applyAlignment="1">
      <alignment horizontal="center" vertical="center" wrapText="1"/>
    </xf>
    <xf numFmtId="4" fontId="10" fillId="0" borderId="46" xfId="27" applyNumberFormat="1" applyFont="1" applyBorder="1" applyAlignment="1">
      <alignment horizontal="center" vertical="center"/>
    </xf>
    <xf numFmtId="0" fontId="13" fillId="0" borderId="46" xfId="26" applyFont="1" applyBorder="1" applyAlignment="1">
      <alignment horizontal="left" vertical="center" wrapText="1"/>
    </xf>
    <xf numFmtId="0" fontId="24" fillId="0" borderId="47" xfId="0" applyFont="1" applyBorder="1" applyAlignment="1">
      <alignment vertical="center"/>
    </xf>
    <xf numFmtId="0" fontId="25" fillId="0" borderId="47" xfId="0" applyFont="1" applyBorder="1" applyAlignment="1">
      <alignment vertical="center"/>
    </xf>
    <xf numFmtId="0" fontId="10" fillId="0" borderId="45" xfId="0" applyFont="1" applyBorder="1" applyAlignment="1">
      <alignment horizontal="center" vertical="center"/>
    </xf>
    <xf numFmtId="49" fontId="10" fillId="0" borderId="46" xfId="26" applyNumberFormat="1" applyFont="1" applyBorder="1" applyAlignment="1">
      <alignment horizontal="center" vertical="center" wrapText="1"/>
    </xf>
    <xf numFmtId="49" fontId="12" fillId="0" borderId="46" xfId="26" applyNumberFormat="1" applyFont="1" applyBorder="1" applyAlignment="1">
      <alignment horizontal="center" vertical="center" wrapText="1"/>
    </xf>
    <xf numFmtId="2" fontId="10" fillId="0" borderId="46" xfId="26" applyNumberFormat="1" applyFont="1" applyBorder="1" applyAlignment="1">
      <alignment horizontal="left" vertical="center" wrapText="1"/>
    </xf>
    <xf numFmtId="2" fontId="10" fillId="0" borderId="46" xfId="27" applyNumberFormat="1" applyFont="1" applyBorder="1" applyAlignment="1">
      <alignment horizontal="center" vertical="center" wrapText="1"/>
    </xf>
    <xf numFmtId="0" fontId="10" fillId="0" borderId="46" xfId="48" applyFont="1" applyBorder="1" applyAlignment="1">
      <alignment horizontal="center" vertical="center"/>
    </xf>
    <xf numFmtId="166" fontId="10" fillId="0" borderId="46" xfId="27" applyNumberFormat="1" applyFont="1" applyBorder="1" applyAlignment="1">
      <alignment horizontal="center" vertical="center" wrapText="1"/>
    </xf>
    <xf numFmtId="0" fontId="10" fillId="0" borderId="46" xfId="27" applyFont="1" applyBorder="1" applyAlignment="1">
      <alignment horizontal="left" vertical="center" wrapText="1"/>
    </xf>
    <xf numFmtId="166" fontId="32" fillId="0" borderId="45" xfId="27" applyNumberFormat="1" applyFont="1" applyBorder="1" applyAlignment="1">
      <alignment horizontal="center" vertical="center" wrapText="1"/>
    </xf>
    <xf numFmtId="166" fontId="32" fillId="0" borderId="46" xfId="27" applyNumberFormat="1" applyFont="1" applyBorder="1" applyAlignment="1">
      <alignment horizontal="center" vertical="center" wrapText="1"/>
    </xf>
    <xf numFmtId="0" fontId="13" fillId="0" borderId="46" xfId="27" applyFont="1" applyBorder="1" applyAlignment="1">
      <alignment horizontal="left" vertical="center" wrapText="1"/>
    </xf>
    <xf numFmtId="0" fontId="13" fillId="0" borderId="46" xfId="27" applyFont="1" applyBorder="1" applyAlignment="1">
      <alignment horizontal="center" vertical="center" wrapText="1"/>
    </xf>
    <xf numFmtId="4" fontId="13" fillId="0" borderId="46" xfId="27" applyNumberFormat="1" applyFont="1" applyBorder="1" applyAlignment="1">
      <alignment horizontal="center" vertical="center"/>
    </xf>
    <xf numFmtId="0" fontId="12" fillId="0" borderId="47" xfId="0" applyFont="1" applyBorder="1" applyAlignment="1">
      <alignment vertical="center"/>
    </xf>
    <xf numFmtId="166" fontId="12" fillId="0" borderId="46" xfId="27" applyNumberFormat="1" applyFont="1" applyBorder="1" applyAlignment="1">
      <alignment horizontal="center" vertical="center" wrapText="1"/>
    </xf>
    <xf numFmtId="166" fontId="12" fillId="0" borderId="45" xfId="27" applyNumberFormat="1" applyFont="1" applyBorder="1" applyAlignment="1">
      <alignment horizontal="center" vertical="center" wrapText="1"/>
    </xf>
    <xf numFmtId="166" fontId="13" fillId="0" borderId="45" xfId="27" applyNumberFormat="1" applyFont="1" applyBorder="1" applyAlignment="1">
      <alignment horizontal="center" vertical="center" wrapText="1"/>
    </xf>
    <xf numFmtId="0" fontId="25" fillId="0" borderId="47" xfId="27" applyFont="1" applyBorder="1" applyAlignment="1">
      <alignment horizontal="left" vertical="center"/>
    </xf>
    <xf numFmtId="166" fontId="25" fillId="0" borderId="46" xfId="27" applyNumberFormat="1" applyFont="1" applyBorder="1" applyAlignment="1">
      <alignment horizontal="center" vertical="center" wrapText="1"/>
    </xf>
    <xf numFmtId="166" fontId="25" fillId="0" borderId="45" xfId="27" applyNumberFormat="1" applyFont="1" applyBorder="1" applyAlignment="1">
      <alignment horizontal="center" vertical="center" wrapText="1"/>
    </xf>
    <xf numFmtId="49" fontId="10" fillId="5" borderId="46" xfId="26" applyNumberFormat="1" applyFont="1" applyFill="1" applyBorder="1" applyAlignment="1">
      <alignment horizontal="center" vertical="center" wrapText="1"/>
    </xf>
    <xf numFmtId="0" fontId="12" fillId="0" borderId="45" xfId="26" applyFont="1" applyBorder="1" applyAlignment="1">
      <alignment horizontal="center" vertical="center" wrapText="1"/>
    </xf>
    <xf numFmtId="0" fontId="24" fillId="6" borderId="47" xfId="0" applyFont="1" applyFill="1" applyBorder="1" applyAlignment="1">
      <alignment vertical="center"/>
    </xf>
    <xf numFmtId="0" fontId="24" fillId="0" borderId="46" xfId="0" applyFont="1" applyBorder="1" applyAlignment="1">
      <alignment vertical="center"/>
    </xf>
    <xf numFmtId="0" fontId="12" fillId="0" borderId="47" xfId="27" applyFont="1" applyBorder="1" applyAlignment="1">
      <alignment horizontal="left" vertical="center"/>
    </xf>
    <xf numFmtId="4" fontId="12" fillId="0" borderId="46" xfId="27" applyNumberFormat="1" applyFont="1" applyBorder="1" applyAlignment="1">
      <alignment horizontal="center" vertical="center"/>
    </xf>
    <xf numFmtId="0" fontId="34" fillId="0" borderId="45" xfId="0" applyFont="1" applyBorder="1" applyAlignment="1">
      <alignment horizontal="center" vertical="center"/>
    </xf>
    <xf numFmtId="0" fontId="33" fillId="0" borderId="46" xfId="0" applyFont="1" applyBorder="1" applyAlignment="1">
      <alignment horizontal="center" vertical="center"/>
    </xf>
    <xf numFmtId="4" fontId="10" fillId="0" borderId="47" xfId="0" applyNumberFormat="1" applyFont="1" applyBorder="1" applyAlignment="1">
      <alignment horizontal="center" vertical="center" wrapText="1"/>
    </xf>
    <xf numFmtId="0" fontId="10" fillId="5" borderId="46" xfId="26" applyFont="1" applyFill="1" applyBorder="1" applyAlignment="1">
      <alignment vertical="center" wrapText="1"/>
    </xf>
    <xf numFmtId="0" fontId="12" fillId="5" borderId="46" xfId="26" applyFont="1" applyFill="1" applyBorder="1" applyAlignment="1">
      <alignment vertical="center" wrapText="1"/>
    </xf>
    <xf numFmtId="0" fontId="12" fillId="5" borderId="47" xfId="26" applyFont="1" applyFill="1" applyBorder="1" applyAlignment="1">
      <alignment vertical="center" wrapText="1"/>
    </xf>
    <xf numFmtId="0" fontId="10" fillId="4" borderId="46" xfId="0" applyFont="1" applyFill="1" applyBorder="1" applyAlignment="1">
      <alignment vertical="center" wrapText="1"/>
    </xf>
    <xf numFmtId="0" fontId="10" fillId="5" borderId="47" xfId="26" applyFont="1" applyFill="1" applyBorder="1" applyAlignment="1">
      <alignment vertical="center" wrapText="1"/>
    </xf>
    <xf numFmtId="4" fontId="10" fillId="0" borderId="47" xfId="26" applyNumberFormat="1" applyFont="1" applyBorder="1" applyAlignment="1">
      <alignment horizontal="center" vertical="center"/>
    </xf>
    <xf numFmtId="4" fontId="10" fillId="0" borderId="47" xfId="0" applyNumberFormat="1" applyFont="1" applyBorder="1" applyAlignment="1">
      <alignment horizontal="center" vertical="center"/>
    </xf>
    <xf numFmtId="4" fontId="13" fillId="0" borderId="47" xfId="26" applyNumberFormat="1" applyFont="1" applyBorder="1" applyAlignment="1">
      <alignment horizontal="center" vertical="center"/>
    </xf>
    <xf numFmtId="0" fontId="13" fillId="0" borderId="47" xfId="26" applyFont="1" applyBorder="1" applyAlignment="1">
      <alignment horizontal="center" vertical="center" wrapText="1"/>
    </xf>
    <xf numFmtId="4" fontId="13" fillId="0" borderId="47" xfId="0" applyNumberFormat="1" applyFont="1" applyBorder="1" applyAlignment="1">
      <alignment horizontal="center" vertical="center" wrapText="1"/>
    </xf>
    <xf numFmtId="0" fontId="12" fillId="4" borderId="46" xfId="0" applyFont="1" applyFill="1" applyBorder="1" applyAlignment="1">
      <alignment vertical="center" wrapText="1"/>
    </xf>
    <xf numFmtId="0" fontId="12" fillId="4" borderId="47" xfId="0" applyFont="1" applyFill="1" applyBorder="1" applyAlignment="1">
      <alignment vertical="center" wrapText="1"/>
    </xf>
    <xf numFmtId="4" fontId="10" fillId="0" borderId="47" xfId="27" applyNumberFormat="1" applyFont="1" applyBorder="1" applyAlignment="1">
      <alignment horizontal="center" vertical="center"/>
    </xf>
    <xf numFmtId="2" fontId="13" fillId="0" borderId="46" xfId="26" applyNumberFormat="1" applyFont="1" applyBorder="1" applyAlignment="1">
      <alignment horizontal="left" vertical="center" wrapText="1"/>
    </xf>
    <xf numFmtId="2" fontId="13" fillId="0" borderId="46" xfId="27" applyNumberFormat="1" applyFont="1" applyBorder="1" applyAlignment="1">
      <alignment horizontal="center" vertical="center" wrapText="1"/>
    </xf>
    <xf numFmtId="0" fontId="13" fillId="0" borderId="46" xfId="48" applyFont="1" applyBorder="1" applyAlignment="1">
      <alignment horizontal="center" vertical="center"/>
    </xf>
    <xf numFmtId="2" fontId="10" fillId="0" borderId="47" xfId="27" applyNumberFormat="1" applyFont="1" applyBorder="1" applyAlignment="1">
      <alignment horizontal="center" vertical="center"/>
    </xf>
    <xf numFmtId="2" fontId="13" fillId="0" borderId="46" xfId="26" applyNumberFormat="1" applyFont="1" applyBorder="1" applyAlignment="1">
      <alignment horizontal="center" vertical="center" wrapText="1"/>
    </xf>
    <xf numFmtId="2" fontId="10" fillId="0" borderId="47" xfId="26" applyNumberFormat="1" applyFont="1" applyBorder="1" applyAlignment="1">
      <alignment horizontal="center" vertical="center"/>
    </xf>
    <xf numFmtId="4" fontId="13" fillId="0" borderId="47" xfId="27" applyNumberFormat="1" applyFont="1" applyBorder="1" applyAlignment="1">
      <alignment horizontal="center" vertical="center"/>
    </xf>
    <xf numFmtId="4" fontId="13" fillId="0" borderId="40" xfId="27" applyNumberFormat="1" applyFont="1" applyBorder="1" applyAlignment="1">
      <alignment horizontal="center" vertical="center"/>
    </xf>
    <xf numFmtId="2" fontId="37" fillId="0" borderId="51" xfId="0" applyNumberFormat="1" applyFont="1" applyBorder="1" applyAlignment="1">
      <alignment vertical="center"/>
    </xf>
    <xf numFmtId="2" fontId="0" fillId="0" borderId="51" xfId="0" applyNumberFormat="1" applyBorder="1" applyAlignment="1">
      <alignment horizontal="center"/>
    </xf>
    <xf numFmtId="2" fontId="23" fillId="18" borderId="24" xfId="0" applyNumberFormat="1" applyFont="1" applyFill="1" applyBorder="1" applyAlignment="1">
      <alignment horizontal="center" vertical="center" wrapText="1"/>
    </xf>
    <xf numFmtId="2" fontId="29" fillId="0" borderId="45" xfId="0" applyNumberFormat="1" applyFont="1" applyBorder="1" applyAlignment="1">
      <alignment horizontal="left" vertical="center" wrapText="1"/>
    </xf>
    <xf numFmtId="2" fontId="29" fillId="0" borderId="46" xfId="0" applyNumberFormat="1" applyFont="1" applyBorder="1" applyAlignment="1">
      <alignment horizontal="center" vertical="center" wrapText="1"/>
    </xf>
    <xf numFmtId="2" fontId="29" fillId="0" borderId="47" xfId="0" applyNumberFormat="1" applyFont="1" applyBorder="1" applyAlignment="1">
      <alignment horizontal="center" vertical="center" wrapText="1"/>
    </xf>
    <xf numFmtId="2" fontId="30" fillId="0" borderId="47" xfId="0" applyNumberFormat="1" applyFont="1" applyBorder="1" applyAlignment="1">
      <alignment horizontal="center" vertical="center" wrapText="1"/>
    </xf>
    <xf numFmtId="2" fontId="29" fillId="0" borderId="39" xfId="0" applyNumberFormat="1" applyFont="1" applyBorder="1" applyAlignment="1">
      <alignment horizontal="center" vertical="center" wrapText="1"/>
    </xf>
    <xf numFmtId="2" fontId="30" fillId="0" borderId="40" xfId="0" applyNumberFormat="1" applyFont="1" applyBorder="1" applyAlignment="1">
      <alignment horizontal="center" vertical="center" wrapText="1"/>
    </xf>
    <xf numFmtId="169" fontId="30" fillId="0" borderId="39" xfId="0" applyNumberFormat="1" applyFont="1" applyBorder="1" applyAlignment="1">
      <alignment horizontal="center" vertical="center" wrapText="1"/>
    </xf>
    <xf numFmtId="2" fontId="40" fillId="0" borderId="0" xfId="0" applyNumberFormat="1" applyFont="1" applyAlignment="1">
      <alignment horizontal="left" vertical="center"/>
    </xf>
    <xf numFmtId="2" fontId="29" fillId="19" borderId="27" xfId="0" applyNumberFormat="1" applyFont="1" applyFill="1" applyBorder="1" applyAlignment="1">
      <alignment horizontal="center" vertical="center" textRotation="90" wrapText="1"/>
    </xf>
    <xf numFmtId="2" fontId="29" fillId="19" borderId="11" xfId="0" applyNumberFormat="1" applyFont="1" applyFill="1" applyBorder="1" applyAlignment="1">
      <alignment horizontal="center" vertical="center" textRotation="90" wrapText="1"/>
    </xf>
    <xf numFmtId="2" fontId="29" fillId="19" borderId="4" xfId="0" applyNumberFormat="1" applyFont="1" applyFill="1" applyBorder="1" applyAlignment="1">
      <alignment horizontal="center" vertical="center" textRotation="90" wrapText="1"/>
    </xf>
    <xf numFmtId="2" fontId="29" fillId="19" borderId="17" xfId="0" applyNumberFormat="1" applyFont="1" applyFill="1" applyBorder="1" applyAlignment="1">
      <alignment horizontal="center" vertical="center" textRotation="90" wrapText="1"/>
    </xf>
    <xf numFmtId="2" fontId="5" fillId="8" borderId="38" xfId="2" applyNumberFormat="1" applyFont="1" applyFill="1" applyBorder="1" applyAlignment="1" applyProtection="1">
      <alignment horizontal="center" vertical="center" wrapText="1"/>
    </xf>
    <xf numFmtId="2" fontId="5" fillId="8" borderId="7" xfId="2" applyNumberFormat="1" applyFont="1" applyFill="1" applyBorder="1" applyAlignment="1" applyProtection="1">
      <alignment horizontal="center" vertical="center" wrapText="1"/>
    </xf>
    <xf numFmtId="2" fontId="5" fillId="8" borderId="9" xfId="2" applyNumberFormat="1" applyFont="1" applyFill="1" applyBorder="1" applyAlignment="1" applyProtection="1">
      <alignment horizontal="center" vertical="center" wrapText="1"/>
    </xf>
    <xf numFmtId="2" fontId="5" fillId="8" borderId="29" xfId="2" applyNumberFormat="1" applyFont="1" applyFill="1" applyBorder="1" applyAlignment="1" applyProtection="1">
      <alignment horizontal="center" vertical="center" wrapText="1"/>
    </xf>
    <xf numFmtId="2" fontId="5" fillId="8" borderId="45" xfId="2" applyNumberFormat="1" applyFont="1" applyFill="1" applyBorder="1" applyAlignment="1" applyProtection="1">
      <alignment horizontal="center" vertical="center" wrapText="1"/>
    </xf>
    <xf numFmtId="2" fontId="5" fillId="8" borderId="48" xfId="2" applyNumberFormat="1" applyFont="1" applyFill="1" applyBorder="1" applyAlignment="1" applyProtection="1">
      <alignment horizontal="center" vertical="center" wrapText="1"/>
    </xf>
    <xf numFmtId="2" fontId="5" fillId="8" borderId="47" xfId="2" applyNumberFormat="1" applyFont="1" applyFill="1" applyBorder="1" applyAlignment="1" applyProtection="1">
      <alignment horizontal="center" vertical="center" wrapText="1"/>
    </xf>
    <xf numFmtId="2" fontId="5" fillId="8" borderId="12" xfId="2" applyNumberFormat="1" applyFont="1" applyFill="1" applyBorder="1" applyAlignment="1" applyProtection="1">
      <alignment horizontal="center" vertical="center" wrapText="1"/>
    </xf>
    <xf numFmtId="2" fontId="5" fillId="8" borderId="5" xfId="2" applyNumberFormat="1" applyFont="1" applyFill="1" applyBorder="1" applyAlignment="1" applyProtection="1">
      <alignment horizontal="center" vertical="center" wrapText="1"/>
    </xf>
    <xf numFmtId="2" fontId="23" fillId="9" borderId="52" xfId="2" applyNumberFormat="1" applyFont="1" applyFill="1" applyBorder="1" applyAlignment="1" applyProtection="1">
      <alignment horizontal="center" vertical="center" wrapText="1"/>
    </xf>
    <xf numFmtId="2" fontId="23" fillId="9" borderId="6" xfId="2" applyNumberFormat="1" applyFont="1" applyFill="1" applyBorder="1" applyAlignment="1" applyProtection="1">
      <alignment horizontal="center" vertical="center" wrapText="1"/>
    </xf>
    <xf numFmtId="2" fontId="23" fillId="9" borderId="49" xfId="2" applyNumberFormat="1" applyFont="1" applyFill="1" applyBorder="1" applyAlignment="1" applyProtection="1">
      <alignment horizontal="center" vertical="center" wrapText="1"/>
    </xf>
    <xf numFmtId="2" fontId="29" fillId="0" borderId="40" xfId="0" applyNumberFormat="1" applyFont="1" applyBorder="1" applyAlignment="1">
      <alignment horizontal="center" vertical="center" wrapText="1"/>
    </xf>
    <xf numFmtId="2" fontId="43" fillId="0" borderId="46" xfId="38" applyNumberFormat="1" applyFont="1" applyBorder="1" applyAlignment="1">
      <alignment horizontal="center" vertical="center" wrapText="1"/>
    </xf>
    <xf numFmtId="2" fontId="43" fillId="0" borderId="41" xfId="38" applyNumberFormat="1" applyFont="1" applyBorder="1" applyAlignment="1">
      <alignment horizontal="left" vertical="center" wrapText="1"/>
    </xf>
    <xf numFmtId="2" fontId="43" fillId="0" borderId="36" xfId="38" applyNumberFormat="1" applyFont="1" applyBorder="1" applyAlignment="1">
      <alignment horizontal="center" vertical="center" wrapText="1"/>
    </xf>
    <xf numFmtId="2" fontId="43" fillId="0" borderId="52" xfId="38" applyNumberFormat="1" applyFont="1" applyBorder="1" applyAlignment="1">
      <alignment horizontal="center" vertical="center" wrapText="1"/>
    </xf>
    <xf numFmtId="169" fontId="30" fillId="0" borderId="11" xfId="0" applyNumberFormat="1" applyFont="1" applyBorder="1" applyAlignment="1">
      <alignment horizontal="center" vertical="center" wrapText="1"/>
    </xf>
    <xf numFmtId="2" fontId="29" fillId="0" borderId="0" xfId="0" applyNumberFormat="1" applyFont="1" applyAlignment="1">
      <alignment horizontal="center"/>
    </xf>
    <xf numFmtId="0" fontId="56" fillId="24" borderId="8" xfId="0" applyFont="1" applyFill="1" applyBorder="1"/>
    <xf numFmtId="170" fontId="41" fillId="0" borderId="0" xfId="0" applyNumberFormat="1" applyFont="1" applyAlignment="1">
      <alignment horizontal="left" vertical="center"/>
    </xf>
    <xf numFmtId="2" fontId="46" fillId="19" borderId="56" xfId="0" applyNumberFormat="1" applyFont="1" applyFill="1" applyBorder="1" applyAlignment="1">
      <alignment horizontal="center" vertical="center" wrapText="1"/>
    </xf>
    <xf numFmtId="2" fontId="50" fillId="21" borderId="19" xfId="0" applyNumberFormat="1" applyFont="1" applyFill="1" applyBorder="1" applyAlignment="1">
      <alignment horizontal="center" vertical="center" wrapText="1"/>
    </xf>
    <xf numFmtId="170" fontId="50" fillId="24" borderId="50" xfId="0" applyNumberFormat="1" applyFont="1" applyFill="1" applyBorder="1" applyAlignment="1">
      <alignment horizontal="center" vertical="center"/>
    </xf>
    <xf numFmtId="170" fontId="50" fillId="24" borderId="57" xfId="0" applyNumberFormat="1" applyFont="1" applyFill="1" applyBorder="1" applyAlignment="1">
      <alignment horizontal="center" vertical="center"/>
    </xf>
    <xf numFmtId="170" fontId="50" fillId="24" borderId="48" xfId="0" applyNumberFormat="1" applyFont="1" applyFill="1" applyBorder="1" applyAlignment="1">
      <alignment horizontal="center" vertical="center"/>
    </xf>
    <xf numFmtId="2" fontId="46" fillId="19" borderId="7" xfId="0" applyNumberFormat="1" applyFont="1" applyFill="1" applyBorder="1" applyAlignment="1">
      <alignment horizontal="center" vertical="center" wrapText="1"/>
    </xf>
    <xf numFmtId="2" fontId="46" fillId="19" borderId="38" xfId="0" applyNumberFormat="1" applyFont="1" applyFill="1" applyBorder="1" applyAlignment="1">
      <alignment horizontal="center" vertical="center" wrapText="1"/>
    </xf>
    <xf numFmtId="2" fontId="46" fillId="19" borderId="45" xfId="0" applyNumberFormat="1" applyFont="1" applyFill="1" applyBorder="1" applyAlignment="1">
      <alignment horizontal="center" vertical="center" wrapText="1"/>
    </xf>
    <xf numFmtId="2" fontId="46" fillId="19" borderId="6" xfId="0" applyNumberFormat="1" applyFont="1" applyFill="1" applyBorder="1" applyAlignment="1">
      <alignment horizontal="center" vertical="center" wrapText="1"/>
    </xf>
    <xf numFmtId="2" fontId="46" fillId="22" borderId="7" xfId="0" applyNumberFormat="1" applyFont="1" applyFill="1" applyBorder="1" applyAlignment="1">
      <alignment horizontal="center" vertical="center" wrapText="1"/>
    </xf>
    <xf numFmtId="2" fontId="46" fillId="22" borderId="39" xfId="0" applyNumberFormat="1" applyFont="1" applyFill="1" applyBorder="1" applyAlignment="1">
      <alignment horizontal="center" vertical="center" wrapText="1"/>
    </xf>
    <xf numFmtId="2" fontId="46" fillId="22" borderId="9" xfId="0" applyNumberFormat="1" applyFont="1" applyFill="1" applyBorder="1" applyAlignment="1">
      <alignment horizontal="center" vertical="center" wrapText="1"/>
    </xf>
    <xf numFmtId="2" fontId="46" fillId="21" borderId="8" xfId="0" applyNumberFormat="1" applyFont="1" applyFill="1" applyBorder="1" applyAlignment="1">
      <alignment horizontal="center" vertical="center" wrapText="1"/>
    </xf>
    <xf numFmtId="2" fontId="46" fillId="21" borderId="32" xfId="0" applyNumberFormat="1" applyFont="1" applyFill="1" applyBorder="1" applyAlignment="1">
      <alignment horizontal="center" vertical="center" wrapText="1"/>
    </xf>
    <xf numFmtId="170" fontId="50" fillId="24" borderId="58" xfId="0" applyNumberFormat="1" applyFont="1" applyFill="1" applyBorder="1" applyAlignment="1">
      <alignment horizontal="center" vertical="center"/>
    </xf>
    <xf numFmtId="170" fontId="50" fillId="24" borderId="59" xfId="0" applyNumberFormat="1" applyFont="1" applyFill="1" applyBorder="1" applyAlignment="1">
      <alignment horizontal="center" vertical="center"/>
    </xf>
    <xf numFmtId="2" fontId="46" fillId="19" borderId="60" xfId="0" applyNumberFormat="1" applyFont="1" applyFill="1" applyBorder="1" applyAlignment="1">
      <alignment horizontal="center" vertical="center" wrapText="1"/>
    </xf>
    <xf numFmtId="2" fontId="46" fillId="19" borderId="61" xfId="0" applyNumberFormat="1" applyFont="1" applyFill="1" applyBorder="1" applyAlignment="1">
      <alignment horizontal="center" vertical="center" wrapText="1"/>
    </xf>
    <xf numFmtId="2" fontId="46" fillId="22" borderId="61" xfId="0" applyNumberFormat="1" applyFont="1" applyFill="1" applyBorder="1" applyAlignment="1">
      <alignment horizontal="center" vertical="center" wrapText="1"/>
    </xf>
    <xf numFmtId="2" fontId="46" fillId="22" borderId="62" xfId="0" applyNumberFormat="1" applyFont="1" applyFill="1" applyBorder="1" applyAlignment="1">
      <alignment horizontal="center" vertical="center" wrapText="1"/>
    </xf>
    <xf numFmtId="2" fontId="46" fillId="22" borderId="49" xfId="0" applyNumberFormat="1" applyFont="1" applyFill="1" applyBorder="1" applyAlignment="1">
      <alignment horizontal="center" vertical="center" wrapText="1"/>
    </xf>
    <xf numFmtId="2" fontId="50" fillId="19" borderId="8" xfId="0" applyNumberFormat="1" applyFont="1" applyFill="1" applyBorder="1" applyAlignment="1">
      <alignment horizontal="center" vertical="center" wrapText="1"/>
    </xf>
    <xf numFmtId="2" fontId="46" fillId="22" borderId="55" xfId="0" applyNumberFormat="1" applyFont="1" applyFill="1" applyBorder="1" applyAlignment="1">
      <alignment horizontal="center" vertical="center" wrapText="1"/>
    </xf>
    <xf numFmtId="2" fontId="50" fillId="22" borderId="8" xfId="0" applyNumberFormat="1" applyFont="1" applyFill="1" applyBorder="1" applyAlignment="1">
      <alignment horizontal="center" vertical="center" wrapText="1"/>
    </xf>
    <xf numFmtId="2" fontId="46" fillId="19" borderId="54" xfId="0" applyNumberFormat="1" applyFont="1" applyFill="1" applyBorder="1" applyAlignment="1">
      <alignment horizontal="center" vertical="center" wrapText="1"/>
    </xf>
    <xf numFmtId="2" fontId="46" fillId="22" borderId="63" xfId="0" applyNumberFormat="1" applyFont="1" applyFill="1" applyBorder="1" applyAlignment="1">
      <alignment horizontal="center" vertical="center" wrapText="1"/>
    </xf>
    <xf numFmtId="2" fontId="46" fillId="19" borderId="64" xfId="0" applyNumberFormat="1" applyFont="1" applyFill="1" applyBorder="1" applyAlignment="1">
      <alignment horizontal="center" vertical="center" wrapText="1"/>
    </xf>
    <xf numFmtId="2" fontId="51" fillId="24" borderId="8" xfId="0" applyNumberFormat="1" applyFont="1" applyFill="1" applyBorder="1" applyAlignment="1">
      <alignment horizontal="center"/>
    </xf>
    <xf numFmtId="2" fontId="51" fillId="24" borderId="35" xfId="0" applyNumberFormat="1" applyFont="1" applyFill="1" applyBorder="1" applyAlignment="1">
      <alignment horizontal="center"/>
    </xf>
    <xf numFmtId="165" fontId="25" fillId="0" borderId="45" xfId="26" applyNumberFormat="1" applyFont="1" applyBorder="1" applyAlignment="1">
      <alignment horizontal="center" vertical="center" wrapText="1"/>
    </xf>
    <xf numFmtId="0" fontId="25" fillId="0" borderId="46" xfId="26" applyFont="1" applyBorder="1" applyAlignment="1">
      <alignment horizontal="center" vertical="center" wrapText="1"/>
    </xf>
    <xf numFmtId="165" fontId="25" fillId="0" borderId="45" xfId="0" applyNumberFormat="1" applyFont="1" applyBorder="1" applyAlignment="1">
      <alignment horizontal="center" vertical="center" wrapText="1"/>
    </xf>
    <xf numFmtId="165" fontId="25" fillId="0" borderId="46" xfId="0" applyNumberFormat="1" applyFont="1" applyBorder="1" applyAlignment="1">
      <alignment horizontal="center" vertical="center" wrapText="1"/>
    </xf>
    <xf numFmtId="165" fontId="12" fillId="0" borderId="45" xfId="26" applyNumberFormat="1" applyFont="1" applyBorder="1" applyAlignment="1">
      <alignment horizontal="center" vertical="center" wrapText="1"/>
    </xf>
    <xf numFmtId="0" fontId="25" fillId="0" borderId="46" xfId="27" applyFont="1" applyBorder="1" applyAlignment="1">
      <alignment horizontal="left" vertical="center" wrapText="1"/>
    </xf>
    <xf numFmtId="2" fontId="38" fillId="0" borderId="0" xfId="0" applyNumberFormat="1" applyFont="1" applyAlignment="1">
      <alignment horizontal="center"/>
    </xf>
    <xf numFmtId="4" fontId="10" fillId="0" borderId="7" xfId="26" applyNumberFormat="1" applyFont="1" applyBorder="1" applyAlignment="1">
      <alignment horizontal="left" vertical="center" wrapText="1"/>
    </xf>
    <xf numFmtId="4" fontId="10" fillId="0" borderId="7" xfId="0" applyNumberFormat="1" applyFont="1" applyBorder="1" applyAlignment="1">
      <alignment horizontal="center" vertical="center"/>
    </xf>
    <xf numFmtId="2" fontId="10" fillId="0" borderId="7" xfId="26" applyNumberFormat="1" applyFont="1" applyBorder="1" applyAlignment="1">
      <alignment horizontal="center" vertical="center" wrapText="1"/>
    </xf>
    <xf numFmtId="0" fontId="10" fillId="5" borderId="66" xfId="26" applyFont="1" applyFill="1" applyBorder="1" applyAlignment="1">
      <alignment vertical="center" wrapText="1"/>
    </xf>
    <xf numFmtId="0" fontId="10" fillId="5" borderId="67" xfId="26" applyFont="1" applyFill="1" applyBorder="1" applyAlignment="1">
      <alignment vertical="center" wrapText="1"/>
    </xf>
    <xf numFmtId="0" fontId="10" fillId="4" borderId="7" xfId="0" applyFont="1" applyFill="1" applyBorder="1" applyAlignment="1">
      <alignment horizontal="center" vertical="center" wrapText="1"/>
    </xf>
    <xf numFmtId="2" fontId="10" fillId="0" borderId="12" xfId="26" applyNumberFormat="1" applyFont="1" applyBorder="1" applyAlignment="1">
      <alignment horizontal="center" vertical="center" wrapText="1"/>
    </xf>
    <xf numFmtId="2" fontId="10" fillId="0" borderId="66" xfId="26" applyNumberFormat="1" applyFont="1" applyBorder="1" applyAlignment="1">
      <alignment horizontal="center" vertical="center" wrapText="1"/>
    </xf>
    <xf numFmtId="4" fontId="10" fillId="0" borderId="66" xfId="26" applyNumberFormat="1" applyFont="1" applyBorder="1" applyAlignment="1">
      <alignment horizontal="center" vertical="center"/>
    </xf>
    <xf numFmtId="4" fontId="10" fillId="0" borderId="66" xfId="0" applyNumberFormat="1" applyFont="1" applyBorder="1" applyAlignment="1">
      <alignment horizontal="center" vertical="center"/>
    </xf>
    <xf numFmtId="4" fontId="13" fillId="0" borderId="66" xfId="26" applyNumberFormat="1" applyFont="1" applyBorder="1" applyAlignment="1">
      <alignment horizontal="center" vertical="center"/>
    </xf>
    <xf numFmtId="0" fontId="13" fillId="0" borderId="66" xfId="26" applyFont="1" applyBorder="1" applyAlignment="1">
      <alignment horizontal="center" vertical="center" wrapText="1"/>
    </xf>
    <xf numFmtId="4" fontId="13" fillId="0" borderId="66" xfId="0" applyNumberFormat="1" applyFont="1" applyBorder="1" applyAlignment="1">
      <alignment horizontal="center" vertical="center" wrapText="1"/>
    </xf>
    <xf numFmtId="4" fontId="10" fillId="0" borderId="66" xfId="27" applyNumberFormat="1" applyFont="1" applyBorder="1" applyAlignment="1">
      <alignment horizontal="center" vertical="center"/>
    </xf>
    <xf numFmtId="2" fontId="10" fillId="0" borderId="66" xfId="27" applyNumberFormat="1" applyFont="1" applyBorder="1" applyAlignment="1">
      <alignment horizontal="center" vertical="center"/>
    </xf>
    <xf numFmtId="2" fontId="10" fillId="0" borderId="66" xfId="26" applyNumberFormat="1" applyFont="1" applyBorder="1" applyAlignment="1">
      <alignment horizontal="center" vertical="center"/>
    </xf>
    <xf numFmtId="4" fontId="13" fillId="0" borderId="66" xfId="27" applyNumberFormat="1" applyFont="1" applyBorder="1" applyAlignment="1">
      <alignment horizontal="center" vertical="center"/>
    </xf>
    <xf numFmtId="4" fontId="10" fillId="0" borderId="66" xfId="0" applyNumberFormat="1" applyFont="1" applyBorder="1" applyAlignment="1">
      <alignment horizontal="center" vertical="center" wrapText="1"/>
    </xf>
    <xf numFmtId="0" fontId="10" fillId="4" borderId="66" xfId="0" applyFont="1" applyFill="1" applyBorder="1" applyAlignment="1">
      <alignment vertical="center" wrapText="1"/>
    </xf>
    <xf numFmtId="0" fontId="10" fillId="4" borderId="67" xfId="0" applyFont="1" applyFill="1" applyBorder="1" applyAlignment="1">
      <alignment vertical="center" wrapText="1"/>
    </xf>
    <xf numFmtId="0" fontId="10" fillId="5" borderId="69" xfId="26" applyFont="1" applyFill="1" applyBorder="1" applyAlignment="1">
      <alignment vertical="center" wrapText="1"/>
    </xf>
    <xf numFmtId="0" fontId="10" fillId="4" borderId="69" xfId="0" applyFont="1" applyFill="1" applyBorder="1" applyAlignment="1">
      <alignment vertical="center" wrapText="1"/>
    </xf>
    <xf numFmtId="0" fontId="33" fillId="0" borderId="45" xfId="0" applyFont="1" applyBorder="1" applyAlignment="1">
      <alignment horizontal="center" vertical="center"/>
    </xf>
    <xf numFmtId="2" fontId="10" fillId="0" borderId="66" xfId="26" applyNumberFormat="1" applyFont="1" applyBorder="1" applyAlignment="1">
      <alignment horizontal="left" vertical="center" wrapText="1"/>
    </xf>
    <xf numFmtId="0" fontId="10" fillId="0" borderId="66" xfId="48" applyFont="1" applyBorder="1" applyAlignment="1">
      <alignment horizontal="center" vertical="center"/>
    </xf>
    <xf numFmtId="0" fontId="33" fillId="0" borderId="71" xfId="0" applyFont="1" applyBorder="1" applyAlignment="1">
      <alignment horizontal="center" vertical="center"/>
    </xf>
    <xf numFmtId="0" fontId="33" fillId="0" borderId="72" xfId="0" applyFont="1" applyBorder="1" applyAlignment="1">
      <alignment horizontal="center" vertical="center"/>
    </xf>
    <xf numFmtId="0" fontId="13" fillId="0" borderId="72" xfId="27" applyFont="1" applyBorder="1" applyAlignment="1">
      <alignment horizontal="left" vertical="center" wrapText="1"/>
    </xf>
    <xf numFmtId="0" fontId="13" fillId="0" borderId="72" xfId="27" applyFont="1" applyBorder="1" applyAlignment="1">
      <alignment horizontal="center" vertical="center" wrapText="1"/>
    </xf>
    <xf numFmtId="4" fontId="13" fillId="0" borderId="72" xfId="27" applyNumberFormat="1" applyFont="1" applyBorder="1" applyAlignment="1">
      <alignment horizontal="center" vertical="center"/>
    </xf>
    <xf numFmtId="4" fontId="13" fillId="0" borderId="73" xfId="27" applyNumberFormat="1" applyFont="1" applyBorder="1" applyAlignment="1">
      <alignment horizontal="center" vertical="center"/>
    </xf>
    <xf numFmtId="4" fontId="13" fillId="0" borderId="65" xfId="27" applyNumberFormat="1" applyFont="1" applyBorder="1" applyAlignment="1">
      <alignment horizontal="center" vertical="center"/>
    </xf>
    <xf numFmtId="0" fontId="14" fillId="0" borderId="72" xfId="0" applyFont="1" applyBorder="1" applyAlignment="1">
      <alignment vertical="center"/>
    </xf>
    <xf numFmtId="0" fontId="14" fillId="0" borderId="73" xfId="0" applyFont="1" applyBorder="1" applyAlignment="1">
      <alignment vertical="center"/>
    </xf>
    <xf numFmtId="0" fontId="14" fillId="0" borderId="70" xfId="0" applyFont="1" applyBorder="1" applyAlignment="1">
      <alignment vertical="center"/>
    </xf>
    <xf numFmtId="164" fontId="26" fillId="9" borderId="62" xfId="0" applyNumberFormat="1" applyFont="1" applyFill="1" applyBorder="1" applyAlignment="1">
      <alignment vertical="center"/>
    </xf>
    <xf numFmtId="164" fontId="26" fillId="9" borderId="73" xfId="0" applyNumberFormat="1" applyFont="1" applyFill="1" applyBorder="1" applyAlignment="1">
      <alignment vertical="center"/>
    </xf>
    <xf numFmtId="0" fontId="10" fillId="0" borderId="38" xfId="26" applyFont="1" applyBorder="1" applyAlignment="1">
      <alignment horizontal="center" vertical="center" wrapText="1"/>
    </xf>
    <xf numFmtId="165" fontId="10" fillId="0" borderId="7" xfId="26" applyNumberFormat="1" applyFont="1" applyBorder="1" applyAlignment="1">
      <alignment horizontal="center" vertical="center" wrapText="1"/>
    </xf>
    <xf numFmtId="0" fontId="10" fillId="0" borderId="7" xfId="26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3" fillId="0" borderId="46" xfId="0" applyFont="1" applyBorder="1" applyAlignment="1">
      <alignment vertical="center"/>
    </xf>
    <xf numFmtId="0" fontId="29" fillId="0" borderId="47" xfId="0" applyFont="1" applyBorder="1" applyAlignment="1">
      <alignment vertical="center"/>
    </xf>
    <xf numFmtId="0" fontId="13" fillId="0" borderId="46" xfId="27" applyFont="1" applyBorder="1" applyAlignment="1">
      <alignment horizontal="left" vertical="center"/>
    </xf>
    <xf numFmtId="0" fontId="13" fillId="6" borderId="47" xfId="27" applyFont="1" applyFill="1" applyBorder="1" applyAlignment="1">
      <alignment horizontal="left" vertical="center"/>
    </xf>
    <xf numFmtId="0" fontId="10" fillId="0" borderId="46" xfId="0" applyFont="1" applyBorder="1" applyAlignment="1">
      <alignment vertical="center"/>
    </xf>
    <xf numFmtId="167" fontId="13" fillId="0" borderId="46" xfId="0" applyNumberFormat="1" applyFont="1" applyBorder="1" applyAlignment="1">
      <alignment horizontal="center" vertical="center"/>
    </xf>
    <xf numFmtId="0" fontId="10" fillId="0" borderId="46" xfId="27" applyFont="1" applyBorder="1" applyAlignment="1">
      <alignment horizontal="left" vertical="center"/>
    </xf>
    <xf numFmtId="0" fontId="10" fillId="0" borderId="68" xfId="27" applyFont="1" applyBorder="1" applyAlignment="1">
      <alignment horizontal="left" vertical="center"/>
    </xf>
    <xf numFmtId="0" fontId="13" fillId="0" borderId="68" xfId="27" applyFont="1" applyBorder="1" applyAlignment="1">
      <alignment horizontal="left"/>
    </xf>
    <xf numFmtId="2" fontId="23" fillId="18" borderId="20" xfId="0" applyNumberFormat="1" applyFont="1" applyFill="1" applyBorder="1" applyAlignment="1">
      <alignment horizontal="center" vertical="center" wrapText="1"/>
    </xf>
    <xf numFmtId="2" fontId="23" fillId="18" borderId="74" xfId="0" applyNumberFormat="1" applyFont="1" applyFill="1" applyBorder="1" applyAlignment="1">
      <alignment horizontal="center" vertical="center" wrapText="1"/>
    </xf>
    <xf numFmtId="2" fontId="23" fillId="18" borderId="21" xfId="0" applyNumberFormat="1" applyFont="1" applyFill="1" applyBorder="1" applyAlignment="1">
      <alignment horizontal="center" vertical="center" wrapText="1"/>
    </xf>
    <xf numFmtId="2" fontId="43" fillId="0" borderId="45" xfId="38" applyNumberFormat="1" applyFont="1" applyBorder="1" applyAlignment="1">
      <alignment horizontal="left" vertical="center" wrapText="1"/>
    </xf>
    <xf numFmtId="2" fontId="43" fillId="0" borderId="47" xfId="38" applyNumberFormat="1" applyFont="1" applyBorder="1" applyAlignment="1">
      <alignment horizontal="center" vertical="center" wrapText="1"/>
    </xf>
    <xf numFmtId="2" fontId="43" fillId="0" borderId="71" xfId="38" applyNumberFormat="1" applyFont="1" applyBorder="1" applyAlignment="1">
      <alignment horizontal="left" vertical="center" wrapText="1"/>
    </xf>
    <xf numFmtId="2" fontId="43" fillId="0" borderId="72" xfId="38" applyNumberFormat="1" applyFont="1" applyBorder="1" applyAlignment="1">
      <alignment horizontal="center" vertical="center" wrapText="1"/>
    </xf>
    <xf numFmtId="2" fontId="43" fillId="0" borderId="73" xfId="38" applyNumberFormat="1" applyFont="1" applyBorder="1" applyAlignment="1">
      <alignment horizontal="center" vertical="center" wrapText="1"/>
    </xf>
    <xf numFmtId="2" fontId="46" fillId="19" borderId="68" xfId="0" applyNumberFormat="1" applyFont="1" applyFill="1" applyBorder="1" applyAlignment="1">
      <alignment horizontal="center" vertical="center" wrapText="1"/>
    </xf>
    <xf numFmtId="2" fontId="46" fillId="22" borderId="46" xfId="0" applyNumberFormat="1" applyFont="1" applyFill="1" applyBorder="1" applyAlignment="1">
      <alignment horizontal="center" vertical="center" wrapText="1"/>
    </xf>
    <xf numFmtId="2" fontId="46" fillId="19" borderId="46" xfId="0" applyNumberFormat="1" applyFont="1" applyFill="1" applyBorder="1" applyAlignment="1">
      <alignment horizontal="center" vertical="center" wrapText="1"/>
    </xf>
    <xf numFmtId="2" fontId="46" fillId="19" borderId="72" xfId="0" applyNumberFormat="1" applyFont="1" applyFill="1" applyBorder="1" applyAlignment="1">
      <alignment horizontal="center" vertical="center" wrapText="1"/>
    </xf>
    <xf numFmtId="2" fontId="46" fillId="22" borderId="66" xfId="0" applyNumberFormat="1" applyFont="1" applyFill="1" applyBorder="1" applyAlignment="1">
      <alignment horizontal="center" vertical="center" wrapText="1"/>
    </xf>
    <xf numFmtId="2" fontId="50" fillId="19" borderId="46" xfId="0" applyNumberFormat="1" applyFont="1" applyFill="1" applyBorder="1" applyAlignment="1">
      <alignment horizontal="center" vertical="center" wrapText="1"/>
    </xf>
    <xf numFmtId="2" fontId="50" fillId="22" borderId="47" xfId="0" applyNumberFormat="1" applyFont="1" applyFill="1" applyBorder="1" applyAlignment="1">
      <alignment horizontal="center" vertical="center" wrapText="1"/>
    </xf>
    <xf numFmtId="0" fontId="50" fillId="19" borderId="74" xfId="0" applyFont="1" applyFill="1" applyBorder="1" applyAlignment="1">
      <alignment horizontal="center" vertical="center" wrapText="1"/>
    </xf>
    <xf numFmtId="0" fontId="50" fillId="22" borderId="21" xfId="0" applyFont="1" applyFill="1" applyBorder="1" applyAlignment="1">
      <alignment horizontal="center" vertical="center" wrapText="1"/>
    </xf>
    <xf numFmtId="2" fontId="13" fillId="0" borderId="66" xfId="26" applyNumberFormat="1" applyFont="1" applyBorder="1" applyAlignment="1">
      <alignment horizontal="left" vertical="center" wrapText="1"/>
    </xf>
    <xf numFmtId="2" fontId="13" fillId="0" borderId="66" xfId="26" applyNumberFormat="1" applyFont="1" applyBorder="1" applyAlignment="1">
      <alignment horizontal="center" vertical="center" wrapText="1"/>
    </xf>
    <xf numFmtId="0" fontId="13" fillId="0" borderId="66" xfId="48" applyFont="1" applyBorder="1" applyAlignment="1">
      <alignment horizontal="center" vertical="center"/>
    </xf>
    <xf numFmtId="0" fontId="57" fillId="0" borderId="0" xfId="0" applyFont="1" applyAlignment="1">
      <alignment horizontal="center" vertical="center"/>
    </xf>
    <xf numFmtId="0" fontId="58" fillId="0" borderId="0" xfId="0" applyFont="1"/>
    <xf numFmtId="0" fontId="43" fillId="0" borderId="46" xfId="0" applyFont="1" applyBorder="1" applyAlignment="1">
      <alignment horizontal="center" vertical="center" wrapText="1"/>
    </xf>
    <xf numFmtId="0" fontId="61" fillId="26" borderId="68" xfId="0" applyFont="1" applyFill="1" applyBorder="1" applyAlignment="1">
      <alignment horizontal="center" vertical="center" wrapText="1"/>
    </xf>
    <xf numFmtId="0" fontId="61" fillId="26" borderId="45" xfId="0" applyFont="1" applyFill="1" applyBorder="1" applyAlignment="1">
      <alignment horizontal="center" vertical="center" wrapText="1"/>
    </xf>
    <xf numFmtId="0" fontId="61" fillId="26" borderId="47" xfId="0" applyFont="1" applyFill="1" applyBorder="1" applyAlignment="1">
      <alignment horizontal="center" vertical="center" wrapText="1"/>
    </xf>
    <xf numFmtId="0" fontId="43" fillId="0" borderId="45" xfId="0" applyFont="1" applyBorder="1" applyAlignment="1">
      <alignment horizontal="center" vertical="center"/>
    </xf>
    <xf numFmtId="0" fontId="60" fillId="0" borderId="47" xfId="0" applyFont="1" applyBorder="1" applyAlignment="1">
      <alignment horizontal="center" vertical="center"/>
    </xf>
    <xf numFmtId="167" fontId="60" fillId="0" borderId="47" xfId="0" applyNumberFormat="1" applyFont="1" applyBorder="1" applyAlignment="1">
      <alignment horizontal="center" vertical="center"/>
    </xf>
    <xf numFmtId="0" fontId="43" fillId="0" borderId="6" xfId="0" applyFont="1" applyBorder="1" applyAlignment="1">
      <alignment horizontal="center" vertical="center"/>
    </xf>
    <xf numFmtId="0" fontId="43" fillId="0" borderId="39" xfId="0" applyFont="1" applyBorder="1" applyAlignment="1">
      <alignment horizontal="center" vertical="center" wrapText="1"/>
    </xf>
    <xf numFmtId="167" fontId="60" fillId="0" borderId="40" xfId="0" applyNumberFormat="1" applyFont="1" applyBorder="1" applyAlignment="1">
      <alignment horizontal="center" vertical="center"/>
    </xf>
    <xf numFmtId="0" fontId="10" fillId="0" borderId="7" xfId="27" applyFont="1" applyBorder="1" applyAlignment="1">
      <alignment horizontal="left" vertical="center" wrapText="1"/>
    </xf>
    <xf numFmtId="0" fontId="10" fillId="0" borderId="7" xfId="27" applyFont="1" applyBorder="1" applyAlignment="1">
      <alignment horizontal="center" vertical="center" wrapText="1"/>
    </xf>
    <xf numFmtId="4" fontId="10" fillId="0" borderId="7" xfId="27" applyNumberFormat="1" applyFont="1" applyBorder="1" applyAlignment="1">
      <alignment horizontal="center" vertical="center"/>
    </xf>
    <xf numFmtId="0" fontId="26" fillId="14" borderId="53" xfId="26" applyFont="1" applyFill="1" applyBorder="1" applyAlignment="1">
      <alignment horizontal="right" vertical="center" wrapText="1"/>
    </xf>
    <xf numFmtId="164" fontId="26" fillId="14" borderId="55" xfId="1" applyFont="1" applyFill="1" applyBorder="1" applyAlignment="1" applyProtection="1">
      <alignment horizontal="center" vertical="center" wrapText="1"/>
    </xf>
    <xf numFmtId="0" fontId="10" fillId="5" borderId="68" xfId="26" applyFont="1" applyFill="1" applyBorder="1" applyAlignment="1">
      <alignment vertical="center" wrapText="1"/>
    </xf>
    <xf numFmtId="0" fontId="10" fillId="4" borderId="68" xfId="0" applyFont="1" applyFill="1" applyBorder="1" applyAlignment="1">
      <alignment vertical="center" wrapText="1"/>
    </xf>
    <xf numFmtId="4" fontId="13" fillId="0" borderId="52" xfId="27" applyNumberFormat="1" applyFont="1" applyBorder="1" applyAlignment="1">
      <alignment horizontal="center" vertical="center"/>
    </xf>
    <xf numFmtId="165" fontId="11" fillId="3" borderId="7" xfId="26" applyNumberFormat="1" applyFont="1" applyFill="1" applyBorder="1" applyAlignment="1">
      <alignment horizontal="center" vertical="center" wrapText="1"/>
    </xf>
    <xf numFmtId="164" fontId="26" fillId="14" borderId="77" xfId="1" applyFont="1" applyFill="1" applyBorder="1" applyAlignment="1" applyProtection="1">
      <alignment horizontal="center" vertical="center" wrapText="1"/>
    </xf>
    <xf numFmtId="0" fontId="10" fillId="0" borderId="65" xfId="61" applyFont="1" applyBorder="1" applyAlignment="1">
      <alignment vertical="center" wrapText="1"/>
    </xf>
    <xf numFmtId="4" fontId="10" fillId="0" borderId="68" xfId="27" applyNumberFormat="1" applyFont="1" applyBorder="1" applyAlignment="1">
      <alignment horizontal="center" vertical="center"/>
    </xf>
    <xf numFmtId="0" fontId="16" fillId="0" borderId="46" xfId="25" applyFont="1" applyBorder="1" applyAlignment="1">
      <alignment horizontal="center" vertical="center"/>
    </xf>
    <xf numFmtId="4" fontId="16" fillId="0" borderId="46" xfId="25" applyNumberFormat="1" applyFont="1" applyBorder="1" applyAlignment="1">
      <alignment horizontal="center" vertical="center"/>
    </xf>
    <xf numFmtId="4" fontId="13" fillId="0" borderId="46" xfId="26" applyNumberFormat="1" applyFont="1" applyBorder="1" applyAlignment="1">
      <alignment horizontal="left" vertical="center" wrapText="1"/>
    </xf>
    <xf numFmtId="165" fontId="11" fillId="3" borderId="50" xfId="26" applyNumberFormat="1" applyFont="1" applyFill="1" applyBorder="1" applyAlignment="1">
      <alignment horizontal="center" vertical="center" wrapText="1"/>
    </xf>
    <xf numFmtId="0" fontId="10" fillId="4" borderId="46" xfId="0" applyFont="1" applyFill="1" applyBorder="1" applyAlignment="1">
      <alignment horizontal="left" vertical="center" wrapText="1"/>
    </xf>
    <xf numFmtId="0" fontId="10" fillId="4" borderId="47" xfId="0" applyFont="1" applyFill="1" applyBorder="1" applyAlignment="1">
      <alignment horizontal="left" vertical="center" wrapText="1"/>
    </xf>
    <xf numFmtId="0" fontId="10" fillId="5" borderId="47" xfId="26" applyFont="1" applyFill="1" applyBorder="1" applyAlignment="1">
      <alignment horizontal="left" vertical="center" wrapText="1"/>
    </xf>
    <xf numFmtId="0" fontId="12" fillId="0" borderId="71" xfId="48" applyFont="1" applyBorder="1" applyAlignment="1">
      <alignment horizontal="center" vertical="center"/>
    </xf>
    <xf numFmtId="0" fontId="12" fillId="0" borderId="53" xfId="48" applyFont="1" applyBorder="1" applyAlignment="1">
      <alignment horizontal="center" vertical="center"/>
    </xf>
    <xf numFmtId="0" fontId="12" fillId="0" borderId="38" xfId="48" applyFont="1" applyBorder="1" applyAlignment="1">
      <alignment horizontal="center" vertical="center"/>
    </xf>
    <xf numFmtId="49" fontId="12" fillId="0" borderId="72" xfId="26" applyNumberFormat="1" applyFont="1" applyBorder="1" applyAlignment="1">
      <alignment horizontal="center" vertical="center" wrapText="1"/>
    </xf>
    <xf numFmtId="49" fontId="12" fillId="0" borderId="54" xfId="26" applyNumberFormat="1" applyFont="1" applyBorder="1" applyAlignment="1">
      <alignment horizontal="center" vertical="center" wrapText="1"/>
    </xf>
    <xf numFmtId="49" fontId="12" fillId="0" borderId="7" xfId="26" applyNumberFormat="1" applyFont="1" applyBorder="1" applyAlignment="1">
      <alignment horizontal="center" vertical="center" wrapText="1"/>
    </xf>
    <xf numFmtId="0" fontId="9" fillId="3" borderId="58" xfId="0" applyFont="1" applyFill="1" applyBorder="1" applyAlignment="1">
      <alignment horizontal="center" vertical="center" wrapText="1"/>
    </xf>
    <xf numFmtId="0" fontId="26" fillId="9" borderId="50" xfId="0" applyFont="1" applyFill="1" applyBorder="1" applyAlignment="1">
      <alignment horizontal="center" vertical="center" wrapText="1"/>
    </xf>
    <xf numFmtId="165" fontId="11" fillId="3" borderId="47" xfId="26" applyNumberFormat="1" applyFont="1" applyFill="1" applyBorder="1" applyAlignment="1">
      <alignment horizontal="center" vertical="center" wrapText="1"/>
    </xf>
    <xf numFmtId="0" fontId="10" fillId="4" borderId="69" xfId="0" applyFont="1" applyFill="1" applyBorder="1" applyAlignment="1">
      <alignment horizontal="left" vertical="center" wrapText="1"/>
    </xf>
    <xf numFmtId="0" fontId="15" fillId="0" borderId="0" xfId="20" applyFont="1" applyAlignment="1">
      <alignment horizontal="center" vertical="top" wrapText="1"/>
    </xf>
    <xf numFmtId="0" fontId="15" fillId="0" borderId="1" xfId="25" applyFont="1" applyBorder="1" applyAlignment="1">
      <alignment horizontal="right" vertical="center"/>
    </xf>
    <xf numFmtId="49" fontId="15" fillId="2" borderId="1" xfId="25" applyNumberFormat="1" applyFont="1" applyFill="1" applyBorder="1" applyAlignment="1">
      <alignment horizontal="left" vertical="center" wrapText="1"/>
    </xf>
    <xf numFmtId="2" fontId="16" fillId="0" borderId="1" xfId="25" applyNumberFormat="1" applyFont="1" applyBorder="1" applyAlignment="1">
      <alignment horizontal="left" vertical="center" wrapText="1"/>
    </xf>
    <xf numFmtId="0" fontId="16" fillId="0" borderId="1" xfId="25" applyFont="1" applyBorder="1" applyAlignment="1">
      <alignment horizontal="left" vertical="center" wrapText="1"/>
    </xf>
    <xf numFmtId="0" fontId="9" fillId="10" borderId="15" xfId="20" applyFont="1" applyFill="1" applyBorder="1" applyAlignment="1">
      <alignment horizontal="center" vertical="center" wrapText="1"/>
    </xf>
    <xf numFmtId="0" fontId="19" fillId="11" borderId="8" xfId="25" applyFont="1" applyFill="1" applyBorder="1" applyAlignment="1">
      <alignment horizontal="center" vertical="center" wrapText="1"/>
    </xf>
    <xf numFmtId="0" fontId="19" fillId="0" borderId="0" xfId="20" applyFont="1" applyAlignment="1">
      <alignment horizontal="center" vertical="center" wrapText="1"/>
    </xf>
    <xf numFmtId="0" fontId="15" fillId="12" borderId="1" xfId="25" applyFont="1" applyFill="1" applyBorder="1" applyAlignment="1">
      <alignment horizontal="right" vertical="center"/>
    </xf>
    <xf numFmtId="0" fontId="15" fillId="11" borderId="1" xfId="25" applyFont="1" applyFill="1" applyBorder="1" applyAlignment="1">
      <alignment horizontal="center" vertical="center"/>
    </xf>
    <xf numFmtId="49" fontId="15" fillId="2" borderId="1" xfId="25" applyNumberFormat="1" applyFont="1" applyFill="1" applyBorder="1" applyAlignment="1">
      <alignment horizontal="center" vertical="center" wrapText="1"/>
    </xf>
    <xf numFmtId="49" fontId="16" fillId="0" borderId="1" xfId="25" applyNumberFormat="1" applyFont="1" applyBorder="1" applyAlignment="1">
      <alignment horizontal="left" vertical="center" wrapText="1"/>
    </xf>
    <xf numFmtId="0" fontId="26" fillId="14" borderId="45" xfId="26" applyFont="1" applyFill="1" applyBorder="1" applyAlignment="1">
      <alignment horizontal="right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35" xfId="0" applyFont="1" applyFill="1" applyBorder="1" applyAlignment="1">
      <alignment horizontal="center" vertical="center" wrapText="1"/>
    </xf>
    <xf numFmtId="0" fontId="9" fillId="3" borderId="34" xfId="0" applyFont="1" applyFill="1" applyBorder="1" applyAlignment="1">
      <alignment horizontal="center" vertical="center" wrapText="1"/>
    </xf>
    <xf numFmtId="0" fontId="26" fillId="9" borderId="15" xfId="0" applyFont="1" applyFill="1" applyBorder="1" applyAlignment="1">
      <alignment horizontal="center" vertical="center" wrapText="1"/>
    </xf>
    <xf numFmtId="0" fontId="26" fillId="9" borderId="35" xfId="0" applyFont="1" applyFill="1" applyBorder="1" applyAlignment="1">
      <alignment horizontal="center" vertical="center" wrapText="1"/>
    </xf>
    <xf numFmtId="0" fontId="26" fillId="9" borderId="34" xfId="0" applyFont="1" applyFill="1" applyBorder="1" applyAlignment="1">
      <alignment horizontal="center" vertical="center" wrapText="1"/>
    </xf>
    <xf numFmtId="165" fontId="11" fillId="3" borderId="66" xfId="26" applyNumberFormat="1" applyFont="1" applyFill="1" applyBorder="1" applyAlignment="1">
      <alignment horizontal="center" vertical="center" wrapText="1"/>
    </xf>
    <xf numFmtId="165" fontId="11" fillId="3" borderId="67" xfId="26" applyNumberFormat="1" applyFont="1" applyFill="1" applyBorder="1" applyAlignment="1">
      <alignment horizontal="center" vertical="center" wrapText="1"/>
    </xf>
    <xf numFmtId="165" fontId="11" fillId="3" borderId="69" xfId="26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0" fillId="4" borderId="0" xfId="0" applyFont="1" applyFill="1" applyAlignment="1">
      <alignment horizontal="left" vertical="center" wrapText="1"/>
    </xf>
    <xf numFmtId="0" fontId="10" fillId="4" borderId="70" xfId="0" applyFont="1" applyFill="1" applyBorder="1" applyAlignment="1">
      <alignment horizontal="left" vertical="center" wrapText="1"/>
    </xf>
    <xf numFmtId="164" fontId="26" fillId="13" borderId="45" xfId="1" applyFont="1" applyFill="1" applyBorder="1" applyAlignment="1" applyProtection="1">
      <alignment horizontal="right" vertical="center" wrapText="1"/>
    </xf>
    <xf numFmtId="165" fontId="11" fillId="3" borderId="48" xfId="26" applyNumberFormat="1" applyFont="1" applyFill="1" applyBorder="1" applyAlignment="1">
      <alignment horizontal="center" vertical="center" wrapText="1"/>
    </xf>
    <xf numFmtId="0" fontId="26" fillId="9" borderId="60" xfId="0" applyFont="1" applyFill="1" applyBorder="1" applyAlignment="1">
      <alignment horizontal="right" vertical="center"/>
    </xf>
    <xf numFmtId="0" fontId="26" fillId="9" borderId="71" xfId="0" applyFont="1" applyFill="1" applyBorder="1" applyAlignment="1">
      <alignment horizontal="right" vertical="center"/>
    </xf>
    <xf numFmtId="0" fontId="26" fillId="9" borderId="20" xfId="0" applyFont="1" applyFill="1" applyBorder="1" applyAlignment="1">
      <alignment horizontal="right" vertical="center"/>
    </xf>
    <xf numFmtId="0" fontId="26" fillId="9" borderId="8" xfId="0" applyFont="1" applyFill="1" applyBorder="1" applyAlignment="1">
      <alignment horizontal="right" vertical="center"/>
    </xf>
    <xf numFmtId="0" fontId="10" fillId="5" borderId="12" xfId="26" applyFont="1" applyFill="1" applyBorder="1" applyAlignment="1">
      <alignment horizontal="left" vertical="center" wrapText="1"/>
    </xf>
    <xf numFmtId="0" fontId="10" fillId="5" borderId="13" xfId="26" applyFont="1" applyFill="1" applyBorder="1" applyAlignment="1">
      <alignment horizontal="left" vertical="center" wrapText="1"/>
    </xf>
    <xf numFmtId="0" fontId="10" fillId="5" borderId="30" xfId="26" applyFont="1" applyFill="1" applyBorder="1" applyAlignment="1">
      <alignment horizontal="left" vertical="center" wrapText="1"/>
    </xf>
    <xf numFmtId="0" fontId="26" fillId="14" borderId="20" xfId="26" applyFont="1" applyFill="1" applyBorder="1" applyAlignment="1">
      <alignment horizontal="right" vertical="center" wrapText="1"/>
    </xf>
    <xf numFmtId="165" fontId="11" fillId="3" borderId="7" xfId="26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2" fontId="23" fillId="8" borderId="15" xfId="0" applyNumberFormat="1" applyFont="1" applyFill="1" applyBorder="1" applyAlignment="1">
      <alignment horizontal="left" vertical="center" wrapText="1"/>
    </xf>
    <xf numFmtId="2" fontId="23" fillId="8" borderId="35" xfId="0" applyNumberFormat="1" applyFont="1" applyFill="1" applyBorder="1" applyAlignment="1">
      <alignment horizontal="left" vertical="center" wrapText="1"/>
    </xf>
    <xf numFmtId="2" fontId="23" fillId="8" borderId="34" xfId="0" applyNumberFormat="1" applyFont="1" applyFill="1" applyBorder="1" applyAlignment="1">
      <alignment horizontal="left" vertical="center" wrapText="1"/>
    </xf>
    <xf numFmtId="2" fontId="23" fillId="8" borderId="42" xfId="0" applyNumberFormat="1" applyFont="1" applyFill="1" applyBorder="1" applyAlignment="1">
      <alignment horizontal="center" vertical="center" wrapText="1"/>
    </xf>
    <xf numFmtId="2" fontId="23" fillId="8" borderId="44" xfId="0" applyNumberFormat="1" applyFont="1" applyFill="1" applyBorder="1" applyAlignment="1">
      <alignment horizontal="center" vertical="center" wrapText="1"/>
    </xf>
    <xf numFmtId="2" fontId="23" fillId="8" borderId="43" xfId="0" applyNumberFormat="1" applyFont="1" applyFill="1" applyBorder="1" applyAlignment="1">
      <alignment horizontal="center" vertical="center" wrapText="1"/>
    </xf>
    <xf numFmtId="2" fontId="29" fillId="18" borderId="28" xfId="0" applyNumberFormat="1" applyFont="1" applyFill="1" applyBorder="1" applyAlignment="1">
      <alignment horizontal="center" vertical="center" textRotation="90" wrapText="1"/>
    </xf>
    <xf numFmtId="2" fontId="29" fillId="18" borderId="53" xfId="0" applyNumberFormat="1" applyFont="1" applyFill="1" applyBorder="1" applyAlignment="1">
      <alignment horizontal="center" vertical="center" textRotation="90" wrapText="1"/>
    </xf>
    <xf numFmtId="2" fontId="29" fillId="18" borderId="25" xfId="0" applyNumberFormat="1" applyFont="1" applyFill="1" applyBorder="1" applyAlignment="1">
      <alignment horizontal="center" vertical="center" textRotation="90" wrapText="1"/>
    </xf>
    <xf numFmtId="2" fontId="29" fillId="18" borderId="54" xfId="0" applyNumberFormat="1" applyFont="1" applyFill="1" applyBorder="1" applyAlignment="1">
      <alignment horizontal="center" vertical="center" textRotation="90" wrapText="1"/>
    </xf>
    <xf numFmtId="2" fontId="29" fillId="18" borderId="26" xfId="0" applyNumberFormat="1" applyFont="1" applyFill="1" applyBorder="1" applyAlignment="1">
      <alignment horizontal="center" vertical="center" textRotation="90" wrapText="1"/>
    </xf>
    <xf numFmtId="2" fontId="29" fillId="18" borderId="55" xfId="0" applyNumberFormat="1" applyFont="1" applyFill="1" applyBorder="1" applyAlignment="1">
      <alignment horizontal="center" vertical="center" textRotation="90" wrapText="1"/>
    </xf>
    <xf numFmtId="2" fontId="23" fillId="18" borderId="50" xfId="0" applyNumberFormat="1" applyFont="1" applyFill="1" applyBorder="1" applyAlignment="1">
      <alignment horizontal="left" vertical="center" wrapText="1"/>
    </xf>
    <xf numFmtId="2" fontId="37" fillId="0" borderId="51" xfId="0" applyNumberFormat="1" applyFont="1" applyBorder="1" applyAlignment="1">
      <alignment horizontal="left" vertical="center"/>
    </xf>
    <xf numFmtId="2" fontId="23" fillId="18" borderId="33" xfId="0" applyNumberFormat="1" applyFont="1" applyFill="1" applyBorder="1" applyAlignment="1">
      <alignment horizontal="left" vertical="center" wrapText="1"/>
    </xf>
    <xf numFmtId="0" fontId="51" fillId="21" borderId="8" xfId="0" applyFont="1" applyFill="1" applyBorder="1" applyAlignment="1">
      <alignment horizontal="center"/>
    </xf>
    <xf numFmtId="0" fontId="51" fillId="21" borderId="8" xfId="0" applyFont="1" applyFill="1" applyBorder="1" applyAlignment="1">
      <alignment horizontal="center" wrapText="1"/>
    </xf>
    <xf numFmtId="0" fontId="51" fillId="21" borderId="3" xfId="0" applyFont="1" applyFill="1" applyBorder="1" applyAlignment="1">
      <alignment horizontal="center"/>
    </xf>
    <xf numFmtId="0" fontId="17" fillId="28" borderId="59" xfId="0" applyFont="1" applyFill="1" applyBorder="1" applyAlignment="1">
      <alignment horizontal="center" vertical="center"/>
    </xf>
    <xf numFmtId="0" fontId="17" fillId="28" borderId="75" xfId="0" applyFont="1" applyFill="1" applyBorder="1" applyAlignment="1">
      <alignment horizontal="center" vertical="center"/>
    </xf>
    <xf numFmtId="0" fontId="17" fillId="28" borderId="76" xfId="0" applyFont="1" applyFill="1" applyBorder="1" applyAlignment="1">
      <alignment horizontal="center" vertical="center"/>
    </xf>
    <xf numFmtId="0" fontId="43" fillId="0" borderId="46" xfId="0" applyFont="1" applyBorder="1" applyAlignment="1">
      <alignment horizontal="left" vertical="center" wrapText="1"/>
    </xf>
    <xf numFmtId="0" fontId="43" fillId="0" borderId="39" xfId="0" applyFont="1" applyBorder="1" applyAlignment="1">
      <alignment horizontal="left" vertical="center" wrapText="1"/>
    </xf>
    <xf numFmtId="0" fontId="61" fillId="26" borderId="66" xfId="0" applyFont="1" applyFill="1" applyBorder="1" applyAlignment="1">
      <alignment horizontal="center" vertical="center" wrapText="1"/>
    </xf>
    <xf numFmtId="0" fontId="61" fillId="26" borderId="67" xfId="0" applyFont="1" applyFill="1" applyBorder="1" applyAlignment="1">
      <alignment horizontal="center" vertical="center" wrapText="1"/>
    </xf>
    <xf numFmtId="0" fontId="61" fillId="26" borderId="68" xfId="0" applyFont="1" applyFill="1" applyBorder="1" applyAlignment="1">
      <alignment horizontal="center" vertical="center" wrapText="1"/>
    </xf>
    <xf numFmtId="0" fontId="58" fillId="27" borderId="48" xfId="0" applyFont="1" applyFill="1" applyBorder="1" applyAlignment="1">
      <alignment horizontal="center" vertical="center" wrapText="1"/>
    </xf>
    <xf numFmtId="0" fontId="58" fillId="27" borderId="67" xfId="0" applyFont="1" applyFill="1" applyBorder="1" applyAlignment="1">
      <alignment horizontal="center" vertical="center" wrapText="1"/>
    </xf>
    <xf numFmtId="0" fontId="58" fillId="27" borderId="69" xfId="0" applyFont="1" applyFill="1" applyBorder="1" applyAlignment="1">
      <alignment horizontal="center" vertical="center" wrapText="1"/>
    </xf>
  </cellXfs>
  <cellStyles count="62">
    <cellStyle name="Dziesiętny" xfId="1" builtinId="3"/>
    <cellStyle name="Dziesiętny 2" xfId="2"/>
    <cellStyle name="Dziesiętny 2 2" xfId="3"/>
    <cellStyle name="Dziesiętny 2 2 2" xfId="33"/>
    <cellStyle name="Dziesiętny 2 3" xfId="30"/>
    <cellStyle name="Dziesiętny 3" xfId="4"/>
    <cellStyle name="Dziesiętny 3 2" xfId="34"/>
    <cellStyle name="Dziesiętny 3 3" xfId="50"/>
    <cellStyle name="Dziesiętny 4" xfId="5"/>
    <cellStyle name="Dziesiętny 4 2" xfId="6"/>
    <cellStyle name="Dziesiętny 5" xfId="31"/>
    <cellStyle name="Dziesiętny 6" xfId="49"/>
    <cellStyle name="Normalny" xfId="0" builtinId="0"/>
    <cellStyle name="Normalny 10" xfId="48"/>
    <cellStyle name="Normalny 2" xfId="7"/>
    <cellStyle name="Normalny 2 2" xfId="8"/>
    <cellStyle name="Normalny 2 2 2" xfId="35"/>
    <cellStyle name="Normalny 3" xfId="9"/>
    <cellStyle name="Normalny 3 2" xfId="10"/>
    <cellStyle name="Normalny 3 2 2" xfId="11"/>
    <cellStyle name="Normalny 3 2 2 2" xfId="12"/>
    <cellStyle name="Normalny 3 2 2 2 2" xfId="38"/>
    <cellStyle name="Normalny 3 2 2 2 3" xfId="53"/>
    <cellStyle name="Normalny 3 2 2 3" xfId="37"/>
    <cellStyle name="Normalny 3 2 2 4" xfId="52"/>
    <cellStyle name="Normalny 3 2 3" xfId="13"/>
    <cellStyle name="Normalny 3 2 3 2" xfId="39"/>
    <cellStyle name="Normalny 3 2 3 3" xfId="54"/>
    <cellStyle name="Normalny 3 2 4" xfId="36"/>
    <cellStyle name="Normalny 3 2 5" xfId="51"/>
    <cellStyle name="Normalny 3 3" xfId="14"/>
    <cellStyle name="Normalny 3 3 2" xfId="15"/>
    <cellStyle name="Normalny 3 3 2 2" xfId="41"/>
    <cellStyle name="Normalny 3 3 2 3" xfId="56"/>
    <cellStyle name="Normalny 3 3 3" xfId="40"/>
    <cellStyle name="Normalny 3 3 4" xfId="55"/>
    <cellStyle name="Normalny 3 4" xfId="16"/>
    <cellStyle name="Normalny 3 4 2" xfId="17"/>
    <cellStyle name="Normalny 3 4 2 2" xfId="43"/>
    <cellStyle name="Normalny 3 4 2 3" xfId="58"/>
    <cellStyle name="Normalny 3 4 3" xfId="42"/>
    <cellStyle name="Normalny 3 4 4" xfId="57"/>
    <cellStyle name="Normalny 3 5" xfId="18"/>
    <cellStyle name="Normalny 3 5 2" xfId="44"/>
    <cellStyle name="Normalny 3 5 3" xfId="59"/>
    <cellStyle name="Normalny 3 6" xfId="32"/>
    <cellStyle name="Normalny 4" xfId="19"/>
    <cellStyle name="Normalny 4 2" xfId="45"/>
    <cellStyle name="Normalny 4 3" xfId="60"/>
    <cellStyle name="Normalny 5" xfId="20"/>
    <cellStyle name="Normalny 6" xfId="21"/>
    <cellStyle name="Normalny 6 2" xfId="46"/>
    <cellStyle name="Normalny 7" xfId="22"/>
    <cellStyle name="Normalny 7 2" xfId="23"/>
    <cellStyle name="Normalny 8" xfId="24"/>
    <cellStyle name="Normalny 9" xfId="29"/>
    <cellStyle name="Normalny_Arkusz1" xfId="25"/>
    <cellStyle name="Normalny_Tabela zbiorcza cz.1 (0030-0035)" xfId="26"/>
    <cellStyle name="Normalny_Wzór tabeli" xfId="27"/>
    <cellStyle name="Normalny_Wzór tabeli 2" xfId="61"/>
    <cellStyle name="TerespolD" xfId="28"/>
    <cellStyle name="TerespolD 2" xfId="47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EFEFEF"/>
      <rgbColor rgb="FF0000FF"/>
      <rgbColor rgb="FFFFFF00"/>
      <rgbColor rgb="FFFF00FF"/>
      <rgbColor rgb="FFE4EDF8"/>
      <rgbColor rgb="FF800000"/>
      <rgbColor rgb="FF00A933"/>
      <rgbColor rgb="FF000080"/>
      <rgbColor rgb="FF808000"/>
      <rgbColor rgb="FF800080"/>
      <rgbColor rgb="FF158466"/>
      <rgbColor rgb="FFBFBFBF"/>
      <rgbColor rgb="FF808080"/>
      <rgbColor rgb="FFA8C6EA"/>
      <rgbColor rgb="FF993366"/>
      <rgbColor rgb="FFFFFFCC"/>
      <rgbColor rgb="FFCCFFFF"/>
      <rgbColor rgb="FF660066"/>
      <rgbColor rgb="FFFCD5B5"/>
      <rgbColor rgb="FF0070C0"/>
      <rgbColor rgb="FFC6D9F1"/>
      <rgbColor rgb="FF000080"/>
      <rgbColor rgb="FFFF00FF"/>
      <rgbColor rgb="FFC3D69B"/>
      <rgbColor rgb="FFEEECE1"/>
      <rgbColor rgb="FF800080"/>
      <rgbColor rgb="FF800000"/>
      <rgbColor rgb="FF008080"/>
      <rgbColor rgb="FF0000FF"/>
      <rgbColor rgb="FF00CCFF"/>
      <rgbColor rgb="FFDBEEF4"/>
      <rgbColor rgb="FFCCFFCC"/>
      <rgbColor rgb="FFEBF1DE"/>
      <rgbColor rgb="FF99CCFF"/>
      <rgbColor rgb="FFFAC090"/>
      <rgbColor rgb="FFCCCCCC"/>
      <rgbColor rgb="FFFFCC99"/>
      <rgbColor rgb="FF3366FF"/>
      <rgbColor rgb="FF00B0F0"/>
      <rgbColor rgb="FFC4BD97"/>
      <rgbColor rgb="FFFFCC00"/>
      <rgbColor rgb="FFDDD9C3"/>
      <rgbColor rgb="FFD7E4BD"/>
      <rgbColor rgb="FFD9D9D9"/>
      <rgbColor rgb="FFA6A6A6"/>
      <rgbColor rgb="FF003366"/>
      <rgbColor rgb="FF00B050"/>
      <rgbColor rgb="FF003300"/>
      <rgbColor rgb="FF333300"/>
      <rgbColor rgb="FFC9211E"/>
      <rgbColor rgb="FF993366"/>
      <rgbColor rgb="FF333399"/>
      <rgbColor rgb="FF222222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J158"/>
  <sheetViews>
    <sheetView view="pageBreakPreview" zoomScale="115" zoomScaleNormal="115" zoomScaleSheetLayoutView="115" zoomScalePageLayoutView="160" workbookViewId="0">
      <selection activeCell="E9" sqref="E9"/>
    </sheetView>
  </sheetViews>
  <sheetFormatPr defaultColWidth="9.140625" defaultRowHeight="15"/>
  <cols>
    <col min="1" max="1" width="10.7109375" style="19" customWidth="1"/>
    <col min="2" max="2" width="20.140625" style="19" customWidth="1"/>
    <col min="3" max="3" width="70.140625" style="20" customWidth="1"/>
    <col min="4" max="4" width="10.42578125" style="21" customWidth="1"/>
    <col min="5" max="5" width="9.7109375" style="22" customWidth="1"/>
    <col min="6" max="6" width="12.28515625" style="23" customWidth="1"/>
    <col min="7" max="7" width="13.140625" style="19" customWidth="1"/>
    <col min="8" max="16384" width="9.140625" style="19"/>
  </cols>
  <sheetData>
    <row r="1" spans="1:13" s="24" customFormat="1" ht="24" customHeight="1">
      <c r="A1" s="381" t="s">
        <v>556</v>
      </c>
      <c r="B1" s="381"/>
      <c r="C1" s="381"/>
      <c r="D1" s="381"/>
      <c r="E1" s="381"/>
      <c r="F1" s="381"/>
    </row>
    <row r="2" spans="1:13" s="24" customFormat="1" ht="69" customHeight="1">
      <c r="A2" s="382" t="s">
        <v>552</v>
      </c>
      <c r="B2" s="382"/>
      <c r="C2" s="382"/>
      <c r="D2" s="382"/>
      <c r="E2" s="382"/>
      <c r="F2" s="382"/>
      <c r="G2" s="40"/>
    </row>
    <row r="3" spans="1:13" ht="45" customHeight="1">
      <c r="A3" s="111" t="s">
        <v>0</v>
      </c>
      <c r="B3" s="112" t="s">
        <v>84</v>
      </c>
      <c r="C3" s="113" t="s">
        <v>236</v>
      </c>
      <c r="D3" s="113" t="s">
        <v>1</v>
      </c>
      <c r="E3" s="114" t="s">
        <v>2</v>
      </c>
      <c r="F3" s="177" t="s">
        <v>86</v>
      </c>
      <c r="G3" s="27"/>
    </row>
    <row r="4" spans="1:13" ht="19.5" customHeight="1">
      <c r="A4" s="115" t="s">
        <v>45</v>
      </c>
      <c r="B4" s="383" t="s">
        <v>46</v>
      </c>
      <c r="C4" s="383"/>
      <c r="D4" s="383"/>
      <c r="E4" s="383"/>
      <c r="F4" s="383"/>
      <c r="G4" s="32"/>
    </row>
    <row r="5" spans="1:13" ht="26.25" customHeight="1">
      <c r="A5" s="116" t="s">
        <v>47</v>
      </c>
      <c r="B5" s="117" t="s">
        <v>89</v>
      </c>
      <c r="C5" s="384" t="s">
        <v>48</v>
      </c>
      <c r="D5" s="384"/>
      <c r="E5" s="384"/>
      <c r="F5" s="384"/>
      <c r="G5" s="41"/>
      <c r="H5" s="20"/>
      <c r="M5" s="20"/>
    </row>
    <row r="6" spans="1:13" ht="18.75" customHeight="1">
      <c r="A6" s="118" t="s">
        <v>4</v>
      </c>
      <c r="B6" s="135" t="s">
        <v>90</v>
      </c>
      <c r="C6" s="178" t="s">
        <v>91</v>
      </c>
      <c r="D6" s="179"/>
      <c r="E6" s="179"/>
      <c r="F6" s="180"/>
      <c r="G6" s="32"/>
    </row>
    <row r="7" spans="1:13" ht="26.25" customHeight="1">
      <c r="A7" s="111" t="s">
        <v>5</v>
      </c>
      <c r="B7" s="112" t="s">
        <v>90</v>
      </c>
      <c r="C7" s="370" t="s">
        <v>92</v>
      </c>
      <c r="D7" s="120" t="s">
        <v>11</v>
      </c>
      <c r="E7" s="195">
        <v>1</v>
      </c>
      <c r="F7" s="122">
        <f>E7</f>
        <v>1</v>
      </c>
      <c r="G7" s="42"/>
    </row>
    <row r="8" spans="1:13" ht="40.5" customHeight="1">
      <c r="A8" s="111" t="s">
        <v>7</v>
      </c>
      <c r="B8" s="112" t="s">
        <v>90</v>
      </c>
      <c r="C8" s="370" t="s">
        <v>535</v>
      </c>
      <c r="D8" s="120" t="s">
        <v>11</v>
      </c>
      <c r="E8" s="195">
        <v>1</v>
      </c>
      <c r="F8" s="122">
        <f>E8</f>
        <v>1</v>
      </c>
      <c r="G8" s="42"/>
    </row>
    <row r="9" spans="1:13" ht="51" customHeight="1">
      <c r="A9" s="111" t="s">
        <v>8</v>
      </c>
      <c r="B9" s="112" t="s">
        <v>90</v>
      </c>
      <c r="C9" s="370" t="s">
        <v>537</v>
      </c>
      <c r="D9" s="120" t="s">
        <v>11</v>
      </c>
      <c r="E9" s="195">
        <v>1</v>
      </c>
      <c r="F9" s="122">
        <f>E9</f>
        <v>1</v>
      </c>
      <c r="G9" s="42"/>
    </row>
    <row r="10" spans="1:13" ht="84.75" customHeight="1">
      <c r="A10" s="123" t="s">
        <v>9</v>
      </c>
      <c r="B10" s="112" t="s">
        <v>90</v>
      </c>
      <c r="C10" s="370" t="s">
        <v>93</v>
      </c>
      <c r="D10" s="120" t="s">
        <v>11</v>
      </c>
      <c r="E10" s="195">
        <v>1</v>
      </c>
      <c r="F10" s="122">
        <f>E10</f>
        <v>1</v>
      </c>
      <c r="G10" s="42"/>
    </row>
    <row r="11" spans="1:13" ht="20.25" customHeight="1">
      <c r="A11" s="371" t="s">
        <v>96</v>
      </c>
      <c r="B11" s="371"/>
      <c r="C11" s="371"/>
      <c r="D11" s="371"/>
      <c r="E11" s="371"/>
      <c r="F11" s="371"/>
      <c r="G11" s="32"/>
    </row>
    <row r="12" spans="1:13" s="27" customFormat="1" ht="27" customHeight="1">
      <c r="A12" s="116" t="s">
        <v>53</v>
      </c>
      <c r="B12" s="117" t="s">
        <v>97</v>
      </c>
      <c r="C12" s="181" t="s">
        <v>309</v>
      </c>
      <c r="D12" s="188"/>
      <c r="E12" s="188"/>
      <c r="F12" s="189"/>
    </row>
    <row r="13" spans="1:13" ht="18" customHeight="1">
      <c r="A13" s="125" t="s">
        <v>4</v>
      </c>
      <c r="B13" s="126" t="s">
        <v>98</v>
      </c>
      <c r="C13" s="178" t="s">
        <v>99</v>
      </c>
      <c r="D13" s="179"/>
      <c r="E13" s="179"/>
      <c r="F13" s="180"/>
      <c r="G13" s="32"/>
    </row>
    <row r="14" spans="1:13" s="28" customFormat="1" ht="18.75" customHeight="1">
      <c r="A14" s="123" t="s">
        <v>10</v>
      </c>
      <c r="B14" s="112" t="s">
        <v>100</v>
      </c>
      <c r="C14" s="127" t="s">
        <v>310</v>
      </c>
      <c r="D14" s="113" t="s">
        <v>29</v>
      </c>
      <c r="E14" s="128" t="s">
        <v>4</v>
      </c>
      <c r="F14" s="183">
        <f>SUM(E15:E15)</f>
        <v>1.212</v>
      </c>
      <c r="G14" s="43"/>
    </row>
    <row r="15" spans="1:13" ht="117.75" customHeight="1">
      <c r="A15" s="264"/>
      <c r="B15" s="134"/>
      <c r="C15" s="130" t="s">
        <v>549</v>
      </c>
      <c r="D15" s="131" t="s">
        <v>29</v>
      </c>
      <c r="E15" s="132">
        <f>0.535+0.353+0.095+0.116+0.113</f>
        <v>1.212</v>
      </c>
      <c r="F15" s="184" t="s">
        <v>4</v>
      </c>
      <c r="G15" s="32"/>
    </row>
    <row r="16" spans="1:13" ht="18" customHeight="1">
      <c r="A16" s="125" t="s">
        <v>4</v>
      </c>
      <c r="B16" s="135" t="s">
        <v>101</v>
      </c>
      <c r="C16" s="178" t="s">
        <v>102</v>
      </c>
      <c r="D16" s="179"/>
      <c r="E16" s="179"/>
      <c r="F16" s="180"/>
      <c r="G16" s="32"/>
    </row>
    <row r="17" spans="1:166" s="28" customFormat="1" ht="28.5" customHeight="1">
      <c r="A17" s="123" t="s">
        <v>12</v>
      </c>
      <c r="B17" s="112" t="s">
        <v>104</v>
      </c>
      <c r="C17" s="127" t="s">
        <v>105</v>
      </c>
      <c r="D17" s="113" t="s">
        <v>315</v>
      </c>
      <c r="E17" s="128" t="s">
        <v>4</v>
      </c>
      <c r="F17" s="183">
        <f>E18</f>
        <v>13724</v>
      </c>
      <c r="G17" s="43"/>
    </row>
    <row r="18" spans="1:166" ht="55.5" customHeight="1">
      <c r="A18" s="264"/>
      <c r="B18" s="134"/>
      <c r="C18" s="130" t="s">
        <v>400</v>
      </c>
      <c r="D18" s="131" t="s">
        <v>316</v>
      </c>
      <c r="E18" s="132">
        <v>13724</v>
      </c>
      <c r="F18" s="185" t="s">
        <v>4</v>
      </c>
      <c r="G18" s="32"/>
    </row>
    <row r="19" spans="1:166" ht="18" customHeight="1">
      <c r="A19" s="125" t="s">
        <v>4</v>
      </c>
      <c r="B19" s="135" t="s">
        <v>106</v>
      </c>
      <c r="C19" s="178" t="s">
        <v>107</v>
      </c>
      <c r="D19" s="179"/>
      <c r="E19" s="179"/>
      <c r="F19" s="180"/>
      <c r="G19" s="32"/>
    </row>
    <row r="20" spans="1:166" ht="20.25" customHeight="1">
      <c r="A20" s="123" t="s">
        <v>103</v>
      </c>
      <c r="B20" s="112" t="s">
        <v>112</v>
      </c>
      <c r="C20" s="127" t="s">
        <v>318</v>
      </c>
      <c r="D20" s="113" t="s">
        <v>315</v>
      </c>
      <c r="E20" s="128" t="s">
        <v>4</v>
      </c>
      <c r="F20" s="183">
        <f>SUM(E21)</f>
        <v>2598.3000000000002</v>
      </c>
      <c r="G20" s="32"/>
    </row>
    <row r="21" spans="1:166" ht="59.25" customHeight="1">
      <c r="A21" s="129"/>
      <c r="B21" s="134"/>
      <c r="C21" s="130" t="s">
        <v>408</v>
      </c>
      <c r="D21" s="131" t="s">
        <v>316</v>
      </c>
      <c r="E21" s="132">
        <f>'2. Roboty rozbiórkowe '!D3</f>
        <v>2598.3000000000002</v>
      </c>
      <c r="F21" s="185" t="s">
        <v>4</v>
      </c>
      <c r="G21" s="32"/>
    </row>
    <row r="22" spans="1:166" ht="20.25" customHeight="1">
      <c r="A22" s="123" t="s">
        <v>108</v>
      </c>
      <c r="B22" s="112" t="s">
        <v>113</v>
      </c>
      <c r="C22" s="127" t="s">
        <v>405</v>
      </c>
      <c r="D22" s="113" t="s">
        <v>315</v>
      </c>
      <c r="E22" s="128" t="s">
        <v>4</v>
      </c>
      <c r="F22" s="183">
        <f>SUM(E23)</f>
        <v>44.3</v>
      </c>
      <c r="G22" s="32"/>
    </row>
    <row r="23" spans="1:166" ht="59.25" customHeight="1">
      <c r="A23" s="129"/>
      <c r="B23" s="134"/>
      <c r="C23" s="130" t="s">
        <v>550</v>
      </c>
      <c r="D23" s="131" t="s">
        <v>316</v>
      </c>
      <c r="E23" s="132">
        <f>'2. Roboty rozbiórkowe '!D6</f>
        <v>44.3</v>
      </c>
      <c r="F23" s="185" t="s">
        <v>4</v>
      </c>
      <c r="G23" s="32"/>
    </row>
    <row r="24" spans="1:166" s="30" customFormat="1" ht="19.5" customHeight="1">
      <c r="A24" s="123" t="s">
        <v>109</v>
      </c>
      <c r="B24" s="112" t="s">
        <v>403</v>
      </c>
      <c r="C24" s="127" t="s">
        <v>401</v>
      </c>
      <c r="D24" s="113" t="s">
        <v>6</v>
      </c>
      <c r="E24" s="128" t="s">
        <v>4</v>
      </c>
      <c r="F24" s="183">
        <f>SUM(E25)</f>
        <v>22</v>
      </c>
      <c r="G24" s="33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</row>
    <row r="25" spans="1:166" s="30" customFormat="1" ht="57.75" customHeight="1">
      <c r="A25" s="129"/>
      <c r="B25" s="134"/>
      <c r="C25" s="130" t="s">
        <v>410</v>
      </c>
      <c r="D25" s="131" t="s">
        <v>6</v>
      </c>
      <c r="E25" s="132">
        <f>'2. Roboty rozbiórkowe '!D4</f>
        <v>22</v>
      </c>
      <c r="F25" s="185" t="s">
        <v>4</v>
      </c>
      <c r="G25" s="33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</row>
    <row r="26" spans="1:166" s="30" customFormat="1" ht="20.25" customHeight="1">
      <c r="A26" s="123" t="s">
        <v>110</v>
      </c>
      <c r="B26" s="112" t="s">
        <v>404</v>
      </c>
      <c r="C26" s="127" t="s">
        <v>402</v>
      </c>
      <c r="D26" s="113" t="s">
        <v>6</v>
      </c>
      <c r="E26" s="128" t="s">
        <v>4</v>
      </c>
      <c r="F26" s="183">
        <f>E27</f>
        <v>25.2</v>
      </c>
      <c r="G26" s="33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</row>
    <row r="27" spans="1:166" s="30" customFormat="1" ht="57.75" customHeight="1">
      <c r="A27" s="138"/>
      <c r="B27" s="265"/>
      <c r="C27" s="139" t="s">
        <v>411</v>
      </c>
      <c r="D27" s="132" t="s">
        <v>6</v>
      </c>
      <c r="E27" s="132">
        <f>'2. Roboty rozbiórkowe '!D5</f>
        <v>25.2</v>
      </c>
      <c r="F27" s="186" t="s">
        <v>4</v>
      </c>
      <c r="G27" s="33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</row>
    <row r="28" spans="1:166" s="30" customFormat="1" ht="19.5" customHeight="1">
      <c r="A28" s="123" t="s">
        <v>111</v>
      </c>
      <c r="B28" s="112" t="s">
        <v>406</v>
      </c>
      <c r="C28" s="127" t="s">
        <v>407</v>
      </c>
      <c r="D28" s="113" t="s">
        <v>6</v>
      </c>
      <c r="E28" s="128" t="s">
        <v>4</v>
      </c>
      <c r="F28" s="183">
        <f>SUM(E29)</f>
        <v>6</v>
      </c>
      <c r="G28" s="43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</row>
    <row r="29" spans="1:166" s="30" customFormat="1" ht="57.75" customHeight="1">
      <c r="A29" s="266"/>
      <c r="B29" s="267"/>
      <c r="C29" s="139" t="s">
        <v>412</v>
      </c>
      <c r="D29" s="132" t="s">
        <v>6</v>
      </c>
      <c r="E29" s="140">
        <f>'2. Roboty rozbiórkowe '!D7</f>
        <v>6</v>
      </c>
      <c r="F29" s="187" t="s">
        <v>4</v>
      </c>
      <c r="G29" s="33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</row>
    <row r="30" spans="1:166" s="30" customFormat="1" ht="27" customHeight="1">
      <c r="A30" s="116" t="s">
        <v>54</v>
      </c>
      <c r="B30" s="117" t="s">
        <v>115</v>
      </c>
      <c r="C30" s="181" t="s">
        <v>321</v>
      </c>
      <c r="D30" s="188"/>
      <c r="E30" s="188"/>
      <c r="F30" s="189"/>
      <c r="G30" s="33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</row>
    <row r="31" spans="1:166" s="30" customFormat="1" ht="20.25" customHeight="1">
      <c r="A31" s="118" t="s">
        <v>4</v>
      </c>
      <c r="B31" s="135" t="s">
        <v>116</v>
      </c>
      <c r="C31" s="178" t="s">
        <v>117</v>
      </c>
      <c r="D31" s="179"/>
      <c r="E31" s="179"/>
      <c r="F31" s="180"/>
      <c r="G31" s="33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</row>
    <row r="32" spans="1:166" s="30" customFormat="1" ht="27.75" customHeight="1">
      <c r="A32" s="123" t="s">
        <v>13</v>
      </c>
      <c r="B32" s="112" t="s">
        <v>118</v>
      </c>
      <c r="C32" s="127" t="s">
        <v>119</v>
      </c>
      <c r="D32" s="113" t="s">
        <v>319</v>
      </c>
      <c r="E32" s="128" t="s">
        <v>4</v>
      </c>
      <c r="F32" s="183">
        <f>E33</f>
        <v>6321.01</v>
      </c>
      <c r="G32" s="43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</row>
    <row r="33" spans="1:129" s="30" customFormat="1" ht="42.75" customHeight="1">
      <c r="A33" s="141"/>
      <c r="B33" s="142"/>
      <c r="C33" s="130" t="s">
        <v>547</v>
      </c>
      <c r="D33" s="131" t="s">
        <v>320</v>
      </c>
      <c r="E33" s="132">
        <f>'6. TRZ'!F76</f>
        <v>6321.01</v>
      </c>
      <c r="F33" s="183" t="s">
        <v>4</v>
      </c>
      <c r="G33" s="33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</row>
    <row r="34" spans="1:129" s="28" customFormat="1" ht="22.5" customHeight="1">
      <c r="A34" s="118" t="s">
        <v>4</v>
      </c>
      <c r="B34" s="135" t="s">
        <v>120</v>
      </c>
      <c r="C34" s="178" t="s">
        <v>121</v>
      </c>
      <c r="D34" s="179"/>
      <c r="E34" s="179"/>
      <c r="F34" s="180"/>
      <c r="G34" s="33"/>
    </row>
    <row r="35" spans="1:129" s="28" customFormat="1" ht="28.5" customHeight="1">
      <c r="A35" s="123" t="s">
        <v>122</v>
      </c>
      <c r="B35" s="112" t="s">
        <v>544</v>
      </c>
      <c r="C35" s="143" t="s">
        <v>545</v>
      </c>
      <c r="D35" s="144" t="s">
        <v>319</v>
      </c>
      <c r="E35" s="145" t="s">
        <v>4</v>
      </c>
      <c r="F35" s="190">
        <f>E36</f>
        <v>1359.2200000000003</v>
      </c>
      <c r="G35" s="43"/>
    </row>
    <row r="36" spans="1:129" s="28" customFormat="1" ht="33.75" customHeight="1">
      <c r="A36" s="268"/>
      <c r="B36" s="142"/>
      <c r="C36" s="146" t="s">
        <v>546</v>
      </c>
      <c r="D36" s="131" t="s">
        <v>320</v>
      </c>
      <c r="E36" s="132">
        <f>'6. TRZ'!G76</f>
        <v>1359.2200000000003</v>
      </c>
      <c r="F36" s="185" t="s">
        <v>4</v>
      </c>
      <c r="G36" s="33"/>
    </row>
    <row r="37" spans="1:129" s="32" customFormat="1" ht="32.25" customHeight="1">
      <c r="A37" s="116" t="s">
        <v>57</v>
      </c>
      <c r="B37" s="117" t="s">
        <v>126</v>
      </c>
      <c r="C37" s="181" t="s">
        <v>322</v>
      </c>
      <c r="D37" s="188"/>
      <c r="E37" s="188"/>
      <c r="F37" s="189"/>
      <c r="G37" s="27"/>
    </row>
    <row r="38" spans="1:129" s="32" customFormat="1" ht="18" customHeight="1">
      <c r="A38" s="118" t="s">
        <v>4</v>
      </c>
      <c r="B38" s="135" t="s">
        <v>129</v>
      </c>
      <c r="C38" s="178" t="s">
        <v>130</v>
      </c>
      <c r="D38" s="179"/>
      <c r="E38" s="179"/>
      <c r="F38" s="180"/>
      <c r="G38" s="27"/>
    </row>
    <row r="39" spans="1:129" s="32" customFormat="1" ht="18" customHeight="1">
      <c r="A39" s="123" t="s">
        <v>14</v>
      </c>
      <c r="B39" s="112" t="s">
        <v>132</v>
      </c>
      <c r="C39" s="143" t="s">
        <v>323</v>
      </c>
      <c r="D39" s="144" t="s">
        <v>6</v>
      </c>
      <c r="E39" s="145" t="s">
        <v>4</v>
      </c>
      <c r="F39" s="190">
        <f>E40</f>
        <v>260</v>
      </c>
      <c r="G39" s="27"/>
    </row>
    <row r="40" spans="1:129" s="32" customFormat="1" ht="41.25" customHeight="1">
      <c r="A40" s="141"/>
      <c r="B40" s="142"/>
      <c r="C40" s="146" t="s">
        <v>538</v>
      </c>
      <c r="D40" s="131" t="s">
        <v>6</v>
      </c>
      <c r="E40" s="132">
        <f>'3. Odwodnienie korpusu'!D4</f>
        <v>260</v>
      </c>
      <c r="F40" s="185" t="s">
        <v>4</v>
      </c>
      <c r="G40" s="27"/>
    </row>
    <row r="41" spans="1:129" s="32" customFormat="1" ht="24.75" customHeight="1">
      <c r="A41" s="123" t="s">
        <v>16</v>
      </c>
      <c r="B41" s="112" t="s">
        <v>134</v>
      </c>
      <c r="C41" s="143" t="s">
        <v>135</v>
      </c>
      <c r="D41" s="144" t="s">
        <v>6</v>
      </c>
      <c r="E41" s="145" t="s">
        <v>4</v>
      </c>
      <c r="F41" s="190">
        <f>E42</f>
        <v>487</v>
      </c>
      <c r="G41" s="27"/>
    </row>
    <row r="42" spans="1:129" s="32" customFormat="1" ht="41.25" customHeight="1">
      <c r="A42" s="141"/>
      <c r="B42" s="142"/>
      <c r="C42" s="146" t="s">
        <v>539</v>
      </c>
      <c r="D42" s="131" t="s">
        <v>6</v>
      </c>
      <c r="E42" s="132">
        <f>'3. Odwodnienie korpusu'!D5</f>
        <v>487</v>
      </c>
      <c r="F42" s="185" t="s">
        <v>4</v>
      </c>
      <c r="G42" s="27"/>
    </row>
    <row r="43" spans="1:129" s="32" customFormat="1" ht="27.75" customHeight="1">
      <c r="A43" s="123" t="s">
        <v>127</v>
      </c>
      <c r="B43" s="112" t="s">
        <v>137</v>
      </c>
      <c r="C43" s="143" t="s">
        <v>138</v>
      </c>
      <c r="D43" s="144" t="s">
        <v>6</v>
      </c>
      <c r="E43" s="145" t="s">
        <v>4</v>
      </c>
      <c r="F43" s="190">
        <f>E44</f>
        <v>113</v>
      </c>
      <c r="G43" s="27"/>
      <c r="H43" s="32" t="s">
        <v>484</v>
      </c>
    </row>
    <row r="44" spans="1:129" s="32" customFormat="1" ht="41.25" customHeight="1">
      <c r="A44" s="141"/>
      <c r="B44" s="142"/>
      <c r="C44" s="146" t="s">
        <v>328</v>
      </c>
      <c r="D44" s="131" t="s">
        <v>6</v>
      </c>
      <c r="E44" s="132">
        <f>'3. Odwodnienie korpusu'!D6</f>
        <v>113</v>
      </c>
      <c r="F44" s="185" t="s">
        <v>4</v>
      </c>
      <c r="G44" s="27"/>
    </row>
    <row r="45" spans="1:129" s="32" customFormat="1" ht="20.25" customHeight="1">
      <c r="A45" s="123" t="s">
        <v>128</v>
      </c>
      <c r="B45" s="112" t="s">
        <v>324</v>
      </c>
      <c r="C45" s="143" t="s">
        <v>326</v>
      </c>
      <c r="D45" s="144" t="s">
        <v>6</v>
      </c>
      <c r="E45" s="145" t="s">
        <v>4</v>
      </c>
      <c r="F45" s="190">
        <f>E46</f>
        <v>158</v>
      </c>
      <c r="G45" s="27"/>
    </row>
    <row r="46" spans="1:129" s="32" customFormat="1" ht="41.25" customHeight="1">
      <c r="A46" s="141"/>
      <c r="B46" s="142"/>
      <c r="C46" s="146" t="s">
        <v>488</v>
      </c>
      <c r="D46" s="131" t="s">
        <v>6</v>
      </c>
      <c r="E46" s="132">
        <f>'3. Odwodnienie korpusu'!D7</f>
        <v>158</v>
      </c>
      <c r="F46" s="185" t="s">
        <v>4</v>
      </c>
      <c r="G46" s="27"/>
    </row>
    <row r="47" spans="1:129" s="32" customFormat="1" ht="27" customHeight="1">
      <c r="A47" s="123" t="s">
        <v>131</v>
      </c>
      <c r="B47" s="112" t="s">
        <v>325</v>
      </c>
      <c r="C47" s="143" t="s">
        <v>140</v>
      </c>
      <c r="D47" s="144" t="s">
        <v>15</v>
      </c>
      <c r="E47" s="145" t="s">
        <v>4</v>
      </c>
      <c r="F47" s="190">
        <f>E48</f>
        <v>3</v>
      </c>
      <c r="G47" s="27"/>
      <c r="H47" s="32" t="s">
        <v>484</v>
      </c>
    </row>
    <row r="48" spans="1:129" s="32" customFormat="1" ht="41.25" customHeight="1">
      <c r="A48" s="141"/>
      <c r="B48" s="142"/>
      <c r="C48" s="146" t="s">
        <v>491</v>
      </c>
      <c r="D48" s="131" t="s">
        <v>15</v>
      </c>
      <c r="E48" s="132">
        <f>'3. Odwodnienie korpusu'!D8</f>
        <v>3</v>
      </c>
      <c r="F48" s="185" t="s">
        <v>4</v>
      </c>
      <c r="G48" s="27"/>
    </row>
    <row r="49" spans="1:8" s="32" customFormat="1" ht="18" customHeight="1">
      <c r="A49" s="123" t="s">
        <v>133</v>
      </c>
      <c r="B49" s="112" t="s">
        <v>142</v>
      </c>
      <c r="C49" s="143" t="s">
        <v>143</v>
      </c>
      <c r="D49" s="144" t="s">
        <v>6</v>
      </c>
      <c r="E49" s="145" t="s">
        <v>4</v>
      </c>
      <c r="F49" s="190">
        <f>E50</f>
        <v>121.5</v>
      </c>
      <c r="G49" s="43"/>
    </row>
    <row r="50" spans="1:8" s="32" customFormat="1" ht="44.25" customHeight="1">
      <c r="A50" s="141"/>
      <c r="B50" s="267"/>
      <c r="C50" s="146" t="s">
        <v>478</v>
      </c>
      <c r="D50" s="131" t="s">
        <v>6</v>
      </c>
      <c r="E50" s="132">
        <f>'3. Odwodnienie korpusu'!D9</f>
        <v>121.5</v>
      </c>
      <c r="F50" s="185" t="s">
        <v>4</v>
      </c>
    </row>
    <row r="51" spans="1:8" s="32" customFormat="1" ht="27" customHeight="1">
      <c r="A51" s="123" t="s">
        <v>136</v>
      </c>
      <c r="B51" s="112" t="s">
        <v>145</v>
      </c>
      <c r="C51" s="143" t="s">
        <v>422</v>
      </c>
      <c r="D51" s="144" t="s">
        <v>15</v>
      </c>
      <c r="E51" s="145" t="s">
        <v>4</v>
      </c>
      <c r="F51" s="190">
        <f>E52</f>
        <v>26</v>
      </c>
      <c r="G51" s="43"/>
    </row>
    <row r="52" spans="1:8" s="32" customFormat="1" ht="54" customHeight="1">
      <c r="A52" s="141"/>
      <c r="B52" s="142"/>
      <c r="C52" s="146" t="s">
        <v>542</v>
      </c>
      <c r="D52" s="131" t="s">
        <v>15</v>
      </c>
      <c r="E52" s="132">
        <f>'3. Odwodnienie korpusu'!D13</f>
        <v>26</v>
      </c>
      <c r="F52" s="185" t="s">
        <v>4</v>
      </c>
    </row>
    <row r="53" spans="1:8" s="32" customFormat="1" ht="28.5" customHeight="1">
      <c r="A53" s="123" t="s">
        <v>139</v>
      </c>
      <c r="B53" s="112" t="s">
        <v>489</v>
      </c>
      <c r="C53" s="143" t="s">
        <v>421</v>
      </c>
      <c r="D53" s="144" t="s">
        <v>15</v>
      </c>
      <c r="E53" s="145" t="s">
        <v>4</v>
      </c>
      <c r="F53" s="190">
        <f>E54</f>
        <v>6</v>
      </c>
    </row>
    <row r="54" spans="1:8" s="32" customFormat="1" ht="71.25" customHeight="1">
      <c r="A54" s="141"/>
      <c r="B54" s="142"/>
      <c r="C54" s="146" t="s">
        <v>540</v>
      </c>
      <c r="D54" s="131" t="s">
        <v>15</v>
      </c>
      <c r="E54" s="132">
        <f>'3. Odwodnienie korpusu'!D16</f>
        <v>6</v>
      </c>
      <c r="F54" s="185" t="s">
        <v>4</v>
      </c>
    </row>
    <row r="55" spans="1:8" s="32" customFormat="1" ht="33.75" customHeight="1">
      <c r="A55" s="123" t="s">
        <v>141</v>
      </c>
      <c r="B55" s="112" t="s">
        <v>147</v>
      </c>
      <c r="C55" s="143" t="s">
        <v>423</v>
      </c>
      <c r="D55" s="144" t="s">
        <v>15</v>
      </c>
      <c r="E55" s="145" t="s">
        <v>4</v>
      </c>
      <c r="F55" s="190">
        <f>E56</f>
        <v>14</v>
      </c>
      <c r="H55" s="32" t="s">
        <v>484</v>
      </c>
    </row>
    <row r="56" spans="1:8" s="32" customFormat="1" ht="60.75" customHeight="1">
      <c r="A56" s="141"/>
      <c r="B56" s="142"/>
      <c r="C56" s="146" t="s">
        <v>487</v>
      </c>
      <c r="D56" s="131" t="s">
        <v>15</v>
      </c>
      <c r="E56" s="132">
        <f>'3. Odwodnienie korpusu'!D14</f>
        <v>14</v>
      </c>
      <c r="F56" s="185" t="s">
        <v>4</v>
      </c>
    </row>
    <row r="57" spans="1:8" s="32" customFormat="1" ht="36" customHeight="1">
      <c r="A57" s="123" t="s">
        <v>144</v>
      </c>
      <c r="B57" s="112" t="s">
        <v>149</v>
      </c>
      <c r="C57" s="143" t="s">
        <v>492</v>
      </c>
      <c r="D57" s="144" t="s">
        <v>15</v>
      </c>
      <c r="E57" s="145" t="s">
        <v>4</v>
      </c>
      <c r="F57" s="190">
        <f>E58</f>
        <v>1</v>
      </c>
      <c r="H57" s="32" t="s">
        <v>484</v>
      </c>
    </row>
    <row r="58" spans="1:8" s="32" customFormat="1" ht="58.5" customHeight="1">
      <c r="A58" s="141"/>
      <c r="B58" s="142"/>
      <c r="C58" s="146" t="s">
        <v>493</v>
      </c>
      <c r="D58" s="131" t="s">
        <v>15</v>
      </c>
      <c r="E58" s="132">
        <f>'3. Odwodnienie korpusu'!D15</f>
        <v>1</v>
      </c>
      <c r="F58" s="185" t="s">
        <v>4</v>
      </c>
    </row>
    <row r="59" spans="1:8" s="32" customFormat="1" ht="25.5">
      <c r="A59" s="123" t="s">
        <v>146</v>
      </c>
      <c r="B59" s="112" t="s">
        <v>152</v>
      </c>
      <c r="C59" s="143" t="s">
        <v>153</v>
      </c>
      <c r="D59" s="113" t="s">
        <v>15</v>
      </c>
      <c r="E59" s="132" t="s">
        <v>4</v>
      </c>
      <c r="F59" s="183">
        <f>E60</f>
        <v>41</v>
      </c>
    </row>
    <row r="60" spans="1:8" s="32" customFormat="1" ht="57" customHeight="1">
      <c r="A60" s="149"/>
      <c r="B60" s="142"/>
      <c r="C60" s="146" t="s">
        <v>541</v>
      </c>
      <c r="D60" s="131" t="s">
        <v>15</v>
      </c>
      <c r="E60" s="132">
        <f>'3. Odwodnienie korpusu'!D10</f>
        <v>41</v>
      </c>
      <c r="F60" s="185" t="s">
        <v>4</v>
      </c>
    </row>
    <row r="61" spans="1:8" s="32" customFormat="1" ht="21.75" customHeight="1">
      <c r="A61" s="123" t="s">
        <v>148</v>
      </c>
      <c r="B61" s="112" t="s">
        <v>154</v>
      </c>
      <c r="C61" s="143" t="s">
        <v>155</v>
      </c>
      <c r="D61" s="113" t="s">
        <v>15</v>
      </c>
      <c r="E61" s="132" t="s">
        <v>4</v>
      </c>
      <c r="F61" s="183">
        <f>E62</f>
        <v>1</v>
      </c>
    </row>
    <row r="62" spans="1:8" s="32" customFormat="1" ht="42.75" customHeight="1">
      <c r="A62" s="149"/>
      <c r="B62" s="142"/>
      <c r="C62" s="146" t="s">
        <v>156</v>
      </c>
      <c r="D62" s="131" t="s">
        <v>15</v>
      </c>
      <c r="E62" s="132">
        <f>'3. Odwodnienie korpusu'!D11</f>
        <v>1</v>
      </c>
      <c r="F62" s="185" t="s">
        <v>4</v>
      </c>
    </row>
    <row r="63" spans="1:8" s="32" customFormat="1" ht="19.5" customHeight="1">
      <c r="A63" s="118" t="s">
        <v>4</v>
      </c>
      <c r="B63" s="169" t="s">
        <v>417</v>
      </c>
      <c r="C63" s="178" t="s">
        <v>418</v>
      </c>
      <c r="D63" s="179"/>
      <c r="E63" s="179"/>
      <c r="F63" s="180"/>
    </row>
    <row r="64" spans="1:8" s="32" customFormat="1" ht="16.5" customHeight="1">
      <c r="A64" s="123" t="s">
        <v>150</v>
      </c>
      <c r="B64" s="112" t="s">
        <v>474</v>
      </c>
      <c r="C64" s="143" t="s">
        <v>419</v>
      </c>
      <c r="D64" s="144" t="s">
        <v>15</v>
      </c>
      <c r="E64" s="145" t="s">
        <v>4</v>
      </c>
      <c r="F64" s="190">
        <f>E65</f>
        <v>1</v>
      </c>
    </row>
    <row r="65" spans="1:8" s="32" customFormat="1" ht="72" customHeight="1">
      <c r="A65" s="141"/>
      <c r="B65" s="142"/>
      <c r="C65" s="146" t="s">
        <v>420</v>
      </c>
      <c r="D65" s="131" t="s">
        <v>15</v>
      </c>
      <c r="E65" s="132">
        <f>'3. Odwodnienie korpusu'!D12</f>
        <v>1</v>
      </c>
      <c r="F65" s="185" t="s">
        <v>4</v>
      </c>
    </row>
    <row r="66" spans="1:8" s="32" customFormat="1" ht="22.5" customHeight="1">
      <c r="A66" s="118" t="s">
        <v>4</v>
      </c>
      <c r="B66" s="135" t="s">
        <v>329</v>
      </c>
      <c r="C66" s="178" t="s">
        <v>415</v>
      </c>
      <c r="D66" s="179"/>
      <c r="E66" s="179"/>
      <c r="F66" s="180"/>
    </row>
    <row r="67" spans="1:8" s="32" customFormat="1" ht="13.5" customHeight="1">
      <c r="A67" s="123" t="s">
        <v>151</v>
      </c>
      <c r="B67" s="150" t="s">
        <v>331</v>
      </c>
      <c r="C67" s="143" t="s">
        <v>482</v>
      </c>
      <c r="D67" s="132" t="s">
        <v>4</v>
      </c>
      <c r="E67" s="132" t="s">
        <v>4</v>
      </c>
      <c r="F67" s="185" t="s">
        <v>4</v>
      </c>
      <c r="H67" s="32" t="s">
        <v>484</v>
      </c>
    </row>
    <row r="68" spans="1:8" s="32" customFormat="1" ht="29.25" customHeight="1">
      <c r="A68" s="375"/>
      <c r="B68" s="378"/>
      <c r="C68" s="191" t="s">
        <v>332</v>
      </c>
      <c r="D68" s="192" t="s">
        <v>24</v>
      </c>
      <c r="E68" s="193" t="s">
        <v>295</v>
      </c>
      <c r="F68" s="194">
        <f>'3. Odwodnienie korpusu'!D37+'3. Odwodnienie korpusu'!D29+'3. Odwodnienie korpusu'!D19</f>
        <v>469.5</v>
      </c>
      <c r="H68" s="32" t="s">
        <v>484</v>
      </c>
    </row>
    <row r="69" spans="1:8" s="32" customFormat="1" ht="36.75" customHeight="1">
      <c r="A69" s="376"/>
      <c r="B69" s="379"/>
      <c r="C69" s="191" t="s">
        <v>333</v>
      </c>
      <c r="D69" s="195" t="s">
        <v>24</v>
      </c>
      <c r="E69" s="193" t="s">
        <v>295</v>
      </c>
      <c r="F69" s="196">
        <f>'3. Odwodnienie korpusu'!D30+'3. Odwodnienie korpusu'!D38+'3. Odwodnienie korpusu'!D20</f>
        <v>1318</v>
      </c>
      <c r="H69" s="32" t="s">
        <v>484</v>
      </c>
    </row>
    <row r="70" spans="1:8" s="32" customFormat="1" ht="13.5" customHeight="1">
      <c r="A70" s="376"/>
      <c r="B70" s="379"/>
      <c r="C70" s="191" t="s">
        <v>330</v>
      </c>
      <c r="D70" s="195" t="s">
        <v>24</v>
      </c>
      <c r="E70" s="193" t="s">
        <v>4</v>
      </c>
      <c r="F70" s="196">
        <f>'3. Odwodnienie korpusu'!D31+'3. Odwodnienie korpusu'!D39+'3. Odwodnienie korpusu'!D21</f>
        <v>1787.5</v>
      </c>
      <c r="H70" s="32" t="s">
        <v>484</v>
      </c>
    </row>
    <row r="71" spans="1:8" s="32" customFormat="1" ht="16.5" customHeight="1">
      <c r="A71" s="376"/>
      <c r="B71" s="379"/>
      <c r="C71" s="191" t="s">
        <v>334</v>
      </c>
      <c r="D71" s="195" t="s">
        <v>24</v>
      </c>
      <c r="E71" s="193" t="s">
        <v>4</v>
      </c>
      <c r="F71" s="196">
        <f>'3. Odwodnienie korpusu'!D32+'3. Odwodnienie korpusu'!D40+'3. Odwodnienie korpusu'!D22</f>
        <v>1866.5</v>
      </c>
      <c r="H71" s="32" t="s">
        <v>484</v>
      </c>
    </row>
    <row r="72" spans="1:8" s="32" customFormat="1" ht="27" customHeight="1">
      <c r="A72" s="376"/>
      <c r="B72" s="379"/>
      <c r="C72" s="191" t="s">
        <v>335</v>
      </c>
      <c r="D72" s="195" t="s">
        <v>24</v>
      </c>
      <c r="E72" s="193" t="s">
        <v>4</v>
      </c>
      <c r="F72" s="196">
        <f>'3. Odwodnienie korpusu'!D33+'3. Odwodnienie korpusu'!D41+'3. Odwodnienie korpusu'!D23</f>
        <v>25.6</v>
      </c>
      <c r="H72" s="32" t="s">
        <v>484</v>
      </c>
    </row>
    <row r="73" spans="1:8" s="32" customFormat="1" ht="15" customHeight="1">
      <c r="A73" s="376"/>
      <c r="B73" s="379"/>
      <c r="C73" s="191" t="s">
        <v>483</v>
      </c>
      <c r="D73" s="195" t="s">
        <v>6</v>
      </c>
      <c r="E73" s="193" t="s">
        <v>4</v>
      </c>
      <c r="F73" s="196">
        <f>'3. Odwodnienie korpusu'!D42+'3. Odwodnienie korpusu'!D34+'3. Odwodnienie korpusu'!D24</f>
        <v>276.5</v>
      </c>
      <c r="H73" s="32" t="s">
        <v>484</v>
      </c>
    </row>
    <row r="74" spans="1:8" s="32" customFormat="1" ht="32.25" customHeight="1">
      <c r="A74" s="377"/>
      <c r="B74" s="380"/>
      <c r="C74" s="341" t="s">
        <v>416</v>
      </c>
      <c r="D74" s="342" t="s">
        <v>6</v>
      </c>
      <c r="E74" s="343" t="s">
        <v>389</v>
      </c>
      <c r="F74" s="196">
        <f>'3. Odwodnienie korpusu'!D43+'3. Odwodnienie korpusu'!D25</f>
        <v>65</v>
      </c>
      <c r="H74" s="32" t="s">
        <v>484</v>
      </c>
    </row>
    <row r="75" spans="1:8" s="32" customFormat="1" ht="27" customHeight="1">
      <c r="A75" s="116" t="s">
        <v>60</v>
      </c>
      <c r="B75" s="117" t="s">
        <v>158</v>
      </c>
      <c r="C75" s="373" t="s">
        <v>336</v>
      </c>
      <c r="D75" s="373"/>
      <c r="E75" s="373"/>
      <c r="F75" s="373"/>
    </row>
    <row r="76" spans="1:8" s="32" customFormat="1" ht="19.5" customHeight="1">
      <c r="A76" s="118" t="s">
        <v>4</v>
      </c>
      <c r="B76" s="135" t="s">
        <v>159</v>
      </c>
      <c r="C76" s="178" t="s">
        <v>160</v>
      </c>
      <c r="D76" s="179"/>
      <c r="E76" s="179"/>
      <c r="F76" s="180"/>
    </row>
    <row r="77" spans="1:8" s="27" customFormat="1" ht="31.5" customHeight="1">
      <c r="A77" s="123" t="s">
        <v>17</v>
      </c>
      <c r="B77" s="155" t="s">
        <v>161</v>
      </c>
      <c r="C77" s="156" t="s">
        <v>162</v>
      </c>
      <c r="D77" s="144" t="s">
        <v>315</v>
      </c>
      <c r="E77" s="145" t="s">
        <v>4</v>
      </c>
      <c r="F77" s="190">
        <f>E78</f>
        <v>11230.412</v>
      </c>
      <c r="G77" s="43"/>
    </row>
    <row r="78" spans="1:8" s="27" customFormat="1" ht="114.75" customHeight="1">
      <c r="A78" s="157"/>
      <c r="B78" s="158"/>
      <c r="C78" s="269" t="s">
        <v>543</v>
      </c>
      <c r="D78" s="160" t="s">
        <v>316</v>
      </c>
      <c r="E78" s="161">
        <f>'1. Zjazdy'!J18+'1. Zjazdy'!F18+'4. El. pref. 5.konstr.'!C30+'4. El. pref. 5.konstr.'!C25+'4. El. pref. 5.konstr.'!C20</f>
        <v>11230.412</v>
      </c>
      <c r="F78" s="197" t="s">
        <v>4</v>
      </c>
      <c r="G78" s="44"/>
    </row>
    <row r="79" spans="1:8" s="27" customFormat="1" ht="18.75" customHeight="1">
      <c r="A79" s="118" t="s">
        <v>4</v>
      </c>
      <c r="B79" s="135" t="s">
        <v>163</v>
      </c>
      <c r="C79" s="178" t="s">
        <v>164</v>
      </c>
      <c r="D79" s="179"/>
      <c r="E79" s="179"/>
      <c r="F79" s="180"/>
      <c r="G79" s="44"/>
    </row>
    <row r="80" spans="1:8" s="27" customFormat="1" ht="25.5">
      <c r="A80" s="123" t="s">
        <v>165</v>
      </c>
      <c r="B80" s="155" t="s">
        <v>166</v>
      </c>
      <c r="C80" s="156" t="s">
        <v>167</v>
      </c>
      <c r="D80" s="144" t="s">
        <v>315</v>
      </c>
      <c r="E80" s="145" t="s">
        <v>4</v>
      </c>
      <c r="F80" s="190">
        <f>E81</f>
        <v>7535.44</v>
      </c>
      <c r="G80" s="43"/>
    </row>
    <row r="81" spans="1:8" s="27" customFormat="1" ht="70.5" customHeight="1">
      <c r="A81" s="164"/>
      <c r="B81" s="163"/>
      <c r="C81" s="159" t="s">
        <v>434</v>
      </c>
      <c r="D81" s="160" t="s">
        <v>316</v>
      </c>
      <c r="E81" s="161">
        <f>'4. El. pref. 5.konstr.'!C24+'4. El. pref. 5.konstr.'!C19</f>
        <v>7535.44</v>
      </c>
      <c r="F81" s="197" t="s">
        <v>4</v>
      </c>
      <c r="G81" s="44"/>
    </row>
    <row r="82" spans="1:8" s="27" customFormat="1" ht="25.5">
      <c r="A82" s="123" t="s">
        <v>168</v>
      </c>
      <c r="B82" s="155" t="s">
        <v>169</v>
      </c>
      <c r="C82" s="156" t="s">
        <v>170</v>
      </c>
      <c r="D82" s="144" t="s">
        <v>315</v>
      </c>
      <c r="E82" s="145" t="s">
        <v>4</v>
      </c>
      <c r="F82" s="190">
        <f>E83</f>
        <v>6987.4079999999994</v>
      </c>
      <c r="G82" s="43"/>
    </row>
    <row r="83" spans="1:8" s="27" customFormat="1" ht="70.5" customHeight="1">
      <c r="A83" s="164"/>
      <c r="B83" s="163"/>
      <c r="C83" s="159" t="s">
        <v>435</v>
      </c>
      <c r="D83" s="160" t="s">
        <v>316</v>
      </c>
      <c r="E83" s="161">
        <f>'4. El. pref. 5.konstr.'!C23+'4. El. pref. 5.konstr.'!C18</f>
        <v>6987.4079999999994</v>
      </c>
      <c r="F83" s="197" t="s">
        <v>4</v>
      </c>
      <c r="G83" s="44"/>
    </row>
    <row r="84" spans="1:8" s="33" customFormat="1" ht="18" customHeight="1">
      <c r="A84" s="118" t="s">
        <v>4</v>
      </c>
      <c r="B84" s="135" t="s">
        <v>171</v>
      </c>
      <c r="C84" s="178" t="s">
        <v>172</v>
      </c>
      <c r="D84" s="179"/>
      <c r="E84" s="179"/>
      <c r="F84" s="180"/>
      <c r="G84" s="27"/>
    </row>
    <row r="85" spans="1:8" s="33" customFormat="1" ht="33" customHeight="1">
      <c r="A85" s="123" t="s">
        <v>173</v>
      </c>
      <c r="B85" s="155" t="s">
        <v>177</v>
      </c>
      <c r="C85" s="156" t="s">
        <v>178</v>
      </c>
      <c r="D85" s="144" t="s">
        <v>315</v>
      </c>
      <c r="E85" s="145" t="s">
        <v>4</v>
      </c>
      <c r="F85" s="190">
        <f>SUM(E86:E86)</f>
        <v>1914.8999999999999</v>
      </c>
      <c r="G85" s="43"/>
    </row>
    <row r="86" spans="1:8" s="33" customFormat="1" ht="69.75" customHeight="1">
      <c r="A86" s="168"/>
      <c r="B86" s="167"/>
      <c r="C86" s="269" t="s">
        <v>436</v>
      </c>
      <c r="D86" s="160" t="s">
        <v>316</v>
      </c>
      <c r="E86" s="161">
        <f>'1. Zjazdy'!E18+'4. El. pref. 5.konstr.'!C29</f>
        <v>1914.8999999999999</v>
      </c>
      <c r="F86" s="190" t="s">
        <v>4</v>
      </c>
    </row>
    <row r="87" spans="1:8" s="33" customFormat="1" ht="30" customHeight="1">
      <c r="A87" s="123" t="s">
        <v>174</v>
      </c>
      <c r="B87" s="155" t="s">
        <v>180</v>
      </c>
      <c r="C87" s="156" t="s">
        <v>338</v>
      </c>
      <c r="D87" s="144" t="s">
        <v>315</v>
      </c>
      <c r="E87" s="145" t="s">
        <v>4</v>
      </c>
      <c r="F87" s="190">
        <f>SUM(E88:E88)</f>
        <v>7535.44</v>
      </c>
    </row>
    <row r="88" spans="1:8" s="33" customFormat="1" ht="66" customHeight="1">
      <c r="A88" s="168"/>
      <c r="B88" s="167"/>
      <c r="C88" s="159" t="s">
        <v>437</v>
      </c>
      <c r="D88" s="160" t="s">
        <v>316</v>
      </c>
      <c r="E88" s="161">
        <f>'4. El. pref. 5.konstr.'!C24+'4. El. pref. 5.konstr.'!C19</f>
        <v>7535.44</v>
      </c>
      <c r="F88" s="190" t="s">
        <v>4</v>
      </c>
    </row>
    <row r="89" spans="1:8" s="33" customFormat="1" ht="24" customHeight="1">
      <c r="A89" s="123" t="s">
        <v>175</v>
      </c>
      <c r="B89" s="155" t="s">
        <v>181</v>
      </c>
      <c r="C89" s="156" t="s">
        <v>339</v>
      </c>
      <c r="D89" s="144" t="s">
        <v>315</v>
      </c>
      <c r="E89" s="145" t="s">
        <v>4</v>
      </c>
      <c r="F89" s="190">
        <f>E90</f>
        <v>1980</v>
      </c>
      <c r="H89" s="33" t="s">
        <v>484</v>
      </c>
    </row>
    <row r="90" spans="1:8" s="33" customFormat="1" ht="48" customHeight="1">
      <c r="A90" s="168"/>
      <c r="B90" s="167"/>
      <c r="C90" s="159" t="s">
        <v>495</v>
      </c>
      <c r="D90" s="160" t="s">
        <v>316</v>
      </c>
      <c r="E90" s="161">
        <v>1980</v>
      </c>
      <c r="F90" s="197" t="s">
        <v>4</v>
      </c>
    </row>
    <row r="91" spans="1:8" s="33" customFormat="1" ht="18" customHeight="1">
      <c r="A91" s="118" t="s">
        <v>4</v>
      </c>
      <c r="B91" s="169" t="s">
        <v>182</v>
      </c>
      <c r="C91" s="374" t="s">
        <v>183</v>
      </c>
      <c r="D91" s="374"/>
      <c r="E91" s="374"/>
      <c r="F91" s="374"/>
    </row>
    <row r="92" spans="1:8" s="33" customFormat="1" ht="18" customHeight="1">
      <c r="A92" s="123" t="s">
        <v>176</v>
      </c>
      <c r="B92" s="150" t="s">
        <v>341</v>
      </c>
      <c r="C92" s="156" t="s">
        <v>340</v>
      </c>
      <c r="D92" s="144" t="s">
        <v>315</v>
      </c>
      <c r="E92" s="145" t="s">
        <v>4</v>
      </c>
      <c r="F92" s="190">
        <f>SUM(E93:E93)</f>
        <v>2461.9</v>
      </c>
      <c r="H92" s="33" t="s">
        <v>484</v>
      </c>
    </row>
    <row r="93" spans="1:8" s="33" customFormat="1" ht="81.75" customHeight="1">
      <c r="A93" s="170"/>
      <c r="B93" s="151"/>
      <c r="C93" s="269" t="s">
        <v>548</v>
      </c>
      <c r="D93" s="160" t="s">
        <v>316</v>
      </c>
      <c r="E93" s="161">
        <f>'1. Zjazdy'!F18+'1. Zjazdy'!J18+'4. El. pref. 5.konstr.'!C30</f>
        <v>2461.9</v>
      </c>
      <c r="F93" s="190" t="s">
        <v>4</v>
      </c>
    </row>
    <row r="94" spans="1:8" s="33" customFormat="1" ht="22.5" customHeight="1">
      <c r="A94" s="123" t="s">
        <v>179</v>
      </c>
      <c r="B94" s="150" t="s">
        <v>184</v>
      </c>
      <c r="C94" s="156" t="s">
        <v>185</v>
      </c>
      <c r="D94" s="144" t="s">
        <v>315</v>
      </c>
      <c r="E94" s="145" t="s">
        <v>4</v>
      </c>
      <c r="F94" s="190">
        <f>SUM(E95:E95)</f>
        <v>8768.5119999999988</v>
      </c>
    </row>
    <row r="95" spans="1:8" s="33" customFormat="1" ht="69.75" customHeight="1">
      <c r="A95" s="170"/>
      <c r="B95" s="151"/>
      <c r="C95" s="159" t="s">
        <v>440</v>
      </c>
      <c r="D95" s="160" t="s">
        <v>316</v>
      </c>
      <c r="E95" s="161">
        <f>'4. El. pref. 5.konstr.'!C20+'4. El. pref. 5.konstr.'!C25</f>
        <v>8768.5119999999988</v>
      </c>
      <c r="F95" s="190" t="s">
        <v>4</v>
      </c>
    </row>
    <row r="96" spans="1:8" s="33" customFormat="1" ht="27.75" customHeight="1">
      <c r="A96" s="116" t="s">
        <v>63</v>
      </c>
      <c r="B96" s="117" t="s">
        <v>187</v>
      </c>
      <c r="C96" s="373" t="s">
        <v>342</v>
      </c>
      <c r="D96" s="373"/>
      <c r="E96" s="373"/>
      <c r="F96" s="373"/>
    </row>
    <row r="97" spans="1:91" s="33" customFormat="1" ht="20.25" customHeight="1">
      <c r="A97" s="118" t="s">
        <v>4</v>
      </c>
      <c r="B97" s="169" t="s">
        <v>188</v>
      </c>
      <c r="C97" s="178" t="s">
        <v>189</v>
      </c>
      <c r="D97" s="179"/>
      <c r="E97" s="179"/>
      <c r="F97" s="180"/>
    </row>
    <row r="98" spans="1:91" s="33" customFormat="1" ht="27.75" customHeight="1">
      <c r="A98" s="123" t="s">
        <v>19</v>
      </c>
      <c r="B98" s="150" t="s">
        <v>441</v>
      </c>
      <c r="C98" s="156" t="s">
        <v>442</v>
      </c>
      <c r="D98" s="144" t="s">
        <v>315</v>
      </c>
      <c r="E98" s="145" t="s">
        <v>4</v>
      </c>
      <c r="F98" s="190">
        <f>SUM(E99:E99)</f>
        <v>437.6</v>
      </c>
      <c r="H98" s="33" t="s">
        <v>484</v>
      </c>
    </row>
    <row r="99" spans="1:91" s="33" customFormat="1" ht="48.75" customHeight="1">
      <c r="A99" s="165"/>
      <c r="B99" s="167"/>
      <c r="C99" s="159" t="s">
        <v>494</v>
      </c>
      <c r="D99" s="160" t="s">
        <v>316</v>
      </c>
      <c r="E99" s="161">
        <f>'1. Zjazdy'!I18</f>
        <v>437.6</v>
      </c>
      <c r="F99" s="190" t="s">
        <v>4</v>
      </c>
    </row>
    <row r="100" spans="1:91" s="35" customFormat="1" ht="18.75" customHeight="1">
      <c r="A100" s="118" t="s">
        <v>4</v>
      </c>
      <c r="B100" s="135" t="s">
        <v>190</v>
      </c>
      <c r="C100" s="178" t="s">
        <v>191</v>
      </c>
      <c r="D100" s="179"/>
      <c r="E100" s="179"/>
      <c r="F100" s="180"/>
      <c r="G100" s="33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  <c r="BF100" s="34"/>
      <c r="BG100" s="34"/>
      <c r="BH100" s="34"/>
      <c r="BI100" s="34"/>
      <c r="BJ100" s="34"/>
      <c r="BK100" s="34"/>
      <c r="BL100" s="34"/>
      <c r="BM100" s="34"/>
      <c r="BN100" s="34"/>
      <c r="BO100" s="34"/>
      <c r="BP100" s="34"/>
      <c r="BQ100" s="34"/>
      <c r="BR100" s="34"/>
      <c r="BS100" s="34"/>
      <c r="BT100" s="34"/>
      <c r="BU100" s="34"/>
      <c r="BV100" s="34"/>
      <c r="BW100" s="34"/>
      <c r="BX100" s="34"/>
      <c r="BY100" s="34"/>
      <c r="BZ100" s="34"/>
      <c r="CA100" s="34"/>
      <c r="CB100" s="34"/>
      <c r="CC100" s="34"/>
      <c r="CD100" s="34"/>
      <c r="CE100" s="34"/>
      <c r="CF100" s="34"/>
      <c r="CG100" s="34"/>
      <c r="CH100" s="34"/>
      <c r="CI100" s="34"/>
      <c r="CJ100" s="34"/>
      <c r="CK100" s="34"/>
      <c r="CL100" s="34"/>
      <c r="CM100" s="34"/>
    </row>
    <row r="101" spans="1:91" s="35" customFormat="1" ht="24" customHeight="1">
      <c r="A101" s="123" t="s">
        <v>20</v>
      </c>
      <c r="B101" s="155" t="s">
        <v>195</v>
      </c>
      <c r="C101" s="156" t="s">
        <v>443</v>
      </c>
      <c r="D101" s="144" t="s">
        <v>315</v>
      </c>
      <c r="E101" s="145" t="s">
        <v>4</v>
      </c>
      <c r="F101" s="190">
        <f>SUM(E102:E102)</f>
        <v>1305.0899999999999</v>
      </c>
      <c r="G101" s="33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  <c r="BF101" s="34"/>
      <c r="BG101" s="34"/>
      <c r="BH101" s="34"/>
      <c r="BI101" s="34"/>
      <c r="BJ101" s="34"/>
      <c r="BK101" s="34"/>
      <c r="BL101" s="34"/>
      <c r="BM101" s="34"/>
      <c r="BN101" s="34"/>
      <c r="BO101" s="34"/>
      <c r="BP101" s="34"/>
      <c r="BQ101" s="34"/>
      <c r="BR101" s="34"/>
      <c r="BS101" s="34"/>
      <c r="BT101" s="34"/>
      <c r="BU101" s="34"/>
      <c r="BV101" s="34"/>
      <c r="BW101" s="34"/>
      <c r="BX101" s="34"/>
      <c r="BY101" s="34"/>
      <c r="BZ101" s="34"/>
      <c r="CA101" s="34"/>
      <c r="CB101" s="34"/>
      <c r="CC101" s="34"/>
      <c r="CD101" s="34"/>
      <c r="CE101" s="34"/>
      <c r="CF101" s="34"/>
      <c r="CG101" s="34"/>
      <c r="CH101" s="34"/>
      <c r="CI101" s="34"/>
      <c r="CJ101" s="34"/>
      <c r="CK101" s="34"/>
      <c r="CL101" s="34"/>
      <c r="CM101" s="34"/>
    </row>
    <row r="102" spans="1:91" s="35" customFormat="1" ht="45" customHeight="1">
      <c r="A102" s="165"/>
      <c r="B102" s="167"/>
      <c r="C102" s="159" t="s">
        <v>445</v>
      </c>
      <c r="D102" s="160" t="s">
        <v>316</v>
      </c>
      <c r="E102" s="161">
        <f>'4. El. pref. 5.konstr.'!C23</f>
        <v>1305.0899999999999</v>
      </c>
      <c r="F102" s="190" t="s">
        <v>4</v>
      </c>
      <c r="G102" s="33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  <c r="BF102" s="34"/>
      <c r="BG102" s="34"/>
      <c r="BH102" s="34"/>
      <c r="BI102" s="34"/>
      <c r="BJ102" s="34"/>
      <c r="BK102" s="34"/>
      <c r="BL102" s="34"/>
      <c r="BM102" s="34"/>
      <c r="BN102" s="34"/>
      <c r="BO102" s="34"/>
      <c r="BP102" s="34"/>
      <c r="BQ102" s="34"/>
      <c r="BR102" s="34"/>
      <c r="BS102" s="34"/>
      <c r="BT102" s="34"/>
      <c r="BU102" s="34"/>
      <c r="BV102" s="34"/>
      <c r="BW102" s="34"/>
      <c r="BX102" s="34"/>
      <c r="BY102" s="34"/>
      <c r="BZ102" s="34"/>
      <c r="CA102" s="34"/>
      <c r="CB102" s="34"/>
      <c r="CC102" s="34"/>
      <c r="CD102" s="34"/>
      <c r="CE102" s="34"/>
      <c r="CF102" s="34"/>
      <c r="CG102" s="34"/>
      <c r="CH102" s="34"/>
      <c r="CI102" s="34"/>
      <c r="CJ102" s="34"/>
      <c r="CK102" s="34"/>
      <c r="CL102" s="34"/>
      <c r="CM102" s="34"/>
    </row>
    <row r="103" spans="1:91" s="35" customFormat="1" ht="26.25" customHeight="1">
      <c r="A103" s="123" t="s">
        <v>192</v>
      </c>
      <c r="B103" s="155" t="s">
        <v>196</v>
      </c>
      <c r="C103" s="156" t="s">
        <v>197</v>
      </c>
      <c r="D103" s="144" t="s">
        <v>315</v>
      </c>
      <c r="E103" s="145" t="s">
        <v>4</v>
      </c>
      <c r="F103" s="190">
        <f>SUM(E104:E104)</f>
        <v>5682.3179999999993</v>
      </c>
      <c r="G103" s="33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  <c r="BF103" s="34"/>
      <c r="BG103" s="34"/>
      <c r="BH103" s="34"/>
      <c r="BI103" s="34"/>
      <c r="BJ103" s="34"/>
      <c r="BK103" s="34"/>
      <c r="BL103" s="34"/>
      <c r="BM103" s="34"/>
      <c r="BN103" s="34"/>
      <c r="BO103" s="34"/>
      <c r="BP103" s="34"/>
      <c r="BQ103" s="34"/>
      <c r="BR103" s="34"/>
      <c r="BS103" s="34"/>
      <c r="BT103" s="34"/>
      <c r="BU103" s="34"/>
      <c r="BV103" s="34"/>
      <c r="BW103" s="34"/>
      <c r="BX103" s="34"/>
      <c r="BY103" s="34"/>
      <c r="BZ103" s="34"/>
      <c r="CA103" s="34"/>
      <c r="CB103" s="34"/>
      <c r="CC103" s="34"/>
      <c r="CD103" s="34"/>
      <c r="CE103" s="34"/>
      <c r="CF103" s="34"/>
      <c r="CG103" s="34"/>
      <c r="CH103" s="34"/>
      <c r="CI103" s="34"/>
      <c r="CJ103" s="34"/>
      <c r="CK103" s="34"/>
      <c r="CL103" s="34"/>
      <c r="CM103" s="34"/>
    </row>
    <row r="104" spans="1:91" s="35" customFormat="1" ht="48" customHeight="1">
      <c r="A104" s="165"/>
      <c r="B104" s="167"/>
      <c r="C104" s="159" t="s">
        <v>446</v>
      </c>
      <c r="D104" s="160" t="s">
        <v>316</v>
      </c>
      <c r="E104" s="161">
        <f>'4. El. pref. 5.konstr.'!C18</f>
        <v>5682.3179999999993</v>
      </c>
      <c r="F104" s="190" t="s">
        <v>4</v>
      </c>
      <c r="G104" s="33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  <c r="BF104" s="34"/>
      <c r="BG104" s="34"/>
      <c r="BH104" s="34"/>
      <c r="BI104" s="34"/>
      <c r="BJ104" s="34"/>
      <c r="BK104" s="34"/>
      <c r="BL104" s="34"/>
      <c r="BM104" s="34"/>
      <c r="BN104" s="34"/>
      <c r="BO104" s="34"/>
      <c r="BP104" s="34"/>
      <c r="BQ104" s="34"/>
      <c r="BR104" s="34"/>
      <c r="BS104" s="34"/>
      <c r="BT104" s="34"/>
      <c r="BU104" s="34"/>
      <c r="BV104" s="34"/>
      <c r="BW104" s="34"/>
      <c r="BX104" s="34"/>
      <c r="BY104" s="34"/>
      <c r="BZ104" s="34"/>
      <c r="CA104" s="34"/>
      <c r="CB104" s="34"/>
      <c r="CC104" s="34"/>
      <c r="CD104" s="34"/>
      <c r="CE104" s="34"/>
      <c r="CF104" s="34"/>
      <c r="CG104" s="34"/>
      <c r="CH104" s="34"/>
      <c r="CI104" s="34"/>
      <c r="CJ104" s="34"/>
      <c r="CK104" s="34"/>
      <c r="CL104" s="34"/>
      <c r="CM104" s="34"/>
    </row>
    <row r="105" spans="1:91" s="35" customFormat="1" ht="27" customHeight="1">
      <c r="A105" s="123" t="s">
        <v>193</v>
      </c>
      <c r="B105" s="155" t="s">
        <v>198</v>
      </c>
      <c r="C105" s="156" t="s">
        <v>348</v>
      </c>
      <c r="D105" s="144" t="s">
        <v>315</v>
      </c>
      <c r="E105" s="145" t="s">
        <v>4</v>
      </c>
      <c r="F105" s="177">
        <f>SUM(E106:E106)</f>
        <v>6850.4</v>
      </c>
      <c r="G105" s="33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H105" s="34"/>
      <c r="BI105" s="34"/>
      <c r="BJ105" s="34"/>
      <c r="BK105" s="34"/>
      <c r="BL105" s="34"/>
      <c r="BM105" s="34"/>
      <c r="BN105" s="34"/>
      <c r="BO105" s="34"/>
      <c r="BP105" s="34"/>
      <c r="BQ105" s="34"/>
      <c r="BR105" s="34"/>
      <c r="BS105" s="34"/>
      <c r="BT105" s="34"/>
      <c r="BU105" s="34"/>
      <c r="BV105" s="34"/>
      <c r="BW105" s="34"/>
      <c r="BX105" s="34"/>
      <c r="BY105" s="34"/>
      <c r="BZ105" s="34"/>
      <c r="CA105" s="34"/>
      <c r="CB105" s="34"/>
      <c r="CC105" s="34"/>
      <c r="CD105" s="34"/>
      <c r="CE105" s="34"/>
      <c r="CF105" s="34"/>
      <c r="CG105" s="34"/>
      <c r="CH105" s="34"/>
      <c r="CI105" s="34"/>
      <c r="CJ105" s="34"/>
      <c r="CK105" s="34"/>
      <c r="CL105" s="34"/>
      <c r="CM105" s="34"/>
    </row>
    <row r="106" spans="1:91" s="35" customFormat="1" ht="57" customHeight="1">
      <c r="A106" s="165"/>
      <c r="B106" s="167"/>
      <c r="C106" s="159" t="s">
        <v>447</v>
      </c>
      <c r="D106" s="160" t="s">
        <v>316</v>
      </c>
      <c r="E106" s="161">
        <f>'4. El. pref. 5.konstr.'!C22+'4. El. pref. 5.konstr.'!C17</f>
        <v>6850.4</v>
      </c>
      <c r="F106" s="197" t="s">
        <v>4</v>
      </c>
      <c r="G106" s="33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  <c r="BF106" s="34"/>
      <c r="BG106" s="34"/>
      <c r="BH106" s="34"/>
      <c r="BI106" s="34"/>
      <c r="BJ106" s="34"/>
      <c r="BK106" s="34"/>
      <c r="BL106" s="34"/>
      <c r="BM106" s="34"/>
      <c r="BN106" s="34"/>
      <c r="BO106" s="34"/>
      <c r="BP106" s="34"/>
      <c r="BQ106" s="34"/>
      <c r="BR106" s="34"/>
      <c r="BS106" s="34"/>
      <c r="BT106" s="34"/>
      <c r="BU106" s="34"/>
      <c r="BV106" s="34"/>
      <c r="BW106" s="34"/>
      <c r="BX106" s="34"/>
      <c r="BY106" s="34"/>
      <c r="BZ106" s="34"/>
      <c r="CA106" s="34"/>
      <c r="CB106" s="34"/>
      <c r="CC106" s="34"/>
      <c r="CD106" s="34"/>
      <c r="CE106" s="34"/>
      <c r="CF106" s="34"/>
      <c r="CG106" s="34"/>
      <c r="CH106" s="34"/>
      <c r="CI106" s="34"/>
      <c r="CJ106" s="34"/>
      <c r="CK106" s="34"/>
      <c r="CL106" s="34"/>
      <c r="CM106" s="34"/>
    </row>
    <row r="107" spans="1:91" s="35" customFormat="1" ht="18" customHeight="1">
      <c r="A107" s="118" t="s">
        <v>4</v>
      </c>
      <c r="B107" s="169" t="s">
        <v>199</v>
      </c>
      <c r="C107" s="178" t="s">
        <v>200</v>
      </c>
      <c r="D107" s="179"/>
      <c r="E107" s="179"/>
      <c r="F107" s="180"/>
      <c r="G107" s="33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  <c r="BF107" s="34"/>
      <c r="BG107" s="34"/>
      <c r="BH107" s="34"/>
      <c r="BI107" s="34"/>
      <c r="BJ107" s="34"/>
      <c r="BK107" s="34"/>
      <c r="BL107" s="34"/>
      <c r="BM107" s="34"/>
      <c r="BN107" s="34"/>
      <c r="BO107" s="34"/>
      <c r="BP107" s="34"/>
      <c r="BQ107" s="34"/>
      <c r="BR107" s="34"/>
      <c r="BS107" s="34"/>
      <c r="BT107" s="34"/>
      <c r="BU107" s="34"/>
      <c r="BV107" s="34"/>
      <c r="BW107" s="34"/>
      <c r="BX107" s="34"/>
      <c r="BY107" s="34"/>
      <c r="BZ107" s="34"/>
      <c r="CA107" s="34"/>
      <c r="CB107" s="34"/>
      <c r="CC107" s="34"/>
      <c r="CD107" s="34"/>
      <c r="CE107" s="34"/>
      <c r="CF107" s="34"/>
      <c r="CG107" s="34"/>
      <c r="CH107" s="34"/>
      <c r="CI107" s="34"/>
      <c r="CJ107" s="34"/>
      <c r="CK107" s="34"/>
      <c r="CL107" s="34"/>
      <c r="CM107" s="34"/>
    </row>
    <row r="108" spans="1:91" s="35" customFormat="1" ht="24" customHeight="1">
      <c r="A108" s="123" t="s">
        <v>194</v>
      </c>
      <c r="B108" s="155" t="s">
        <v>201</v>
      </c>
      <c r="C108" s="156" t="s">
        <v>202</v>
      </c>
      <c r="D108" s="144" t="s">
        <v>315</v>
      </c>
      <c r="E108" s="145" t="s">
        <v>4</v>
      </c>
      <c r="F108" s="177">
        <f>SUM(E109:E109)</f>
        <v>91.100000000000009</v>
      </c>
      <c r="G108" s="33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  <c r="BF108" s="34"/>
      <c r="BG108" s="34"/>
      <c r="BH108" s="34"/>
      <c r="BI108" s="34"/>
      <c r="BJ108" s="34"/>
      <c r="BK108" s="34"/>
      <c r="BL108" s="34"/>
      <c r="BM108" s="34"/>
      <c r="BN108" s="34"/>
      <c r="BO108" s="34"/>
      <c r="BP108" s="34"/>
      <c r="BQ108" s="34"/>
      <c r="BR108" s="34"/>
      <c r="BS108" s="34"/>
      <c r="BT108" s="34"/>
      <c r="BU108" s="34"/>
      <c r="BV108" s="34"/>
      <c r="BW108" s="34"/>
      <c r="BX108" s="34"/>
      <c r="BY108" s="34"/>
      <c r="BZ108" s="34"/>
      <c r="CA108" s="34"/>
      <c r="CB108" s="34"/>
      <c r="CC108" s="34"/>
      <c r="CD108" s="34"/>
      <c r="CE108" s="34"/>
      <c r="CF108" s="34"/>
      <c r="CG108" s="34"/>
      <c r="CH108" s="34"/>
      <c r="CI108" s="34"/>
      <c r="CJ108" s="34"/>
      <c r="CK108" s="34"/>
      <c r="CL108" s="34"/>
      <c r="CM108" s="34"/>
    </row>
    <row r="109" spans="1:91" s="35" customFormat="1" ht="47.25" customHeight="1">
      <c r="A109" s="168"/>
      <c r="B109" s="167"/>
      <c r="C109" s="159" t="s">
        <v>463</v>
      </c>
      <c r="D109" s="160" t="s">
        <v>316</v>
      </c>
      <c r="E109" s="161">
        <f>'1. Zjazdy'!D18</f>
        <v>91.100000000000009</v>
      </c>
      <c r="F109" s="197" t="s">
        <v>4</v>
      </c>
      <c r="G109" s="33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  <c r="BF109" s="34"/>
      <c r="BG109" s="34"/>
      <c r="BH109" s="34"/>
      <c r="BI109" s="34"/>
      <c r="BJ109" s="34"/>
      <c r="BK109" s="34"/>
      <c r="BL109" s="34"/>
      <c r="BM109" s="34"/>
      <c r="BN109" s="34"/>
      <c r="BO109" s="34"/>
      <c r="BP109" s="34"/>
      <c r="BQ109" s="34"/>
      <c r="BR109" s="34"/>
      <c r="BS109" s="34"/>
      <c r="BT109" s="34"/>
      <c r="BU109" s="34"/>
      <c r="BV109" s="34"/>
      <c r="BW109" s="34"/>
      <c r="BX109" s="34"/>
      <c r="BY109" s="34"/>
      <c r="BZ109" s="34"/>
      <c r="CA109" s="34"/>
      <c r="CB109" s="34"/>
      <c r="CC109" s="34"/>
      <c r="CD109" s="34"/>
      <c r="CE109" s="34"/>
      <c r="CF109" s="34"/>
      <c r="CG109" s="34"/>
      <c r="CH109" s="34"/>
      <c r="CI109" s="34"/>
      <c r="CJ109" s="34"/>
      <c r="CK109" s="34"/>
      <c r="CL109" s="34"/>
      <c r="CM109" s="34"/>
    </row>
    <row r="110" spans="1:91" s="37" customFormat="1" ht="29.25" customHeight="1">
      <c r="A110" s="116" t="s">
        <v>66</v>
      </c>
      <c r="B110" s="117" t="s">
        <v>204</v>
      </c>
      <c r="C110" s="373" t="s">
        <v>349</v>
      </c>
      <c r="D110" s="373"/>
      <c r="E110" s="373"/>
      <c r="F110" s="373"/>
      <c r="G110" s="28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6"/>
      <c r="AS110" s="36"/>
      <c r="AT110" s="36"/>
      <c r="AU110" s="36"/>
      <c r="AV110" s="36"/>
      <c r="AW110" s="36"/>
      <c r="AX110" s="36"/>
      <c r="AY110" s="36"/>
      <c r="AZ110" s="36"/>
      <c r="BA110" s="36"/>
      <c r="BB110" s="36"/>
      <c r="BC110" s="36"/>
      <c r="BD110" s="36"/>
      <c r="BE110" s="36"/>
      <c r="BF110" s="36"/>
      <c r="BG110" s="36"/>
      <c r="BH110" s="36"/>
      <c r="BI110" s="36"/>
      <c r="BJ110" s="36"/>
      <c r="BK110" s="36"/>
      <c r="BL110" s="36"/>
      <c r="BM110" s="36"/>
      <c r="BN110" s="36"/>
      <c r="BO110" s="36"/>
      <c r="BP110" s="36"/>
      <c r="BQ110" s="36"/>
      <c r="BR110" s="36"/>
      <c r="BS110" s="36"/>
      <c r="BT110" s="36"/>
      <c r="BU110" s="36"/>
      <c r="BV110" s="36"/>
      <c r="BW110" s="36"/>
      <c r="BX110" s="36"/>
      <c r="BY110" s="36"/>
      <c r="BZ110" s="36"/>
      <c r="CA110" s="36"/>
      <c r="CB110" s="36"/>
      <c r="CC110" s="36"/>
      <c r="CD110" s="36"/>
      <c r="CE110" s="36"/>
      <c r="CF110" s="36"/>
      <c r="CG110" s="36"/>
      <c r="CH110" s="36"/>
      <c r="CI110" s="36"/>
      <c r="CJ110" s="36"/>
      <c r="CK110" s="36"/>
      <c r="CL110" s="36"/>
      <c r="CM110" s="36"/>
    </row>
    <row r="111" spans="1:91" s="33" customFormat="1" ht="19.5" customHeight="1">
      <c r="A111" s="118" t="s">
        <v>4</v>
      </c>
      <c r="B111" s="135" t="s">
        <v>205</v>
      </c>
      <c r="C111" s="178" t="s">
        <v>206</v>
      </c>
      <c r="D111" s="179"/>
      <c r="E111" s="179"/>
      <c r="F111" s="180"/>
      <c r="G111" s="19"/>
    </row>
    <row r="112" spans="1:91" s="38" customFormat="1" ht="22.5" customHeight="1">
      <c r="A112" s="123" t="s">
        <v>21</v>
      </c>
      <c r="B112" s="155" t="s">
        <v>207</v>
      </c>
      <c r="C112" s="156" t="s">
        <v>208</v>
      </c>
      <c r="D112" s="144" t="s">
        <v>315</v>
      </c>
      <c r="E112" s="145" t="s">
        <v>4</v>
      </c>
      <c r="F112" s="190">
        <f>E113</f>
        <v>2123.5500000000002</v>
      </c>
      <c r="G112" s="43"/>
    </row>
    <row r="113" spans="1:7" s="33" customFormat="1" ht="44.25" customHeight="1">
      <c r="A113" s="164"/>
      <c r="B113" s="163"/>
      <c r="C113" s="159" t="s">
        <v>448</v>
      </c>
      <c r="D113" s="160" t="s">
        <v>316</v>
      </c>
      <c r="E113" s="161">
        <v>2123.5500000000002</v>
      </c>
      <c r="F113" s="197" t="s">
        <v>4</v>
      </c>
      <c r="G113" s="28"/>
    </row>
    <row r="114" spans="1:7" s="38" customFormat="1" ht="35.25" customHeight="1">
      <c r="A114" s="116" t="s">
        <v>18</v>
      </c>
      <c r="B114" s="117" t="s">
        <v>210</v>
      </c>
      <c r="C114" s="373" t="s">
        <v>350</v>
      </c>
      <c r="D114" s="373"/>
      <c r="E114" s="373"/>
      <c r="F114" s="373"/>
      <c r="G114" s="33"/>
    </row>
    <row r="115" spans="1:7" s="38" customFormat="1" ht="15" customHeight="1">
      <c r="A115" s="118" t="s">
        <v>4</v>
      </c>
      <c r="B115" s="135" t="s">
        <v>211</v>
      </c>
      <c r="C115" s="178" t="s">
        <v>212</v>
      </c>
      <c r="D115" s="179"/>
      <c r="E115" s="179"/>
      <c r="F115" s="180"/>
      <c r="G115" s="33"/>
    </row>
    <row r="116" spans="1:7" s="38" customFormat="1" ht="18" customHeight="1">
      <c r="A116" s="123" t="s">
        <v>22</v>
      </c>
      <c r="B116" s="155" t="s">
        <v>213</v>
      </c>
      <c r="C116" s="156" t="s">
        <v>214</v>
      </c>
      <c r="D116" s="144" t="s">
        <v>24</v>
      </c>
      <c r="E116" s="145" t="s">
        <v>4</v>
      </c>
      <c r="F116" s="190">
        <f>E117</f>
        <v>133</v>
      </c>
      <c r="G116" s="43"/>
    </row>
    <row r="117" spans="1:7" s="38" customFormat="1" ht="30" customHeight="1">
      <c r="A117" s="165"/>
      <c r="B117" s="167"/>
      <c r="C117" s="159" t="s">
        <v>449</v>
      </c>
      <c r="D117" s="160" t="s">
        <v>24</v>
      </c>
      <c r="E117" s="161">
        <v>133</v>
      </c>
      <c r="F117" s="197" t="s">
        <v>4</v>
      </c>
    </row>
    <row r="118" spans="1:7" s="38" customFormat="1" ht="15.75" customHeight="1">
      <c r="A118" s="118" t="s">
        <v>4</v>
      </c>
      <c r="B118" s="135" t="s">
        <v>215</v>
      </c>
      <c r="C118" s="178" t="s">
        <v>216</v>
      </c>
      <c r="D118" s="178"/>
      <c r="E118" s="178"/>
      <c r="F118" s="182"/>
      <c r="G118" s="45"/>
    </row>
    <row r="119" spans="1:7" s="38" customFormat="1" ht="16.5" customHeight="1">
      <c r="A119" s="123" t="s">
        <v>23</v>
      </c>
      <c r="B119" s="155" t="s">
        <v>217</v>
      </c>
      <c r="C119" s="156" t="s">
        <v>218</v>
      </c>
      <c r="D119" s="144" t="s">
        <v>15</v>
      </c>
      <c r="E119" s="145" t="s">
        <v>4</v>
      </c>
      <c r="F119" s="190">
        <f>E120</f>
        <v>59</v>
      </c>
      <c r="G119" s="46"/>
    </row>
    <row r="120" spans="1:7" s="38" customFormat="1" ht="42.75" customHeight="1">
      <c r="A120" s="165"/>
      <c r="B120" s="167"/>
      <c r="C120" s="159" t="s">
        <v>450</v>
      </c>
      <c r="D120" s="160" t="s">
        <v>15</v>
      </c>
      <c r="E120" s="161">
        <v>59</v>
      </c>
      <c r="F120" s="197" t="s">
        <v>4</v>
      </c>
      <c r="G120" s="46"/>
    </row>
    <row r="121" spans="1:7" s="38" customFormat="1" ht="20.25" customHeight="1">
      <c r="A121" s="118" t="s">
        <v>4</v>
      </c>
      <c r="B121" s="169" t="s">
        <v>219</v>
      </c>
      <c r="C121" s="178" t="s">
        <v>220</v>
      </c>
      <c r="D121" s="178"/>
      <c r="E121" s="178"/>
      <c r="F121" s="182"/>
      <c r="G121" s="46"/>
    </row>
    <row r="122" spans="1:7" s="38" customFormat="1" ht="20.25" customHeight="1">
      <c r="A122" s="123" t="s">
        <v>525</v>
      </c>
      <c r="B122" s="155" t="s">
        <v>452</v>
      </c>
      <c r="C122" s="156" t="s">
        <v>453</v>
      </c>
      <c r="D122" s="144" t="s">
        <v>6</v>
      </c>
      <c r="E122" s="145" t="s">
        <v>4</v>
      </c>
      <c r="F122" s="190">
        <f>E123</f>
        <v>319</v>
      </c>
      <c r="G122" s="46"/>
    </row>
    <row r="123" spans="1:7" s="38" customFormat="1" ht="42.75" customHeight="1">
      <c r="A123" s="168"/>
      <c r="B123" s="167"/>
      <c r="C123" s="159" t="s">
        <v>454</v>
      </c>
      <c r="D123" s="160" t="s">
        <v>6</v>
      </c>
      <c r="E123" s="161">
        <v>319</v>
      </c>
      <c r="F123" s="197" t="s">
        <v>4</v>
      </c>
      <c r="G123" s="46"/>
    </row>
    <row r="124" spans="1:7" s="38" customFormat="1" ht="42.75" customHeight="1">
      <c r="A124" s="123" t="s">
        <v>526</v>
      </c>
      <c r="B124" s="155" t="s">
        <v>527</v>
      </c>
      <c r="C124" s="366" t="s">
        <v>528</v>
      </c>
      <c r="D124" s="144" t="s">
        <v>518</v>
      </c>
      <c r="E124" s="145" t="s">
        <v>4</v>
      </c>
      <c r="F124" s="190">
        <f>E125</f>
        <v>1</v>
      </c>
      <c r="G124" s="46"/>
    </row>
    <row r="125" spans="1:7" s="38" customFormat="1" ht="173.25" customHeight="1">
      <c r="A125" s="168"/>
      <c r="B125" s="167"/>
      <c r="C125" s="159" t="s">
        <v>551</v>
      </c>
      <c r="D125" s="160" t="s">
        <v>518</v>
      </c>
      <c r="E125" s="161">
        <v>1</v>
      </c>
      <c r="F125" s="197" t="s">
        <v>4</v>
      </c>
      <c r="G125" s="46"/>
    </row>
    <row r="126" spans="1:7" s="38" customFormat="1" ht="29.25" customHeight="1">
      <c r="A126" s="116" t="s">
        <v>45</v>
      </c>
      <c r="B126" s="117" t="s">
        <v>222</v>
      </c>
      <c r="C126" s="373" t="s">
        <v>351</v>
      </c>
      <c r="D126" s="373"/>
      <c r="E126" s="373"/>
      <c r="F126" s="373"/>
    </row>
    <row r="127" spans="1:7" s="38" customFormat="1" ht="21.75" customHeight="1">
      <c r="A127" s="118" t="s">
        <v>4</v>
      </c>
      <c r="B127" s="135" t="s">
        <v>223</v>
      </c>
      <c r="C127" s="178" t="s">
        <v>224</v>
      </c>
      <c r="D127" s="179"/>
      <c r="E127" s="179"/>
      <c r="F127" s="180"/>
    </row>
    <row r="128" spans="1:7" s="38" customFormat="1" ht="27" customHeight="1">
      <c r="A128" s="123" t="s">
        <v>225</v>
      </c>
      <c r="B128" s="155" t="s">
        <v>226</v>
      </c>
      <c r="C128" s="156" t="s">
        <v>227</v>
      </c>
      <c r="D128" s="144" t="s">
        <v>6</v>
      </c>
      <c r="E128" s="145" t="s">
        <v>4</v>
      </c>
      <c r="F128" s="190">
        <f>E129</f>
        <v>1038.5</v>
      </c>
    </row>
    <row r="129" spans="1:7" s="38" customFormat="1" ht="81.75" customHeight="1">
      <c r="A129" s="165"/>
      <c r="B129" s="167"/>
      <c r="C129" s="269" t="s">
        <v>451</v>
      </c>
      <c r="D129" s="160" t="s">
        <v>6</v>
      </c>
      <c r="E129" s="161">
        <f>'1. Zjazdy'!G18+'4. El. pref. 5.konstr.'!D8+'4. El. pref. 5.konstr.'!D6</f>
        <v>1038.5</v>
      </c>
      <c r="F129" s="190" t="s">
        <v>4</v>
      </c>
    </row>
    <row r="130" spans="1:7" s="38" customFormat="1" ht="21" customHeight="1">
      <c r="A130" s="118" t="s">
        <v>4</v>
      </c>
      <c r="B130" s="169" t="s">
        <v>345</v>
      </c>
      <c r="C130" s="178" t="s">
        <v>343</v>
      </c>
      <c r="D130" s="179"/>
      <c r="E130" s="179"/>
      <c r="F130" s="180"/>
    </row>
    <row r="131" spans="1:7" s="38" customFormat="1" ht="20.25" customHeight="1">
      <c r="A131" s="123" t="s">
        <v>228</v>
      </c>
      <c r="B131" s="155" t="s">
        <v>344</v>
      </c>
      <c r="C131" s="156" t="s">
        <v>347</v>
      </c>
      <c r="D131" s="144" t="s">
        <v>315</v>
      </c>
      <c r="E131" s="145" t="s">
        <v>4</v>
      </c>
      <c r="F131" s="190">
        <f>E132</f>
        <v>1823.8</v>
      </c>
    </row>
    <row r="132" spans="1:7" s="38" customFormat="1" ht="43.5" customHeight="1" thickBot="1">
      <c r="A132" s="100"/>
      <c r="B132" s="101"/>
      <c r="C132" s="102" t="s">
        <v>460</v>
      </c>
      <c r="D132" s="98" t="s">
        <v>316</v>
      </c>
      <c r="E132" s="103">
        <f>'4. El. pref. 5.konstr.'!C27</f>
        <v>1823.8</v>
      </c>
      <c r="F132" s="198" t="s">
        <v>4</v>
      </c>
    </row>
    <row r="133" spans="1:7" s="33" customFormat="1" ht="18" customHeight="1">
      <c r="A133" s="118" t="s">
        <v>4</v>
      </c>
      <c r="B133" s="135" t="s">
        <v>230</v>
      </c>
      <c r="C133" s="178" t="s">
        <v>231</v>
      </c>
      <c r="D133" s="97"/>
      <c r="E133" s="179"/>
      <c r="F133" s="180"/>
    </row>
    <row r="134" spans="1:7" s="33" customFormat="1" ht="21.75" customHeight="1">
      <c r="A134" s="123" t="s">
        <v>229</v>
      </c>
      <c r="B134" s="155" t="s">
        <v>233</v>
      </c>
      <c r="C134" s="156" t="s">
        <v>234</v>
      </c>
      <c r="D134" s="144" t="s">
        <v>6</v>
      </c>
      <c r="E134" s="145" t="s">
        <v>4</v>
      </c>
      <c r="F134" s="190">
        <f>E135</f>
        <v>996.5</v>
      </c>
      <c r="G134" s="43"/>
    </row>
    <row r="135" spans="1:7" s="38" customFormat="1" ht="66.75" customHeight="1" thickBot="1">
      <c r="A135" s="39"/>
      <c r="B135" s="101"/>
      <c r="C135" s="102" t="s">
        <v>461</v>
      </c>
      <c r="D135" s="98" t="s">
        <v>6</v>
      </c>
      <c r="E135" s="103">
        <f>'1. Zjazdy'!H18+'4. El. pref. 5.konstr.'!D10</f>
        <v>996.5</v>
      </c>
      <c r="F135" s="198" t="s">
        <v>4</v>
      </c>
      <c r="G135" s="47"/>
    </row>
    <row r="136" spans="1:7">
      <c r="A136" s="118" t="s">
        <v>4</v>
      </c>
      <c r="B136" s="169" t="s">
        <v>455</v>
      </c>
      <c r="C136" s="178" t="s">
        <v>459</v>
      </c>
      <c r="D136" s="97"/>
      <c r="E136" s="179"/>
      <c r="F136" s="180"/>
    </row>
    <row r="137" spans="1:7">
      <c r="A137" s="123" t="s">
        <v>232</v>
      </c>
      <c r="B137" s="155" t="s">
        <v>456</v>
      </c>
      <c r="C137" s="156" t="s">
        <v>458</v>
      </c>
      <c r="D137" s="144" t="s">
        <v>6</v>
      </c>
      <c r="E137" s="145" t="s">
        <v>4</v>
      </c>
      <c r="F137" s="190">
        <f>E138</f>
        <v>368.5</v>
      </c>
    </row>
    <row r="138" spans="1:7" ht="44.25" customHeight="1">
      <c r="A138" s="296"/>
      <c r="B138" s="297"/>
      <c r="C138" s="298" t="s">
        <v>462</v>
      </c>
      <c r="D138" s="299" t="s">
        <v>6</v>
      </c>
      <c r="E138" s="300">
        <f>'4. El. pref. 5.konstr.'!D12</f>
        <v>368.5</v>
      </c>
      <c r="F138" s="301" t="s">
        <v>4</v>
      </c>
    </row>
    <row r="139" spans="1:7" ht="29.25" customHeight="1">
      <c r="A139" s="116" t="s">
        <v>353</v>
      </c>
      <c r="B139" s="117" t="s">
        <v>464</v>
      </c>
      <c r="C139" s="372" t="s">
        <v>465</v>
      </c>
      <c r="D139" s="372"/>
      <c r="E139" s="372"/>
      <c r="F139" s="373"/>
    </row>
    <row r="140" spans="1:7">
      <c r="A140" s="118" t="s">
        <v>4</v>
      </c>
      <c r="B140" s="169" t="s">
        <v>466</v>
      </c>
      <c r="C140" s="178" t="s">
        <v>469</v>
      </c>
      <c r="D140" s="179"/>
      <c r="E140" s="179"/>
      <c r="F140" s="180"/>
    </row>
    <row r="141" spans="1:7">
      <c r="A141" s="123" t="s">
        <v>472</v>
      </c>
      <c r="B141" s="155" t="s">
        <v>467</v>
      </c>
      <c r="C141" s="156" t="s">
        <v>470</v>
      </c>
      <c r="D141" s="144" t="s">
        <v>15</v>
      </c>
      <c r="E141" s="145" t="s">
        <v>4</v>
      </c>
      <c r="F141" s="190">
        <f>E142</f>
        <v>4</v>
      </c>
    </row>
    <row r="142" spans="1:7" ht="39" thickBot="1">
      <c r="A142" s="100"/>
      <c r="B142" s="101"/>
      <c r="C142" s="102" t="s">
        <v>471</v>
      </c>
      <c r="D142" s="98" t="s">
        <v>15</v>
      </c>
      <c r="E142" s="103">
        <v>4</v>
      </c>
      <c r="F142" s="198" t="s">
        <v>4</v>
      </c>
    </row>
    <row r="143" spans="1:7" ht="23.25" customHeight="1">
      <c r="A143" s="371" t="s">
        <v>497</v>
      </c>
      <c r="B143" s="371"/>
      <c r="C143" s="371"/>
      <c r="D143" s="371"/>
      <c r="E143" s="371"/>
      <c r="F143" s="371"/>
    </row>
    <row r="144" spans="1:7" ht="32.25" customHeight="1">
      <c r="A144" s="116" t="s">
        <v>76</v>
      </c>
      <c r="B144" s="117" t="s">
        <v>496</v>
      </c>
      <c r="C144" s="289" t="s">
        <v>498</v>
      </c>
      <c r="D144" s="290"/>
      <c r="E144" s="290"/>
      <c r="F144" s="292"/>
    </row>
    <row r="145" spans="1:8">
      <c r="A145" s="118" t="s">
        <v>4</v>
      </c>
      <c r="B145" s="169" t="s">
        <v>499</v>
      </c>
      <c r="C145" s="178" t="s">
        <v>500</v>
      </c>
      <c r="D145" s="179"/>
      <c r="E145" s="179"/>
      <c r="F145" s="180"/>
    </row>
    <row r="146" spans="1:8">
      <c r="A146" s="123" t="s">
        <v>501</v>
      </c>
      <c r="B146" s="155" t="s">
        <v>502</v>
      </c>
      <c r="C146" s="156" t="s">
        <v>503</v>
      </c>
      <c r="D146" s="144" t="s">
        <v>11</v>
      </c>
      <c r="E146" s="145" t="s">
        <v>4</v>
      </c>
      <c r="F146" s="190">
        <f>E147</f>
        <v>1</v>
      </c>
      <c r="H146" s="19" t="s">
        <v>504</v>
      </c>
    </row>
    <row r="147" spans="1:8" ht="115.5" thickBot="1">
      <c r="A147" s="100"/>
      <c r="B147" s="101"/>
      <c r="C147" s="102" t="s">
        <v>505</v>
      </c>
      <c r="D147" s="98" t="s">
        <v>11</v>
      </c>
      <c r="E147" s="103">
        <v>1</v>
      </c>
      <c r="F147" s="198" t="s">
        <v>4</v>
      </c>
      <c r="H147" s="19" t="s">
        <v>504</v>
      </c>
    </row>
    <row r="148" spans="1:8" ht="15" customHeight="1">
      <c r="F148" s="22"/>
    </row>
    <row r="149" spans="1:8">
      <c r="F149" s="22"/>
    </row>
    <row r="150" spans="1:8">
      <c r="F150" s="22"/>
    </row>
    <row r="151" spans="1:8">
      <c r="F151" s="22"/>
    </row>
    <row r="152" spans="1:8">
      <c r="F152" s="22"/>
    </row>
    <row r="153" spans="1:8">
      <c r="F153" s="22"/>
    </row>
    <row r="154" spans="1:8">
      <c r="F154" s="22"/>
    </row>
    <row r="155" spans="1:8">
      <c r="F155" s="22"/>
    </row>
    <row r="156" spans="1:8">
      <c r="F156" s="22"/>
    </row>
    <row r="157" spans="1:8">
      <c r="F157" s="22"/>
    </row>
    <row r="158" spans="1:8">
      <c r="F158" s="22"/>
    </row>
  </sheetData>
  <mergeCells count="15">
    <mergeCell ref="A68:A74"/>
    <mergeCell ref="B68:B74"/>
    <mergeCell ref="A1:F1"/>
    <mergeCell ref="A2:F2"/>
    <mergeCell ref="B4:F4"/>
    <mergeCell ref="C5:F5"/>
    <mergeCell ref="A11:F11"/>
    <mergeCell ref="A143:F143"/>
    <mergeCell ref="C139:F139"/>
    <mergeCell ref="C126:F126"/>
    <mergeCell ref="C75:F75"/>
    <mergeCell ref="C91:F91"/>
    <mergeCell ref="C96:F96"/>
    <mergeCell ref="C110:F110"/>
    <mergeCell ref="C114:F114"/>
  </mergeCells>
  <pageMargins left="0.70833333333333304" right="0.70833333333333304" top="0.74791666666666701" bottom="0.74791666666666701" header="0.511811023622047" footer="0.511811023622047"/>
  <pageSetup paperSize="9" scale="65" fitToHeight="5" orientation="portrait" horizontalDpi="300" verticalDpi="300" r:id="rId1"/>
  <rowBreaks count="4" manualBreakCount="4">
    <brk id="29" max="5" man="1"/>
    <brk id="62" max="5" man="1"/>
    <brk id="90" max="5" man="1"/>
    <brk id="125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4"/>
  <sheetViews>
    <sheetView view="pageBreakPreview" zoomScaleNormal="100" zoomScaleSheetLayoutView="100" workbookViewId="0">
      <selection activeCell="J11" sqref="J11"/>
    </sheetView>
  </sheetViews>
  <sheetFormatPr defaultRowHeight="15"/>
  <cols>
    <col min="2" max="2" width="12.7109375" customWidth="1"/>
    <col min="4" max="4" width="21.85546875" customWidth="1"/>
    <col min="5" max="5" width="46.140625" customWidth="1"/>
    <col min="6" max="7" width="12.7109375" customWidth="1"/>
  </cols>
  <sheetData>
    <row r="1" spans="1:7" ht="15.75">
      <c r="A1" s="62" t="s">
        <v>520</v>
      </c>
    </row>
    <row r="2" spans="1:7" ht="16.5" thickBot="1">
      <c r="A2" s="62"/>
    </row>
    <row r="3" spans="1:7" ht="15.75">
      <c r="A3" s="442" t="s">
        <v>477</v>
      </c>
      <c r="B3" s="443"/>
      <c r="C3" s="443"/>
      <c r="D3" s="443"/>
      <c r="E3" s="443"/>
      <c r="F3" s="443"/>
      <c r="G3" s="444"/>
    </row>
    <row r="4" spans="1:7">
      <c r="A4" s="348" t="s">
        <v>506</v>
      </c>
      <c r="B4" s="447" t="s">
        <v>507</v>
      </c>
      <c r="C4" s="448"/>
      <c r="D4" s="448"/>
      <c r="E4" s="449"/>
      <c r="F4" s="347" t="s">
        <v>508</v>
      </c>
      <c r="G4" s="349" t="s">
        <v>509</v>
      </c>
    </row>
    <row r="5" spans="1:7">
      <c r="A5" s="450" t="s">
        <v>510</v>
      </c>
      <c r="B5" s="451"/>
      <c r="C5" s="451"/>
      <c r="D5" s="451"/>
      <c r="E5" s="451"/>
      <c r="F5" s="451"/>
      <c r="G5" s="452"/>
    </row>
    <row r="6" spans="1:7" ht="35.25" customHeight="1">
      <c r="A6" s="350">
        <v>1</v>
      </c>
      <c r="B6" s="445" t="s">
        <v>511</v>
      </c>
      <c r="C6" s="445"/>
      <c r="D6" s="445"/>
      <c r="E6" s="445"/>
      <c r="F6" s="346" t="s">
        <v>521</v>
      </c>
      <c r="G6" s="351">
        <v>234</v>
      </c>
    </row>
    <row r="7" spans="1:7" ht="26.25" customHeight="1">
      <c r="A7" s="350">
        <v>2</v>
      </c>
      <c r="B7" s="445" t="s">
        <v>512</v>
      </c>
      <c r="C7" s="445"/>
      <c r="D7" s="445"/>
      <c r="E7" s="445"/>
      <c r="F7" s="346" t="s">
        <v>522</v>
      </c>
      <c r="G7" s="351">
        <v>91.3</v>
      </c>
    </row>
    <row r="8" spans="1:7" ht="28.5" customHeight="1">
      <c r="A8" s="350">
        <v>3</v>
      </c>
      <c r="B8" s="445" t="s">
        <v>513</v>
      </c>
      <c r="C8" s="445"/>
      <c r="D8" s="445"/>
      <c r="E8" s="445"/>
      <c r="F8" s="346" t="s">
        <v>522</v>
      </c>
      <c r="G8" s="351">
        <v>91.3</v>
      </c>
    </row>
    <row r="9" spans="1:7" ht="29.25" customHeight="1">
      <c r="A9" s="350">
        <v>4</v>
      </c>
      <c r="B9" s="445" t="s">
        <v>514</v>
      </c>
      <c r="C9" s="445"/>
      <c r="D9" s="445"/>
      <c r="E9" s="445"/>
      <c r="F9" s="346" t="s">
        <v>15</v>
      </c>
      <c r="G9" s="352">
        <v>20</v>
      </c>
    </row>
    <row r="10" spans="1:7" ht="33.75" customHeight="1">
      <c r="A10" s="350">
        <v>5</v>
      </c>
      <c r="B10" s="445" t="s">
        <v>515</v>
      </c>
      <c r="C10" s="445"/>
      <c r="D10" s="445"/>
      <c r="E10" s="445"/>
      <c r="F10" s="346" t="s">
        <v>15</v>
      </c>
      <c r="G10" s="352">
        <v>20</v>
      </c>
    </row>
    <row r="11" spans="1:7" ht="32.25" customHeight="1">
      <c r="A11" s="350">
        <v>6</v>
      </c>
      <c r="B11" s="445" t="s">
        <v>516</v>
      </c>
      <c r="C11" s="445"/>
      <c r="D11" s="445"/>
      <c r="E11" s="445"/>
      <c r="F11" s="346" t="s">
        <v>521</v>
      </c>
      <c r="G11" s="351">
        <v>168.3</v>
      </c>
    </row>
    <row r="12" spans="1:7">
      <c r="A12" s="350">
        <v>7</v>
      </c>
      <c r="B12" s="445" t="s">
        <v>517</v>
      </c>
      <c r="C12" s="445"/>
      <c r="D12" s="445"/>
      <c r="E12" s="445"/>
      <c r="F12" s="346" t="s">
        <v>518</v>
      </c>
      <c r="G12" s="352">
        <v>1</v>
      </c>
    </row>
    <row r="13" spans="1:7" ht="15.75" thickBot="1">
      <c r="A13" s="353">
        <v>8</v>
      </c>
      <c r="B13" s="446" t="s">
        <v>519</v>
      </c>
      <c r="C13" s="446"/>
      <c r="D13" s="446"/>
      <c r="E13" s="446"/>
      <c r="F13" s="354" t="s">
        <v>518</v>
      </c>
      <c r="G13" s="355">
        <v>1</v>
      </c>
    </row>
    <row r="14" spans="1:7">
      <c r="A14" s="345"/>
      <c r="B14" s="345"/>
      <c r="C14" s="345"/>
      <c r="D14" s="345"/>
      <c r="E14" s="345"/>
      <c r="F14" s="345"/>
      <c r="G14" s="345"/>
    </row>
  </sheetData>
  <mergeCells count="11">
    <mergeCell ref="B13:E13"/>
    <mergeCell ref="B4:E4"/>
    <mergeCell ref="A5:G5"/>
    <mergeCell ref="B6:E6"/>
    <mergeCell ref="B7:E7"/>
    <mergeCell ref="B8:E8"/>
    <mergeCell ref="A3:G3"/>
    <mergeCell ref="B9:E9"/>
    <mergeCell ref="B10:E10"/>
    <mergeCell ref="B11:E11"/>
    <mergeCell ref="B12:E1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P87"/>
  <sheetViews>
    <sheetView view="pageBreakPreview" topLeftCell="A2" zoomScale="85" zoomScaleNormal="85" zoomScaleSheetLayoutView="85" zoomScalePageLayoutView="160" workbookViewId="0">
      <selection activeCell="I11" sqref="I11"/>
    </sheetView>
  </sheetViews>
  <sheetFormatPr defaultColWidth="8.7109375" defaultRowHeight="15"/>
  <cols>
    <col min="1" max="1" width="14.42578125" customWidth="1"/>
    <col min="2" max="2" width="16" customWidth="1"/>
    <col min="4" max="4" width="57.7109375" customWidth="1"/>
    <col min="5" max="5" width="25" customWidth="1"/>
  </cols>
  <sheetData>
    <row r="1" spans="1:16" ht="21" hidden="1" customHeight="1">
      <c r="A1" s="390" t="s">
        <v>39</v>
      </c>
      <c r="B1" s="390"/>
      <c r="C1" s="390"/>
      <c r="D1" s="390"/>
      <c r="E1" s="390"/>
    </row>
    <row r="2" spans="1:16" ht="15.75" thickBot="1">
      <c r="A2" s="2"/>
      <c r="B2" s="2"/>
      <c r="C2" s="2"/>
      <c r="D2" s="2"/>
      <c r="E2" s="2"/>
    </row>
    <row r="3" spans="1:16" ht="41.25" customHeight="1" thickBot="1">
      <c r="A3" s="391" t="s">
        <v>40</v>
      </c>
      <c r="B3" s="391"/>
      <c r="C3" s="391"/>
      <c r="D3" s="391"/>
      <c r="E3" s="391"/>
    </row>
    <row r="4" spans="1:16" ht="18.75">
      <c r="A4" s="2"/>
      <c r="B4" s="392"/>
      <c r="C4" s="392"/>
      <c r="D4" s="392"/>
      <c r="E4" s="392"/>
    </row>
    <row r="5" spans="1:16" ht="96.75" customHeight="1">
      <c r="A5" s="108" t="s">
        <v>33</v>
      </c>
      <c r="B5" s="385" t="s">
        <v>553</v>
      </c>
      <c r="C5" s="385"/>
      <c r="D5" s="385"/>
      <c r="E5" s="385"/>
    </row>
    <row r="6" spans="1:16" ht="18.75">
      <c r="A6" s="2"/>
      <c r="B6" s="392"/>
      <c r="C6" s="392"/>
      <c r="D6" s="392"/>
      <c r="E6" s="392"/>
    </row>
    <row r="7" spans="1:16" ht="45" customHeight="1">
      <c r="A7" s="12" t="s">
        <v>41</v>
      </c>
      <c r="B7" s="12" t="s">
        <v>42</v>
      </c>
      <c r="C7" s="394" t="s">
        <v>43</v>
      </c>
      <c r="D7" s="394"/>
      <c r="E7" s="12" t="s">
        <v>44</v>
      </c>
    </row>
    <row r="8" spans="1:16" ht="15" hidden="1" customHeight="1">
      <c r="A8" s="13" t="s">
        <v>4</v>
      </c>
      <c r="B8" s="13" t="s">
        <v>45</v>
      </c>
      <c r="C8" s="395" t="s">
        <v>46</v>
      </c>
      <c r="D8" s="395"/>
      <c r="E8" s="14" t="s">
        <v>4</v>
      </c>
    </row>
    <row r="9" spans="1:16" ht="36" hidden="1" customHeight="1">
      <c r="A9" s="15" t="s">
        <v>30</v>
      </c>
      <c r="B9" s="15" t="s">
        <v>47</v>
      </c>
      <c r="C9" s="396" t="s">
        <v>48</v>
      </c>
      <c r="D9" s="396"/>
      <c r="E9" s="16" t="e">
        <f>#REF!</f>
        <v>#REF!</v>
      </c>
      <c r="I9" s="385"/>
      <c r="J9" s="385"/>
      <c r="K9" s="385"/>
      <c r="L9" s="385"/>
      <c r="M9" s="385"/>
      <c r="N9" s="385"/>
      <c r="O9" s="385"/>
      <c r="P9" s="385"/>
    </row>
    <row r="10" spans="1:16" ht="26.25" hidden="1" customHeight="1">
      <c r="A10" s="386" t="s">
        <v>49</v>
      </c>
      <c r="B10" s="386"/>
      <c r="C10" s="386"/>
      <c r="D10" s="386"/>
      <c r="E10" s="17" t="e">
        <f>E9</f>
        <v>#REF!</v>
      </c>
    </row>
    <row r="11" spans="1:16" ht="26.25" customHeight="1">
      <c r="A11" s="13"/>
      <c r="B11" s="13" t="s">
        <v>45</v>
      </c>
      <c r="C11" s="387" t="s">
        <v>46</v>
      </c>
      <c r="D11" s="387"/>
      <c r="E11" s="14" t="s">
        <v>4</v>
      </c>
    </row>
    <row r="12" spans="1:16" ht="37.5" customHeight="1">
      <c r="A12" s="15" t="s">
        <v>30</v>
      </c>
      <c r="B12" s="15" t="s">
        <v>47</v>
      </c>
      <c r="C12" s="389" t="s">
        <v>50</v>
      </c>
      <c r="D12" s="389"/>
      <c r="E12" s="16"/>
    </row>
    <row r="13" spans="1:16" ht="26.25" customHeight="1">
      <c r="A13" s="386" t="s">
        <v>49</v>
      </c>
      <c r="B13" s="386"/>
      <c r="C13" s="386"/>
      <c r="D13" s="386"/>
      <c r="E13" s="17"/>
    </row>
    <row r="14" spans="1:16" ht="25.5" customHeight="1">
      <c r="A14" s="13"/>
      <c r="B14" s="13" t="s">
        <v>51</v>
      </c>
      <c r="C14" s="387" t="s">
        <v>52</v>
      </c>
      <c r="D14" s="387"/>
      <c r="E14" s="14" t="s">
        <v>4</v>
      </c>
    </row>
    <row r="15" spans="1:16" ht="24" customHeight="1">
      <c r="A15" s="15" t="s">
        <v>31</v>
      </c>
      <c r="B15" s="15" t="s">
        <v>53</v>
      </c>
      <c r="C15" s="388" t="s">
        <v>3</v>
      </c>
      <c r="D15" s="388"/>
      <c r="E15" s="16"/>
    </row>
    <row r="16" spans="1:16" ht="24" customHeight="1">
      <c r="A16" s="15" t="s">
        <v>32</v>
      </c>
      <c r="B16" s="15" t="s">
        <v>54</v>
      </c>
      <c r="C16" s="388" t="s">
        <v>55</v>
      </c>
      <c r="D16" s="388"/>
      <c r="E16" s="16"/>
    </row>
    <row r="17" spans="1:10" ht="24" customHeight="1">
      <c r="A17" s="15" t="s">
        <v>56</v>
      </c>
      <c r="B17" s="15" t="s">
        <v>57</v>
      </c>
      <c r="C17" s="388" t="s">
        <v>58</v>
      </c>
      <c r="D17" s="388"/>
      <c r="E17" s="16"/>
    </row>
    <row r="18" spans="1:10" ht="24" customHeight="1">
      <c r="A18" s="15" t="s">
        <v>59</v>
      </c>
      <c r="B18" s="15" t="s">
        <v>60</v>
      </c>
      <c r="C18" s="388" t="s">
        <v>61</v>
      </c>
      <c r="D18" s="388"/>
      <c r="E18" s="16"/>
    </row>
    <row r="19" spans="1:10" ht="24" customHeight="1">
      <c r="A19" s="15" t="s">
        <v>62</v>
      </c>
      <c r="B19" s="15" t="s">
        <v>63</v>
      </c>
      <c r="C19" s="389" t="s">
        <v>64</v>
      </c>
      <c r="D19" s="389"/>
      <c r="E19" s="16"/>
    </row>
    <row r="20" spans="1:10" ht="24" customHeight="1">
      <c r="A20" s="15" t="s">
        <v>65</v>
      </c>
      <c r="B20" s="15" t="s">
        <v>66</v>
      </c>
      <c r="C20" s="389" t="s">
        <v>67</v>
      </c>
      <c r="D20" s="389"/>
      <c r="E20" s="16"/>
      <c r="F20" s="2"/>
      <c r="G20" s="2"/>
      <c r="H20" s="2"/>
      <c r="I20" s="2"/>
      <c r="J20" s="2"/>
    </row>
    <row r="21" spans="1:10" ht="36" customHeight="1">
      <c r="A21" s="15" t="s">
        <v>68</v>
      </c>
      <c r="B21" s="15" t="s">
        <v>18</v>
      </c>
      <c r="C21" s="389" t="s">
        <v>69</v>
      </c>
      <c r="D21" s="389"/>
      <c r="E21" s="16"/>
      <c r="F21" s="2"/>
      <c r="G21" s="2"/>
      <c r="H21" s="2"/>
      <c r="I21" s="2"/>
      <c r="J21" s="2"/>
    </row>
    <row r="22" spans="1:10" ht="36" customHeight="1">
      <c r="A22" s="15" t="s">
        <v>70</v>
      </c>
      <c r="B22" s="15" t="s">
        <v>45</v>
      </c>
      <c r="C22" s="389" t="s">
        <v>71</v>
      </c>
      <c r="D22" s="389"/>
      <c r="E22" s="16"/>
      <c r="F22" s="2"/>
      <c r="G22" s="2"/>
      <c r="H22" s="2"/>
      <c r="I22" s="2"/>
      <c r="J22" s="2"/>
    </row>
    <row r="23" spans="1:10" ht="36" customHeight="1">
      <c r="A23" s="15" t="s">
        <v>355</v>
      </c>
      <c r="B23" s="15" t="s">
        <v>353</v>
      </c>
      <c r="C23" s="389" t="s">
        <v>468</v>
      </c>
      <c r="D23" s="389"/>
      <c r="E23" s="16"/>
      <c r="F23" s="2"/>
      <c r="G23" s="2"/>
      <c r="H23" s="2"/>
      <c r="I23" s="2"/>
      <c r="J23" s="2"/>
    </row>
    <row r="24" spans="1:10" ht="24" customHeight="1">
      <c r="A24" s="386" t="s">
        <v>72</v>
      </c>
      <c r="B24" s="386"/>
      <c r="C24" s="386"/>
      <c r="D24" s="386"/>
      <c r="E24" s="17"/>
      <c r="F24" s="2"/>
      <c r="G24" s="2"/>
      <c r="H24" s="2"/>
      <c r="I24" s="2"/>
      <c r="J24" s="2"/>
    </row>
    <row r="25" spans="1:10" ht="24" customHeight="1">
      <c r="A25" s="18"/>
      <c r="B25" s="13" t="s">
        <v>73</v>
      </c>
      <c r="C25" s="387" t="s">
        <v>476</v>
      </c>
      <c r="D25" s="387"/>
      <c r="E25" s="14" t="s">
        <v>4</v>
      </c>
      <c r="F25" s="2"/>
      <c r="G25" s="2"/>
      <c r="H25" s="2"/>
      <c r="I25" s="2"/>
      <c r="J25" s="2"/>
    </row>
    <row r="26" spans="1:10" ht="36" customHeight="1">
      <c r="A26" s="15" t="s">
        <v>530</v>
      </c>
      <c r="B26" s="15" t="s">
        <v>76</v>
      </c>
      <c r="C26" s="396" t="s">
        <v>477</v>
      </c>
      <c r="D26" s="396"/>
      <c r="E26" s="109"/>
      <c r="F26" s="2"/>
      <c r="G26" s="2"/>
      <c r="H26" s="2"/>
      <c r="I26" s="2"/>
      <c r="J26" s="2"/>
    </row>
    <row r="27" spans="1:10" ht="24" customHeight="1">
      <c r="A27" s="386" t="s">
        <v>357</v>
      </c>
      <c r="B27" s="386"/>
      <c r="C27" s="386"/>
      <c r="D27" s="386"/>
      <c r="E27" s="17"/>
      <c r="F27" s="2"/>
      <c r="G27" s="2"/>
      <c r="H27" s="2"/>
      <c r="I27" s="2"/>
      <c r="J27" s="2"/>
    </row>
    <row r="28" spans="1:10" ht="24" customHeight="1">
      <c r="A28" s="18"/>
      <c r="B28" s="13" t="s">
        <v>74</v>
      </c>
      <c r="C28" s="387" t="s">
        <v>75</v>
      </c>
      <c r="D28" s="387"/>
      <c r="E28" s="14" t="s">
        <v>4</v>
      </c>
      <c r="F28" s="2"/>
      <c r="G28" s="2"/>
      <c r="H28" s="2"/>
      <c r="I28" s="2"/>
      <c r="J28" s="2"/>
    </row>
    <row r="29" spans="1:10" ht="38.25" customHeight="1">
      <c r="A29" s="15" t="s">
        <v>79</v>
      </c>
      <c r="B29" s="15" t="s">
        <v>80</v>
      </c>
      <c r="C29" s="389" t="s">
        <v>531</v>
      </c>
      <c r="D29" s="389"/>
      <c r="E29" s="16"/>
      <c r="F29" s="2"/>
      <c r="G29" s="2"/>
      <c r="H29" s="2"/>
      <c r="I29" s="2"/>
      <c r="J29" s="2"/>
    </row>
    <row r="30" spans="1:10" ht="24" customHeight="1">
      <c r="A30" s="368" t="s">
        <v>529</v>
      </c>
      <c r="B30" s="368" t="s">
        <v>354</v>
      </c>
      <c r="C30" s="389" t="s">
        <v>532</v>
      </c>
      <c r="D30" s="389"/>
      <c r="E30" s="369"/>
      <c r="F30" s="2"/>
      <c r="G30" s="2"/>
      <c r="H30" s="2"/>
      <c r="I30" s="2"/>
      <c r="J30" s="2"/>
    </row>
    <row r="31" spans="1:10" ht="24" customHeight="1">
      <c r="A31" s="386" t="s">
        <v>77</v>
      </c>
      <c r="B31" s="386"/>
      <c r="C31" s="386"/>
      <c r="D31" s="386"/>
      <c r="E31" s="17"/>
      <c r="F31" s="2"/>
      <c r="G31" s="2"/>
      <c r="H31" s="2"/>
      <c r="I31" s="2"/>
      <c r="J31" s="2"/>
    </row>
    <row r="32" spans="1:10" ht="24" customHeight="1">
      <c r="A32" s="18"/>
      <c r="B32" s="13" t="s">
        <v>475</v>
      </c>
      <c r="C32" s="387" t="s">
        <v>78</v>
      </c>
      <c r="D32" s="387"/>
      <c r="E32" s="14" t="s">
        <v>4</v>
      </c>
      <c r="F32" s="2"/>
      <c r="G32" s="2"/>
      <c r="H32" s="2"/>
      <c r="I32" s="2"/>
      <c r="J32" s="2"/>
    </row>
    <row r="33" spans="1:10" ht="24" customHeight="1">
      <c r="A33" s="15" t="s">
        <v>530</v>
      </c>
      <c r="B33" s="15" t="s">
        <v>533</v>
      </c>
      <c r="C33" s="396" t="s">
        <v>352</v>
      </c>
      <c r="D33" s="396"/>
      <c r="E33" s="109"/>
      <c r="F33" s="2"/>
      <c r="G33" s="2"/>
      <c r="H33" s="2"/>
      <c r="I33" s="2"/>
      <c r="J33" s="2"/>
    </row>
    <row r="34" spans="1:10" ht="27" customHeight="1">
      <c r="A34" s="386" t="s">
        <v>81</v>
      </c>
      <c r="B34" s="386"/>
      <c r="C34" s="386"/>
      <c r="D34" s="386"/>
      <c r="E34" s="17"/>
      <c r="F34" s="2"/>
      <c r="G34" s="2"/>
      <c r="H34" s="2"/>
      <c r="I34" s="2"/>
      <c r="J34" s="2"/>
    </row>
    <row r="35" spans="1:10" ht="26.25" customHeight="1">
      <c r="A35" s="393" t="s">
        <v>356</v>
      </c>
      <c r="B35" s="393"/>
      <c r="C35" s="393"/>
      <c r="D35" s="393"/>
      <c r="E35" s="110"/>
      <c r="F35" s="2"/>
      <c r="G35" s="2"/>
      <c r="H35" s="2"/>
      <c r="I35" s="2"/>
      <c r="J35" s="2"/>
    </row>
    <row r="36" spans="1:10" ht="33.75" customHeight="1">
      <c r="A36" s="393" t="s">
        <v>82</v>
      </c>
      <c r="B36" s="393"/>
      <c r="C36" s="393"/>
      <c r="D36" s="393"/>
      <c r="E36" s="110"/>
      <c r="F36" s="2"/>
      <c r="G36" s="2"/>
      <c r="H36" s="2"/>
      <c r="I36" s="2"/>
      <c r="J36" s="2"/>
    </row>
    <row r="37" spans="1:10" ht="39.75" customHeight="1">
      <c r="A37" s="393" t="s">
        <v>83</v>
      </c>
      <c r="B37" s="393"/>
      <c r="C37" s="393"/>
      <c r="D37" s="393"/>
      <c r="E37" s="110"/>
    </row>
    <row r="75" spans="1:11">
      <c r="A75" s="3">
        <f>E34</f>
        <v>0</v>
      </c>
    </row>
    <row r="76" spans="1:11">
      <c r="A76" s="6"/>
      <c r="B76" s="4"/>
      <c r="C76" s="5" t="s">
        <v>35</v>
      </c>
      <c r="D76" s="7" t="s">
        <v>36</v>
      </c>
      <c r="E76" s="5" t="s">
        <v>35</v>
      </c>
      <c r="F76" s="7" t="s">
        <v>36</v>
      </c>
      <c r="G76" s="5" t="s">
        <v>35</v>
      </c>
      <c r="H76" s="7" t="s">
        <v>36</v>
      </c>
      <c r="I76" s="5" t="s">
        <v>37</v>
      </c>
      <c r="J76" s="8" t="s">
        <v>38</v>
      </c>
      <c r="K76" s="4"/>
    </row>
    <row r="77" spans="1:11">
      <c r="A77" s="4">
        <f>INT(A$75/10000000)</f>
        <v>0</v>
      </c>
      <c r="B77" s="4"/>
      <c r="C77" s="9">
        <f t="shared" ref="C77:C84" si="0">IF(AND(A77&gt;=0,A77&lt;=5),1,0)</f>
        <v>1</v>
      </c>
      <c r="D77" s="9">
        <f t="shared" ref="D77:D84" si="1">IF(AND(A77&gt;=6,A77&lt;=9),1,0)</f>
        <v>0</v>
      </c>
      <c r="E77" s="10" t="str">
        <f>IF(A77=0,"",IF(A77=1,IF(A78=0,"dziesięć milionów ",""),IF(A77=2,"dwadzieścia ",IF(A77=3,"trzydzieści ",IF(A77=4,"czterdzieści ",IF(A77=5,"pięćdziesiąt ",""))))))</f>
        <v/>
      </c>
      <c r="F77" s="10" t="str">
        <f>IF(A77=6,"sześćdziesiąt ",IF(A77=7,"siedemdziesiąt ",IF(A77=8,"osiemdziesiąt ",IF(A77=9,"dziewięćdziesiąt ",""))))</f>
        <v/>
      </c>
      <c r="G77" s="4"/>
      <c r="H77" s="4"/>
      <c r="I77" s="4"/>
      <c r="J77" s="10" t="str">
        <f>IF(C77,E77&amp;I77,IF(D77,F77&amp;I77,""))</f>
        <v/>
      </c>
      <c r="K77" s="4"/>
    </row>
    <row r="78" spans="1:11">
      <c r="A78" s="6">
        <f>INT(A$75/1000000)-A77*10</f>
        <v>0</v>
      </c>
      <c r="B78" s="4"/>
      <c r="C78" s="9">
        <f t="shared" si="0"/>
        <v>1</v>
      </c>
      <c r="D78" s="9">
        <f t="shared" si="1"/>
        <v>0</v>
      </c>
      <c r="E78" s="10" t="str">
        <f>IF(A78=0,IF(AND(A77&lt;&gt;0,A77&lt;&gt;1),"milionów ",""),IF(A78=1,IF(A77=0,"jeden milion ","jeden milionów "),IF(A78=2,"dwa miliony ",IF(A78=3,"trzy miliony ",IF(A78=4,"cztery miliony ",IF(A78=5,"pięć milionów ",""))))))</f>
        <v/>
      </c>
      <c r="F78" s="10" t="str">
        <f>IF(A78=6,"sześć milionów ",IF(A78=7,"siedem milionów ",IF(A78=8,"osiem milionów ",IF(A78=9,"dziewięć milionów ",""))))</f>
        <v/>
      </c>
      <c r="G78" s="10" t="str">
        <f>IF(A78=0,"",IF(A78=1,"jedenaście milionów ",IF(A78=2,"dwanaście milionów ",IF(A78=3,"trzynaście milionów ",IF(A78=4,"czternaście milionów ",IF(A78=5,"piętnaście milionów ",""))))))</f>
        <v/>
      </c>
      <c r="H78" s="10" t="str">
        <f>IF(A78=6,"szesnaście milionów ",IF(A78=7,"siedemnaście milionów ",IF(A78=8,"osiemnaście milionów ",IF(A78=9,"dziewiętnaście milionów ",""))))</f>
        <v/>
      </c>
      <c r="I78" s="4"/>
      <c r="J78" s="10" t="str">
        <f>IF(A77=1,IF(C78,G78,IF(D78,H78)),IF(C78,E78,IF(D78,F78,"")))</f>
        <v/>
      </c>
      <c r="K78" s="4"/>
    </row>
    <row r="79" spans="1:11">
      <c r="A79" s="4">
        <f>INT(A$75/100000)-10*A78-100*A77</f>
        <v>0</v>
      </c>
      <c r="B79" s="4"/>
      <c r="C79" s="9">
        <f t="shared" si="0"/>
        <v>1</v>
      </c>
      <c r="D79" s="9">
        <f t="shared" si="1"/>
        <v>0</v>
      </c>
      <c r="E79" s="10" t="str">
        <f>IF(A79=0,"",IF(A79=1,"sto ",IF(A79=2,"dwieście ",IF(A79=3,"trzysta ",IF(A79=4,"czterysta ",IF(A79=5,"pięćset ",""))))))</f>
        <v/>
      </c>
      <c r="F79" s="10" t="str">
        <f>IF(A79=6,"sześćset ",IF(A79=7,"siedemset ",IF(A79=8,"osiemset ",IF(A79=9,"dziewięćset ",""))))</f>
        <v/>
      </c>
      <c r="G79" s="4"/>
      <c r="H79" s="4"/>
      <c r="I79" s="4"/>
      <c r="J79" s="10" t="str">
        <f>IF(C79,E79&amp;I79,IF(D79,F79&amp;I79,""))</f>
        <v/>
      </c>
      <c r="K79" s="4"/>
    </row>
    <row r="80" spans="1:11">
      <c r="A80" s="4">
        <f>INT(A$75/10000)-10*A79-100*A78-1000*A77</f>
        <v>0</v>
      </c>
      <c r="B80" s="4"/>
      <c r="C80" s="9">
        <f t="shared" si="0"/>
        <v>1</v>
      </c>
      <c r="D80" s="9">
        <f t="shared" si="1"/>
        <v>0</v>
      </c>
      <c r="E80" s="10" t="str">
        <f>IF(A80=0,"",IF(A80=1,IF(A81=0,"dziesięć tysięcy ",""),IF(A80=2,"dwadzieścia ",IF(A80=3,"trzydzieści ",IF(A80=4,"czterdzieści ",IF(A80=5,"pięćdziesiąt ",""))))))</f>
        <v/>
      </c>
      <c r="F80" s="10" t="str">
        <f>IF(A80=6,"sześćdziesiąt ",IF(A80=7,"siedemdziesiąt ",IF(A80=8,"osiemdziesiąt ",IF(A80=9,"dziewięćdziesiąt ",""))))</f>
        <v/>
      </c>
      <c r="G80" s="4"/>
      <c r="H80" s="4"/>
      <c r="I80" s="4"/>
      <c r="J80" s="10" t="str">
        <f>IF(C80,E80&amp;I80,IF(D80,F80&amp;I80,""))</f>
        <v/>
      </c>
      <c r="K80" s="4"/>
    </row>
    <row r="81" spans="1:11">
      <c r="A81" s="6">
        <f>INT(A$75/1000)-10*A80-100*A79-1000*A78-10000*A77</f>
        <v>0</v>
      </c>
      <c r="B81" s="4"/>
      <c r="C81" s="9">
        <f t="shared" si="0"/>
        <v>1</v>
      </c>
      <c r="D81" s="9">
        <f t="shared" si="1"/>
        <v>0</v>
      </c>
      <c r="E81" s="10" t="str">
        <f>IF(A81=0,IF(OR(AND(A80&lt;&gt;0,A80&lt;&gt;1),AND(A79&lt;&gt;0,A80=0)),"tysięcy ",""),IF(A81=1,IF(AND(A79=0,A80=0),"jeden tysiąc ","jeden tysięcy "),IF(A81=2,"dwa tysiące ",IF(A81=3,"trzy tysiące ",IF(A81=4,"cztery tysiące ",IF(A81=5,"pięć tysięcy ",""))))))</f>
        <v/>
      </c>
      <c r="F81" s="10" t="str">
        <f>IF(A81=6,"sześć tysięcy ",IF(A81=7,"siedem tysięcy ",IF(A81=8,"osiem tysięcy ",IF(A81=9,"dziewięć tysięcy ",""))))</f>
        <v/>
      </c>
      <c r="G81" s="10" t="str">
        <f>IF(A81=0,"",IF(A81=1,"jedenaście tysięcy ",IF(A81=2,"dwanaście tysięcy ",IF(A81=3,"trzynaście tysięcy ",IF(A81=4,"czternaście tysięcy ",IF(A81=5,"piętnaście tysięcy ",""))))))</f>
        <v/>
      </c>
      <c r="H81" s="10" t="str">
        <f>IF(A81=6,"szesnaście tysięcy ",IF(A81=7,"siedemnaście tysięcy ",IF(A81=8,"osiemnaście tysięcy ",IF(A81=9,"dziewiętnaście tysięcy ",""))))</f>
        <v/>
      </c>
      <c r="I81" s="4"/>
      <c r="J81" s="10" t="str">
        <f>IF(A80=1,IF(C81,G81,IF(D81,H81)),IF(C81,E81,IF(D81,F81,"")))</f>
        <v/>
      </c>
      <c r="K81" s="4"/>
    </row>
    <row r="82" spans="1:11">
      <c r="A82" s="4">
        <f>INT(A$75/100)-10*A81-100*A80-1000*A79-10000*A78-100000*A77</f>
        <v>0</v>
      </c>
      <c r="B82" s="4"/>
      <c r="C82" s="9">
        <f t="shared" si="0"/>
        <v>1</v>
      </c>
      <c r="D82" s="9">
        <f t="shared" si="1"/>
        <v>0</v>
      </c>
      <c r="E82" s="10" t="str">
        <f>IF(A82=0,"",IF(A82=1,"sto ",IF(A82=2,"dwieście ",IF(A82=3,"trzysta ",IF(A82=4,"czterysta ",IF(A82=5,"pięćset ",""))))))</f>
        <v/>
      </c>
      <c r="F82" s="10" t="str">
        <f>IF(A82=6,"sześćset ",IF(A82=7,"siedemset ",IF(A82=8,"osiemset ",IF(A82=9,"dziewięćset ",""))))</f>
        <v/>
      </c>
      <c r="G82" s="4"/>
      <c r="H82" s="4"/>
      <c r="I82" s="4"/>
      <c r="J82" s="10" t="str">
        <f>IF(C82,E82&amp;I82,IF(D82,F82&amp;I82,""))</f>
        <v/>
      </c>
      <c r="K82" s="4"/>
    </row>
    <row r="83" spans="1:11">
      <c r="A83" s="4">
        <f>INT(A$75/10)-10*A82-100*A81-1000*A80-10000*A79-100000*A78-1000000*A77</f>
        <v>0</v>
      </c>
      <c r="B83" s="4"/>
      <c r="C83" s="9">
        <f t="shared" si="0"/>
        <v>1</v>
      </c>
      <c r="D83" s="9">
        <f t="shared" si="1"/>
        <v>0</v>
      </c>
      <c r="E83" s="10" t="str">
        <f>IF(A83=0,"",IF(A83=1,IF(A84=0,"dziesięć ",""),IF(A83=2,"dwadzieścia ",IF(A83=3,"trzydzieści ",IF(A83=4,"czterdzieści ",IF(A83=5,"pięćdziesiąt ",""))))))</f>
        <v/>
      </c>
      <c r="F83" s="10" t="str">
        <f>IF(A83=6,"sześćdziesiąt ",IF(A83=7,"siedemdziesiąt ",IF(A83=8,"osiemdziesiąt ",IF(A83=9,"dziewięćdziesiąt ",""))))</f>
        <v/>
      </c>
      <c r="G83" s="4"/>
      <c r="H83" s="4"/>
      <c r="I83" s="4"/>
      <c r="J83" s="10" t="str">
        <f>IF(C83,E83&amp;I83,IF(D83,F83&amp;I83,""))</f>
        <v/>
      </c>
      <c r="K83" s="4"/>
    </row>
    <row r="84" spans="1:11">
      <c r="A84" s="6">
        <f>INT(A$75)-10*A83-100*A82-1000*A81-10000*A80-100000*A79-1000000*A78-10000000*A77</f>
        <v>0</v>
      </c>
      <c r="B84" s="4"/>
      <c r="C84" s="9">
        <f t="shared" si="0"/>
        <v>1</v>
      </c>
      <c r="D84" s="9">
        <f t="shared" si="1"/>
        <v>0</v>
      </c>
      <c r="E84" s="10" t="str">
        <f>IF(A84=0,"",IF(A84=1,"jeden ",IF(A84=2,"dwa ",IF(A84=3,"trzy ",IF(A84=4,"cztery ",IF(A84=5,"pięć ",""))))))</f>
        <v/>
      </c>
      <c r="F84" s="10" t="str">
        <f>IF(A84=6,"sześć ",IF(A84=7,"siedem ",IF(A84=8,"osiem ",IF(A84=9,"dziewięć ",""))))</f>
        <v/>
      </c>
      <c r="G84" s="10" t="str">
        <f>IF(A84=0,"",IF(A84=1,"jedenaście ",IF(A84=2,"dwanaście ",IF(A84=3,"trzynaście ",IF(A84=4,"czternaście ",IF(A84=5,"piętnaście ",""))))))</f>
        <v/>
      </c>
      <c r="H84" s="10" t="str">
        <f>IF(A84=6,"szesnaście ",IF(A84=7,"siedemnaście ",IF(A84=8,"osiemnaście ",IF(A84=9,"dziewiętnaście ",""))))</f>
        <v/>
      </c>
      <c r="I84" s="4"/>
      <c r="J84" s="10" t="str">
        <f>IF(A83=1,IF(C84,G84,IF(D84,H84)),IF(C84,E84,IF(D84,F84,"")))</f>
        <v/>
      </c>
      <c r="K84" s="4"/>
    </row>
    <row r="85" spans="1:11">
      <c r="A85" s="11">
        <f>ROUND((A75-TRUNC(A75,0))*100,0)</f>
        <v>0</v>
      </c>
      <c r="B85" s="4"/>
      <c r="C85" s="4"/>
      <c r="D85" s="4"/>
      <c r="E85" s="4"/>
      <c r="F85" s="4"/>
      <c r="G85" s="4"/>
      <c r="H85" s="4"/>
      <c r="I85" s="4"/>
      <c r="J85" s="10" t="str">
        <f>"zł "&amp;A85&amp;"/100"</f>
        <v>zł 0/100</v>
      </c>
      <c r="K85" s="4"/>
    </row>
    <row r="86" spans="1:11">
      <c r="A86" s="4"/>
      <c r="B86" s="4"/>
      <c r="C86" s="4"/>
      <c r="D86" s="4"/>
      <c r="E86" s="8" t="s">
        <v>34</v>
      </c>
      <c r="F86" s="4"/>
      <c r="G86" s="4"/>
      <c r="H86" s="4"/>
      <c r="I86" s="4"/>
      <c r="J86" s="4"/>
      <c r="K86" s="4"/>
    </row>
    <row r="87" spans="1:11">
      <c r="A87" s="3">
        <f>TRUNC(A75,1)</f>
        <v>0</v>
      </c>
      <c r="B87" s="4"/>
      <c r="C87" s="4"/>
      <c r="D87" s="4"/>
      <c r="E87" s="10" t="str">
        <f>J77&amp;J78&amp;J79&amp;J80&amp;J81&amp;J82&amp;J83&amp;J84&amp;J85</f>
        <v>zł 0/100</v>
      </c>
      <c r="F87" s="10"/>
      <c r="G87" s="10"/>
      <c r="H87" s="10"/>
      <c r="I87" s="10"/>
      <c r="J87" s="10"/>
      <c r="K87" s="4"/>
    </row>
  </sheetData>
  <mergeCells count="37">
    <mergeCell ref="A37:D37"/>
    <mergeCell ref="C7:D7"/>
    <mergeCell ref="C8:D8"/>
    <mergeCell ref="C9:D9"/>
    <mergeCell ref="C30:D30"/>
    <mergeCell ref="A31:D31"/>
    <mergeCell ref="A36:D36"/>
    <mergeCell ref="C25:D25"/>
    <mergeCell ref="C26:D26"/>
    <mergeCell ref="A27:D27"/>
    <mergeCell ref="C28:D28"/>
    <mergeCell ref="C29:D29"/>
    <mergeCell ref="C32:D32"/>
    <mergeCell ref="A34:D34"/>
    <mergeCell ref="A35:D35"/>
    <mergeCell ref="C33:D33"/>
    <mergeCell ref="A1:E1"/>
    <mergeCell ref="A3:E3"/>
    <mergeCell ref="B4:E4"/>
    <mergeCell ref="B5:E5"/>
    <mergeCell ref="B6:E6"/>
    <mergeCell ref="I9:P9"/>
    <mergeCell ref="A10:D10"/>
    <mergeCell ref="C11:D11"/>
    <mergeCell ref="A24:D24"/>
    <mergeCell ref="A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12:D12"/>
  </mergeCells>
  <pageMargins left="0.7" right="0.7" top="0.75" bottom="0.75" header="0.511811023622047" footer="0.511811023622047"/>
  <pageSetup paperSize="9" scale="7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J172"/>
  <sheetViews>
    <sheetView tabSelected="1" view="pageBreakPreview" topLeftCell="A131" zoomScale="115" zoomScaleNormal="115" zoomScaleSheetLayoutView="115" zoomScalePageLayoutView="160" workbookViewId="0">
      <selection activeCell="L146" sqref="L146"/>
    </sheetView>
  </sheetViews>
  <sheetFormatPr defaultColWidth="9.140625" defaultRowHeight="15"/>
  <cols>
    <col min="1" max="1" width="10.7109375" style="19" customWidth="1"/>
    <col min="2" max="2" width="20.140625" style="19" customWidth="1"/>
    <col min="3" max="3" width="70.140625" style="20" customWidth="1"/>
    <col min="4" max="4" width="10.42578125" style="21" customWidth="1"/>
    <col min="5" max="5" width="9.7109375" style="22" customWidth="1"/>
    <col min="6" max="6" width="12.28515625" style="23" customWidth="1"/>
    <col min="7" max="7" width="13.140625" style="19" customWidth="1"/>
    <col min="8" max="8" width="17.7109375" style="19" customWidth="1"/>
    <col min="9" max="16384" width="9.140625" style="19"/>
  </cols>
  <sheetData>
    <row r="1" spans="1:13" s="24" customFormat="1" ht="24" customHeight="1" thickBot="1">
      <c r="A1" s="398" t="s">
        <v>554</v>
      </c>
      <c r="B1" s="399"/>
      <c r="C1" s="399"/>
      <c r="D1" s="399"/>
      <c r="E1" s="399"/>
      <c r="F1" s="399"/>
      <c r="G1" s="399"/>
      <c r="H1" s="400"/>
    </row>
    <row r="2" spans="1:13" s="24" customFormat="1" ht="66.75" customHeight="1" thickBot="1">
      <c r="A2" s="401" t="s">
        <v>555</v>
      </c>
      <c r="B2" s="402"/>
      <c r="C2" s="402"/>
      <c r="D2" s="402"/>
      <c r="E2" s="402"/>
      <c r="F2" s="402"/>
      <c r="G2" s="402"/>
      <c r="H2" s="403"/>
    </row>
    <row r="3" spans="1:13" ht="45" customHeight="1">
      <c r="A3" s="308" t="s">
        <v>0</v>
      </c>
      <c r="B3" s="309" t="s">
        <v>84</v>
      </c>
      <c r="C3" s="310" t="s">
        <v>85</v>
      </c>
      <c r="D3" s="310" t="s">
        <v>1</v>
      </c>
      <c r="E3" s="311" t="s">
        <v>2</v>
      </c>
      <c r="F3" s="312" t="s">
        <v>86</v>
      </c>
      <c r="G3" s="313" t="s">
        <v>87</v>
      </c>
      <c r="H3" s="314" t="s">
        <v>88</v>
      </c>
    </row>
    <row r="4" spans="1:13" ht="19.5" customHeight="1">
      <c r="A4" s="115" t="s">
        <v>45</v>
      </c>
      <c r="B4" s="404" t="s">
        <v>46</v>
      </c>
      <c r="C4" s="405"/>
      <c r="D4" s="405"/>
      <c r="E4" s="405"/>
      <c r="F4" s="405"/>
      <c r="G4" s="405"/>
      <c r="H4" s="406"/>
    </row>
    <row r="5" spans="1:13" ht="26.25" customHeight="1">
      <c r="A5" s="116" t="s">
        <v>47</v>
      </c>
      <c r="B5" s="276" t="s">
        <v>89</v>
      </c>
      <c r="C5" s="407" t="s">
        <v>48</v>
      </c>
      <c r="D5" s="408"/>
      <c r="E5" s="408"/>
      <c r="F5" s="408"/>
      <c r="G5" s="408"/>
      <c r="H5" s="409"/>
      <c r="M5" s="20"/>
    </row>
    <row r="6" spans="1:13" ht="18.75" customHeight="1">
      <c r="A6" s="118" t="s">
        <v>4</v>
      </c>
      <c r="B6" s="135" t="s">
        <v>90</v>
      </c>
      <c r="C6" s="274" t="s">
        <v>91</v>
      </c>
      <c r="D6" s="275"/>
      <c r="E6" s="275"/>
      <c r="F6" s="275"/>
      <c r="G6" s="275"/>
      <c r="H6" s="291"/>
    </row>
    <row r="7" spans="1:13" ht="26.25" customHeight="1">
      <c r="A7" s="111" t="s">
        <v>5</v>
      </c>
      <c r="B7" s="112" t="s">
        <v>90</v>
      </c>
      <c r="C7" s="271" t="s">
        <v>92</v>
      </c>
      <c r="D7" s="272" t="s">
        <v>11</v>
      </c>
      <c r="E7" s="273">
        <v>1</v>
      </c>
      <c r="F7" s="277">
        <f>E7</f>
        <v>1</v>
      </c>
      <c r="G7" s="25"/>
      <c r="H7" s="122"/>
    </row>
    <row r="8" spans="1:13" ht="40.5" customHeight="1">
      <c r="A8" s="111" t="s">
        <v>7</v>
      </c>
      <c r="B8" s="112" t="s">
        <v>90</v>
      </c>
      <c r="C8" s="119" t="s">
        <v>308</v>
      </c>
      <c r="D8" s="120" t="s">
        <v>11</v>
      </c>
      <c r="E8" s="121">
        <v>1</v>
      </c>
      <c r="F8" s="278">
        <f>E8</f>
        <v>1</v>
      </c>
      <c r="G8" s="25"/>
      <c r="H8" s="122"/>
    </row>
    <row r="9" spans="1:13" ht="51" customHeight="1">
      <c r="A9" s="111" t="s">
        <v>8</v>
      </c>
      <c r="B9" s="112" t="s">
        <v>90</v>
      </c>
      <c r="C9" s="119" t="s">
        <v>536</v>
      </c>
      <c r="D9" s="120" t="s">
        <v>11</v>
      </c>
      <c r="E9" s="121">
        <v>1</v>
      </c>
      <c r="F9" s="278">
        <f>E9</f>
        <v>1</v>
      </c>
      <c r="G9" s="25"/>
      <c r="H9" s="122"/>
    </row>
    <row r="10" spans="1:13" ht="84.75" customHeight="1">
      <c r="A10" s="123" t="s">
        <v>9</v>
      </c>
      <c r="B10" s="112" t="s">
        <v>90</v>
      </c>
      <c r="C10" s="119" t="s">
        <v>93</v>
      </c>
      <c r="D10" s="120" t="s">
        <v>11</v>
      </c>
      <c r="E10" s="121">
        <v>1</v>
      </c>
      <c r="F10" s="278">
        <f>E10</f>
        <v>1</v>
      </c>
      <c r="G10" s="25"/>
      <c r="H10" s="122"/>
    </row>
    <row r="11" spans="1:13" ht="27" customHeight="1">
      <c r="A11" s="410" t="s">
        <v>94</v>
      </c>
      <c r="B11" s="410"/>
      <c r="C11" s="410"/>
      <c r="D11" s="410"/>
      <c r="E11" s="410"/>
      <c r="F11" s="410"/>
      <c r="G11" s="410"/>
      <c r="H11" s="26"/>
    </row>
    <row r="12" spans="1:13" ht="24" customHeight="1">
      <c r="A12" s="397" t="s">
        <v>95</v>
      </c>
      <c r="B12" s="397"/>
      <c r="C12" s="397"/>
      <c r="D12" s="397"/>
      <c r="E12" s="397"/>
      <c r="F12" s="397"/>
      <c r="G12" s="397"/>
      <c r="H12" s="124"/>
    </row>
    <row r="13" spans="1:13" ht="20.25" customHeight="1">
      <c r="A13" s="411" t="s">
        <v>96</v>
      </c>
      <c r="B13" s="405"/>
      <c r="C13" s="405"/>
      <c r="D13" s="405"/>
      <c r="E13" s="405"/>
      <c r="F13" s="405"/>
      <c r="G13" s="405"/>
      <c r="H13" s="406"/>
    </row>
    <row r="14" spans="1:13" s="27" customFormat="1" ht="27" customHeight="1">
      <c r="A14" s="116" t="s">
        <v>53</v>
      </c>
      <c r="B14" s="117" t="s">
        <v>97</v>
      </c>
      <c r="C14" s="289" t="s">
        <v>309</v>
      </c>
      <c r="D14" s="290"/>
      <c r="E14" s="290"/>
      <c r="F14" s="290"/>
      <c r="G14" s="290"/>
      <c r="H14" s="292"/>
    </row>
    <row r="15" spans="1:13" ht="20.25" customHeight="1">
      <c r="A15" s="125" t="s">
        <v>4</v>
      </c>
      <c r="B15" s="126" t="s">
        <v>98</v>
      </c>
      <c r="C15" s="274" t="s">
        <v>99</v>
      </c>
      <c r="D15" s="275"/>
      <c r="E15" s="275"/>
      <c r="F15" s="275"/>
      <c r="G15" s="275"/>
      <c r="H15" s="291"/>
    </row>
    <row r="16" spans="1:13" s="28" customFormat="1" ht="18.75" customHeight="1">
      <c r="A16" s="123" t="s">
        <v>10</v>
      </c>
      <c r="B16" s="112" t="s">
        <v>100</v>
      </c>
      <c r="C16" s="127" t="s">
        <v>310</v>
      </c>
      <c r="D16" s="113" t="s">
        <v>29</v>
      </c>
      <c r="E16" s="128" t="s">
        <v>4</v>
      </c>
      <c r="F16" s="279">
        <f>SUM(E17:E17)</f>
        <v>1.212</v>
      </c>
      <c r="G16" s="25"/>
      <c r="H16" s="122"/>
    </row>
    <row r="17" spans="1:166" ht="117.75" hidden="1" customHeight="1">
      <c r="A17" s="264"/>
      <c r="B17" s="134"/>
      <c r="C17" s="130" t="s">
        <v>399</v>
      </c>
      <c r="D17" s="131" t="s">
        <v>29</v>
      </c>
      <c r="E17" s="132">
        <f>0.535+0.353+0.095+0.116+0.113</f>
        <v>1.212</v>
      </c>
      <c r="F17" s="280" t="s">
        <v>4</v>
      </c>
      <c r="G17" s="315"/>
      <c r="H17" s="316"/>
    </row>
    <row r="18" spans="1:166" ht="20.25" customHeight="1">
      <c r="A18" s="125" t="s">
        <v>4</v>
      </c>
      <c r="B18" s="135" t="s">
        <v>101</v>
      </c>
      <c r="C18" s="274" t="s">
        <v>102</v>
      </c>
      <c r="D18" s="275"/>
      <c r="E18" s="275"/>
      <c r="F18" s="275"/>
      <c r="G18" s="275"/>
      <c r="H18" s="291"/>
    </row>
    <row r="19" spans="1:166" s="28" customFormat="1" ht="28.5" customHeight="1">
      <c r="A19" s="123" t="s">
        <v>12</v>
      </c>
      <c r="B19" s="112" t="s">
        <v>104</v>
      </c>
      <c r="C19" s="127" t="s">
        <v>105</v>
      </c>
      <c r="D19" s="113" t="s">
        <v>315</v>
      </c>
      <c r="E19" s="128" t="s">
        <v>4</v>
      </c>
      <c r="F19" s="279">
        <f>E20</f>
        <v>13724</v>
      </c>
      <c r="G19" s="25"/>
      <c r="H19" s="122"/>
    </row>
    <row r="20" spans="1:166" ht="55.5" hidden="1" customHeight="1">
      <c r="A20" s="264"/>
      <c r="B20" s="134"/>
      <c r="C20" s="130" t="s">
        <v>400</v>
      </c>
      <c r="D20" s="131" t="s">
        <v>316</v>
      </c>
      <c r="E20" s="132">
        <v>13724</v>
      </c>
      <c r="F20" s="281" t="s">
        <v>4</v>
      </c>
      <c r="G20" s="315"/>
      <c r="H20" s="316"/>
    </row>
    <row r="21" spans="1:166" ht="18" customHeight="1">
      <c r="A21" s="125" t="s">
        <v>4</v>
      </c>
      <c r="B21" s="135" t="s">
        <v>106</v>
      </c>
      <c r="C21" s="274" t="s">
        <v>107</v>
      </c>
      <c r="D21" s="275"/>
      <c r="E21" s="275"/>
      <c r="F21" s="275"/>
      <c r="G21" s="275"/>
      <c r="H21" s="291"/>
    </row>
    <row r="22" spans="1:166" ht="20.25" customHeight="1">
      <c r="A22" s="123" t="s">
        <v>103</v>
      </c>
      <c r="B22" s="112" t="s">
        <v>112</v>
      </c>
      <c r="C22" s="127" t="s">
        <v>318</v>
      </c>
      <c r="D22" s="113" t="s">
        <v>315</v>
      </c>
      <c r="E22" s="128" t="s">
        <v>4</v>
      </c>
      <c r="F22" s="279">
        <f>SUM(E23)</f>
        <v>2598.3000000000002</v>
      </c>
      <c r="G22" s="25"/>
      <c r="H22" s="122"/>
    </row>
    <row r="23" spans="1:166" ht="59.25" hidden="1" customHeight="1">
      <c r="A23" s="129"/>
      <c r="B23" s="134"/>
      <c r="C23" s="130" t="s">
        <v>408</v>
      </c>
      <c r="D23" s="131" t="s">
        <v>316</v>
      </c>
      <c r="E23" s="132">
        <f>'2. Roboty rozbiórkowe '!D3</f>
        <v>2598.3000000000002</v>
      </c>
      <c r="F23" s="281" t="s">
        <v>4</v>
      </c>
      <c r="G23" s="315"/>
      <c r="H23" s="316"/>
    </row>
    <row r="24" spans="1:166" ht="20.25" customHeight="1">
      <c r="A24" s="123" t="s">
        <v>108</v>
      </c>
      <c r="B24" s="112" t="s">
        <v>113</v>
      </c>
      <c r="C24" s="127" t="s">
        <v>405</v>
      </c>
      <c r="D24" s="113" t="s">
        <v>315</v>
      </c>
      <c r="E24" s="128" t="s">
        <v>4</v>
      </c>
      <c r="F24" s="279">
        <f>SUM(E25)</f>
        <v>44.3</v>
      </c>
      <c r="G24" s="25"/>
      <c r="H24" s="122"/>
    </row>
    <row r="25" spans="1:166" ht="59.25" hidden="1" customHeight="1">
      <c r="A25" s="129"/>
      <c r="B25" s="134"/>
      <c r="C25" s="130" t="s">
        <v>409</v>
      </c>
      <c r="D25" s="131" t="s">
        <v>316</v>
      </c>
      <c r="E25" s="132">
        <f>'2. Roboty rozbiórkowe '!D6</f>
        <v>44.3</v>
      </c>
      <c r="F25" s="281" t="s">
        <v>4</v>
      </c>
      <c r="G25" s="315"/>
      <c r="H25" s="316"/>
    </row>
    <row r="26" spans="1:166" s="30" customFormat="1" ht="19.5" customHeight="1">
      <c r="A26" s="123" t="s">
        <v>109</v>
      </c>
      <c r="B26" s="112" t="s">
        <v>403</v>
      </c>
      <c r="C26" s="127" t="s">
        <v>401</v>
      </c>
      <c r="D26" s="113" t="s">
        <v>6</v>
      </c>
      <c r="E26" s="128" t="s">
        <v>4</v>
      </c>
      <c r="F26" s="279">
        <f>SUM(E27)</f>
        <v>22</v>
      </c>
      <c r="G26" s="25"/>
      <c r="H26" s="122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</row>
    <row r="27" spans="1:166" s="30" customFormat="1" ht="57.75" hidden="1" customHeight="1">
      <c r="A27" s="129"/>
      <c r="B27" s="134"/>
      <c r="C27" s="130" t="s">
        <v>410</v>
      </c>
      <c r="D27" s="131" t="s">
        <v>6</v>
      </c>
      <c r="E27" s="132">
        <f>'2. Roboty rozbiórkowe '!D4</f>
        <v>22</v>
      </c>
      <c r="F27" s="281" t="s">
        <v>4</v>
      </c>
      <c r="G27" s="317"/>
      <c r="H27" s="318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</row>
    <row r="28" spans="1:166" s="30" customFormat="1" ht="20.25" customHeight="1">
      <c r="A28" s="123" t="s">
        <v>110</v>
      </c>
      <c r="B28" s="112" t="s">
        <v>404</v>
      </c>
      <c r="C28" s="127" t="s">
        <v>402</v>
      </c>
      <c r="D28" s="113" t="s">
        <v>6</v>
      </c>
      <c r="E28" s="128" t="s">
        <v>4</v>
      </c>
      <c r="F28" s="279">
        <f>E29</f>
        <v>25.2</v>
      </c>
      <c r="G28" s="25"/>
      <c r="H28" s="122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</row>
    <row r="29" spans="1:166" s="30" customFormat="1" ht="57.75" hidden="1" customHeight="1">
      <c r="A29" s="138"/>
      <c r="B29" s="265"/>
      <c r="C29" s="139" t="s">
        <v>411</v>
      </c>
      <c r="D29" s="132" t="s">
        <v>6</v>
      </c>
      <c r="E29" s="132">
        <f>'2. Roboty rozbiórkowe '!D5</f>
        <v>25.2</v>
      </c>
      <c r="F29" s="282" t="s">
        <v>4</v>
      </c>
      <c r="G29" s="317"/>
      <c r="H29" s="318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</row>
    <row r="30" spans="1:166" s="30" customFormat="1" ht="19.5" customHeight="1">
      <c r="A30" s="123" t="s">
        <v>111</v>
      </c>
      <c r="B30" s="112" t="s">
        <v>406</v>
      </c>
      <c r="C30" s="127" t="s">
        <v>407</v>
      </c>
      <c r="D30" s="113" t="s">
        <v>6</v>
      </c>
      <c r="E30" s="128" t="s">
        <v>4</v>
      </c>
      <c r="F30" s="279">
        <f>SUM(E31)</f>
        <v>6</v>
      </c>
      <c r="G30" s="25"/>
      <c r="H30" s="122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</row>
    <row r="31" spans="1:166" s="30" customFormat="1" ht="57.75" hidden="1" customHeight="1">
      <c r="A31" s="266"/>
      <c r="B31" s="267"/>
      <c r="C31" s="139" t="s">
        <v>412</v>
      </c>
      <c r="D31" s="132" t="s">
        <v>6</v>
      </c>
      <c r="E31" s="140">
        <f>'2. Roboty rozbiórkowe '!D7</f>
        <v>6</v>
      </c>
      <c r="F31" s="283" t="s">
        <v>4</v>
      </c>
      <c r="G31" s="136"/>
      <c r="H31" s="137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</row>
    <row r="32" spans="1:166" s="30" customFormat="1" ht="25.5" customHeight="1">
      <c r="A32" s="410" t="s">
        <v>114</v>
      </c>
      <c r="B32" s="410"/>
      <c r="C32" s="410"/>
      <c r="D32" s="410"/>
      <c r="E32" s="410"/>
      <c r="F32" s="410"/>
      <c r="G32" s="410"/>
      <c r="H32" s="26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</row>
    <row r="33" spans="1:129" s="30" customFormat="1" ht="27" customHeight="1">
      <c r="A33" s="116" t="s">
        <v>54</v>
      </c>
      <c r="B33" s="117" t="s">
        <v>115</v>
      </c>
      <c r="C33" s="289" t="s">
        <v>321</v>
      </c>
      <c r="D33" s="290"/>
      <c r="E33" s="290"/>
      <c r="F33" s="290"/>
      <c r="G33" s="290"/>
      <c r="H33" s="292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</row>
    <row r="34" spans="1:129" s="30" customFormat="1" ht="20.25" customHeight="1">
      <c r="A34" s="118" t="s">
        <v>4</v>
      </c>
      <c r="B34" s="135" t="s">
        <v>116</v>
      </c>
      <c r="C34" s="274" t="s">
        <v>117</v>
      </c>
      <c r="D34" s="275"/>
      <c r="E34" s="275"/>
      <c r="F34" s="275"/>
      <c r="G34" s="275"/>
      <c r="H34" s="291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</row>
    <row r="35" spans="1:129" s="30" customFormat="1" ht="27.75" customHeight="1">
      <c r="A35" s="123" t="s">
        <v>13</v>
      </c>
      <c r="B35" s="112" t="s">
        <v>118</v>
      </c>
      <c r="C35" s="127" t="s">
        <v>119</v>
      </c>
      <c r="D35" s="113" t="s">
        <v>319</v>
      </c>
      <c r="E35" s="128" t="s">
        <v>4</v>
      </c>
      <c r="F35" s="279">
        <f>E36</f>
        <v>6321.01</v>
      </c>
      <c r="G35" s="25"/>
      <c r="H35" s="122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</row>
    <row r="36" spans="1:129" s="30" customFormat="1" ht="42.75" hidden="1" customHeight="1">
      <c r="A36" s="141"/>
      <c r="B36" s="142"/>
      <c r="C36" s="130" t="s">
        <v>413</v>
      </c>
      <c r="D36" s="131" t="s">
        <v>320</v>
      </c>
      <c r="E36" s="132">
        <f>'6. TRZ'!F76</f>
        <v>6321.01</v>
      </c>
      <c r="F36" s="279" t="s">
        <v>4</v>
      </c>
      <c r="G36" s="317"/>
      <c r="H36" s="318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</row>
    <row r="37" spans="1:129" s="28" customFormat="1" ht="22.5" customHeight="1">
      <c r="A37" s="118" t="s">
        <v>4</v>
      </c>
      <c r="B37" s="135" t="s">
        <v>120</v>
      </c>
      <c r="C37" s="274" t="s">
        <v>121</v>
      </c>
      <c r="D37" s="275"/>
      <c r="E37" s="275"/>
      <c r="F37" s="275"/>
      <c r="G37" s="275"/>
      <c r="H37" s="291"/>
    </row>
    <row r="38" spans="1:129" s="28" customFormat="1" ht="28.5" customHeight="1">
      <c r="A38" s="123" t="s">
        <v>122</v>
      </c>
      <c r="B38" s="112" t="s">
        <v>123</v>
      </c>
      <c r="C38" s="143" t="s">
        <v>124</v>
      </c>
      <c r="D38" s="144" t="s">
        <v>319</v>
      </c>
      <c r="E38" s="145" t="s">
        <v>4</v>
      </c>
      <c r="F38" s="284">
        <f>E39</f>
        <v>1359.2200000000003</v>
      </c>
      <c r="G38" s="25"/>
      <c r="H38" s="122"/>
    </row>
    <row r="39" spans="1:129" s="28" customFormat="1" ht="33.75" hidden="1" customHeight="1">
      <c r="A39" s="268"/>
      <c r="B39" s="142"/>
      <c r="C39" s="146" t="s">
        <v>414</v>
      </c>
      <c r="D39" s="131" t="s">
        <v>320</v>
      </c>
      <c r="E39" s="132">
        <f>'6. TRZ'!G76</f>
        <v>1359.2200000000003</v>
      </c>
      <c r="F39" s="281" t="s">
        <v>4</v>
      </c>
      <c r="G39" s="136"/>
      <c r="H39" s="147"/>
    </row>
    <row r="40" spans="1:129" s="28" customFormat="1" ht="27.75" customHeight="1">
      <c r="A40" s="410" t="s">
        <v>125</v>
      </c>
      <c r="B40" s="410"/>
      <c r="C40" s="410"/>
      <c r="D40" s="410"/>
      <c r="E40" s="410"/>
      <c r="F40" s="410"/>
      <c r="G40" s="410"/>
      <c r="H40" s="26"/>
    </row>
    <row r="41" spans="1:129" s="32" customFormat="1" ht="32.25" customHeight="1">
      <c r="A41" s="116" t="s">
        <v>57</v>
      </c>
      <c r="B41" s="117" t="s">
        <v>126</v>
      </c>
      <c r="C41" s="289" t="s">
        <v>322</v>
      </c>
      <c r="D41" s="290"/>
      <c r="E41" s="290"/>
      <c r="F41" s="290"/>
      <c r="G41" s="290"/>
      <c r="H41" s="292"/>
    </row>
    <row r="42" spans="1:129" s="32" customFormat="1" ht="18" customHeight="1">
      <c r="A42" s="118" t="s">
        <v>4</v>
      </c>
      <c r="B42" s="135" t="s">
        <v>129</v>
      </c>
      <c r="C42" s="274" t="s">
        <v>130</v>
      </c>
      <c r="D42" s="275"/>
      <c r="E42" s="275"/>
      <c r="F42" s="275"/>
      <c r="G42" s="275"/>
      <c r="H42" s="291"/>
    </row>
    <row r="43" spans="1:129" s="32" customFormat="1" ht="18" customHeight="1">
      <c r="A43" s="123" t="s">
        <v>14</v>
      </c>
      <c r="B43" s="112" t="s">
        <v>132</v>
      </c>
      <c r="C43" s="143" t="s">
        <v>323</v>
      </c>
      <c r="D43" s="144" t="s">
        <v>6</v>
      </c>
      <c r="E43" s="145" t="s">
        <v>4</v>
      </c>
      <c r="F43" s="284">
        <f>E44</f>
        <v>260</v>
      </c>
      <c r="G43" s="25"/>
      <c r="H43" s="122"/>
    </row>
    <row r="44" spans="1:129" s="32" customFormat="1" ht="41.25" hidden="1" customHeight="1">
      <c r="A44" s="141"/>
      <c r="B44" s="142"/>
      <c r="C44" s="146" t="s">
        <v>424</v>
      </c>
      <c r="D44" s="131" t="s">
        <v>6</v>
      </c>
      <c r="E44" s="132">
        <f>'3. Odwodnienie korpusu'!D4</f>
        <v>260</v>
      </c>
      <c r="F44" s="281" t="s">
        <v>4</v>
      </c>
      <c r="G44" s="319"/>
      <c r="H44" s="148"/>
    </row>
    <row r="45" spans="1:129" s="32" customFormat="1" ht="24.75" customHeight="1">
      <c r="A45" s="123" t="s">
        <v>16</v>
      </c>
      <c r="B45" s="112" t="s">
        <v>134</v>
      </c>
      <c r="C45" s="143" t="s">
        <v>135</v>
      </c>
      <c r="D45" s="144" t="s">
        <v>6</v>
      </c>
      <c r="E45" s="145" t="s">
        <v>4</v>
      </c>
      <c r="F45" s="284">
        <f>E46</f>
        <v>487</v>
      </c>
      <c r="G45" s="25"/>
      <c r="H45" s="122"/>
    </row>
    <row r="46" spans="1:129" s="32" customFormat="1" ht="41.25" hidden="1" customHeight="1">
      <c r="A46" s="141"/>
      <c r="B46" s="142"/>
      <c r="C46" s="146" t="s">
        <v>425</v>
      </c>
      <c r="D46" s="131" t="s">
        <v>6</v>
      </c>
      <c r="E46" s="132">
        <f>'3. Odwodnienie korpusu'!D5</f>
        <v>487</v>
      </c>
      <c r="F46" s="281" t="s">
        <v>4</v>
      </c>
      <c r="G46" s="319"/>
      <c r="H46" s="148"/>
    </row>
    <row r="47" spans="1:129" s="32" customFormat="1" ht="25.5" customHeight="1">
      <c r="A47" s="123" t="s">
        <v>127</v>
      </c>
      <c r="B47" s="112" t="s">
        <v>137</v>
      </c>
      <c r="C47" s="143" t="s">
        <v>138</v>
      </c>
      <c r="D47" s="144" t="s">
        <v>6</v>
      </c>
      <c r="E47" s="145" t="s">
        <v>4</v>
      </c>
      <c r="F47" s="284">
        <v>113</v>
      </c>
      <c r="G47" s="278"/>
      <c r="H47" s="122"/>
      <c r="J47" s="32" t="s">
        <v>484</v>
      </c>
    </row>
    <row r="48" spans="1:129" s="32" customFormat="1" ht="20.25" customHeight="1">
      <c r="A48" s="123" t="s">
        <v>128</v>
      </c>
      <c r="B48" s="112" t="s">
        <v>324</v>
      </c>
      <c r="C48" s="143" t="s">
        <v>326</v>
      </c>
      <c r="D48" s="144" t="s">
        <v>6</v>
      </c>
      <c r="E48" s="145" t="s">
        <v>4</v>
      </c>
      <c r="F48" s="284">
        <f>E49</f>
        <v>158</v>
      </c>
      <c r="G48" s="25"/>
      <c r="H48" s="122"/>
    </row>
    <row r="49" spans="1:10" s="32" customFormat="1" ht="41.25" hidden="1" customHeight="1">
      <c r="A49" s="141"/>
      <c r="B49" s="142"/>
      <c r="C49" s="146" t="s">
        <v>426</v>
      </c>
      <c r="D49" s="131" t="s">
        <v>6</v>
      </c>
      <c r="E49" s="132">
        <f>'3. Odwodnienie korpusu'!D7</f>
        <v>158</v>
      </c>
      <c r="F49" s="281" t="s">
        <v>4</v>
      </c>
      <c r="G49" s="319"/>
      <c r="H49" s="148"/>
    </row>
    <row r="50" spans="1:10" s="32" customFormat="1" ht="27" customHeight="1">
      <c r="A50" s="123" t="s">
        <v>131</v>
      </c>
      <c r="B50" s="112" t="s">
        <v>325</v>
      </c>
      <c r="C50" s="143" t="s">
        <v>140</v>
      </c>
      <c r="D50" s="144" t="s">
        <v>15</v>
      </c>
      <c r="E50" s="145" t="s">
        <v>4</v>
      </c>
      <c r="F50" s="284">
        <f>E51</f>
        <v>3</v>
      </c>
      <c r="G50" s="25"/>
      <c r="H50" s="122"/>
      <c r="J50" s="32" t="s">
        <v>484</v>
      </c>
    </row>
    <row r="51" spans="1:10" s="32" customFormat="1" ht="41.25" hidden="1" customHeight="1">
      <c r="A51" s="141"/>
      <c r="B51" s="142"/>
      <c r="C51" s="146" t="s">
        <v>327</v>
      </c>
      <c r="D51" s="131" t="s">
        <v>15</v>
      </c>
      <c r="E51" s="132">
        <f>'3. Odwodnienie korpusu'!D8</f>
        <v>3</v>
      </c>
      <c r="F51" s="281" t="s">
        <v>4</v>
      </c>
      <c r="G51" s="319"/>
      <c r="H51" s="148"/>
    </row>
    <row r="52" spans="1:10" s="32" customFormat="1" ht="18" customHeight="1">
      <c r="A52" s="123" t="s">
        <v>133</v>
      </c>
      <c r="B52" s="112" t="s">
        <v>142</v>
      </c>
      <c r="C52" s="143" t="s">
        <v>143</v>
      </c>
      <c r="D52" s="144" t="s">
        <v>6</v>
      </c>
      <c r="E52" s="145" t="s">
        <v>4</v>
      </c>
      <c r="F52" s="284">
        <f>E53</f>
        <v>121.5</v>
      </c>
      <c r="G52" s="25"/>
      <c r="H52" s="122"/>
    </row>
    <row r="53" spans="1:10" s="32" customFormat="1" ht="44.25" hidden="1" customHeight="1">
      <c r="A53" s="141"/>
      <c r="B53" s="267"/>
      <c r="C53" s="146" t="s">
        <v>427</v>
      </c>
      <c r="D53" s="131" t="s">
        <v>6</v>
      </c>
      <c r="E53" s="132">
        <f>'3. Odwodnienie korpusu'!D9</f>
        <v>121.5</v>
      </c>
      <c r="F53" s="281" t="s">
        <v>4</v>
      </c>
      <c r="G53" s="315"/>
      <c r="H53" s="148"/>
    </row>
    <row r="54" spans="1:10" s="32" customFormat="1" ht="27" customHeight="1">
      <c r="A54" s="123" t="s">
        <v>136</v>
      </c>
      <c r="B54" s="112" t="s">
        <v>145</v>
      </c>
      <c r="C54" s="143" t="s">
        <v>422</v>
      </c>
      <c r="D54" s="144" t="s">
        <v>15</v>
      </c>
      <c r="E54" s="145" t="s">
        <v>4</v>
      </c>
      <c r="F54" s="284">
        <f>E55</f>
        <v>26</v>
      </c>
      <c r="G54" s="25"/>
      <c r="H54" s="122"/>
    </row>
    <row r="55" spans="1:10" s="32" customFormat="1" ht="54" hidden="1" customHeight="1">
      <c r="A55" s="141"/>
      <c r="B55" s="142"/>
      <c r="C55" s="146" t="s">
        <v>428</v>
      </c>
      <c r="D55" s="131" t="s">
        <v>15</v>
      </c>
      <c r="E55" s="132">
        <f>'3. Odwodnienie korpusu'!D13</f>
        <v>26</v>
      </c>
      <c r="F55" s="281" t="s">
        <v>4</v>
      </c>
      <c r="G55" s="315"/>
      <c r="H55" s="148"/>
    </row>
    <row r="56" spans="1:10" s="32" customFormat="1" ht="28.5" customHeight="1">
      <c r="A56" s="123" t="s">
        <v>139</v>
      </c>
      <c r="B56" s="112" t="s">
        <v>145</v>
      </c>
      <c r="C56" s="143" t="s">
        <v>421</v>
      </c>
      <c r="D56" s="144" t="s">
        <v>15</v>
      </c>
      <c r="E56" s="145" t="s">
        <v>4</v>
      </c>
      <c r="F56" s="284">
        <f>E57</f>
        <v>6</v>
      </c>
      <c r="G56" s="25"/>
      <c r="H56" s="122"/>
    </row>
    <row r="57" spans="1:10" s="32" customFormat="1" ht="71.25" hidden="1" customHeight="1">
      <c r="A57" s="141"/>
      <c r="B57" s="142"/>
      <c r="C57" s="146" t="s">
        <v>429</v>
      </c>
      <c r="D57" s="131" t="s">
        <v>15</v>
      </c>
      <c r="E57" s="132">
        <f>'3. Odwodnienie korpusu'!D16</f>
        <v>6</v>
      </c>
      <c r="F57" s="281" t="s">
        <v>4</v>
      </c>
      <c r="G57" s="315"/>
      <c r="H57" s="148"/>
    </row>
    <row r="58" spans="1:10" s="32" customFormat="1" ht="33.75" customHeight="1">
      <c r="A58" s="123" t="s">
        <v>141</v>
      </c>
      <c r="B58" s="112" t="s">
        <v>147</v>
      </c>
      <c r="C58" s="143" t="s">
        <v>423</v>
      </c>
      <c r="D58" s="144" t="s">
        <v>15</v>
      </c>
      <c r="E58" s="145" t="s">
        <v>4</v>
      </c>
      <c r="F58" s="284">
        <f>E59</f>
        <v>14</v>
      </c>
      <c r="G58" s="25"/>
      <c r="H58" s="122"/>
      <c r="J58" s="32" t="s">
        <v>484</v>
      </c>
    </row>
    <row r="59" spans="1:10" s="32" customFormat="1" ht="65.25" hidden="1" customHeight="1">
      <c r="A59" s="141"/>
      <c r="B59" s="142"/>
      <c r="C59" s="146" t="s">
        <v>430</v>
      </c>
      <c r="D59" s="131" t="s">
        <v>15</v>
      </c>
      <c r="E59" s="132">
        <f>'3. Odwodnienie korpusu'!D14</f>
        <v>14</v>
      </c>
      <c r="F59" s="281" t="s">
        <v>4</v>
      </c>
      <c r="G59" s="315"/>
      <c r="H59" s="148"/>
    </row>
    <row r="60" spans="1:10" s="32" customFormat="1" ht="27.75" customHeight="1">
      <c r="A60" s="123" t="s">
        <v>144</v>
      </c>
      <c r="B60" s="112" t="s">
        <v>149</v>
      </c>
      <c r="C60" s="143" t="s">
        <v>492</v>
      </c>
      <c r="D60" s="144" t="s">
        <v>15</v>
      </c>
      <c r="E60" s="145" t="s">
        <v>4</v>
      </c>
      <c r="F60" s="284">
        <v>1</v>
      </c>
      <c r="G60" s="121"/>
      <c r="H60" s="122"/>
      <c r="J60" s="32" t="s">
        <v>484</v>
      </c>
    </row>
    <row r="61" spans="1:10" s="32" customFormat="1" ht="25.5">
      <c r="A61" s="123" t="s">
        <v>146</v>
      </c>
      <c r="B61" s="112" t="s">
        <v>152</v>
      </c>
      <c r="C61" s="143" t="s">
        <v>153</v>
      </c>
      <c r="D61" s="113" t="s">
        <v>15</v>
      </c>
      <c r="E61" s="132" t="s">
        <v>4</v>
      </c>
      <c r="F61" s="279">
        <f>E62</f>
        <v>41</v>
      </c>
      <c r="G61" s="25"/>
      <c r="H61" s="122"/>
    </row>
    <row r="62" spans="1:10" s="32" customFormat="1" ht="57" hidden="1" customHeight="1">
      <c r="A62" s="149"/>
      <c r="B62" s="142"/>
      <c r="C62" s="146" t="s">
        <v>431</v>
      </c>
      <c r="D62" s="131" t="s">
        <v>15</v>
      </c>
      <c r="E62" s="132">
        <f>'3. Odwodnienie korpusu'!D10</f>
        <v>41</v>
      </c>
      <c r="F62" s="281" t="s">
        <v>4</v>
      </c>
      <c r="G62" s="315"/>
      <c r="H62" s="148"/>
    </row>
    <row r="63" spans="1:10" s="32" customFormat="1" ht="21.75" customHeight="1">
      <c r="A63" s="123" t="s">
        <v>148</v>
      </c>
      <c r="B63" s="112" t="s">
        <v>154</v>
      </c>
      <c r="C63" s="143" t="s">
        <v>155</v>
      </c>
      <c r="D63" s="113" t="s">
        <v>15</v>
      </c>
      <c r="E63" s="132" t="s">
        <v>4</v>
      </c>
      <c r="F63" s="279">
        <f>E64</f>
        <v>1</v>
      </c>
      <c r="G63" s="25"/>
      <c r="H63" s="122"/>
    </row>
    <row r="64" spans="1:10" s="32" customFormat="1" ht="42.75" hidden="1" customHeight="1">
      <c r="A64" s="149"/>
      <c r="B64" s="142"/>
      <c r="C64" s="146" t="s">
        <v>156</v>
      </c>
      <c r="D64" s="131" t="s">
        <v>15</v>
      </c>
      <c r="E64" s="132">
        <f>'3. Odwodnienie korpusu'!D11</f>
        <v>1</v>
      </c>
      <c r="F64" s="281" t="s">
        <v>4</v>
      </c>
      <c r="G64" s="133"/>
      <c r="H64" s="148"/>
    </row>
    <row r="65" spans="1:10" s="32" customFormat="1" ht="19.5" customHeight="1">
      <c r="A65" s="118" t="s">
        <v>4</v>
      </c>
      <c r="B65" s="169" t="s">
        <v>417</v>
      </c>
      <c r="C65" s="274" t="s">
        <v>418</v>
      </c>
      <c r="D65" s="275"/>
      <c r="E65" s="275"/>
      <c r="F65" s="275"/>
      <c r="G65" s="275"/>
      <c r="H65" s="291"/>
    </row>
    <row r="66" spans="1:10" s="32" customFormat="1" ht="16.5" customHeight="1">
      <c r="A66" s="123" t="s">
        <v>150</v>
      </c>
      <c r="B66" s="112" t="s">
        <v>474</v>
      </c>
      <c r="C66" s="143" t="s">
        <v>419</v>
      </c>
      <c r="D66" s="144" t="s">
        <v>15</v>
      </c>
      <c r="E66" s="145" t="s">
        <v>4</v>
      </c>
      <c r="F66" s="284">
        <f>E67</f>
        <v>1</v>
      </c>
      <c r="G66" s="25"/>
      <c r="H66" s="122"/>
    </row>
    <row r="67" spans="1:10" s="32" customFormat="1" ht="72" hidden="1" customHeight="1">
      <c r="A67" s="141"/>
      <c r="B67" s="142"/>
      <c r="C67" s="146" t="s">
        <v>420</v>
      </c>
      <c r="D67" s="131" t="s">
        <v>15</v>
      </c>
      <c r="E67" s="132">
        <f>'3. Odwodnienie korpusu'!D12</f>
        <v>1</v>
      </c>
      <c r="F67" s="281" t="s">
        <v>4</v>
      </c>
      <c r="G67" s="133"/>
      <c r="H67" s="148"/>
    </row>
    <row r="68" spans="1:10" s="32" customFormat="1" ht="22.5" customHeight="1">
      <c r="A68" s="118" t="s">
        <v>4</v>
      </c>
      <c r="B68" s="135" t="s">
        <v>329</v>
      </c>
      <c r="C68" s="274" t="s">
        <v>415</v>
      </c>
      <c r="D68" s="275"/>
      <c r="E68" s="275"/>
      <c r="F68" s="275"/>
      <c r="G68" s="275"/>
      <c r="H68" s="291"/>
    </row>
    <row r="69" spans="1:10" s="32" customFormat="1" ht="17.25" customHeight="1">
      <c r="A69" s="123" t="s">
        <v>151</v>
      </c>
      <c r="B69" s="150" t="s">
        <v>331</v>
      </c>
      <c r="C69" s="143" t="s">
        <v>482</v>
      </c>
      <c r="D69" s="128" t="s">
        <v>4</v>
      </c>
      <c r="E69" s="128" t="s">
        <v>4</v>
      </c>
      <c r="F69" s="279" t="s">
        <v>4</v>
      </c>
      <c r="G69" s="128" t="s">
        <v>4</v>
      </c>
      <c r="H69" s="279" t="s">
        <v>4</v>
      </c>
    </row>
    <row r="70" spans="1:10" s="32" customFormat="1" ht="29.25" customHeight="1">
      <c r="A70" s="375"/>
      <c r="B70" s="378"/>
      <c r="C70" s="152" t="s">
        <v>332</v>
      </c>
      <c r="D70" s="153" t="s">
        <v>24</v>
      </c>
      <c r="E70" s="154" t="s">
        <v>295</v>
      </c>
      <c r="F70" s="285">
        <v>469.5</v>
      </c>
      <c r="G70" s="25"/>
      <c r="H70" s="122"/>
      <c r="J70" s="32" t="s">
        <v>484</v>
      </c>
    </row>
    <row r="71" spans="1:10" s="32" customFormat="1" ht="36.75" customHeight="1">
      <c r="A71" s="376"/>
      <c r="B71" s="379"/>
      <c r="C71" s="152" t="s">
        <v>333</v>
      </c>
      <c r="D71" s="121" t="s">
        <v>24</v>
      </c>
      <c r="E71" s="154" t="s">
        <v>295</v>
      </c>
      <c r="F71" s="286">
        <v>1318</v>
      </c>
      <c r="G71" s="25"/>
      <c r="H71" s="122"/>
      <c r="J71" s="32" t="s">
        <v>484</v>
      </c>
    </row>
    <row r="72" spans="1:10" s="32" customFormat="1" ht="13.5" customHeight="1">
      <c r="A72" s="376"/>
      <c r="B72" s="379"/>
      <c r="C72" s="152" t="s">
        <v>330</v>
      </c>
      <c r="D72" s="121" t="s">
        <v>24</v>
      </c>
      <c r="E72" s="154" t="s">
        <v>4</v>
      </c>
      <c r="F72" s="286">
        <v>1787.5</v>
      </c>
      <c r="G72" s="25"/>
      <c r="H72" s="122"/>
      <c r="J72" s="32" t="s">
        <v>484</v>
      </c>
    </row>
    <row r="73" spans="1:10" s="32" customFormat="1" ht="16.5" customHeight="1">
      <c r="A73" s="376"/>
      <c r="B73" s="379"/>
      <c r="C73" s="152" t="s">
        <v>334</v>
      </c>
      <c r="D73" s="121" t="s">
        <v>24</v>
      </c>
      <c r="E73" s="154" t="s">
        <v>4</v>
      </c>
      <c r="F73" s="286">
        <v>1866.5</v>
      </c>
      <c r="G73" s="25"/>
      <c r="H73" s="122"/>
      <c r="J73" s="32" t="s">
        <v>484</v>
      </c>
    </row>
    <row r="74" spans="1:10" s="32" customFormat="1" ht="27" customHeight="1">
      <c r="A74" s="376"/>
      <c r="B74" s="379"/>
      <c r="C74" s="152" t="s">
        <v>335</v>
      </c>
      <c r="D74" s="121" t="s">
        <v>24</v>
      </c>
      <c r="E74" s="154" t="s">
        <v>4</v>
      </c>
      <c r="F74" s="286">
        <v>25.6</v>
      </c>
      <c r="G74" s="25"/>
      <c r="H74" s="122"/>
      <c r="J74" s="32" t="s">
        <v>484</v>
      </c>
    </row>
    <row r="75" spans="1:10" s="32" customFormat="1" ht="15" customHeight="1">
      <c r="A75" s="376"/>
      <c r="B75" s="379"/>
      <c r="C75" s="152" t="s">
        <v>483</v>
      </c>
      <c r="D75" s="121" t="s">
        <v>6</v>
      </c>
      <c r="E75" s="154" t="s">
        <v>4</v>
      </c>
      <c r="F75" s="286">
        <v>276.5</v>
      </c>
      <c r="G75" s="25"/>
      <c r="H75" s="122"/>
      <c r="J75" s="32" t="s">
        <v>484</v>
      </c>
    </row>
    <row r="76" spans="1:10" s="32" customFormat="1" ht="32.25" customHeight="1">
      <c r="A76" s="377"/>
      <c r="B76" s="380"/>
      <c r="C76" s="294" t="s">
        <v>416</v>
      </c>
      <c r="D76" s="278" t="s">
        <v>6</v>
      </c>
      <c r="E76" s="295" t="s">
        <v>389</v>
      </c>
      <c r="F76" s="286">
        <v>65</v>
      </c>
      <c r="G76" s="25"/>
      <c r="H76" s="122"/>
      <c r="J76" s="32" t="s">
        <v>484</v>
      </c>
    </row>
    <row r="77" spans="1:10" s="32" customFormat="1" ht="27" customHeight="1">
      <c r="A77" s="410" t="s">
        <v>157</v>
      </c>
      <c r="B77" s="410"/>
      <c r="C77" s="410"/>
      <c r="D77" s="410"/>
      <c r="E77" s="410"/>
      <c r="F77" s="410"/>
      <c r="G77" s="410"/>
      <c r="H77" s="26">
        <f>H76+H75+H74+H73+H72+H71+H70+H66+H63+H61+H58+H56+H54+H52+H50+H48+H45+H43</f>
        <v>0</v>
      </c>
    </row>
    <row r="78" spans="1:10" s="32" customFormat="1" ht="27" customHeight="1">
      <c r="A78" s="116" t="s">
        <v>60</v>
      </c>
      <c r="B78" s="117" t="s">
        <v>158</v>
      </c>
      <c r="C78" s="289" t="s">
        <v>336</v>
      </c>
      <c r="D78" s="290"/>
      <c r="E78" s="290"/>
      <c r="F78" s="290"/>
      <c r="G78" s="290"/>
      <c r="H78" s="292"/>
    </row>
    <row r="79" spans="1:10" s="32" customFormat="1" ht="19.5" customHeight="1">
      <c r="A79" s="118" t="s">
        <v>4</v>
      </c>
      <c r="B79" s="135" t="s">
        <v>159</v>
      </c>
      <c r="C79" s="274" t="s">
        <v>160</v>
      </c>
      <c r="D79" s="275"/>
      <c r="E79" s="275"/>
      <c r="F79" s="275"/>
      <c r="G79" s="275"/>
      <c r="H79" s="291"/>
    </row>
    <row r="80" spans="1:10" s="27" customFormat="1" ht="31.5" customHeight="1">
      <c r="A80" s="123" t="s">
        <v>17</v>
      </c>
      <c r="B80" s="155" t="s">
        <v>161</v>
      </c>
      <c r="C80" s="156" t="s">
        <v>162</v>
      </c>
      <c r="D80" s="144" t="s">
        <v>315</v>
      </c>
      <c r="E80" s="145" t="s">
        <v>4</v>
      </c>
      <c r="F80" s="284">
        <f>E81</f>
        <v>11230.412</v>
      </c>
      <c r="G80" s="25"/>
      <c r="H80" s="122"/>
    </row>
    <row r="81" spans="1:10" s="27" customFormat="1" ht="114.75" hidden="1" customHeight="1">
      <c r="A81" s="157"/>
      <c r="B81" s="158"/>
      <c r="C81" s="269" t="s">
        <v>433</v>
      </c>
      <c r="D81" s="160" t="s">
        <v>316</v>
      </c>
      <c r="E81" s="161">
        <f>'1. Zjazdy'!J18+'1. Zjazdy'!F18+'4. El. pref. 5.konstr.'!C30+'4. El. pref. 5.konstr.'!C25+'4. El. pref. 5.konstr.'!C20</f>
        <v>11230.412</v>
      </c>
      <c r="F81" s="287" t="s">
        <v>4</v>
      </c>
      <c r="G81" s="320"/>
      <c r="H81" s="162"/>
    </row>
    <row r="82" spans="1:10" s="27" customFormat="1" ht="18.75" customHeight="1">
      <c r="A82" s="118" t="s">
        <v>4</v>
      </c>
      <c r="B82" s="135" t="s">
        <v>163</v>
      </c>
      <c r="C82" s="274" t="s">
        <v>164</v>
      </c>
      <c r="D82" s="275"/>
      <c r="E82" s="275"/>
      <c r="F82" s="275"/>
      <c r="G82" s="275"/>
      <c r="H82" s="291"/>
    </row>
    <row r="83" spans="1:10" s="27" customFormat="1" ht="25.5">
      <c r="A83" s="123" t="s">
        <v>165</v>
      </c>
      <c r="B83" s="155" t="s">
        <v>166</v>
      </c>
      <c r="C83" s="156" t="s">
        <v>167</v>
      </c>
      <c r="D83" s="144" t="s">
        <v>315</v>
      </c>
      <c r="E83" s="145" t="s">
        <v>4</v>
      </c>
      <c r="F83" s="284">
        <f>E84</f>
        <v>7535.44</v>
      </c>
      <c r="G83" s="25"/>
      <c r="H83" s="122"/>
    </row>
    <row r="84" spans="1:10" s="27" customFormat="1" ht="70.5" hidden="1" customHeight="1">
      <c r="A84" s="164"/>
      <c r="B84" s="163"/>
      <c r="C84" s="159" t="s">
        <v>434</v>
      </c>
      <c r="D84" s="160" t="s">
        <v>316</v>
      </c>
      <c r="E84" s="161">
        <f>'4. El. pref. 5.konstr.'!C24+'4. El. pref. 5.konstr.'!C19</f>
        <v>7535.44</v>
      </c>
      <c r="F84" s="287" t="s">
        <v>4</v>
      </c>
      <c r="G84" s="320"/>
      <c r="H84" s="162"/>
    </row>
    <row r="85" spans="1:10" s="27" customFormat="1" ht="25.5">
      <c r="A85" s="123" t="s">
        <v>168</v>
      </c>
      <c r="B85" s="155" t="s">
        <v>169</v>
      </c>
      <c r="C85" s="156" t="s">
        <v>170</v>
      </c>
      <c r="D85" s="144" t="s">
        <v>315</v>
      </c>
      <c r="E85" s="145" t="s">
        <v>4</v>
      </c>
      <c r="F85" s="284">
        <f>E86</f>
        <v>6987.4079999999994</v>
      </c>
      <c r="G85" s="25"/>
      <c r="H85" s="122"/>
    </row>
    <row r="86" spans="1:10" s="27" customFormat="1" ht="70.5" hidden="1" customHeight="1">
      <c r="A86" s="164"/>
      <c r="B86" s="163"/>
      <c r="C86" s="159" t="s">
        <v>435</v>
      </c>
      <c r="D86" s="160" t="s">
        <v>316</v>
      </c>
      <c r="E86" s="161">
        <f>'4. El. pref. 5.konstr.'!C23+'4. El. pref. 5.konstr.'!C18</f>
        <v>6987.4079999999994</v>
      </c>
      <c r="F86" s="287" t="s">
        <v>4</v>
      </c>
      <c r="G86" s="320"/>
      <c r="H86" s="162"/>
    </row>
    <row r="87" spans="1:10" s="33" customFormat="1" ht="18" customHeight="1">
      <c r="A87" s="118" t="s">
        <v>4</v>
      </c>
      <c r="B87" s="135" t="s">
        <v>171</v>
      </c>
      <c r="C87" s="274" t="s">
        <v>172</v>
      </c>
      <c r="D87" s="275"/>
      <c r="E87" s="275"/>
      <c r="F87" s="275"/>
      <c r="G87" s="275"/>
      <c r="H87" s="291"/>
    </row>
    <row r="88" spans="1:10" s="33" customFormat="1" ht="33" customHeight="1">
      <c r="A88" s="123" t="s">
        <v>173</v>
      </c>
      <c r="B88" s="155" t="s">
        <v>177</v>
      </c>
      <c r="C88" s="156" t="s">
        <v>178</v>
      </c>
      <c r="D88" s="144" t="s">
        <v>315</v>
      </c>
      <c r="E88" s="145" t="s">
        <v>4</v>
      </c>
      <c r="F88" s="284">
        <f>SUM(E89:E89)</f>
        <v>1914.8999999999999</v>
      </c>
      <c r="G88" s="25"/>
      <c r="H88" s="122"/>
    </row>
    <row r="89" spans="1:10" s="33" customFormat="1" ht="69.75" hidden="1" customHeight="1">
      <c r="A89" s="168"/>
      <c r="B89" s="167"/>
      <c r="C89" s="269" t="s">
        <v>436</v>
      </c>
      <c r="D89" s="160" t="s">
        <v>316</v>
      </c>
      <c r="E89" s="161">
        <f>'1. Zjazdy'!E18+'4. El. pref. 5.konstr.'!C29</f>
        <v>1914.8999999999999</v>
      </c>
      <c r="F89" s="284" t="s">
        <v>4</v>
      </c>
      <c r="G89" s="317"/>
      <c r="H89" s="166"/>
    </row>
    <row r="90" spans="1:10" s="33" customFormat="1" ht="30" customHeight="1">
      <c r="A90" s="123" t="s">
        <v>174</v>
      </c>
      <c r="B90" s="155" t="s">
        <v>180</v>
      </c>
      <c r="C90" s="156" t="s">
        <v>338</v>
      </c>
      <c r="D90" s="144" t="s">
        <v>315</v>
      </c>
      <c r="E90" s="145" t="s">
        <v>4</v>
      </c>
      <c r="F90" s="284">
        <f>SUM(E91:E91)</f>
        <v>7535.44</v>
      </c>
      <c r="G90" s="25"/>
      <c r="H90" s="122"/>
    </row>
    <row r="91" spans="1:10" s="33" customFormat="1" ht="66" hidden="1" customHeight="1">
      <c r="A91" s="168"/>
      <c r="B91" s="167"/>
      <c r="C91" s="159" t="s">
        <v>437</v>
      </c>
      <c r="D91" s="160" t="s">
        <v>316</v>
      </c>
      <c r="E91" s="161">
        <f>'4. El. pref. 5.konstr.'!C24+'4. El. pref. 5.konstr.'!C19</f>
        <v>7535.44</v>
      </c>
      <c r="F91" s="284" t="s">
        <v>4</v>
      </c>
      <c r="G91" s="317"/>
      <c r="H91" s="166"/>
    </row>
    <row r="92" spans="1:10" s="33" customFormat="1" ht="24" customHeight="1">
      <c r="A92" s="123" t="s">
        <v>175</v>
      </c>
      <c r="B92" s="155" t="s">
        <v>181</v>
      </c>
      <c r="C92" s="156" t="s">
        <v>339</v>
      </c>
      <c r="D92" s="144" t="s">
        <v>315</v>
      </c>
      <c r="E92" s="145" t="s">
        <v>4</v>
      </c>
      <c r="F92" s="284">
        <v>1980</v>
      </c>
      <c r="G92" s="25"/>
      <c r="H92" s="122"/>
      <c r="J92" s="33" t="s">
        <v>484</v>
      </c>
    </row>
    <row r="93" spans="1:10" s="33" customFormat="1" ht="48" hidden="1" customHeight="1">
      <c r="A93" s="168"/>
      <c r="B93" s="167"/>
      <c r="C93" s="159" t="s">
        <v>438</v>
      </c>
      <c r="D93" s="160" t="s">
        <v>316</v>
      </c>
      <c r="E93" s="161">
        <v>1875.5</v>
      </c>
      <c r="F93" s="287" t="s">
        <v>4</v>
      </c>
      <c r="G93" s="317"/>
      <c r="H93" s="166"/>
    </row>
    <row r="94" spans="1:10" s="33" customFormat="1" ht="18" customHeight="1">
      <c r="A94" s="118" t="s">
        <v>4</v>
      </c>
      <c r="B94" s="169" t="s">
        <v>182</v>
      </c>
      <c r="C94" s="274" t="s">
        <v>183</v>
      </c>
      <c r="D94" s="275"/>
      <c r="E94" s="275"/>
      <c r="F94" s="275"/>
      <c r="G94" s="275"/>
      <c r="H94" s="291"/>
    </row>
    <row r="95" spans="1:10" s="33" customFormat="1" ht="18" customHeight="1">
      <c r="A95" s="123" t="s">
        <v>176</v>
      </c>
      <c r="B95" s="150" t="s">
        <v>341</v>
      </c>
      <c r="C95" s="156" t="s">
        <v>340</v>
      </c>
      <c r="D95" s="144" t="s">
        <v>315</v>
      </c>
      <c r="E95" s="145" t="s">
        <v>4</v>
      </c>
      <c r="F95" s="284">
        <f>SUM(E96:E96)</f>
        <v>2461.9</v>
      </c>
      <c r="G95" s="25"/>
      <c r="H95" s="122"/>
      <c r="J95" s="33" t="s">
        <v>484</v>
      </c>
    </row>
    <row r="96" spans="1:10" s="33" customFormat="1" ht="81.75" hidden="1" customHeight="1">
      <c r="A96" s="170"/>
      <c r="B96" s="151"/>
      <c r="C96" s="269" t="s">
        <v>439</v>
      </c>
      <c r="D96" s="160" t="s">
        <v>316</v>
      </c>
      <c r="E96" s="161">
        <f>'1. Zjazdy'!F18+'1. Zjazdy'!J18+'4. El. pref. 5.konstr.'!C30</f>
        <v>2461.9</v>
      </c>
      <c r="F96" s="284" t="s">
        <v>4</v>
      </c>
      <c r="G96" s="317"/>
      <c r="H96" s="166"/>
    </row>
    <row r="97" spans="1:91" s="33" customFormat="1" ht="22.5" customHeight="1">
      <c r="A97" s="123" t="s">
        <v>179</v>
      </c>
      <c r="B97" s="150" t="s">
        <v>184</v>
      </c>
      <c r="C97" s="156" t="s">
        <v>185</v>
      </c>
      <c r="D97" s="144" t="s">
        <v>315</v>
      </c>
      <c r="E97" s="145" t="s">
        <v>4</v>
      </c>
      <c r="F97" s="284">
        <f>SUM(E98:E98)</f>
        <v>8768.5119999999988</v>
      </c>
      <c r="G97" s="25"/>
      <c r="H97" s="122"/>
    </row>
    <row r="98" spans="1:91" s="33" customFormat="1" ht="69.75" hidden="1" customHeight="1">
      <c r="A98" s="170"/>
      <c r="B98" s="151"/>
      <c r="C98" s="159" t="s">
        <v>440</v>
      </c>
      <c r="D98" s="160" t="s">
        <v>316</v>
      </c>
      <c r="E98" s="161">
        <f>'4. El. pref. 5.konstr.'!C20+'4. El. pref. 5.konstr.'!C25</f>
        <v>8768.5119999999988</v>
      </c>
      <c r="F98" s="284" t="s">
        <v>4</v>
      </c>
      <c r="G98" s="136"/>
      <c r="H98" s="166"/>
    </row>
    <row r="99" spans="1:91" s="33" customFormat="1" ht="29.25" customHeight="1">
      <c r="A99" s="410" t="s">
        <v>186</v>
      </c>
      <c r="B99" s="410"/>
      <c r="C99" s="410"/>
      <c r="D99" s="410"/>
      <c r="E99" s="410"/>
      <c r="F99" s="410"/>
      <c r="G99" s="410"/>
      <c r="H99" s="26"/>
    </row>
    <row r="100" spans="1:91" s="33" customFormat="1" ht="27.75" customHeight="1">
      <c r="A100" s="116" t="s">
        <v>63</v>
      </c>
      <c r="B100" s="117" t="s">
        <v>187</v>
      </c>
      <c r="C100" s="289" t="s">
        <v>342</v>
      </c>
      <c r="D100" s="290"/>
      <c r="E100" s="290"/>
      <c r="F100" s="290"/>
      <c r="G100" s="290"/>
      <c r="H100" s="292"/>
    </row>
    <row r="101" spans="1:91" s="33" customFormat="1" ht="20.25" customHeight="1">
      <c r="A101" s="118" t="s">
        <v>4</v>
      </c>
      <c r="B101" s="169" t="s">
        <v>188</v>
      </c>
      <c r="C101" s="274" t="s">
        <v>189</v>
      </c>
      <c r="D101" s="275"/>
      <c r="E101" s="275"/>
      <c r="F101" s="275"/>
      <c r="G101" s="275"/>
      <c r="H101" s="291"/>
    </row>
    <row r="102" spans="1:91" s="33" customFormat="1" ht="27.75" customHeight="1">
      <c r="A102" s="123" t="s">
        <v>19</v>
      </c>
      <c r="B102" s="150" t="s">
        <v>441</v>
      </c>
      <c r="C102" s="156" t="s">
        <v>442</v>
      </c>
      <c r="D102" s="144" t="s">
        <v>315</v>
      </c>
      <c r="E102" s="145" t="s">
        <v>4</v>
      </c>
      <c r="F102" s="284">
        <f>SUM(E103:E103)</f>
        <v>437.6</v>
      </c>
      <c r="G102" s="25"/>
      <c r="H102" s="122"/>
      <c r="J102" s="33" t="s">
        <v>484</v>
      </c>
    </row>
    <row r="103" spans="1:91" s="33" customFormat="1" ht="48.75" hidden="1" customHeight="1">
      <c r="A103" s="165"/>
      <c r="B103" s="167"/>
      <c r="C103" s="159" t="s">
        <v>444</v>
      </c>
      <c r="D103" s="160" t="s">
        <v>316</v>
      </c>
      <c r="E103" s="161">
        <f>'1. Zjazdy'!I18</f>
        <v>437.6</v>
      </c>
      <c r="F103" s="284" t="s">
        <v>4</v>
      </c>
      <c r="G103" s="317"/>
      <c r="H103" s="166"/>
    </row>
    <row r="104" spans="1:91" s="35" customFormat="1" ht="18.75" customHeight="1">
      <c r="A104" s="118" t="s">
        <v>4</v>
      </c>
      <c r="B104" s="135" t="s">
        <v>190</v>
      </c>
      <c r="C104" s="274" t="s">
        <v>191</v>
      </c>
      <c r="D104" s="275"/>
      <c r="E104" s="275"/>
      <c r="F104" s="275"/>
      <c r="G104" s="275"/>
      <c r="H104" s="291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  <c r="BF104" s="34"/>
      <c r="BG104" s="34"/>
      <c r="BH104" s="34"/>
      <c r="BI104" s="34"/>
      <c r="BJ104" s="34"/>
      <c r="BK104" s="34"/>
      <c r="BL104" s="34"/>
      <c r="BM104" s="34"/>
      <c r="BN104" s="34"/>
      <c r="BO104" s="34"/>
      <c r="BP104" s="34"/>
      <c r="BQ104" s="34"/>
      <c r="BR104" s="34"/>
      <c r="BS104" s="34"/>
      <c r="BT104" s="34"/>
      <c r="BU104" s="34"/>
      <c r="BV104" s="34"/>
      <c r="BW104" s="34"/>
      <c r="BX104" s="34"/>
      <c r="BY104" s="34"/>
      <c r="BZ104" s="34"/>
      <c r="CA104" s="34"/>
      <c r="CB104" s="34"/>
      <c r="CC104" s="34"/>
      <c r="CD104" s="34"/>
      <c r="CE104" s="34"/>
      <c r="CF104" s="34"/>
      <c r="CG104" s="34"/>
      <c r="CH104" s="34"/>
      <c r="CI104" s="34"/>
      <c r="CJ104" s="34"/>
      <c r="CK104" s="34"/>
      <c r="CL104" s="34"/>
      <c r="CM104" s="34"/>
    </row>
    <row r="105" spans="1:91" s="35" customFormat="1" ht="24" customHeight="1">
      <c r="A105" s="123" t="s">
        <v>20</v>
      </c>
      <c r="B105" s="155" t="s">
        <v>195</v>
      </c>
      <c r="C105" s="156" t="s">
        <v>443</v>
      </c>
      <c r="D105" s="144" t="s">
        <v>315</v>
      </c>
      <c r="E105" s="145" t="s">
        <v>4</v>
      </c>
      <c r="F105" s="284">
        <f>SUM(E106:E106)</f>
        <v>1305.0899999999999</v>
      </c>
      <c r="G105" s="25"/>
      <c r="H105" s="122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H105" s="34"/>
      <c r="BI105" s="34"/>
      <c r="BJ105" s="34"/>
      <c r="BK105" s="34"/>
      <c r="BL105" s="34"/>
      <c r="BM105" s="34"/>
      <c r="BN105" s="34"/>
      <c r="BO105" s="34"/>
      <c r="BP105" s="34"/>
      <c r="BQ105" s="34"/>
      <c r="BR105" s="34"/>
      <c r="BS105" s="34"/>
      <c r="BT105" s="34"/>
      <c r="BU105" s="34"/>
      <c r="BV105" s="34"/>
      <c r="BW105" s="34"/>
      <c r="BX105" s="34"/>
      <c r="BY105" s="34"/>
      <c r="BZ105" s="34"/>
      <c r="CA105" s="34"/>
      <c r="CB105" s="34"/>
      <c r="CC105" s="34"/>
      <c r="CD105" s="34"/>
      <c r="CE105" s="34"/>
      <c r="CF105" s="34"/>
      <c r="CG105" s="34"/>
      <c r="CH105" s="34"/>
      <c r="CI105" s="34"/>
      <c r="CJ105" s="34"/>
      <c r="CK105" s="34"/>
      <c r="CL105" s="34"/>
      <c r="CM105" s="34"/>
    </row>
    <row r="106" spans="1:91" s="35" customFormat="1" ht="45" hidden="1" customHeight="1">
      <c r="A106" s="165"/>
      <c r="B106" s="167"/>
      <c r="C106" s="159" t="s">
        <v>445</v>
      </c>
      <c r="D106" s="160" t="s">
        <v>316</v>
      </c>
      <c r="E106" s="161">
        <f>'4. El. pref. 5.konstr.'!C23</f>
        <v>1305.0899999999999</v>
      </c>
      <c r="F106" s="284" t="s">
        <v>4</v>
      </c>
      <c r="G106" s="317"/>
      <c r="H106" s="171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  <c r="BF106" s="34"/>
      <c r="BG106" s="34"/>
      <c r="BH106" s="34"/>
      <c r="BI106" s="34"/>
      <c r="BJ106" s="34"/>
      <c r="BK106" s="34"/>
      <c r="BL106" s="34"/>
      <c r="BM106" s="34"/>
      <c r="BN106" s="34"/>
      <c r="BO106" s="34"/>
      <c r="BP106" s="34"/>
      <c r="BQ106" s="34"/>
      <c r="BR106" s="34"/>
      <c r="BS106" s="34"/>
      <c r="BT106" s="34"/>
      <c r="BU106" s="34"/>
      <c r="BV106" s="34"/>
      <c r="BW106" s="34"/>
      <c r="BX106" s="34"/>
      <c r="BY106" s="34"/>
      <c r="BZ106" s="34"/>
      <c r="CA106" s="34"/>
      <c r="CB106" s="34"/>
      <c r="CC106" s="34"/>
      <c r="CD106" s="34"/>
      <c r="CE106" s="34"/>
      <c r="CF106" s="34"/>
      <c r="CG106" s="34"/>
      <c r="CH106" s="34"/>
      <c r="CI106" s="34"/>
      <c r="CJ106" s="34"/>
      <c r="CK106" s="34"/>
      <c r="CL106" s="34"/>
      <c r="CM106" s="34"/>
    </row>
    <row r="107" spans="1:91" s="35" customFormat="1" ht="26.25" customHeight="1">
      <c r="A107" s="123" t="s">
        <v>192</v>
      </c>
      <c r="B107" s="155" t="s">
        <v>196</v>
      </c>
      <c r="C107" s="156" t="s">
        <v>197</v>
      </c>
      <c r="D107" s="144" t="s">
        <v>315</v>
      </c>
      <c r="E107" s="145" t="s">
        <v>4</v>
      </c>
      <c r="F107" s="284">
        <f>SUM(E108:E108)</f>
        <v>5682.3179999999993</v>
      </c>
      <c r="G107" s="25"/>
      <c r="H107" s="122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  <c r="BF107" s="34"/>
      <c r="BG107" s="34"/>
      <c r="BH107" s="34"/>
      <c r="BI107" s="34"/>
      <c r="BJ107" s="34"/>
      <c r="BK107" s="34"/>
      <c r="BL107" s="34"/>
      <c r="BM107" s="34"/>
      <c r="BN107" s="34"/>
      <c r="BO107" s="34"/>
      <c r="BP107" s="34"/>
      <c r="BQ107" s="34"/>
      <c r="BR107" s="34"/>
      <c r="BS107" s="34"/>
      <c r="BT107" s="34"/>
      <c r="BU107" s="34"/>
      <c r="BV107" s="34"/>
      <c r="BW107" s="34"/>
      <c r="BX107" s="34"/>
      <c r="BY107" s="34"/>
      <c r="BZ107" s="34"/>
      <c r="CA107" s="34"/>
      <c r="CB107" s="34"/>
      <c r="CC107" s="34"/>
      <c r="CD107" s="34"/>
      <c r="CE107" s="34"/>
      <c r="CF107" s="34"/>
      <c r="CG107" s="34"/>
      <c r="CH107" s="34"/>
      <c r="CI107" s="34"/>
      <c r="CJ107" s="34"/>
      <c r="CK107" s="34"/>
      <c r="CL107" s="34"/>
      <c r="CM107" s="34"/>
    </row>
    <row r="108" spans="1:91" s="35" customFormat="1" ht="48" hidden="1" customHeight="1">
      <c r="A108" s="165"/>
      <c r="B108" s="167"/>
      <c r="C108" s="159" t="s">
        <v>446</v>
      </c>
      <c r="D108" s="160" t="s">
        <v>316</v>
      </c>
      <c r="E108" s="161">
        <f>'4. El. pref. 5.konstr.'!C18</f>
        <v>5682.3179999999993</v>
      </c>
      <c r="F108" s="284" t="s">
        <v>4</v>
      </c>
      <c r="G108" s="317"/>
      <c r="H108" s="171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  <c r="BF108" s="34"/>
      <c r="BG108" s="34"/>
      <c r="BH108" s="34"/>
      <c r="BI108" s="34"/>
      <c r="BJ108" s="34"/>
      <c r="BK108" s="34"/>
      <c r="BL108" s="34"/>
      <c r="BM108" s="34"/>
      <c r="BN108" s="34"/>
      <c r="BO108" s="34"/>
      <c r="BP108" s="34"/>
      <c r="BQ108" s="34"/>
      <c r="BR108" s="34"/>
      <c r="BS108" s="34"/>
      <c r="BT108" s="34"/>
      <c r="BU108" s="34"/>
      <c r="BV108" s="34"/>
      <c r="BW108" s="34"/>
      <c r="BX108" s="34"/>
      <c r="BY108" s="34"/>
      <c r="BZ108" s="34"/>
      <c r="CA108" s="34"/>
      <c r="CB108" s="34"/>
      <c r="CC108" s="34"/>
      <c r="CD108" s="34"/>
      <c r="CE108" s="34"/>
      <c r="CF108" s="34"/>
      <c r="CG108" s="34"/>
      <c r="CH108" s="34"/>
      <c r="CI108" s="34"/>
      <c r="CJ108" s="34"/>
      <c r="CK108" s="34"/>
      <c r="CL108" s="34"/>
      <c r="CM108" s="34"/>
    </row>
    <row r="109" spans="1:91" s="35" customFormat="1" ht="27" customHeight="1">
      <c r="A109" s="123" t="s">
        <v>193</v>
      </c>
      <c r="B109" s="155" t="s">
        <v>198</v>
      </c>
      <c r="C109" s="156" t="s">
        <v>348</v>
      </c>
      <c r="D109" s="144" t="s">
        <v>315</v>
      </c>
      <c r="E109" s="145" t="s">
        <v>4</v>
      </c>
      <c r="F109" s="288">
        <f>SUM(E110:E110)</f>
        <v>6850.4</v>
      </c>
      <c r="G109" s="25"/>
      <c r="H109" s="122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  <c r="BF109" s="34"/>
      <c r="BG109" s="34"/>
      <c r="BH109" s="34"/>
      <c r="BI109" s="34"/>
      <c r="BJ109" s="34"/>
      <c r="BK109" s="34"/>
      <c r="BL109" s="34"/>
      <c r="BM109" s="34"/>
      <c r="BN109" s="34"/>
      <c r="BO109" s="34"/>
      <c r="BP109" s="34"/>
      <c r="BQ109" s="34"/>
      <c r="BR109" s="34"/>
      <c r="BS109" s="34"/>
      <c r="BT109" s="34"/>
      <c r="BU109" s="34"/>
      <c r="BV109" s="34"/>
      <c r="BW109" s="34"/>
      <c r="BX109" s="34"/>
      <c r="BY109" s="34"/>
      <c r="BZ109" s="34"/>
      <c r="CA109" s="34"/>
      <c r="CB109" s="34"/>
      <c r="CC109" s="34"/>
      <c r="CD109" s="34"/>
      <c r="CE109" s="34"/>
      <c r="CF109" s="34"/>
      <c r="CG109" s="34"/>
      <c r="CH109" s="34"/>
      <c r="CI109" s="34"/>
      <c r="CJ109" s="34"/>
      <c r="CK109" s="34"/>
      <c r="CL109" s="34"/>
      <c r="CM109" s="34"/>
    </row>
    <row r="110" spans="1:91" s="35" customFormat="1" ht="57" hidden="1" customHeight="1">
      <c r="A110" s="165"/>
      <c r="B110" s="167"/>
      <c r="C110" s="159" t="s">
        <v>447</v>
      </c>
      <c r="D110" s="160" t="s">
        <v>316</v>
      </c>
      <c r="E110" s="161">
        <f>'4. El. pref. 5.konstr.'!C22+'4. El. pref. 5.konstr.'!C17</f>
        <v>6850.4</v>
      </c>
      <c r="F110" s="287" t="s">
        <v>4</v>
      </c>
      <c r="G110" s="317"/>
      <c r="H110" s="171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F110" s="34"/>
      <c r="AG110" s="34"/>
      <c r="AH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  <c r="AX110" s="34"/>
      <c r="AY110" s="34"/>
      <c r="AZ110" s="34"/>
      <c r="BA110" s="34"/>
      <c r="BB110" s="34"/>
      <c r="BC110" s="34"/>
      <c r="BD110" s="34"/>
      <c r="BE110" s="34"/>
      <c r="BF110" s="34"/>
      <c r="BG110" s="34"/>
      <c r="BH110" s="34"/>
      <c r="BI110" s="34"/>
      <c r="BJ110" s="34"/>
      <c r="BK110" s="34"/>
      <c r="BL110" s="34"/>
      <c r="BM110" s="34"/>
      <c r="BN110" s="34"/>
      <c r="BO110" s="34"/>
      <c r="BP110" s="34"/>
      <c r="BQ110" s="34"/>
      <c r="BR110" s="34"/>
      <c r="BS110" s="34"/>
      <c r="BT110" s="34"/>
      <c r="BU110" s="34"/>
      <c r="BV110" s="34"/>
      <c r="BW110" s="34"/>
      <c r="BX110" s="34"/>
      <c r="BY110" s="34"/>
      <c r="BZ110" s="34"/>
      <c r="CA110" s="34"/>
      <c r="CB110" s="34"/>
      <c r="CC110" s="34"/>
      <c r="CD110" s="34"/>
      <c r="CE110" s="34"/>
      <c r="CF110" s="34"/>
      <c r="CG110" s="34"/>
      <c r="CH110" s="34"/>
      <c r="CI110" s="34"/>
      <c r="CJ110" s="34"/>
      <c r="CK110" s="34"/>
      <c r="CL110" s="34"/>
      <c r="CM110" s="34"/>
    </row>
    <row r="111" spans="1:91" s="35" customFormat="1" ht="18" customHeight="1">
      <c r="A111" s="118" t="s">
        <v>4</v>
      </c>
      <c r="B111" s="169" t="s">
        <v>199</v>
      </c>
      <c r="C111" s="274" t="s">
        <v>200</v>
      </c>
      <c r="D111" s="275"/>
      <c r="E111" s="275"/>
      <c r="F111" s="275"/>
      <c r="G111" s="275"/>
      <c r="H111" s="291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F111" s="34"/>
      <c r="AG111" s="34"/>
      <c r="AH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  <c r="AX111" s="34"/>
      <c r="AY111" s="34"/>
      <c r="AZ111" s="34"/>
      <c r="BA111" s="34"/>
      <c r="BB111" s="34"/>
      <c r="BC111" s="34"/>
      <c r="BD111" s="34"/>
      <c r="BE111" s="34"/>
      <c r="BF111" s="34"/>
      <c r="BG111" s="34"/>
      <c r="BH111" s="34"/>
      <c r="BI111" s="34"/>
      <c r="BJ111" s="34"/>
      <c r="BK111" s="34"/>
      <c r="BL111" s="34"/>
      <c r="BM111" s="34"/>
      <c r="BN111" s="34"/>
      <c r="BO111" s="34"/>
      <c r="BP111" s="34"/>
      <c r="BQ111" s="34"/>
      <c r="BR111" s="34"/>
      <c r="BS111" s="34"/>
      <c r="BT111" s="34"/>
      <c r="BU111" s="34"/>
      <c r="BV111" s="34"/>
      <c r="BW111" s="34"/>
      <c r="BX111" s="34"/>
      <c r="BY111" s="34"/>
      <c r="BZ111" s="34"/>
      <c r="CA111" s="34"/>
      <c r="CB111" s="34"/>
      <c r="CC111" s="34"/>
      <c r="CD111" s="34"/>
      <c r="CE111" s="34"/>
      <c r="CF111" s="34"/>
      <c r="CG111" s="34"/>
      <c r="CH111" s="34"/>
      <c r="CI111" s="34"/>
      <c r="CJ111" s="34"/>
      <c r="CK111" s="34"/>
      <c r="CL111" s="34"/>
      <c r="CM111" s="34"/>
    </row>
    <row r="112" spans="1:91" s="35" customFormat="1" ht="24" customHeight="1">
      <c r="A112" s="123" t="s">
        <v>194</v>
      </c>
      <c r="B112" s="155" t="s">
        <v>201</v>
      </c>
      <c r="C112" s="156" t="s">
        <v>202</v>
      </c>
      <c r="D112" s="144" t="s">
        <v>315</v>
      </c>
      <c r="E112" s="145" t="s">
        <v>4</v>
      </c>
      <c r="F112" s="288">
        <f>SUM(E113:E113)</f>
        <v>91.100000000000009</v>
      </c>
      <c r="G112" s="31"/>
      <c r="H112" s="122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F112" s="34"/>
      <c r="AG112" s="34"/>
      <c r="AH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  <c r="AV112" s="34"/>
      <c r="AW112" s="34"/>
      <c r="AX112" s="34"/>
      <c r="AY112" s="34"/>
      <c r="AZ112" s="34"/>
      <c r="BA112" s="34"/>
      <c r="BB112" s="34"/>
      <c r="BC112" s="34"/>
      <c r="BD112" s="34"/>
      <c r="BE112" s="34"/>
      <c r="BF112" s="34"/>
      <c r="BG112" s="34"/>
      <c r="BH112" s="34"/>
      <c r="BI112" s="34"/>
      <c r="BJ112" s="34"/>
      <c r="BK112" s="34"/>
      <c r="BL112" s="34"/>
      <c r="BM112" s="34"/>
      <c r="BN112" s="34"/>
      <c r="BO112" s="34"/>
      <c r="BP112" s="34"/>
      <c r="BQ112" s="34"/>
      <c r="BR112" s="34"/>
      <c r="BS112" s="34"/>
      <c r="BT112" s="34"/>
      <c r="BU112" s="34"/>
      <c r="BV112" s="34"/>
      <c r="BW112" s="34"/>
      <c r="BX112" s="34"/>
      <c r="BY112" s="34"/>
      <c r="BZ112" s="34"/>
      <c r="CA112" s="34"/>
      <c r="CB112" s="34"/>
      <c r="CC112" s="34"/>
      <c r="CD112" s="34"/>
      <c r="CE112" s="34"/>
      <c r="CF112" s="34"/>
      <c r="CG112" s="34"/>
      <c r="CH112" s="34"/>
      <c r="CI112" s="34"/>
      <c r="CJ112" s="34"/>
      <c r="CK112" s="34"/>
      <c r="CL112" s="34"/>
      <c r="CM112" s="34"/>
    </row>
    <row r="113" spans="1:91" s="35" customFormat="1" ht="47.25" hidden="1" customHeight="1">
      <c r="A113" s="168"/>
      <c r="B113" s="167"/>
      <c r="C113" s="159" t="s">
        <v>463</v>
      </c>
      <c r="D113" s="160" t="s">
        <v>316</v>
      </c>
      <c r="E113" s="161">
        <f>'1. Zjazdy'!D18</f>
        <v>91.100000000000009</v>
      </c>
      <c r="F113" s="287" t="s">
        <v>4</v>
      </c>
      <c r="G113" s="136"/>
      <c r="H113" s="171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F113" s="34"/>
      <c r="AG113" s="34"/>
      <c r="AH113" s="34"/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34"/>
      <c r="AV113" s="34"/>
      <c r="AW113" s="34"/>
      <c r="AX113" s="34"/>
      <c r="AY113" s="34"/>
      <c r="AZ113" s="34"/>
      <c r="BA113" s="34"/>
      <c r="BB113" s="34"/>
      <c r="BC113" s="34"/>
      <c r="BD113" s="34"/>
      <c r="BE113" s="34"/>
      <c r="BF113" s="34"/>
      <c r="BG113" s="34"/>
      <c r="BH113" s="34"/>
      <c r="BI113" s="34"/>
      <c r="BJ113" s="34"/>
      <c r="BK113" s="34"/>
      <c r="BL113" s="34"/>
      <c r="BM113" s="34"/>
      <c r="BN113" s="34"/>
      <c r="BO113" s="34"/>
      <c r="BP113" s="34"/>
      <c r="BQ113" s="34"/>
      <c r="BR113" s="34"/>
      <c r="BS113" s="34"/>
      <c r="BT113" s="34"/>
      <c r="BU113" s="34"/>
      <c r="BV113" s="34"/>
      <c r="BW113" s="34"/>
      <c r="BX113" s="34"/>
      <c r="BY113" s="34"/>
      <c r="BZ113" s="34"/>
      <c r="CA113" s="34"/>
      <c r="CB113" s="34"/>
      <c r="CC113" s="34"/>
      <c r="CD113" s="34"/>
      <c r="CE113" s="34"/>
      <c r="CF113" s="34"/>
      <c r="CG113" s="34"/>
      <c r="CH113" s="34"/>
      <c r="CI113" s="34"/>
      <c r="CJ113" s="34"/>
      <c r="CK113" s="34"/>
      <c r="CL113" s="34"/>
      <c r="CM113" s="34"/>
    </row>
    <row r="114" spans="1:91" s="35" customFormat="1" ht="30" customHeight="1">
      <c r="A114" s="410" t="s">
        <v>203</v>
      </c>
      <c r="B114" s="410"/>
      <c r="C114" s="410"/>
      <c r="D114" s="410"/>
      <c r="E114" s="410"/>
      <c r="F114" s="410"/>
      <c r="G114" s="410"/>
      <c r="H114" s="26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F114" s="34"/>
      <c r="AG114" s="34"/>
      <c r="AH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  <c r="AX114" s="34"/>
      <c r="AY114" s="34"/>
      <c r="AZ114" s="34"/>
      <c r="BA114" s="34"/>
      <c r="BB114" s="34"/>
      <c r="BC114" s="34"/>
      <c r="BD114" s="34"/>
      <c r="BE114" s="34"/>
      <c r="BF114" s="34"/>
      <c r="BG114" s="34"/>
      <c r="BH114" s="34"/>
      <c r="BI114" s="34"/>
      <c r="BJ114" s="34"/>
      <c r="BK114" s="34"/>
      <c r="BL114" s="34"/>
      <c r="BM114" s="34"/>
      <c r="BN114" s="34"/>
      <c r="BO114" s="34"/>
      <c r="BP114" s="34"/>
      <c r="BQ114" s="34"/>
      <c r="BR114" s="34"/>
      <c r="BS114" s="34"/>
      <c r="BT114" s="34"/>
      <c r="BU114" s="34"/>
      <c r="BV114" s="34"/>
      <c r="BW114" s="34"/>
      <c r="BX114" s="34"/>
      <c r="BY114" s="34"/>
      <c r="BZ114" s="34"/>
      <c r="CA114" s="34"/>
      <c r="CB114" s="34"/>
      <c r="CC114" s="34"/>
      <c r="CD114" s="34"/>
      <c r="CE114" s="34"/>
      <c r="CF114" s="34"/>
      <c r="CG114" s="34"/>
      <c r="CH114" s="34"/>
      <c r="CI114" s="34"/>
      <c r="CJ114" s="34"/>
      <c r="CK114" s="34"/>
      <c r="CL114" s="34"/>
      <c r="CM114" s="34"/>
    </row>
    <row r="115" spans="1:91" s="37" customFormat="1" ht="29.25" customHeight="1">
      <c r="A115" s="116" t="s">
        <v>66</v>
      </c>
      <c r="B115" s="117" t="s">
        <v>204</v>
      </c>
      <c r="C115" s="289" t="s">
        <v>349</v>
      </c>
      <c r="D115" s="290"/>
      <c r="E115" s="290"/>
      <c r="F115" s="290"/>
      <c r="G115" s="290"/>
      <c r="H115" s="292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36"/>
      <c r="AU115" s="36"/>
      <c r="AV115" s="36"/>
      <c r="AW115" s="36"/>
      <c r="AX115" s="36"/>
      <c r="AY115" s="36"/>
      <c r="AZ115" s="36"/>
      <c r="BA115" s="36"/>
      <c r="BB115" s="36"/>
      <c r="BC115" s="36"/>
      <c r="BD115" s="36"/>
      <c r="BE115" s="36"/>
      <c r="BF115" s="36"/>
      <c r="BG115" s="36"/>
      <c r="BH115" s="36"/>
      <c r="BI115" s="36"/>
      <c r="BJ115" s="36"/>
      <c r="BK115" s="36"/>
      <c r="BL115" s="36"/>
      <c r="BM115" s="36"/>
      <c r="BN115" s="36"/>
      <c r="BO115" s="36"/>
      <c r="BP115" s="36"/>
      <c r="BQ115" s="36"/>
      <c r="BR115" s="36"/>
      <c r="BS115" s="36"/>
      <c r="BT115" s="36"/>
      <c r="BU115" s="36"/>
      <c r="BV115" s="36"/>
      <c r="BW115" s="36"/>
      <c r="BX115" s="36"/>
      <c r="BY115" s="36"/>
      <c r="BZ115" s="36"/>
      <c r="CA115" s="36"/>
      <c r="CB115" s="36"/>
      <c r="CC115" s="36"/>
      <c r="CD115" s="36"/>
      <c r="CE115" s="36"/>
      <c r="CF115" s="36"/>
      <c r="CG115" s="36"/>
      <c r="CH115" s="36"/>
      <c r="CI115" s="36"/>
      <c r="CJ115" s="36"/>
      <c r="CK115" s="36"/>
      <c r="CL115" s="36"/>
      <c r="CM115" s="36"/>
    </row>
    <row r="116" spans="1:91" s="33" customFormat="1" ht="19.5" customHeight="1">
      <c r="A116" s="118" t="s">
        <v>4</v>
      </c>
      <c r="B116" s="135" t="s">
        <v>205</v>
      </c>
      <c r="C116" s="274" t="s">
        <v>206</v>
      </c>
      <c r="D116" s="275"/>
      <c r="E116" s="275"/>
      <c r="F116" s="275"/>
      <c r="G116" s="275"/>
      <c r="H116" s="291"/>
    </row>
    <row r="117" spans="1:91" s="38" customFormat="1" ht="22.5" customHeight="1">
      <c r="A117" s="123" t="s">
        <v>21</v>
      </c>
      <c r="B117" s="155" t="s">
        <v>207</v>
      </c>
      <c r="C117" s="156" t="s">
        <v>208</v>
      </c>
      <c r="D117" s="144" t="s">
        <v>315</v>
      </c>
      <c r="E117" s="145" t="s">
        <v>4</v>
      </c>
      <c r="F117" s="284">
        <f>E118</f>
        <v>2123.5500000000002</v>
      </c>
      <c r="G117" s="31"/>
      <c r="H117" s="122"/>
    </row>
    <row r="118" spans="1:91" s="33" customFormat="1" ht="44.25" hidden="1" customHeight="1">
      <c r="A118" s="164"/>
      <c r="B118" s="163"/>
      <c r="C118" s="159" t="s">
        <v>448</v>
      </c>
      <c r="D118" s="160" t="s">
        <v>316</v>
      </c>
      <c r="E118" s="161">
        <v>2123.5500000000002</v>
      </c>
      <c r="F118" s="287" t="s">
        <v>4</v>
      </c>
      <c r="G118" s="172"/>
      <c r="H118" s="166"/>
    </row>
    <row r="119" spans="1:91" s="33" customFormat="1" ht="29.25" customHeight="1">
      <c r="A119" s="410" t="s">
        <v>209</v>
      </c>
      <c r="B119" s="410"/>
      <c r="C119" s="410"/>
      <c r="D119" s="410"/>
      <c r="E119" s="410"/>
      <c r="F119" s="410"/>
      <c r="G119" s="410"/>
      <c r="H119" s="26"/>
    </row>
    <row r="120" spans="1:91" s="38" customFormat="1" ht="35.25" customHeight="1">
      <c r="A120" s="116" t="s">
        <v>18</v>
      </c>
      <c r="B120" s="117" t="s">
        <v>210</v>
      </c>
      <c r="C120" s="289" t="s">
        <v>350</v>
      </c>
      <c r="D120" s="290"/>
      <c r="E120" s="290"/>
      <c r="F120" s="290"/>
      <c r="G120" s="290"/>
      <c r="H120" s="292"/>
    </row>
    <row r="121" spans="1:91" s="38" customFormat="1" ht="15" customHeight="1">
      <c r="A121" s="118" t="s">
        <v>4</v>
      </c>
      <c r="B121" s="135" t="s">
        <v>211</v>
      </c>
      <c r="C121" s="274" t="s">
        <v>212</v>
      </c>
      <c r="D121" s="275"/>
      <c r="E121" s="275"/>
      <c r="F121" s="275"/>
      <c r="G121" s="275"/>
      <c r="H121" s="291"/>
    </row>
    <row r="122" spans="1:91" s="38" customFormat="1" ht="18" customHeight="1">
      <c r="A122" s="123" t="s">
        <v>22</v>
      </c>
      <c r="B122" s="155" t="s">
        <v>213</v>
      </c>
      <c r="C122" s="156" t="s">
        <v>214</v>
      </c>
      <c r="D122" s="144" t="s">
        <v>24</v>
      </c>
      <c r="E122" s="145" t="s">
        <v>4</v>
      </c>
      <c r="F122" s="284">
        <f>E123</f>
        <v>133</v>
      </c>
      <c r="G122" s="31"/>
      <c r="H122" s="122"/>
    </row>
    <row r="123" spans="1:91" s="38" customFormat="1" ht="30" hidden="1" customHeight="1">
      <c r="A123" s="165"/>
      <c r="B123" s="167"/>
      <c r="C123" s="159" t="s">
        <v>449</v>
      </c>
      <c r="D123" s="160" t="s">
        <v>24</v>
      </c>
      <c r="E123" s="161">
        <v>133</v>
      </c>
      <c r="F123" s="287" t="s">
        <v>4</v>
      </c>
      <c r="G123" s="321"/>
      <c r="H123" s="173"/>
    </row>
    <row r="124" spans="1:91" s="38" customFormat="1" ht="15.75" customHeight="1">
      <c r="A124" s="118" t="s">
        <v>4</v>
      </c>
      <c r="B124" s="135" t="s">
        <v>215</v>
      </c>
      <c r="C124" s="274" t="s">
        <v>216</v>
      </c>
      <c r="D124" s="275"/>
      <c r="E124" s="275"/>
      <c r="F124" s="275"/>
      <c r="G124" s="275"/>
      <c r="H124" s="291"/>
    </row>
    <row r="125" spans="1:91" s="38" customFormat="1" ht="16.5" customHeight="1">
      <c r="A125" s="123" t="s">
        <v>23</v>
      </c>
      <c r="B125" s="155" t="s">
        <v>217</v>
      </c>
      <c r="C125" s="156" t="s">
        <v>218</v>
      </c>
      <c r="D125" s="144" t="s">
        <v>15</v>
      </c>
      <c r="E125" s="145" t="s">
        <v>4</v>
      </c>
      <c r="F125" s="284">
        <f>E126</f>
        <v>59</v>
      </c>
      <c r="G125" s="31"/>
      <c r="H125" s="122"/>
    </row>
    <row r="126" spans="1:91" s="38" customFormat="1" ht="42.75" hidden="1" customHeight="1">
      <c r="A126" s="165"/>
      <c r="B126" s="167"/>
      <c r="C126" s="159" t="s">
        <v>450</v>
      </c>
      <c r="D126" s="160" t="s">
        <v>15</v>
      </c>
      <c r="E126" s="161">
        <v>59</v>
      </c>
      <c r="F126" s="287" t="s">
        <v>4</v>
      </c>
      <c r="G126" s="145"/>
      <c r="H126" s="173"/>
    </row>
    <row r="127" spans="1:91" s="38" customFormat="1" ht="20.25" customHeight="1">
      <c r="A127" s="118" t="s">
        <v>4</v>
      </c>
      <c r="B127" s="169" t="s">
        <v>219</v>
      </c>
      <c r="C127" s="274" t="s">
        <v>220</v>
      </c>
      <c r="D127" s="275"/>
      <c r="E127" s="275"/>
      <c r="F127" s="275"/>
      <c r="G127" s="275"/>
      <c r="H127" s="291"/>
    </row>
    <row r="128" spans="1:91" s="38" customFormat="1" ht="20.25" customHeight="1">
      <c r="A128" s="123" t="s">
        <v>525</v>
      </c>
      <c r="B128" s="155" t="s">
        <v>452</v>
      </c>
      <c r="C128" s="156" t="s">
        <v>453</v>
      </c>
      <c r="D128" s="144" t="s">
        <v>6</v>
      </c>
      <c r="E128" s="145" t="s">
        <v>4</v>
      </c>
      <c r="F128" s="284">
        <f>E129</f>
        <v>319</v>
      </c>
      <c r="G128" s="145"/>
      <c r="H128" s="122"/>
    </row>
    <row r="129" spans="1:8" s="38" customFormat="1" ht="42.75" hidden="1" customHeight="1">
      <c r="A129" s="168"/>
      <c r="B129" s="167"/>
      <c r="C129" s="159" t="s">
        <v>454</v>
      </c>
      <c r="D129" s="160" t="s">
        <v>6</v>
      </c>
      <c r="E129" s="161">
        <v>319</v>
      </c>
      <c r="F129" s="287" t="s">
        <v>4</v>
      </c>
      <c r="G129" s="174"/>
      <c r="H129" s="173"/>
    </row>
    <row r="130" spans="1:8" s="38" customFormat="1" ht="42.75" customHeight="1">
      <c r="A130" s="123" t="s">
        <v>526</v>
      </c>
      <c r="B130" s="155" t="s">
        <v>527</v>
      </c>
      <c r="C130" s="366" t="s">
        <v>528</v>
      </c>
      <c r="D130" s="144" t="s">
        <v>518</v>
      </c>
      <c r="E130" s="145" t="s">
        <v>4</v>
      </c>
      <c r="F130" s="145">
        <v>1</v>
      </c>
      <c r="G130" s="367"/>
      <c r="H130" s="122"/>
    </row>
    <row r="131" spans="1:8" s="38" customFormat="1" ht="29.25" customHeight="1">
      <c r="A131" s="410" t="s">
        <v>221</v>
      </c>
      <c r="B131" s="410"/>
      <c r="C131" s="410"/>
      <c r="D131" s="410"/>
      <c r="E131" s="410"/>
      <c r="F131" s="410"/>
      <c r="G131" s="410"/>
      <c r="H131" s="26"/>
    </row>
    <row r="132" spans="1:8" s="38" customFormat="1" ht="29.25" customHeight="1">
      <c r="A132" s="116" t="s">
        <v>45</v>
      </c>
      <c r="B132" s="117" t="s">
        <v>222</v>
      </c>
      <c r="C132" s="289" t="s">
        <v>351</v>
      </c>
      <c r="D132" s="290"/>
      <c r="E132" s="290"/>
      <c r="F132" s="290"/>
      <c r="G132" s="290"/>
      <c r="H132" s="292"/>
    </row>
    <row r="133" spans="1:8" s="38" customFormat="1" ht="21.75" customHeight="1">
      <c r="A133" s="118" t="s">
        <v>4</v>
      </c>
      <c r="B133" s="135" t="s">
        <v>223</v>
      </c>
      <c r="C133" s="274" t="s">
        <v>224</v>
      </c>
      <c r="D133" s="275"/>
      <c r="E133" s="275"/>
      <c r="F133" s="275"/>
      <c r="G133" s="275"/>
      <c r="H133" s="291"/>
    </row>
    <row r="134" spans="1:8" s="38" customFormat="1" ht="27" customHeight="1">
      <c r="A134" s="123" t="s">
        <v>225</v>
      </c>
      <c r="B134" s="155" t="s">
        <v>226</v>
      </c>
      <c r="C134" s="156" t="s">
        <v>227</v>
      </c>
      <c r="D134" s="144" t="s">
        <v>6</v>
      </c>
      <c r="E134" s="145" t="s">
        <v>4</v>
      </c>
      <c r="F134" s="284">
        <f>E135</f>
        <v>1038.5</v>
      </c>
      <c r="G134" s="31"/>
      <c r="H134" s="122"/>
    </row>
    <row r="135" spans="1:8" s="38" customFormat="1" ht="81.75" hidden="1" customHeight="1">
      <c r="A135" s="165"/>
      <c r="B135" s="167"/>
      <c r="C135" s="269" t="s">
        <v>451</v>
      </c>
      <c r="D135" s="160" t="s">
        <v>6</v>
      </c>
      <c r="E135" s="161">
        <f>'1. Zjazdy'!G18+'4. El. pref. 5.konstr.'!D8+'4. El. pref. 5.konstr.'!D6</f>
        <v>1038.5</v>
      </c>
      <c r="F135" s="284" t="s">
        <v>4</v>
      </c>
      <c r="G135" s="321"/>
      <c r="H135" s="173"/>
    </row>
    <row r="136" spans="1:8" s="38" customFormat="1" ht="21" customHeight="1">
      <c r="A136" s="118" t="s">
        <v>4</v>
      </c>
      <c r="B136" s="169" t="s">
        <v>345</v>
      </c>
      <c r="C136" s="274" t="s">
        <v>343</v>
      </c>
      <c r="D136" s="275"/>
      <c r="E136" s="275"/>
      <c r="F136" s="275"/>
      <c r="G136" s="275"/>
      <c r="H136" s="291"/>
    </row>
    <row r="137" spans="1:8" s="38" customFormat="1" ht="20.25" customHeight="1">
      <c r="A137" s="123" t="s">
        <v>228</v>
      </c>
      <c r="B137" s="155" t="s">
        <v>344</v>
      </c>
      <c r="C137" s="156" t="s">
        <v>347</v>
      </c>
      <c r="D137" s="144" t="s">
        <v>315</v>
      </c>
      <c r="E137" s="145" t="s">
        <v>4</v>
      </c>
      <c r="F137" s="284">
        <f>E138</f>
        <v>1823.8</v>
      </c>
      <c r="G137" s="31"/>
      <c r="H137" s="122"/>
    </row>
    <row r="138" spans="1:8" s="38" customFormat="1" ht="43.5" hidden="1" customHeight="1">
      <c r="A138" s="175"/>
      <c r="B138" s="176"/>
      <c r="C138" s="159" t="s">
        <v>460</v>
      </c>
      <c r="D138" s="160" t="s">
        <v>316</v>
      </c>
      <c r="E138" s="161">
        <f>'4. El. pref. 5.konstr.'!C27</f>
        <v>1823.8</v>
      </c>
      <c r="F138" s="161" t="s">
        <v>4</v>
      </c>
      <c r="G138" s="322"/>
      <c r="H138" s="173"/>
    </row>
    <row r="139" spans="1:8" s="33" customFormat="1" ht="18" customHeight="1">
      <c r="A139" s="118" t="s">
        <v>4</v>
      </c>
      <c r="B139" s="135" t="s">
        <v>230</v>
      </c>
      <c r="C139" s="178" t="s">
        <v>231</v>
      </c>
      <c r="D139" s="178"/>
      <c r="E139" s="178"/>
      <c r="F139" s="178"/>
      <c r="G139" s="104"/>
      <c r="H139" s="105"/>
    </row>
    <row r="140" spans="1:8" s="33" customFormat="1" ht="21.75" customHeight="1">
      <c r="A140" s="123" t="s">
        <v>229</v>
      </c>
      <c r="B140" s="155" t="s">
        <v>233</v>
      </c>
      <c r="C140" s="156" t="s">
        <v>234</v>
      </c>
      <c r="D140" s="144" t="s">
        <v>6</v>
      </c>
      <c r="E140" s="145" t="s">
        <v>4</v>
      </c>
      <c r="F140" s="145">
        <f>E141</f>
        <v>996.5</v>
      </c>
      <c r="G140" s="31"/>
      <c r="H140" s="122"/>
    </row>
    <row r="141" spans="1:8" s="38" customFormat="1" ht="66.75" hidden="1" customHeight="1">
      <c r="A141" s="293"/>
      <c r="B141" s="176"/>
      <c r="C141" s="159" t="s">
        <v>461</v>
      </c>
      <c r="D141" s="160" t="s">
        <v>6</v>
      </c>
      <c r="E141" s="161">
        <f>'1. Zjazdy'!H18+'4. El. pref. 5.konstr.'!D10</f>
        <v>996.5</v>
      </c>
      <c r="F141" s="161" t="s">
        <v>4</v>
      </c>
      <c r="G141" s="323"/>
      <c r="H141" s="173"/>
    </row>
    <row r="142" spans="1:8">
      <c r="A142" s="118" t="s">
        <v>4</v>
      </c>
      <c r="B142" s="169" t="s">
        <v>455</v>
      </c>
      <c r="C142" s="178" t="s">
        <v>459</v>
      </c>
      <c r="D142" s="178"/>
      <c r="E142" s="178"/>
      <c r="F142" s="178"/>
      <c r="G142" s="104"/>
      <c r="H142" s="105"/>
    </row>
    <row r="143" spans="1:8">
      <c r="A143" s="123" t="s">
        <v>232</v>
      </c>
      <c r="B143" s="155" t="s">
        <v>456</v>
      </c>
      <c r="C143" s="156" t="s">
        <v>458</v>
      </c>
      <c r="D143" s="144" t="s">
        <v>6</v>
      </c>
      <c r="E143" s="145" t="s">
        <v>4</v>
      </c>
      <c r="F143" s="284">
        <f>E144</f>
        <v>368.5</v>
      </c>
      <c r="G143" s="31"/>
      <c r="H143" s="122"/>
    </row>
    <row r="144" spans="1:8" ht="44.25" hidden="1" customHeight="1" thickBot="1">
      <c r="A144" s="39"/>
      <c r="B144" s="101"/>
      <c r="C144" s="298" t="s">
        <v>462</v>
      </c>
      <c r="D144" s="299" t="s">
        <v>6</v>
      </c>
      <c r="E144" s="300">
        <f>'4. El. pref. 5.konstr.'!D12</f>
        <v>368.5</v>
      </c>
      <c r="F144" s="302" t="s">
        <v>4</v>
      </c>
      <c r="G144" s="303"/>
      <c r="H144" s="304"/>
    </row>
    <row r="145" spans="1:8" ht="29.25" customHeight="1">
      <c r="A145" s="410" t="s">
        <v>49</v>
      </c>
      <c r="B145" s="410"/>
      <c r="C145" s="410"/>
      <c r="D145" s="410"/>
      <c r="E145" s="410"/>
      <c r="F145" s="410"/>
      <c r="G145" s="410"/>
      <c r="H145" s="26"/>
    </row>
    <row r="146" spans="1:8" ht="25.5">
      <c r="A146" s="116" t="s">
        <v>353</v>
      </c>
      <c r="B146" s="117" t="s">
        <v>464</v>
      </c>
      <c r="C146" s="372" t="s">
        <v>465</v>
      </c>
      <c r="D146" s="372"/>
      <c r="E146" s="372"/>
      <c r="F146" s="372"/>
      <c r="G146" s="372"/>
      <c r="H146" s="373"/>
    </row>
    <row r="147" spans="1:8">
      <c r="A147" s="118" t="s">
        <v>4</v>
      </c>
      <c r="B147" s="169" t="s">
        <v>466</v>
      </c>
      <c r="C147" s="416" t="s">
        <v>469</v>
      </c>
      <c r="D147" s="417"/>
      <c r="E147" s="417"/>
      <c r="F147" s="417"/>
      <c r="G147" s="417"/>
      <c r="H147" s="418"/>
    </row>
    <row r="148" spans="1:8">
      <c r="A148" s="123" t="s">
        <v>472</v>
      </c>
      <c r="B148" s="155" t="s">
        <v>467</v>
      </c>
      <c r="C148" s="156" t="s">
        <v>470</v>
      </c>
      <c r="D148" s="144" t="s">
        <v>15</v>
      </c>
      <c r="E148" s="145" t="s">
        <v>4</v>
      </c>
      <c r="F148" s="284">
        <f>E149</f>
        <v>4</v>
      </c>
      <c r="G148" s="31"/>
      <c r="H148" s="122"/>
    </row>
    <row r="149" spans="1:8" ht="39" hidden="1" thickBot="1">
      <c r="A149" s="100"/>
      <c r="B149" s="101"/>
      <c r="C149" s="102" t="s">
        <v>471</v>
      </c>
      <c r="D149" s="98" t="s">
        <v>15</v>
      </c>
      <c r="E149" s="103">
        <v>4</v>
      </c>
      <c r="F149" s="198" t="s">
        <v>4</v>
      </c>
      <c r="H149" s="305"/>
    </row>
    <row r="150" spans="1:8" ht="30" customHeight="1" thickBot="1">
      <c r="A150" s="410" t="s">
        <v>473</v>
      </c>
      <c r="B150" s="410"/>
      <c r="C150" s="410"/>
      <c r="D150" s="410"/>
      <c r="E150" s="410"/>
      <c r="F150" s="410"/>
      <c r="G150" s="410"/>
      <c r="H150" s="26"/>
    </row>
    <row r="151" spans="1:8" ht="26.25" customHeight="1" thickBot="1">
      <c r="A151" s="419" t="s">
        <v>235</v>
      </c>
      <c r="B151" s="419"/>
      <c r="C151" s="419"/>
      <c r="D151" s="419"/>
      <c r="E151" s="419"/>
      <c r="F151" s="419"/>
      <c r="G151" s="419"/>
      <c r="H151" s="365"/>
    </row>
    <row r="152" spans="1:8" ht="26.25" customHeight="1">
      <c r="A152" s="364" t="s">
        <v>73</v>
      </c>
      <c r="B152" s="420" t="s">
        <v>497</v>
      </c>
      <c r="C152" s="420"/>
      <c r="D152" s="420"/>
      <c r="E152" s="420"/>
      <c r="F152" s="420"/>
      <c r="G152" s="420"/>
      <c r="H152" s="420"/>
    </row>
    <row r="153" spans="1:8" ht="26.25" customHeight="1">
      <c r="A153" s="116" t="s">
        <v>76</v>
      </c>
      <c r="B153" s="117" t="s">
        <v>496</v>
      </c>
      <c r="C153" s="289" t="s">
        <v>498</v>
      </c>
      <c r="D153" s="290"/>
      <c r="E153" s="290"/>
      <c r="F153" s="290"/>
      <c r="G153" s="290"/>
      <c r="H153" s="362"/>
    </row>
    <row r="154" spans="1:8" ht="26.25" customHeight="1">
      <c r="A154" s="118" t="s">
        <v>4</v>
      </c>
      <c r="B154" s="169" t="s">
        <v>499</v>
      </c>
      <c r="C154" s="274" t="s">
        <v>500</v>
      </c>
      <c r="D154" s="275"/>
      <c r="E154" s="275"/>
      <c r="F154" s="275"/>
      <c r="G154" s="275"/>
      <c r="H154" s="361"/>
    </row>
    <row r="155" spans="1:8" ht="26.25" customHeight="1">
      <c r="A155" s="123" t="s">
        <v>501</v>
      </c>
      <c r="B155" s="155" t="s">
        <v>502</v>
      </c>
      <c r="C155" s="356" t="s">
        <v>503</v>
      </c>
      <c r="D155" s="357" t="s">
        <v>11</v>
      </c>
      <c r="E155" s="358" t="s">
        <v>4</v>
      </c>
      <c r="F155" s="145">
        <f>E156</f>
        <v>1</v>
      </c>
      <c r="G155" s="145"/>
      <c r="H155" s="121"/>
    </row>
    <row r="156" spans="1:8" ht="26.25" hidden="1" customHeight="1" thickBot="1">
      <c r="A156" s="100"/>
      <c r="B156" s="101"/>
      <c r="C156" s="102" t="s">
        <v>505</v>
      </c>
      <c r="D156" s="98" t="s">
        <v>11</v>
      </c>
      <c r="E156" s="103">
        <v>1</v>
      </c>
      <c r="F156" s="363" t="s">
        <v>4</v>
      </c>
      <c r="G156" s="359"/>
      <c r="H156" s="360"/>
    </row>
    <row r="157" spans="1:8" ht="26.25" customHeight="1" thickBot="1">
      <c r="A157" s="410" t="s">
        <v>523</v>
      </c>
      <c r="B157" s="410"/>
      <c r="C157" s="410"/>
      <c r="D157" s="410"/>
      <c r="E157" s="410"/>
      <c r="F157" s="410"/>
      <c r="G157" s="410"/>
      <c r="H157" s="26"/>
    </row>
    <row r="158" spans="1:8" ht="26.25" customHeight="1" thickBot="1">
      <c r="A158" s="419" t="s">
        <v>524</v>
      </c>
      <c r="B158" s="419"/>
      <c r="C158" s="419"/>
      <c r="D158" s="419"/>
      <c r="E158" s="419"/>
      <c r="F158" s="419"/>
      <c r="G158" s="419"/>
      <c r="H158" s="107"/>
    </row>
    <row r="159" spans="1:8" ht="28.5" customHeight="1">
      <c r="A159" s="412" t="s">
        <v>534</v>
      </c>
      <c r="B159" s="412"/>
      <c r="C159" s="412"/>
      <c r="D159" s="412"/>
      <c r="E159" s="412"/>
      <c r="F159" s="412"/>
      <c r="G159" s="412"/>
      <c r="H159" s="306"/>
    </row>
    <row r="160" spans="1:8" ht="27.75" customHeight="1" thickBot="1">
      <c r="A160" s="413" t="s">
        <v>25</v>
      </c>
      <c r="B160" s="413"/>
      <c r="C160" s="413"/>
      <c r="D160" s="413"/>
      <c r="E160" s="413"/>
      <c r="F160" s="413"/>
      <c r="G160" s="413"/>
      <c r="H160" s="307"/>
    </row>
    <row r="161" spans="1:8" ht="28.5" customHeight="1" thickBot="1">
      <c r="A161" s="414" t="s">
        <v>26</v>
      </c>
      <c r="B161" s="414"/>
      <c r="C161" s="414"/>
      <c r="D161" s="414"/>
      <c r="E161" s="414"/>
      <c r="F161" s="414"/>
      <c r="G161" s="415"/>
      <c r="H161" s="106"/>
    </row>
    <row r="162" spans="1:8">
      <c r="F162" s="22"/>
    </row>
    <row r="163" spans="1:8">
      <c r="F163" s="22"/>
    </row>
    <row r="164" spans="1:8">
      <c r="F164" s="22"/>
    </row>
    <row r="165" spans="1:8">
      <c r="F165" s="22"/>
    </row>
    <row r="166" spans="1:8">
      <c r="F166" s="22"/>
    </row>
    <row r="167" spans="1:8">
      <c r="F167" s="22"/>
    </row>
    <row r="168" spans="1:8">
      <c r="F168" s="22"/>
    </row>
    <row r="169" spans="1:8">
      <c r="F169" s="22"/>
    </row>
    <row r="170" spans="1:8">
      <c r="F170" s="22"/>
    </row>
    <row r="171" spans="1:8">
      <c r="F171" s="22"/>
    </row>
    <row r="172" spans="1:8">
      <c r="F172" s="22"/>
    </row>
  </sheetData>
  <mergeCells count="27">
    <mergeCell ref="A159:G159"/>
    <mergeCell ref="A160:G160"/>
    <mergeCell ref="A161:G161"/>
    <mergeCell ref="C147:H147"/>
    <mergeCell ref="A150:G150"/>
    <mergeCell ref="A151:G151"/>
    <mergeCell ref="B152:H152"/>
    <mergeCell ref="A157:G157"/>
    <mergeCell ref="A158:G158"/>
    <mergeCell ref="C146:H146"/>
    <mergeCell ref="A13:H13"/>
    <mergeCell ref="A32:G32"/>
    <mergeCell ref="A40:G40"/>
    <mergeCell ref="A70:A76"/>
    <mergeCell ref="B70:B76"/>
    <mergeCell ref="A77:G77"/>
    <mergeCell ref="A99:G99"/>
    <mergeCell ref="A114:G114"/>
    <mergeCell ref="A119:G119"/>
    <mergeCell ref="A131:G131"/>
    <mergeCell ref="A145:G145"/>
    <mergeCell ref="A12:G12"/>
    <mergeCell ref="A1:H1"/>
    <mergeCell ref="A2:H2"/>
    <mergeCell ref="B4:H4"/>
    <mergeCell ref="C5:H5"/>
    <mergeCell ref="A11:G11"/>
  </mergeCells>
  <pageMargins left="0.70833333333333304" right="0.70833333333333304" top="0.74791666666666701" bottom="0.74791666666666701" header="0.511811023622047" footer="0.511811023622047"/>
  <pageSetup paperSize="9" scale="79" fitToHeight="5" orientation="landscape" horizontalDpi="300" verticalDpi="300" r:id="rId1"/>
  <rowBreaks count="4" manualBreakCount="4">
    <brk id="20" max="7" man="1"/>
    <brk id="67" max="7" man="1"/>
    <brk id="99" max="7" man="1"/>
    <brk id="131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5:W18"/>
  <sheetViews>
    <sheetView view="pageBreakPreview" topLeftCell="A7" zoomScale="160" zoomScaleNormal="100" zoomScalePageLayoutView="160" workbookViewId="0">
      <selection activeCell="O28" sqref="O28"/>
    </sheetView>
  </sheetViews>
  <sheetFormatPr defaultColWidth="8.7109375" defaultRowHeight="15"/>
  <cols>
    <col min="1" max="1" width="18.140625" customWidth="1"/>
  </cols>
  <sheetData>
    <row r="5" spans="1:23" ht="100.5" customHeight="1">
      <c r="A5" s="48"/>
      <c r="B5" s="421" t="s">
        <v>237</v>
      </c>
      <c r="C5" s="421"/>
      <c r="D5" s="421"/>
      <c r="E5" s="421"/>
      <c r="F5" s="421"/>
      <c r="G5" s="42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30">
      <c r="B6" s="422"/>
      <c r="C6" s="422"/>
      <c r="D6" s="422"/>
      <c r="E6" s="422"/>
      <c r="F6" s="422"/>
      <c r="G6" s="42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30">
      <c r="B7" s="422"/>
      <c r="C7" s="422"/>
      <c r="D7" s="422"/>
      <c r="E7" s="422"/>
      <c r="F7" s="422"/>
      <c r="G7" s="42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30">
      <c r="B8" s="422"/>
      <c r="C8" s="422"/>
      <c r="D8" s="422"/>
      <c r="E8" s="422"/>
      <c r="F8" s="422"/>
      <c r="G8" s="422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30">
      <c r="B9" s="422"/>
      <c r="C9" s="422"/>
      <c r="D9" s="422"/>
      <c r="E9" s="422"/>
      <c r="F9" s="422"/>
      <c r="G9" s="422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30">
      <c r="B10" s="422"/>
      <c r="C10" s="422"/>
      <c r="D10" s="422"/>
      <c r="E10" s="422"/>
      <c r="F10" s="422"/>
      <c r="G10" s="422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30">
      <c r="B11" s="423"/>
      <c r="C11" s="423"/>
      <c r="D11" s="423"/>
      <c r="E11" s="423"/>
      <c r="F11" s="423"/>
      <c r="G11" s="423"/>
    </row>
    <row r="12" spans="1:23" ht="30">
      <c r="B12" s="423"/>
      <c r="C12" s="423"/>
      <c r="D12" s="423"/>
      <c r="E12" s="423"/>
      <c r="F12" s="423"/>
      <c r="G12" s="423"/>
    </row>
    <row r="13" spans="1:23" ht="30">
      <c r="B13" s="423"/>
      <c r="C13" s="423"/>
      <c r="D13" s="423"/>
      <c r="E13" s="423"/>
      <c r="F13" s="423"/>
      <c r="G13" s="423"/>
    </row>
    <row r="14" spans="1:23" ht="30">
      <c r="B14" s="423"/>
      <c r="C14" s="423"/>
      <c r="D14" s="423"/>
      <c r="E14" s="423"/>
      <c r="F14" s="423"/>
      <c r="G14" s="423"/>
    </row>
    <row r="15" spans="1:23" ht="30">
      <c r="B15" s="423"/>
      <c r="C15" s="423"/>
      <c r="D15" s="423"/>
      <c r="E15" s="423"/>
      <c r="F15" s="423"/>
      <c r="G15" s="423"/>
    </row>
    <row r="16" spans="1:23" ht="30">
      <c r="B16" s="423"/>
      <c r="C16" s="423"/>
      <c r="D16" s="423"/>
      <c r="E16" s="423"/>
      <c r="F16" s="423"/>
      <c r="G16" s="423"/>
    </row>
    <row r="17" spans="2:7" ht="30">
      <c r="B17" s="423"/>
      <c r="C17" s="423"/>
      <c r="D17" s="423"/>
      <c r="E17" s="423"/>
      <c r="F17" s="423"/>
      <c r="G17" s="423"/>
    </row>
    <row r="18" spans="2:7" ht="30">
      <c r="B18" s="423"/>
      <c r="C18" s="423"/>
      <c r="D18" s="423"/>
      <c r="E18" s="423"/>
      <c r="F18" s="423"/>
      <c r="G18" s="423"/>
    </row>
  </sheetData>
  <mergeCells count="14">
    <mergeCell ref="B15:G15"/>
    <mergeCell ref="B16:G16"/>
    <mergeCell ref="B17:G17"/>
    <mergeCell ref="B18:G18"/>
    <mergeCell ref="B10:G10"/>
    <mergeCell ref="B11:G11"/>
    <mergeCell ref="B12:G12"/>
    <mergeCell ref="B13:G13"/>
    <mergeCell ref="B14:G14"/>
    <mergeCell ref="B5:G5"/>
    <mergeCell ref="B6:G6"/>
    <mergeCell ref="B7:G7"/>
    <mergeCell ref="B8:G8"/>
    <mergeCell ref="B9:G9"/>
  </mergeCells>
  <pageMargins left="0.7" right="0.7" top="0.75" bottom="0.75" header="0.511811023622047" footer="0.511811023622047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R202"/>
  <sheetViews>
    <sheetView view="pageBreakPreview" topLeftCell="A10" zoomScaleNormal="100" zoomScaleSheetLayoutView="100" zoomScalePageLayoutView="160" workbookViewId="0">
      <selection activeCell="M20" sqref="M20"/>
    </sheetView>
  </sheetViews>
  <sheetFormatPr defaultColWidth="9.140625" defaultRowHeight="15"/>
  <cols>
    <col min="1" max="1" width="12.42578125" style="49" customWidth="1"/>
    <col min="2" max="2" width="4.140625" style="49" customWidth="1"/>
    <col min="3" max="3" width="6.5703125" style="49" customWidth="1"/>
    <col min="4" max="4" width="11.7109375" style="49" customWidth="1"/>
    <col min="5" max="5" width="12.5703125" style="49" customWidth="1"/>
    <col min="6" max="7" width="10" style="49" customWidth="1"/>
    <col min="8" max="8" width="10" style="50" customWidth="1"/>
    <col min="9" max="9" width="11.85546875" style="49" customWidth="1"/>
    <col min="10" max="10" width="12.5703125" customWidth="1"/>
    <col min="19" max="16375" width="9.140625" style="49"/>
    <col min="16376" max="16384" width="11.5703125" style="49" customWidth="1"/>
  </cols>
  <sheetData>
    <row r="1" spans="1:18">
      <c r="H1" s="49"/>
    </row>
    <row r="2" spans="1:18">
      <c r="H2" s="49"/>
    </row>
    <row r="3" spans="1:18" ht="29.25" customHeight="1" thickBot="1">
      <c r="A3" s="199" t="s">
        <v>307</v>
      </c>
      <c r="B3" s="209"/>
      <c r="C3" s="209"/>
      <c r="D3" s="209"/>
      <c r="E3" s="209"/>
      <c r="F3" s="209"/>
      <c r="G3" s="209"/>
      <c r="H3" s="209"/>
    </row>
    <row r="4" spans="1:18" ht="33" customHeight="1">
      <c r="A4" s="430" t="s">
        <v>239</v>
      </c>
      <c r="B4" s="432" t="s">
        <v>240</v>
      </c>
      <c r="C4" s="434" t="s">
        <v>241</v>
      </c>
      <c r="D4" s="427" t="s">
        <v>238</v>
      </c>
      <c r="E4" s="429"/>
      <c r="F4" s="429"/>
      <c r="G4" s="429"/>
      <c r="H4" s="429"/>
      <c r="I4" s="427" t="s">
        <v>359</v>
      </c>
      <c r="J4" s="428"/>
    </row>
    <row r="5" spans="1:18" s="51" customFormat="1" ht="130.15" customHeight="1" thickBot="1">
      <c r="A5" s="431"/>
      <c r="B5" s="433"/>
      <c r="C5" s="435"/>
      <c r="D5" s="210" t="s">
        <v>242</v>
      </c>
      <c r="E5" s="211" t="s">
        <v>243</v>
      </c>
      <c r="F5" s="211" t="s">
        <v>244</v>
      </c>
      <c r="G5" s="212" t="s">
        <v>245</v>
      </c>
      <c r="H5" s="212" t="s">
        <v>246</v>
      </c>
      <c r="I5" s="210" t="s">
        <v>358</v>
      </c>
      <c r="J5" s="213" t="s">
        <v>244</v>
      </c>
      <c r="K5"/>
      <c r="L5"/>
      <c r="M5"/>
      <c r="N5"/>
      <c r="O5"/>
      <c r="P5"/>
      <c r="Q5"/>
      <c r="R5"/>
    </row>
    <row r="6" spans="1:18" s="51" customFormat="1" ht="24" customHeight="1" thickBot="1">
      <c r="A6" s="424" t="s">
        <v>360</v>
      </c>
      <c r="B6" s="425"/>
      <c r="C6" s="425"/>
      <c r="D6" s="425"/>
      <c r="E6" s="425"/>
      <c r="F6" s="425"/>
      <c r="G6" s="425"/>
      <c r="H6" s="425"/>
      <c r="I6" s="425"/>
      <c r="J6" s="426"/>
      <c r="K6"/>
      <c r="L6"/>
      <c r="M6"/>
      <c r="N6"/>
      <c r="O6"/>
      <c r="P6"/>
      <c r="Q6"/>
      <c r="R6"/>
    </row>
    <row r="7" spans="1:18" s="51" customFormat="1" ht="63" customHeight="1" thickBot="1">
      <c r="A7" s="214" t="s">
        <v>361</v>
      </c>
      <c r="B7" s="215" t="s">
        <v>4</v>
      </c>
      <c r="C7" s="216">
        <v>3</v>
      </c>
      <c r="D7" s="214" t="s">
        <v>4</v>
      </c>
      <c r="E7" s="215" t="s">
        <v>4</v>
      </c>
      <c r="F7" s="215" t="str">
        <f>D7</f>
        <v>x</v>
      </c>
      <c r="G7" s="221" t="s">
        <v>4</v>
      </c>
      <c r="H7" s="221" t="s">
        <v>4</v>
      </c>
      <c r="I7" s="217">
        <v>216</v>
      </c>
      <c r="J7" s="216">
        <f>I7*1.25</f>
        <v>270</v>
      </c>
      <c r="K7" s="344" t="s">
        <v>484</v>
      </c>
      <c r="L7"/>
      <c r="M7"/>
      <c r="N7"/>
      <c r="O7"/>
      <c r="P7"/>
      <c r="Q7"/>
      <c r="R7"/>
    </row>
    <row r="8" spans="1:18" s="51" customFormat="1" ht="21" customHeight="1" thickBot="1">
      <c r="A8" s="424" t="s">
        <v>362</v>
      </c>
      <c r="B8" s="425"/>
      <c r="C8" s="425"/>
      <c r="D8" s="425"/>
      <c r="E8" s="425"/>
      <c r="F8" s="425"/>
      <c r="G8" s="425"/>
      <c r="H8" s="425"/>
      <c r="I8" s="425"/>
      <c r="J8" s="426"/>
      <c r="K8"/>
      <c r="L8"/>
      <c r="M8"/>
      <c r="N8"/>
      <c r="O8"/>
      <c r="P8"/>
      <c r="Q8"/>
      <c r="R8"/>
    </row>
    <row r="9" spans="1:18" s="52" customFormat="1" ht="63" customHeight="1">
      <c r="A9" s="218" t="s">
        <v>363</v>
      </c>
      <c r="B9" s="215" t="s">
        <v>247</v>
      </c>
      <c r="C9" s="216">
        <v>5</v>
      </c>
      <c r="D9" s="218">
        <v>15.1</v>
      </c>
      <c r="E9" s="215">
        <f>D9</f>
        <v>15.1</v>
      </c>
      <c r="F9" s="215">
        <f>D9</f>
        <v>15.1</v>
      </c>
      <c r="G9" s="222">
        <v>9</v>
      </c>
      <c r="H9" s="222">
        <v>12.5</v>
      </c>
      <c r="I9" s="219" t="s">
        <v>4</v>
      </c>
      <c r="J9" s="220" t="s">
        <v>4</v>
      </c>
      <c r="K9"/>
      <c r="L9"/>
      <c r="M9"/>
      <c r="N9"/>
      <c r="O9"/>
      <c r="P9"/>
      <c r="Q9"/>
      <c r="R9"/>
    </row>
    <row r="10" spans="1:18" s="52" customFormat="1" ht="63" customHeight="1">
      <c r="A10" s="218" t="s">
        <v>364</v>
      </c>
      <c r="B10" s="215" t="s">
        <v>80</v>
      </c>
      <c r="C10" s="216">
        <v>5</v>
      </c>
      <c r="D10" s="218">
        <v>27.3</v>
      </c>
      <c r="E10" s="215">
        <f>D10</f>
        <v>27.3</v>
      </c>
      <c r="F10" s="215">
        <f>D10</f>
        <v>27.3</v>
      </c>
      <c r="G10" s="222" t="s">
        <v>372</v>
      </c>
      <c r="H10" s="222">
        <v>11</v>
      </c>
      <c r="I10" s="219" t="s">
        <v>4</v>
      </c>
      <c r="J10" s="220" t="s">
        <v>4</v>
      </c>
      <c r="K10"/>
      <c r="L10"/>
      <c r="M10"/>
      <c r="N10"/>
      <c r="O10"/>
      <c r="P10"/>
      <c r="Q10"/>
      <c r="R10"/>
    </row>
    <row r="11" spans="1:18" s="52" customFormat="1" ht="63" customHeight="1">
      <c r="A11" s="218" t="s">
        <v>365</v>
      </c>
      <c r="B11" s="215" t="s">
        <v>247</v>
      </c>
      <c r="C11" s="216">
        <v>5</v>
      </c>
      <c r="D11" s="218">
        <v>13.5</v>
      </c>
      <c r="E11" s="215">
        <f>D11</f>
        <v>13.5</v>
      </c>
      <c r="F11" s="215">
        <f>D11</f>
        <v>13.5</v>
      </c>
      <c r="G11" s="222">
        <v>9</v>
      </c>
      <c r="H11" s="222">
        <v>12</v>
      </c>
      <c r="I11" s="219" t="s">
        <v>4</v>
      </c>
      <c r="J11" s="220" t="s">
        <v>4</v>
      </c>
      <c r="K11"/>
      <c r="L11"/>
      <c r="M11"/>
      <c r="N11"/>
      <c r="O11"/>
      <c r="P11"/>
      <c r="Q11"/>
      <c r="R11"/>
    </row>
    <row r="12" spans="1:18" s="52" customFormat="1" ht="63" customHeight="1">
      <c r="A12" s="218" t="s">
        <v>366</v>
      </c>
      <c r="B12" s="215" t="s">
        <v>247</v>
      </c>
      <c r="C12" s="216">
        <v>5</v>
      </c>
      <c r="D12" s="218">
        <v>15</v>
      </c>
      <c r="E12" s="215">
        <f>D12</f>
        <v>15</v>
      </c>
      <c r="F12" s="215">
        <f>D12</f>
        <v>15</v>
      </c>
      <c r="G12" s="222">
        <v>9</v>
      </c>
      <c r="H12" s="222">
        <v>12.5</v>
      </c>
      <c r="I12" s="219" t="s">
        <v>4</v>
      </c>
      <c r="J12" s="220" t="s">
        <v>4</v>
      </c>
      <c r="K12"/>
      <c r="L12"/>
      <c r="M12"/>
      <c r="N12"/>
      <c r="O12"/>
      <c r="P12"/>
      <c r="Q12"/>
      <c r="R12"/>
    </row>
    <row r="13" spans="1:18" s="52" customFormat="1" ht="63" customHeight="1" thickBot="1">
      <c r="A13" s="218" t="s">
        <v>367</v>
      </c>
      <c r="B13" s="215" t="s">
        <v>247</v>
      </c>
      <c r="C13" s="216">
        <v>5</v>
      </c>
      <c r="D13" s="218">
        <v>20.2</v>
      </c>
      <c r="E13" s="215">
        <f>D13</f>
        <v>20.2</v>
      </c>
      <c r="F13" s="215">
        <f>D13</f>
        <v>20.2</v>
      </c>
      <c r="G13" s="222">
        <v>9</v>
      </c>
      <c r="H13" s="222">
        <v>14.5</v>
      </c>
      <c r="I13" s="219" t="s">
        <v>4</v>
      </c>
      <c r="J13" s="220" t="s">
        <v>4</v>
      </c>
      <c r="K13"/>
      <c r="L13"/>
      <c r="M13"/>
      <c r="N13"/>
      <c r="O13"/>
      <c r="P13"/>
      <c r="Q13"/>
      <c r="R13"/>
    </row>
    <row r="14" spans="1:18" s="52" customFormat="1" ht="24.75" customHeight="1" thickBot="1">
      <c r="A14" s="424" t="s">
        <v>368</v>
      </c>
      <c r="B14" s="425"/>
      <c r="C14" s="425"/>
      <c r="D14" s="425"/>
      <c r="E14" s="425"/>
      <c r="F14" s="425"/>
      <c r="G14" s="425"/>
      <c r="H14" s="425"/>
      <c r="I14" s="425"/>
      <c r="J14" s="426"/>
      <c r="K14"/>
      <c r="L14"/>
      <c r="M14"/>
      <c r="N14"/>
      <c r="O14"/>
      <c r="P14"/>
      <c r="Q14"/>
      <c r="R14"/>
    </row>
    <row r="15" spans="1:18" s="52" customFormat="1" ht="54" customHeight="1" thickBot="1">
      <c r="A15" s="218" t="s">
        <v>369</v>
      </c>
      <c r="B15" s="215" t="s">
        <v>4</v>
      </c>
      <c r="C15" s="216">
        <v>3.5</v>
      </c>
      <c r="D15" s="214" t="s">
        <v>4</v>
      </c>
      <c r="E15" s="215" t="s">
        <v>4</v>
      </c>
      <c r="F15" s="215" t="str">
        <f>D15</f>
        <v>x</v>
      </c>
      <c r="G15" s="221" t="s">
        <v>4</v>
      </c>
      <c r="H15" s="221" t="s">
        <v>4</v>
      </c>
      <c r="I15" s="217">
        <v>192.1</v>
      </c>
      <c r="J15" s="216">
        <f>I15*1.25</f>
        <v>240.125</v>
      </c>
      <c r="K15"/>
      <c r="L15"/>
      <c r="M15"/>
      <c r="N15"/>
      <c r="O15"/>
      <c r="P15"/>
      <c r="Q15"/>
      <c r="R15"/>
    </row>
    <row r="16" spans="1:18" s="52" customFormat="1" ht="22.5" customHeight="1" thickBot="1">
      <c r="A16" s="424" t="s">
        <v>370</v>
      </c>
      <c r="B16" s="425"/>
      <c r="C16" s="425"/>
      <c r="D16" s="425"/>
      <c r="E16" s="425"/>
      <c r="F16" s="425"/>
      <c r="G16" s="425"/>
      <c r="H16" s="425"/>
      <c r="I16" s="425"/>
      <c r="J16" s="426"/>
      <c r="K16"/>
      <c r="L16"/>
      <c r="M16"/>
      <c r="N16"/>
      <c r="O16"/>
      <c r="P16"/>
      <c r="Q16"/>
      <c r="R16"/>
    </row>
    <row r="17" spans="1:18" s="52" customFormat="1" ht="54" customHeight="1">
      <c r="A17" s="218" t="s">
        <v>371</v>
      </c>
      <c r="B17" s="215" t="s">
        <v>4</v>
      </c>
      <c r="C17" s="216">
        <v>3</v>
      </c>
      <c r="D17" s="214" t="s">
        <v>4</v>
      </c>
      <c r="E17" s="215" t="s">
        <v>4</v>
      </c>
      <c r="F17" s="215" t="str">
        <f>D17</f>
        <v>x</v>
      </c>
      <c r="G17" s="221" t="s">
        <v>4</v>
      </c>
      <c r="H17" s="221" t="s">
        <v>4</v>
      </c>
      <c r="I17" s="217">
        <v>29.5</v>
      </c>
      <c r="J17" s="216">
        <f>I17*1.25</f>
        <v>36.875</v>
      </c>
      <c r="K17"/>
      <c r="L17"/>
      <c r="M17"/>
      <c r="N17"/>
      <c r="O17"/>
      <c r="P17"/>
      <c r="Q17"/>
      <c r="R17"/>
    </row>
    <row r="18" spans="1:18" s="52" customFormat="1" ht="30" customHeight="1" thickBot="1">
      <c r="A18" s="81" t="s">
        <v>4</v>
      </c>
      <c r="B18" s="82" t="s">
        <v>4</v>
      </c>
      <c r="C18" s="223" t="s">
        <v>4</v>
      </c>
      <c r="D18" s="224">
        <f>SUM(D9:D13)</f>
        <v>91.100000000000009</v>
      </c>
      <c r="E18" s="83">
        <f>SUM(E9:E13)</f>
        <v>91.100000000000009</v>
      </c>
      <c r="F18" s="83">
        <f>SUM(F9:F13)</f>
        <v>91.100000000000009</v>
      </c>
      <c r="G18" s="83">
        <f>SUM(G9:G13)</f>
        <v>36</v>
      </c>
      <c r="H18" s="225">
        <f>SUM(H9:H13)</f>
        <v>62.5</v>
      </c>
      <c r="I18" s="224">
        <f>I17+I15+I7</f>
        <v>437.6</v>
      </c>
      <c r="J18" s="84">
        <f>J17+J15+J7</f>
        <v>547</v>
      </c>
      <c r="K18"/>
      <c r="L18"/>
      <c r="M18"/>
      <c r="N18"/>
      <c r="O18"/>
      <c r="P18"/>
      <c r="Q18"/>
      <c r="R18"/>
    </row>
    <row r="19" spans="1:18" s="52" customFormat="1">
      <c r="A19" s="53"/>
      <c r="B19" s="53"/>
      <c r="C19" s="53"/>
      <c r="D19" s="54" t="s">
        <v>337</v>
      </c>
      <c r="E19" s="54" t="s">
        <v>337</v>
      </c>
      <c r="F19" s="54" t="s">
        <v>27</v>
      </c>
      <c r="G19" s="54" t="s">
        <v>27</v>
      </c>
      <c r="H19" s="99" t="s">
        <v>27</v>
      </c>
      <c r="I19" s="270" t="s">
        <v>337</v>
      </c>
      <c r="J19" s="1" t="s">
        <v>27</v>
      </c>
      <c r="K19"/>
      <c r="L19"/>
      <c r="M19"/>
      <c r="N19"/>
      <c r="O19"/>
      <c r="P19"/>
      <c r="Q19"/>
      <c r="R19"/>
    </row>
    <row r="20" spans="1:18" s="52" customFormat="1">
      <c r="A20" s="53"/>
      <c r="B20" s="53"/>
      <c r="C20" s="53"/>
      <c r="D20" s="53"/>
      <c r="E20" s="53"/>
      <c r="F20" s="53"/>
      <c r="G20" s="53"/>
      <c r="H20" s="55"/>
      <c r="I20" s="49"/>
      <c r="J20"/>
      <c r="K20"/>
      <c r="L20"/>
      <c r="M20"/>
      <c r="N20"/>
      <c r="O20"/>
      <c r="P20"/>
      <c r="Q20"/>
      <c r="R20"/>
    </row>
    <row r="21" spans="1:18" s="52" customFormat="1">
      <c r="A21" s="53"/>
      <c r="B21" s="53"/>
      <c r="C21" s="53"/>
      <c r="D21" s="53"/>
      <c r="E21" s="53"/>
      <c r="F21" s="53"/>
      <c r="G21" s="53"/>
      <c r="H21" s="55"/>
      <c r="I21" s="49"/>
      <c r="J21"/>
      <c r="K21"/>
      <c r="L21"/>
      <c r="M21"/>
      <c r="N21"/>
      <c r="O21"/>
      <c r="P21"/>
      <c r="Q21"/>
      <c r="R21"/>
    </row>
    <row r="22" spans="1:18" s="52" customFormat="1">
      <c r="A22" s="53"/>
      <c r="B22" s="53"/>
      <c r="C22" s="53"/>
      <c r="D22" s="53"/>
      <c r="E22" s="53"/>
      <c r="F22" s="53"/>
      <c r="G22" s="53"/>
      <c r="H22" s="55"/>
      <c r="I22" s="49"/>
      <c r="J22"/>
      <c r="K22"/>
      <c r="L22"/>
      <c r="M22"/>
      <c r="N22"/>
      <c r="O22"/>
      <c r="P22"/>
      <c r="Q22"/>
      <c r="R22"/>
    </row>
    <row r="23" spans="1:18" s="52" customFormat="1">
      <c r="A23" s="53"/>
      <c r="B23" s="53"/>
      <c r="C23" s="53"/>
      <c r="D23" s="53"/>
      <c r="E23" s="53"/>
      <c r="F23" s="53"/>
      <c r="G23" s="53"/>
      <c r="H23" s="55"/>
      <c r="I23" s="49"/>
      <c r="J23"/>
      <c r="K23"/>
      <c r="L23"/>
      <c r="M23"/>
      <c r="N23"/>
      <c r="O23"/>
      <c r="P23"/>
      <c r="Q23"/>
      <c r="R23"/>
    </row>
    <row r="24" spans="1:18" s="52" customFormat="1">
      <c r="A24" s="49"/>
      <c r="B24" s="49"/>
      <c r="C24" s="49"/>
      <c r="D24" s="49"/>
      <c r="E24" s="49"/>
      <c r="F24" s="49"/>
      <c r="G24" s="49"/>
      <c r="H24" s="50"/>
      <c r="I24" s="49"/>
      <c r="J24"/>
      <c r="K24"/>
      <c r="L24"/>
      <c r="M24"/>
      <c r="N24"/>
      <c r="O24"/>
      <c r="P24"/>
      <c r="Q24"/>
      <c r="R24"/>
    </row>
    <row r="25" spans="1:18" s="52" customFormat="1">
      <c r="A25" s="49"/>
      <c r="B25" s="49"/>
      <c r="C25" s="49"/>
      <c r="D25" s="49"/>
      <c r="E25" s="49"/>
      <c r="F25" s="49"/>
      <c r="G25" s="49"/>
      <c r="H25" s="50"/>
      <c r="I25" s="49"/>
      <c r="J25"/>
      <c r="K25"/>
      <c r="L25"/>
      <c r="M25"/>
      <c r="N25"/>
      <c r="O25"/>
      <c r="P25"/>
      <c r="Q25"/>
      <c r="R25"/>
    </row>
    <row r="26" spans="1:18" s="52" customFormat="1">
      <c r="A26" s="49"/>
      <c r="B26" s="49"/>
      <c r="C26" s="49"/>
      <c r="D26" s="49"/>
      <c r="E26" s="49"/>
      <c r="F26" s="49"/>
      <c r="G26" s="49"/>
      <c r="H26" s="50"/>
      <c r="I26" s="49"/>
      <c r="J26"/>
      <c r="K26"/>
      <c r="L26"/>
      <c r="M26"/>
      <c r="N26"/>
      <c r="O26"/>
      <c r="P26"/>
      <c r="Q26"/>
      <c r="R26"/>
    </row>
    <row r="27" spans="1:18" s="52" customFormat="1">
      <c r="A27" s="49"/>
      <c r="B27" s="49"/>
      <c r="C27" s="49"/>
      <c r="D27" s="49"/>
      <c r="E27" s="49"/>
      <c r="F27" s="49"/>
      <c r="G27" s="49"/>
      <c r="H27" s="50"/>
      <c r="I27" s="49"/>
      <c r="J27"/>
      <c r="K27"/>
      <c r="L27"/>
      <c r="M27"/>
      <c r="N27"/>
      <c r="O27"/>
      <c r="P27"/>
      <c r="Q27"/>
      <c r="R27"/>
    </row>
    <row r="28" spans="1:18" s="52" customFormat="1">
      <c r="A28" s="49"/>
      <c r="B28" s="49"/>
      <c r="C28" s="49"/>
      <c r="D28" s="49"/>
      <c r="E28" s="49"/>
      <c r="F28" s="49"/>
      <c r="G28" s="49"/>
      <c r="H28" s="50"/>
      <c r="I28" s="49"/>
      <c r="J28"/>
      <c r="K28"/>
      <c r="L28"/>
      <c r="M28"/>
      <c r="N28"/>
      <c r="O28"/>
      <c r="P28"/>
      <c r="Q28"/>
      <c r="R28"/>
    </row>
    <row r="29" spans="1:18" s="52" customFormat="1">
      <c r="A29" s="49"/>
      <c r="B29" s="49"/>
      <c r="C29" s="49"/>
      <c r="D29" s="49"/>
      <c r="E29" s="49"/>
      <c r="F29" s="49"/>
      <c r="G29" s="49"/>
      <c r="H29" s="50"/>
      <c r="I29" s="49"/>
      <c r="J29"/>
      <c r="K29"/>
      <c r="L29"/>
      <c r="M29"/>
      <c r="N29"/>
      <c r="O29"/>
      <c r="P29"/>
      <c r="Q29"/>
      <c r="R29"/>
    </row>
    <row r="30" spans="1:18" s="52" customFormat="1">
      <c r="A30" s="49"/>
      <c r="B30" s="49"/>
      <c r="C30" s="49"/>
      <c r="D30" s="49"/>
      <c r="E30" s="49"/>
      <c r="F30" s="49"/>
      <c r="G30" s="49"/>
      <c r="H30" s="50"/>
      <c r="I30" s="49"/>
      <c r="J30"/>
      <c r="K30"/>
      <c r="L30"/>
      <c r="M30"/>
      <c r="N30"/>
      <c r="O30"/>
      <c r="P30"/>
      <c r="Q30"/>
      <c r="R30"/>
    </row>
    <row r="31" spans="1:18" s="52" customFormat="1">
      <c r="A31" s="49"/>
      <c r="B31" s="49"/>
      <c r="C31" s="49"/>
      <c r="D31" s="49"/>
      <c r="E31" s="49"/>
      <c r="F31" s="49"/>
      <c r="G31" s="49"/>
      <c r="H31" s="50"/>
      <c r="I31" s="49"/>
      <c r="J31"/>
      <c r="K31"/>
      <c r="L31"/>
      <c r="M31"/>
      <c r="N31"/>
      <c r="O31"/>
      <c r="P31"/>
      <c r="Q31"/>
      <c r="R31"/>
    </row>
    <row r="32" spans="1:18" s="52" customFormat="1">
      <c r="A32" s="49"/>
      <c r="B32" s="49"/>
      <c r="C32" s="49"/>
      <c r="D32" s="49"/>
      <c r="E32" s="49"/>
      <c r="F32" s="49"/>
      <c r="G32" s="49"/>
      <c r="H32" s="50"/>
      <c r="I32" s="49"/>
      <c r="J32"/>
      <c r="K32"/>
      <c r="L32"/>
      <c r="M32"/>
      <c r="N32"/>
      <c r="O32"/>
      <c r="P32"/>
      <c r="Q32"/>
      <c r="R32"/>
    </row>
    <row r="33" spans="1:18" s="52" customFormat="1">
      <c r="A33" s="49"/>
      <c r="B33" s="49"/>
      <c r="C33" s="49"/>
      <c r="D33" s="49"/>
      <c r="E33" s="49"/>
      <c r="F33" s="49"/>
      <c r="G33" s="49"/>
      <c r="H33" s="50"/>
      <c r="I33" s="49"/>
      <c r="J33"/>
      <c r="K33"/>
      <c r="L33"/>
      <c r="M33"/>
      <c r="N33"/>
      <c r="O33"/>
      <c r="P33"/>
      <c r="Q33"/>
      <c r="R33"/>
    </row>
    <row r="34" spans="1:18" s="52" customFormat="1">
      <c r="A34" s="49"/>
      <c r="B34" s="49"/>
      <c r="C34" s="49"/>
      <c r="D34" s="49"/>
      <c r="E34" s="49"/>
      <c r="F34" s="49"/>
      <c r="G34" s="49"/>
      <c r="H34" s="50"/>
      <c r="I34" s="49"/>
      <c r="J34"/>
      <c r="K34"/>
      <c r="L34"/>
      <c r="M34"/>
      <c r="N34"/>
      <c r="O34"/>
      <c r="P34"/>
      <c r="Q34"/>
      <c r="R34"/>
    </row>
    <row r="35" spans="1:18" s="52" customFormat="1">
      <c r="A35" s="49"/>
      <c r="B35" s="49"/>
      <c r="C35" s="49"/>
      <c r="D35" s="49"/>
      <c r="E35" s="49"/>
      <c r="F35" s="49"/>
      <c r="G35" s="49"/>
      <c r="H35" s="50"/>
      <c r="I35" s="49"/>
      <c r="J35"/>
      <c r="K35"/>
      <c r="L35"/>
      <c r="M35"/>
      <c r="N35"/>
      <c r="O35"/>
      <c r="P35"/>
      <c r="Q35"/>
      <c r="R35"/>
    </row>
    <row r="36" spans="1:18" s="52" customFormat="1">
      <c r="A36" s="49"/>
      <c r="B36" s="49"/>
      <c r="C36" s="49"/>
      <c r="D36" s="49"/>
      <c r="E36" s="49"/>
      <c r="F36" s="49"/>
      <c r="G36" s="49"/>
      <c r="H36" s="50"/>
      <c r="I36" s="49"/>
      <c r="J36"/>
      <c r="K36"/>
      <c r="L36"/>
      <c r="M36"/>
      <c r="N36"/>
      <c r="O36"/>
      <c r="P36"/>
      <c r="Q36"/>
      <c r="R36"/>
    </row>
    <row r="37" spans="1:18" s="52" customFormat="1">
      <c r="A37" s="49"/>
      <c r="B37" s="49"/>
      <c r="C37" s="49"/>
      <c r="D37" s="49"/>
      <c r="E37" s="49"/>
      <c r="F37" s="49"/>
      <c r="G37" s="49"/>
      <c r="H37" s="50"/>
      <c r="I37" s="49"/>
      <c r="J37"/>
      <c r="K37"/>
      <c r="L37"/>
      <c r="M37"/>
      <c r="N37"/>
      <c r="O37"/>
      <c r="P37"/>
      <c r="Q37"/>
      <c r="R37"/>
    </row>
    <row r="38" spans="1:18" s="52" customFormat="1">
      <c r="A38" s="49"/>
      <c r="B38" s="49"/>
      <c r="C38" s="49"/>
      <c r="D38" s="49"/>
      <c r="E38" s="49"/>
      <c r="F38" s="49"/>
      <c r="G38" s="49"/>
      <c r="H38" s="50"/>
      <c r="I38" s="49"/>
      <c r="J38"/>
      <c r="K38"/>
      <c r="L38"/>
      <c r="M38"/>
      <c r="N38"/>
      <c r="O38"/>
      <c r="P38"/>
      <c r="Q38"/>
      <c r="R38"/>
    </row>
    <row r="39" spans="1:18" s="52" customFormat="1">
      <c r="A39" s="49"/>
      <c r="B39" s="49"/>
      <c r="C39" s="49"/>
      <c r="D39" s="49"/>
      <c r="E39" s="49"/>
      <c r="F39" s="49"/>
      <c r="G39" s="49"/>
      <c r="H39" s="50"/>
      <c r="I39" s="49"/>
      <c r="J39"/>
      <c r="K39"/>
      <c r="L39"/>
      <c r="M39"/>
      <c r="N39"/>
      <c r="O39"/>
      <c r="P39"/>
      <c r="Q39"/>
      <c r="R39"/>
    </row>
    <row r="40" spans="1:18" s="52" customFormat="1">
      <c r="A40" s="49"/>
      <c r="B40" s="49"/>
      <c r="C40" s="49"/>
      <c r="D40" s="49"/>
      <c r="E40" s="49"/>
      <c r="F40" s="49"/>
      <c r="G40" s="49"/>
      <c r="H40" s="50"/>
      <c r="I40" s="49"/>
      <c r="J40"/>
      <c r="K40"/>
      <c r="L40"/>
      <c r="M40"/>
      <c r="N40"/>
      <c r="O40"/>
      <c r="P40"/>
      <c r="Q40"/>
      <c r="R40"/>
    </row>
    <row r="41" spans="1:18" s="52" customFormat="1">
      <c r="A41" s="49"/>
      <c r="B41" s="49"/>
      <c r="C41" s="49"/>
      <c r="D41" s="49"/>
      <c r="E41" s="49"/>
      <c r="F41" s="49"/>
      <c r="G41" s="49"/>
      <c r="H41" s="50"/>
      <c r="I41" s="49"/>
      <c r="J41"/>
      <c r="K41"/>
      <c r="L41"/>
      <c r="M41"/>
      <c r="N41"/>
      <c r="O41"/>
      <c r="P41"/>
      <c r="Q41"/>
      <c r="R41"/>
    </row>
    <row r="42" spans="1:18" s="52" customFormat="1">
      <c r="A42" s="49"/>
      <c r="B42" s="49"/>
      <c r="C42" s="49"/>
      <c r="D42" s="49"/>
      <c r="E42" s="49"/>
      <c r="F42" s="49"/>
      <c r="G42" s="49"/>
      <c r="H42" s="50"/>
      <c r="I42" s="49"/>
      <c r="J42"/>
      <c r="K42"/>
      <c r="L42"/>
      <c r="M42"/>
      <c r="N42"/>
      <c r="O42"/>
      <c r="P42"/>
      <c r="Q42"/>
      <c r="R42"/>
    </row>
    <row r="43" spans="1:18" s="52" customFormat="1">
      <c r="A43" s="49"/>
      <c r="B43" s="49"/>
      <c r="C43" s="49"/>
      <c r="D43" s="49"/>
      <c r="E43" s="49"/>
      <c r="F43" s="49"/>
      <c r="G43" s="49"/>
      <c r="H43" s="50"/>
      <c r="I43" s="49"/>
      <c r="J43"/>
      <c r="K43"/>
      <c r="L43"/>
      <c r="M43"/>
      <c r="N43"/>
      <c r="O43"/>
      <c r="P43"/>
      <c r="Q43"/>
      <c r="R43"/>
    </row>
    <row r="44" spans="1:18" s="52" customFormat="1">
      <c r="A44" s="49"/>
      <c r="B44" s="49"/>
      <c r="C44" s="49"/>
      <c r="D44" s="49"/>
      <c r="E44" s="49"/>
      <c r="F44" s="49"/>
      <c r="G44" s="49"/>
      <c r="H44" s="50"/>
      <c r="I44" s="49"/>
      <c r="J44"/>
      <c r="K44"/>
      <c r="L44"/>
      <c r="M44"/>
      <c r="N44"/>
      <c r="O44"/>
      <c r="P44"/>
      <c r="Q44"/>
      <c r="R44"/>
    </row>
    <row r="45" spans="1:18" s="52" customFormat="1">
      <c r="A45" s="49"/>
      <c r="B45" s="49"/>
      <c r="C45" s="49"/>
      <c r="D45" s="49"/>
      <c r="E45" s="49"/>
      <c r="F45" s="49"/>
      <c r="G45" s="49"/>
      <c r="H45" s="50"/>
      <c r="I45" s="49"/>
      <c r="J45"/>
      <c r="K45"/>
      <c r="L45"/>
      <c r="M45"/>
      <c r="N45"/>
      <c r="O45"/>
      <c r="P45"/>
      <c r="Q45"/>
      <c r="R45"/>
    </row>
    <row r="46" spans="1:18" s="52" customFormat="1">
      <c r="A46" s="49"/>
      <c r="B46" s="49"/>
      <c r="C46" s="49"/>
      <c r="D46" s="49"/>
      <c r="E46" s="49"/>
      <c r="F46" s="49"/>
      <c r="G46" s="49"/>
      <c r="H46" s="50"/>
      <c r="I46" s="49"/>
      <c r="J46"/>
      <c r="K46"/>
      <c r="L46"/>
      <c r="M46"/>
      <c r="N46"/>
      <c r="O46"/>
      <c r="P46"/>
      <c r="Q46"/>
      <c r="R46"/>
    </row>
    <row r="47" spans="1:18" s="52" customFormat="1">
      <c r="A47" s="49"/>
      <c r="B47" s="49"/>
      <c r="C47" s="49"/>
      <c r="D47" s="49"/>
      <c r="E47" s="49"/>
      <c r="F47" s="49"/>
      <c r="G47" s="49"/>
      <c r="H47" s="50"/>
      <c r="I47" s="49"/>
      <c r="J47"/>
      <c r="K47"/>
      <c r="L47"/>
      <c r="M47"/>
      <c r="N47"/>
      <c r="O47"/>
      <c r="P47"/>
      <c r="Q47"/>
      <c r="R47"/>
    </row>
    <row r="48" spans="1:18" s="52" customFormat="1">
      <c r="A48" s="49"/>
      <c r="B48" s="49"/>
      <c r="C48" s="49"/>
      <c r="D48" s="49"/>
      <c r="E48" s="49"/>
      <c r="F48" s="49"/>
      <c r="G48" s="49"/>
      <c r="H48" s="50"/>
      <c r="I48" s="49"/>
      <c r="J48"/>
      <c r="K48"/>
      <c r="L48"/>
      <c r="M48"/>
      <c r="N48"/>
      <c r="O48"/>
      <c r="P48"/>
      <c r="Q48"/>
      <c r="R48"/>
    </row>
    <row r="49" spans="1:18" s="52" customFormat="1">
      <c r="A49" s="49"/>
      <c r="B49" s="49"/>
      <c r="C49" s="49"/>
      <c r="D49" s="49"/>
      <c r="E49" s="49"/>
      <c r="F49" s="49"/>
      <c r="G49" s="49"/>
      <c r="H49" s="50"/>
      <c r="I49" s="49"/>
      <c r="J49"/>
      <c r="K49"/>
      <c r="L49"/>
      <c r="M49"/>
      <c r="N49"/>
      <c r="O49"/>
      <c r="P49"/>
      <c r="Q49"/>
      <c r="R49"/>
    </row>
    <row r="50" spans="1:18" s="52" customFormat="1">
      <c r="A50" s="49"/>
      <c r="B50" s="49"/>
      <c r="C50" s="49"/>
      <c r="D50" s="49"/>
      <c r="E50" s="49"/>
      <c r="F50" s="49"/>
      <c r="G50" s="49"/>
      <c r="H50" s="50"/>
      <c r="I50" s="49"/>
      <c r="J50"/>
      <c r="K50"/>
      <c r="L50"/>
      <c r="M50"/>
      <c r="N50"/>
      <c r="O50"/>
      <c r="P50"/>
      <c r="Q50"/>
      <c r="R50"/>
    </row>
    <row r="51" spans="1:18" s="52" customFormat="1">
      <c r="A51" s="49"/>
      <c r="B51" s="49"/>
      <c r="C51" s="49"/>
      <c r="D51" s="49"/>
      <c r="E51" s="49"/>
      <c r="F51" s="49"/>
      <c r="G51" s="49"/>
      <c r="H51" s="50"/>
      <c r="I51" s="49"/>
      <c r="J51"/>
      <c r="K51"/>
      <c r="L51"/>
      <c r="M51"/>
      <c r="N51"/>
      <c r="O51"/>
      <c r="P51"/>
      <c r="Q51"/>
      <c r="R51"/>
    </row>
    <row r="52" spans="1:18" s="52" customFormat="1">
      <c r="A52" s="49"/>
      <c r="B52" s="49"/>
      <c r="C52" s="49"/>
      <c r="D52" s="49"/>
      <c r="E52" s="49"/>
      <c r="F52" s="49"/>
      <c r="G52" s="49"/>
      <c r="H52" s="50"/>
      <c r="I52" s="49"/>
      <c r="J52"/>
      <c r="K52"/>
      <c r="L52"/>
      <c r="M52"/>
      <c r="N52"/>
      <c r="O52"/>
      <c r="P52"/>
      <c r="Q52"/>
      <c r="R52"/>
    </row>
    <row r="53" spans="1:18" s="52" customFormat="1">
      <c r="A53" s="49"/>
      <c r="B53" s="49"/>
      <c r="C53" s="49"/>
      <c r="D53" s="49"/>
      <c r="E53" s="49"/>
      <c r="F53" s="49"/>
      <c r="G53" s="49"/>
      <c r="H53" s="50"/>
      <c r="I53" s="49"/>
      <c r="J53"/>
      <c r="K53"/>
      <c r="L53"/>
      <c r="M53"/>
      <c r="N53"/>
      <c r="O53"/>
      <c r="P53"/>
      <c r="Q53"/>
      <c r="R53"/>
    </row>
    <row r="54" spans="1:18" s="52" customFormat="1">
      <c r="A54" s="49"/>
      <c r="B54" s="49"/>
      <c r="C54" s="49"/>
      <c r="D54" s="49"/>
      <c r="E54" s="49"/>
      <c r="F54" s="49"/>
      <c r="G54" s="49"/>
      <c r="H54" s="50"/>
      <c r="I54" s="49"/>
      <c r="J54"/>
      <c r="K54"/>
      <c r="L54"/>
      <c r="M54"/>
      <c r="N54"/>
      <c r="O54"/>
      <c r="P54"/>
      <c r="Q54"/>
      <c r="R54"/>
    </row>
    <row r="55" spans="1:18" s="52" customFormat="1">
      <c r="A55" s="49"/>
      <c r="B55" s="49"/>
      <c r="C55" s="49"/>
      <c r="D55" s="49"/>
      <c r="E55" s="49"/>
      <c r="F55" s="49"/>
      <c r="G55" s="49"/>
      <c r="H55" s="50"/>
      <c r="I55" s="49"/>
      <c r="J55"/>
      <c r="K55"/>
      <c r="L55"/>
      <c r="M55"/>
      <c r="N55"/>
      <c r="O55"/>
      <c r="P55"/>
      <c r="Q55"/>
      <c r="R55"/>
    </row>
    <row r="56" spans="1:18" s="52" customFormat="1">
      <c r="A56" s="49"/>
      <c r="B56" s="49"/>
      <c r="C56" s="49"/>
      <c r="D56" s="49"/>
      <c r="E56" s="49"/>
      <c r="F56" s="49"/>
      <c r="G56" s="49"/>
      <c r="H56" s="50"/>
      <c r="I56" s="49"/>
      <c r="J56"/>
      <c r="K56"/>
      <c r="L56"/>
      <c r="M56"/>
      <c r="N56"/>
      <c r="O56"/>
      <c r="P56"/>
      <c r="Q56"/>
      <c r="R56"/>
    </row>
    <row r="57" spans="1:18" s="52" customFormat="1">
      <c r="A57" s="49"/>
      <c r="B57" s="49"/>
      <c r="C57" s="49"/>
      <c r="D57" s="49"/>
      <c r="E57" s="49"/>
      <c r="F57" s="49"/>
      <c r="G57" s="49"/>
      <c r="H57" s="50"/>
      <c r="I57" s="49"/>
      <c r="J57"/>
      <c r="K57"/>
      <c r="L57"/>
      <c r="M57"/>
      <c r="N57"/>
      <c r="O57"/>
      <c r="P57"/>
      <c r="Q57"/>
      <c r="R57"/>
    </row>
    <row r="58" spans="1:18" s="52" customFormat="1">
      <c r="A58" s="49"/>
      <c r="B58" s="49"/>
      <c r="C58" s="49"/>
      <c r="D58" s="49"/>
      <c r="E58" s="49"/>
      <c r="F58" s="49"/>
      <c r="G58" s="49"/>
      <c r="H58" s="50"/>
      <c r="I58" s="49"/>
      <c r="J58"/>
      <c r="K58"/>
      <c r="L58"/>
      <c r="M58"/>
      <c r="N58"/>
      <c r="O58"/>
      <c r="P58"/>
      <c r="Q58"/>
      <c r="R58"/>
    </row>
    <row r="59" spans="1:18" s="52" customFormat="1">
      <c r="A59" s="49"/>
      <c r="B59" s="49"/>
      <c r="C59" s="49"/>
      <c r="D59" s="49"/>
      <c r="E59" s="49"/>
      <c r="F59" s="49"/>
      <c r="G59" s="49"/>
      <c r="H59" s="50"/>
      <c r="I59" s="49"/>
      <c r="J59"/>
      <c r="K59"/>
      <c r="L59"/>
      <c r="M59"/>
      <c r="N59"/>
      <c r="O59"/>
      <c r="P59"/>
      <c r="Q59"/>
      <c r="R59"/>
    </row>
    <row r="60" spans="1:18" s="52" customFormat="1">
      <c r="A60" s="49"/>
      <c r="B60" s="49"/>
      <c r="C60" s="49"/>
      <c r="D60" s="49"/>
      <c r="E60" s="49"/>
      <c r="F60" s="49"/>
      <c r="G60" s="49"/>
      <c r="H60" s="50"/>
      <c r="I60" s="49"/>
      <c r="J60"/>
      <c r="K60"/>
      <c r="L60"/>
      <c r="M60"/>
      <c r="N60"/>
      <c r="O60"/>
      <c r="P60"/>
      <c r="Q60"/>
      <c r="R60"/>
    </row>
    <row r="61" spans="1:18" s="52" customFormat="1">
      <c r="A61" s="49"/>
      <c r="B61" s="49"/>
      <c r="C61" s="49"/>
      <c r="D61" s="49"/>
      <c r="E61" s="49"/>
      <c r="F61" s="49"/>
      <c r="G61" s="49"/>
      <c r="H61" s="50"/>
      <c r="I61" s="49"/>
      <c r="J61"/>
      <c r="K61"/>
      <c r="L61"/>
      <c r="M61"/>
      <c r="N61"/>
      <c r="O61"/>
      <c r="P61"/>
      <c r="Q61"/>
      <c r="R61"/>
    </row>
    <row r="62" spans="1:18" s="52" customFormat="1">
      <c r="A62" s="49"/>
      <c r="B62" s="49"/>
      <c r="C62" s="49"/>
      <c r="D62" s="49"/>
      <c r="E62" s="49"/>
      <c r="F62" s="49"/>
      <c r="G62" s="49"/>
      <c r="H62" s="50"/>
      <c r="I62" s="49"/>
      <c r="J62"/>
      <c r="K62"/>
      <c r="L62"/>
      <c r="M62"/>
      <c r="N62"/>
      <c r="O62"/>
      <c r="P62"/>
      <c r="Q62"/>
      <c r="R62"/>
    </row>
    <row r="63" spans="1:18" s="52" customFormat="1">
      <c r="A63" s="49"/>
      <c r="B63" s="49"/>
      <c r="C63" s="49"/>
      <c r="D63" s="49"/>
      <c r="E63" s="49"/>
      <c r="F63" s="49"/>
      <c r="G63" s="49"/>
      <c r="H63" s="50"/>
      <c r="I63" s="49"/>
      <c r="J63"/>
      <c r="K63"/>
      <c r="L63"/>
      <c r="M63"/>
      <c r="N63"/>
      <c r="O63"/>
      <c r="P63"/>
      <c r="Q63"/>
      <c r="R63"/>
    </row>
    <row r="64" spans="1:18" s="52" customFormat="1">
      <c r="A64" s="49"/>
      <c r="B64" s="49"/>
      <c r="C64" s="49"/>
      <c r="D64" s="49"/>
      <c r="E64" s="49"/>
      <c r="F64" s="49"/>
      <c r="G64" s="49"/>
      <c r="H64" s="50"/>
      <c r="I64" s="49"/>
      <c r="J64"/>
      <c r="K64"/>
      <c r="L64"/>
      <c r="M64"/>
      <c r="N64"/>
      <c r="O64"/>
      <c r="P64"/>
      <c r="Q64"/>
      <c r="R64"/>
    </row>
    <row r="65" spans="1:18" s="52" customFormat="1">
      <c r="A65" s="49"/>
      <c r="B65" s="49"/>
      <c r="C65" s="49"/>
      <c r="D65" s="49"/>
      <c r="E65" s="49"/>
      <c r="F65" s="49"/>
      <c r="G65" s="49"/>
      <c r="H65" s="50"/>
      <c r="I65" s="49"/>
      <c r="J65"/>
      <c r="K65"/>
      <c r="L65"/>
      <c r="M65"/>
      <c r="N65"/>
      <c r="O65"/>
      <c r="P65"/>
      <c r="Q65"/>
      <c r="R65"/>
    </row>
    <row r="66" spans="1:18" s="52" customFormat="1">
      <c r="A66" s="49"/>
      <c r="B66" s="49"/>
      <c r="C66" s="49"/>
      <c r="D66" s="49"/>
      <c r="E66" s="49"/>
      <c r="F66" s="49"/>
      <c r="G66" s="49"/>
      <c r="H66" s="50"/>
      <c r="I66" s="49"/>
      <c r="J66"/>
      <c r="K66"/>
      <c r="L66"/>
      <c r="M66"/>
      <c r="N66"/>
      <c r="O66"/>
      <c r="P66"/>
      <c r="Q66"/>
      <c r="R66"/>
    </row>
    <row r="67" spans="1:18" s="52" customFormat="1">
      <c r="A67" s="49"/>
      <c r="B67" s="49"/>
      <c r="C67" s="49"/>
      <c r="D67" s="49"/>
      <c r="E67" s="49"/>
      <c r="F67" s="49"/>
      <c r="G67" s="49"/>
      <c r="H67" s="50"/>
      <c r="I67" s="49"/>
      <c r="J67"/>
      <c r="K67"/>
      <c r="L67"/>
      <c r="M67"/>
      <c r="N67"/>
      <c r="O67"/>
      <c r="P67"/>
      <c r="Q67"/>
      <c r="R67"/>
    </row>
    <row r="68" spans="1:18" s="52" customFormat="1">
      <c r="A68" s="49"/>
      <c r="B68" s="49"/>
      <c r="C68" s="49"/>
      <c r="D68" s="49"/>
      <c r="E68" s="49"/>
      <c r="F68" s="49"/>
      <c r="G68" s="49"/>
      <c r="H68" s="50"/>
      <c r="I68" s="49"/>
      <c r="J68"/>
      <c r="K68"/>
      <c r="L68"/>
      <c r="M68"/>
      <c r="N68"/>
      <c r="O68"/>
      <c r="P68"/>
      <c r="Q68"/>
      <c r="R68"/>
    </row>
    <row r="69" spans="1:18" s="52" customFormat="1">
      <c r="A69" s="49"/>
      <c r="B69" s="49"/>
      <c r="C69" s="49"/>
      <c r="D69" s="49"/>
      <c r="E69" s="49"/>
      <c r="F69" s="49"/>
      <c r="G69" s="49"/>
      <c r="H69" s="50"/>
      <c r="I69" s="49"/>
      <c r="J69"/>
      <c r="K69"/>
      <c r="L69"/>
      <c r="M69"/>
      <c r="N69"/>
      <c r="O69"/>
      <c r="P69"/>
      <c r="Q69"/>
      <c r="R69"/>
    </row>
    <row r="70" spans="1:18" s="52" customFormat="1">
      <c r="A70" s="49"/>
      <c r="B70" s="49"/>
      <c r="C70" s="49"/>
      <c r="D70" s="49"/>
      <c r="E70" s="49"/>
      <c r="F70" s="49"/>
      <c r="G70" s="49"/>
      <c r="H70" s="50"/>
      <c r="I70" s="49"/>
      <c r="J70"/>
      <c r="K70"/>
      <c r="L70"/>
      <c r="M70"/>
      <c r="N70"/>
      <c r="O70"/>
      <c r="P70"/>
      <c r="Q70"/>
      <c r="R70"/>
    </row>
    <row r="71" spans="1:18" s="52" customFormat="1">
      <c r="A71" s="49"/>
      <c r="B71" s="49"/>
      <c r="C71" s="49"/>
      <c r="D71" s="49"/>
      <c r="E71" s="49"/>
      <c r="F71" s="49"/>
      <c r="G71" s="49"/>
      <c r="H71" s="50"/>
      <c r="I71" s="49"/>
      <c r="J71"/>
      <c r="K71"/>
      <c r="L71"/>
      <c r="M71"/>
      <c r="N71"/>
      <c r="O71"/>
      <c r="P71"/>
      <c r="Q71"/>
      <c r="R71"/>
    </row>
    <row r="72" spans="1:18" s="52" customFormat="1">
      <c r="A72" s="49"/>
      <c r="B72" s="49"/>
      <c r="C72" s="49"/>
      <c r="D72" s="49"/>
      <c r="E72" s="49"/>
      <c r="F72" s="49"/>
      <c r="G72" s="49"/>
      <c r="H72" s="50"/>
      <c r="I72" s="49"/>
      <c r="J72"/>
      <c r="K72"/>
      <c r="L72"/>
      <c r="M72"/>
      <c r="N72"/>
      <c r="O72"/>
      <c r="P72"/>
      <c r="Q72"/>
      <c r="R72"/>
    </row>
    <row r="73" spans="1:18" s="52" customFormat="1">
      <c r="A73" s="49"/>
      <c r="B73" s="49"/>
      <c r="C73" s="49"/>
      <c r="D73" s="49"/>
      <c r="E73" s="49"/>
      <c r="F73" s="49"/>
      <c r="G73" s="49"/>
      <c r="H73" s="50"/>
      <c r="I73" s="49"/>
      <c r="J73"/>
      <c r="K73"/>
      <c r="L73"/>
      <c r="M73"/>
      <c r="N73"/>
      <c r="O73"/>
      <c r="P73"/>
      <c r="Q73"/>
      <c r="R73"/>
    </row>
    <row r="74" spans="1:18" s="52" customFormat="1">
      <c r="A74" s="49"/>
      <c r="B74" s="49"/>
      <c r="C74" s="49"/>
      <c r="D74" s="49"/>
      <c r="E74" s="49"/>
      <c r="F74" s="49"/>
      <c r="G74" s="49"/>
      <c r="H74" s="50"/>
      <c r="I74" s="49"/>
      <c r="J74"/>
      <c r="K74"/>
      <c r="L74"/>
      <c r="M74"/>
      <c r="N74"/>
      <c r="O74"/>
      <c r="P74"/>
      <c r="Q74"/>
      <c r="R74"/>
    </row>
    <row r="75" spans="1:18" s="52" customFormat="1">
      <c r="A75" s="49"/>
      <c r="B75" s="49"/>
      <c r="C75" s="49"/>
      <c r="D75" s="49"/>
      <c r="E75" s="49"/>
      <c r="F75" s="49"/>
      <c r="G75" s="49"/>
      <c r="H75" s="50"/>
      <c r="I75" s="49"/>
      <c r="J75"/>
      <c r="K75"/>
      <c r="L75"/>
      <c r="M75"/>
      <c r="N75"/>
      <c r="O75"/>
      <c r="P75"/>
      <c r="Q75"/>
      <c r="R75"/>
    </row>
    <row r="76" spans="1:18" s="52" customFormat="1">
      <c r="A76" s="49"/>
      <c r="B76" s="49"/>
      <c r="C76" s="49"/>
      <c r="D76" s="49"/>
      <c r="E76" s="49"/>
      <c r="F76" s="49"/>
      <c r="G76" s="49"/>
      <c r="H76" s="50"/>
      <c r="I76" s="49"/>
      <c r="J76"/>
      <c r="K76"/>
      <c r="L76"/>
      <c r="M76"/>
      <c r="N76"/>
      <c r="O76"/>
      <c r="P76"/>
      <c r="Q76"/>
      <c r="R76"/>
    </row>
    <row r="77" spans="1:18" s="52" customFormat="1">
      <c r="A77" s="49"/>
      <c r="B77" s="49"/>
      <c r="C77" s="49"/>
      <c r="D77" s="49"/>
      <c r="E77" s="49"/>
      <c r="F77" s="49"/>
      <c r="G77" s="49"/>
      <c r="H77" s="50"/>
      <c r="I77" s="49"/>
      <c r="J77"/>
      <c r="K77"/>
      <c r="L77"/>
      <c r="M77"/>
      <c r="N77"/>
      <c r="O77"/>
      <c r="P77"/>
      <c r="Q77"/>
      <c r="R77"/>
    </row>
    <row r="78" spans="1:18" s="52" customFormat="1">
      <c r="A78" s="49"/>
      <c r="B78" s="49"/>
      <c r="C78" s="49"/>
      <c r="D78" s="49"/>
      <c r="E78" s="49"/>
      <c r="F78" s="49"/>
      <c r="G78" s="49"/>
      <c r="H78" s="50"/>
      <c r="I78" s="49"/>
      <c r="J78"/>
      <c r="K78"/>
      <c r="L78"/>
      <c r="M78"/>
      <c r="N78"/>
      <c r="O78"/>
      <c r="P78"/>
      <c r="Q78"/>
      <c r="R78"/>
    </row>
    <row r="79" spans="1:18" s="52" customFormat="1">
      <c r="A79" s="49"/>
      <c r="B79" s="49"/>
      <c r="C79" s="49"/>
      <c r="D79" s="49"/>
      <c r="E79" s="49"/>
      <c r="F79" s="49"/>
      <c r="G79" s="49"/>
      <c r="H79" s="50"/>
      <c r="I79" s="49"/>
      <c r="J79"/>
      <c r="K79"/>
      <c r="L79"/>
      <c r="M79"/>
      <c r="N79"/>
      <c r="O79"/>
      <c r="P79"/>
      <c r="Q79"/>
      <c r="R79"/>
    </row>
    <row r="80" spans="1:18" s="52" customFormat="1">
      <c r="A80" s="49"/>
      <c r="B80" s="49"/>
      <c r="C80" s="49"/>
      <c r="D80" s="49"/>
      <c r="E80" s="49"/>
      <c r="F80" s="49"/>
      <c r="G80" s="49"/>
      <c r="H80" s="50"/>
      <c r="I80" s="49"/>
      <c r="J80"/>
      <c r="K80"/>
      <c r="L80"/>
      <c r="M80"/>
      <c r="N80"/>
      <c r="O80"/>
      <c r="P80"/>
      <c r="Q80"/>
      <c r="R80"/>
    </row>
    <row r="81" spans="1:18" s="52" customFormat="1">
      <c r="A81" s="49"/>
      <c r="B81" s="49"/>
      <c r="C81" s="49"/>
      <c r="D81" s="49"/>
      <c r="E81" s="49"/>
      <c r="F81" s="49"/>
      <c r="G81" s="49"/>
      <c r="H81" s="50"/>
      <c r="I81" s="49"/>
      <c r="J81"/>
      <c r="K81"/>
      <c r="L81"/>
      <c r="M81"/>
      <c r="N81"/>
      <c r="O81"/>
      <c r="P81"/>
      <c r="Q81"/>
      <c r="R81"/>
    </row>
    <row r="82" spans="1:18" s="52" customFormat="1">
      <c r="A82" s="49"/>
      <c r="B82" s="49"/>
      <c r="C82" s="49"/>
      <c r="D82" s="49"/>
      <c r="E82" s="49"/>
      <c r="F82" s="49"/>
      <c r="G82" s="49"/>
      <c r="H82" s="50"/>
      <c r="I82" s="49"/>
      <c r="J82"/>
      <c r="K82"/>
      <c r="L82"/>
      <c r="M82"/>
      <c r="N82"/>
      <c r="O82"/>
      <c r="P82"/>
      <c r="Q82"/>
      <c r="R82"/>
    </row>
    <row r="83" spans="1:18" s="52" customFormat="1">
      <c r="A83" s="49"/>
      <c r="B83" s="49"/>
      <c r="C83" s="49"/>
      <c r="D83" s="49"/>
      <c r="E83" s="49"/>
      <c r="F83" s="49"/>
      <c r="G83" s="49"/>
      <c r="H83" s="50"/>
      <c r="I83" s="49"/>
      <c r="J83"/>
      <c r="K83"/>
      <c r="L83"/>
      <c r="M83"/>
      <c r="N83"/>
      <c r="O83"/>
      <c r="P83"/>
      <c r="Q83"/>
      <c r="R83"/>
    </row>
    <row r="84" spans="1:18" s="52" customFormat="1">
      <c r="A84" s="49"/>
      <c r="B84" s="49"/>
      <c r="C84" s="49"/>
      <c r="D84" s="49"/>
      <c r="E84" s="49"/>
      <c r="F84" s="49"/>
      <c r="G84" s="49"/>
      <c r="H84" s="50"/>
      <c r="I84" s="49"/>
      <c r="J84"/>
      <c r="K84"/>
      <c r="L84"/>
      <c r="M84"/>
      <c r="N84"/>
      <c r="O84"/>
      <c r="P84"/>
      <c r="Q84"/>
      <c r="R84"/>
    </row>
    <row r="85" spans="1:18" s="52" customFormat="1">
      <c r="A85" s="49"/>
      <c r="B85" s="49"/>
      <c r="C85" s="49"/>
      <c r="D85" s="49"/>
      <c r="E85" s="49"/>
      <c r="F85" s="49"/>
      <c r="G85" s="49"/>
      <c r="H85" s="50"/>
      <c r="I85" s="49"/>
      <c r="J85"/>
      <c r="K85"/>
      <c r="L85"/>
      <c r="M85"/>
      <c r="N85"/>
      <c r="O85"/>
      <c r="P85"/>
      <c r="Q85"/>
      <c r="R85"/>
    </row>
    <row r="86" spans="1:18" s="52" customFormat="1">
      <c r="A86" s="49"/>
      <c r="B86" s="49"/>
      <c r="C86" s="49"/>
      <c r="D86" s="49"/>
      <c r="E86" s="49"/>
      <c r="F86" s="49"/>
      <c r="G86" s="49"/>
      <c r="H86" s="50"/>
      <c r="I86" s="49"/>
      <c r="J86"/>
      <c r="K86"/>
      <c r="L86"/>
      <c r="M86"/>
      <c r="N86"/>
      <c r="O86"/>
      <c r="P86"/>
      <c r="Q86"/>
      <c r="R86"/>
    </row>
    <row r="87" spans="1:18" s="52" customFormat="1">
      <c r="A87" s="49"/>
      <c r="B87" s="49"/>
      <c r="C87" s="49"/>
      <c r="D87" s="49"/>
      <c r="E87" s="49"/>
      <c r="F87" s="49"/>
      <c r="G87" s="49"/>
      <c r="H87" s="50"/>
      <c r="I87" s="49"/>
      <c r="J87"/>
      <c r="K87"/>
      <c r="L87"/>
      <c r="M87"/>
      <c r="N87"/>
      <c r="O87"/>
      <c r="P87"/>
      <c r="Q87"/>
      <c r="R87"/>
    </row>
    <row r="88" spans="1:18" s="52" customFormat="1">
      <c r="A88" s="49"/>
      <c r="B88" s="49"/>
      <c r="C88" s="49"/>
      <c r="D88" s="49"/>
      <c r="E88" s="49"/>
      <c r="F88" s="49"/>
      <c r="G88" s="49"/>
      <c r="H88" s="50"/>
      <c r="I88" s="49"/>
      <c r="J88"/>
      <c r="K88"/>
      <c r="L88"/>
      <c r="M88"/>
      <c r="N88"/>
      <c r="O88"/>
      <c r="P88"/>
      <c r="Q88"/>
      <c r="R88"/>
    </row>
    <row r="89" spans="1:18" s="52" customFormat="1">
      <c r="A89" s="49"/>
      <c r="B89" s="49"/>
      <c r="C89" s="49"/>
      <c r="D89" s="49"/>
      <c r="E89" s="49"/>
      <c r="F89" s="49"/>
      <c r="G89" s="49"/>
      <c r="H89" s="50"/>
      <c r="I89" s="49"/>
      <c r="J89"/>
      <c r="K89"/>
      <c r="L89"/>
      <c r="M89"/>
      <c r="N89"/>
      <c r="O89"/>
      <c r="P89"/>
      <c r="Q89"/>
      <c r="R89"/>
    </row>
    <row r="90" spans="1:18" s="52" customFormat="1">
      <c r="A90" s="49"/>
      <c r="B90" s="49"/>
      <c r="C90" s="49"/>
      <c r="D90" s="49"/>
      <c r="E90" s="49"/>
      <c r="F90" s="49"/>
      <c r="G90" s="49"/>
      <c r="H90" s="50"/>
      <c r="I90" s="49"/>
      <c r="J90"/>
      <c r="K90"/>
      <c r="L90"/>
      <c r="M90"/>
      <c r="N90"/>
      <c r="O90"/>
      <c r="P90"/>
      <c r="Q90"/>
      <c r="R90"/>
    </row>
    <row r="91" spans="1:18" s="52" customFormat="1">
      <c r="A91" s="49"/>
      <c r="B91" s="49"/>
      <c r="C91" s="49"/>
      <c r="D91" s="49"/>
      <c r="E91" s="49"/>
      <c r="F91" s="49"/>
      <c r="G91" s="49"/>
      <c r="H91" s="50"/>
      <c r="I91" s="49"/>
      <c r="J91"/>
      <c r="K91"/>
      <c r="L91"/>
      <c r="M91"/>
      <c r="N91"/>
      <c r="O91"/>
      <c r="P91"/>
      <c r="Q91"/>
      <c r="R91"/>
    </row>
    <row r="92" spans="1:18" s="52" customFormat="1">
      <c r="A92" s="49"/>
      <c r="B92" s="49"/>
      <c r="C92" s="49"/>
      <c r="D92" s="49"/>
      <c r="E92" s="49"/>
      <c r="F92" s="49"/>
      <c r="G92" s="49"/>
      <c r="H92" s="50"/>
      <c r="I92" s="49"/>
      <c r="J92"/>
      <c r="K92"/>
      <c r="L92"/>
      <c r="M92"/>
      <c r="N92"/>
      <c r="O92"/>
      <c r="P92"/>
      <c r="Q92"/>
      <c r="R92"/>
    </row>
    <row r="93" spans="1:18" s="52" customFormat="1">
      <c r="A93" s="49"/>
      <c r="B93" s="49"/>
      <c r="C93" s="49"/>
      <c r="D93" s="49"/>
      <c r="E93" s="49"/>
      <c r="F93" s="49"/>
      <c r="G93" s="49"/>
      <c r="H93" s="50"/>
      <c r="I93" s="49"/>
      <c r="J93"/>
      <c r="K93"/>
      <c r="L93"/>
      <c r="M93"/>
      <c r="N93"/>
      <c r="O93"/>
      <c r="P93"/>
      <c r="Q93"/>
      <c r="R93"/>
    </row>
    <row r="94" spans="1:18" s="52" customFormat="1">
      <c r="A94" s="49"/>
      <c r="B94" s="49"/>
      <c r="C94" s="49"/>
      <c r="D94" s="49"/>
      <c r="E94" s="49"/>
      <c r="F94" s="49"/>
      <c r="G94" s="49"/>
      <c r="H94" s="50"/>
      <c r="I94" s="49"/>
      <c r="J94"/>
      <c r="K94"/>
      <c r="L94"/>
      <c r="M94"/>
      <c r="N94"/>
      <c r="O94"/>
      <c r="P94"/>
      <c r="Q94"/>
      <c r="R94"/>
    </row>
    <row r="95" spans="1:18" s="52" customFormat="1">
      <c r="A95" s="49"/>
      <c r="B95" s="49"/>
      <c r="C95" s="49"/>
      <c r="D95" s="49"/>
      <c r="E95" s="49"/>
      <c r="F95" s="49"/>
      <c r="G95" s="49"/>
      <c r="H95" s="50"/>
      <c r="I95" s="49"/>
      <c r="J95"/>
      <c r="K95"/>
      <c r="L95"/>
      <c r="M95"/>
      <c r="N95"/>
      <c r="O95"/>
      <c r="P95"/>
      <c r="Q95"/>
      <c r="R95"/>
    </row>
    <row r="96" spans="1:18" s="52" customFormat="1">
      <c r="A96" s="49"/>
      <c r="B96" s="49"/>
      <c r="C96" s="49"/>
      <c r="D96" s="49"/>
      <c r="E96" s="49"/>
      <c r="F96" s="49"/>
      <c r="G96" s="49"/>
      <c r="H96" s="50"/>
      <c r="I96" s="49"/>
      <c r="J96"/>
      <c r="K96"/>
      <c r="L96"/>
      <c r="M96"/>
      <c r="N96"/>
      <c r="O96"/>
      <c r="P96"/>
      <c r="Q96"/>
      <c r="R96"/>
    </row>
    <row r="97" spans="1:18" s="52" customFormat="1">
      <c r="A97" s="49"/>
      <c r="B97" s="49"/>
      <c r="C97" s="49"/>
      <c r="D97" s="49"/>
      <c r="E97" s="49"/>
      <c r="F97" s="49"/>
      <c r="G97" s="49"/>
      <c r="H97" s="50"/>
      <c r="I97" s="49"/>
      <c r="J97"/>
      <c r="K97"/>
      <c r="L97"/>
      <c r="M97"/>
      <c r="N97"/>
      <c r="O97"/>
      <c r="P97"/>
      <c r="Q97"/>
      <c r="R97"/>
    </row>
    <row r="98" spans="1:18" s="52" customFormat="1">
      <c r="A98" s="49"/>
      <c r="B98" s="49"/>
      <c r="C98" s="49"/>
      <c r="D98" s="49"/>
      <c r="E98" s="49"/>
      <c r="F98" s="49"/>
      <c r="G98" s="49"/>
      <c r="H98" s="50"/>
      <c r="I98" s="49"/>
      <c r="J98"/>
      <c r="K98"/>
      <c r="L98"/>
      <c r="M98"/>
      <c r="N98"/>
      <c r="O98"/>
      <c r="P98"/>
      <c r="Q98"/>
      <c r="R98"/>
    </row>
    <row r="99" spans="1:18" s="52" customFormat="1">
      <c r="A99" s="49"/>
      <c r="B99" s="49"/>
      <c r="C99" s="49"/>
      <c r="D99" s="49"/>
      <c r="E99" s="49"/>
      <c r="F99" s="49"/>
      <c r="G99" s="49"/>
      <c r="H99" s="50"/>
      <c r="I99" s="49"/>
      <c r="J99"/>
      <c r="K99"/>
      <c r="L99"/>
      <c r="M99"/>
      <c r="N99"/>
      <c r="O99"/>
      <c r="P99"/>
      <c r="Q99"/>
      <c r="R99"/>
    </row>
    <row r="100" spans="1:18" s="52" customFormat="1">
      <c r="A100" s="49"/>
      <c r="B100" s="49"/>
      <c r="C100" s="49"/>
      <c r="D100" s="49"/>
      <c r="E100" s="49"/>
      <c r="F100" s="49"/>
      <c r="G100" s="49"/>
      <c r="H100" s="50"/>
      <c r="I100" s="49"/>
      <c r="J100"/>
      <c r="K100"/>
      <c r="L100"/>
      <c r="M100"/>
      <c r="N100"/>
      <c r="O100"/>
      <c r="P100"/>
      <c r="Q100"/>
      <c r="R100"/>
    </row>
    <row r="101" spans="1:18" s="52" customFormat="1">
      <c r="A101" s="49"/>
      <c r="B101" s="49"/>
      <c r="C101" s="49"/>
      <c r="D101" s="49"/>
      <c r="E101" s="49"/>
      <c r="F101" s="49"/>
      <c r="G101" s="49"/>
      <c r="H101" s="50"/>
      <c r="I101" s="49"/>
      <c r="J101"/>
      <c r="K101"/>
      <c r="L101"/>
      <c r="M101"/>
      <c r="N101"/>
      <c r="O101"/>
      <c r="P101"/>
      <c r="Q101"/>
      <c r="R101"/>
    </row>
    <row r="102" spans="1:18" s="52" customFormat="1">
      <c r="A102" s="49"/>
      <c r="B102" s="49"/>
      <c r="C102" s="49"/>
      <c r="D102" s="49"/>
      <c r="E102" s="49"/>
      <c r="F102" s="49"/>
      <c r="G102" s="49"/>
      <c r="H102" s="50"/>
      <c r="I102" s="49"/>
      <c r="J102"/>
      <c r="K102"/>
      <c r="L102"/>
      <c r="M102"/>
      <c r="N102"/>
      <c r="O102"/>
      <c r="P102"/>
      <c r="Q102"/>
      <c r="R102"/>
    </row>
    <row r="103" spans="1:18" s="52" customFormat="1">
      <c r="A103" s="49"/>
      <c r="B103" s="49"/>
      <c r="C103" s="49"/>
      <c r="D103" s="49"/>
      <c r="E103" s="49"/>
      <c r="F103" s="49"/>
      <c r="G103" s="49"/>
      <c r="H103" s="50"/>
      <c r="I103" s="49"/>
      <c r="J103"/>
      <c r="K103"/>
      <c r="L103"/>
      <c r="M103"/>
      <c r="N103"/>
      <c r="O103"/>
      <c r="P103"/>
      <c r="Q103"/>
      <c r="R103"/>
    </row>
    <row r="104" spans="1:18" s="52" customFormat="1">
      <c r="A104" s="49"/>
      <c r="B104" s="49"/>
      <c r="C104" s="49"/>
      <c r="D104" s="49"/>
      <c r="E104" s="49"/>
      <c r="F104" s="49"/>
      <c r="G104" s="49"/>
      <c r="H104" s="50"/>
      <c r="I104" s="49"/>
      <c r="J104"/>
      <c r="K104"/>
      <c r="L104"/>
      <c r="M104"/>
      <c r="N104"/>
      <c r="O104"/>
      <c r="P104"/>
      <c r="Q104"/>
      <c r="R104"/>
    </row>
    <row r="105" spans="1:18" s="52" customFormat="1">
      <c r="A105" s="49"/>
      <c r="B105" s="49"/>
      <c r="C105" s="49"/>
      <c r="D105" s="49"/>
      <c r="E105" s="49"/>
      <c r="F105" s="49"/>
      <c r="G105" s="49"/>
      <c r="H105" s="50"/>
      <c r="I105" s="49"/>
      <c r="J105"/>
      <c r="K105"/>
      <c r="L105"/>
      <c r="M105"/>
      <c r="N105"/>
      <c r="O105"/>
      <c r="P105"/>
      <c r="Q105"/>
      <c r="R105"/>
    </row>
    <row r="106" spans="1:18" s="52" customFormat="1">
      <c r="A106" s="49"/>
      <c r="B106" s="49"/>
      <c r="C106" s="49"/>
      <c r="D106" s="49"/>
      <c r="E106" s="49"/>
      <c r="F106" s="49"/>
      <c r="G106" s="49"/>
      <c r="H106" s="50"/>
      <c r="I106" s="49"/>
      <c r="J106"/>
      <c r="K106"/>
      <c r="L106"/>
      <c r="M106"/>
      <c r="N106"/>
      <c r="O106"/>
      <c r="P106"/>
      <c r="Q106"/>
      <c r="R106"/>
    </row>
    <row r="107" spans="1:18" s="52" customFormat="1">
      <c r="A107" s="49"/>
      <c r="B107" s="49"/>
      <c r="C107" s="49"/>
      <c r="D107" s="49"/>
      <c r="E107" s="49"/>
      <c r="F107" s="49"/>
      <c r="G107" s="49"/>
      <c r="H107" s="50"/>
      <c r="I107" s="49"/>
      <c r="J107"/>
      <c r="K107"/>
      <c r="L107"/>
      <c r="M107"/>
      <c r="N107"/>
      <c r="O107"/>
      <c r="P107"/>
      <c r="Q107"/>
      <c r="R107"/>
    </row>
    <row r="108" spans="1:18" s="52" customFormat="1">
      <c r="A108" s="49"/>
      <c r="B108" s="49"/>
      <c r="C108" s="49"/>
      <c r="D108" s="49"/>
      <c r="E108" s="49"/>
      <c r="F108" s="49"/>
      <c r="G108" s="49"/>
      <c r="H108" s="50"/>
      <c r="I108" s="49"/>
      <c r="J108"/>
      <c r="K108"/>
      <c r="L108"/>
      <c r="M108"/>
      <c r="N108"/>
      <c r="O108"/>
      <c r="P108"/>
      <c r="Q108"/>
      <c r="R108"/>
    </row>
    <row r="109" spans="1:18" s="52" customFormat="1">
      <c r="A109" s="49"/>
      <c r="B109" s="49"/>
      <c r="C109" s="49"/>
      <c r="D109" s="49"/>
      <c r="E109" s="49"/>
      <c r="F109" s="49"/>
      <c r="G109" s="49"/>
      <c r="H109" s="50"/>
      <c r="I109" s="49"/>
      <c r="J109"/>
      <c r="K109"/>
      <c r="L109"/>
      <c r="M109"/>
      <c r="N109"/>
      <c r="O109"/>
      <c r="P109"/>
      <c r="Q109"/>
      <c r="R109"/>
    </row>
    <row r="110" spans="1:18" s="52" customFormat="1">
      <c r="A110" s="49"/>
      <c r="B110" s="49"/>
      <c r="C110" s="49"/>
      <c r="D110" s="49"/>
      <c r="E110" s="49"/>
      <c r="F110" s="49"/>
      <c r="G110" s="49"/>
      <c r="H110" s="50"/>
      <c r="I110" s="49"/>
      <c r="J110"/>
      <c r="K110"/>
      <c r="L110"/>
      <c r="M110"/>
      <c r="N110"/>
      <c r="O110"/>
      <c r="P110"/>
      <c r="Q110"/>
      <c r="R110"/>
    </row>
    <row r="111" spans="1:18" s="52" customFormat="1">
      <c r="A111" s="49"/>
      <c r="B111" s="49"/>
      <c r="C111" s="49"/>
      <c r="D111" s="49"/>
      <c r="E111" s="49"/>
      <c r="F111" s="49"/>
      <c r="G111" s="49"/>
      <c r="H111" s="50"/>
      <c r="I111" s="49"/>
      <c r="J111"/>
      <c r="K111"/>
      <c r="L111"/>
      <c r="M111"/>
      <c r="N111"/>
      <c r="O111"/>
      <c r="P111"/>
      <c r="Q111"/>
      <c r="R111"/>
    </row>
    <row r="112" spans="1:18" s="52" customFormat="1">
      <c r="A112" s="49"/>
      <c r="B112" s="49"/>
      <c r="C112" s="49"/>
      <c r="D112" s="49"/>
      <c r="E112" s="49"/>
      <c r="F112" s="49"/>
      <c r="G112" s="49"/>
      <c r="H112" s="50"/>
      <c r="I112" s="49"/>
      <c r="J112"/>
      <c r="K112"/>
      <c r="L112"/>
      <c r="M112"/>
      <c r="N112"/>
      <c r="O112"/>
      <c r="P112"/>
      <c r="Q112"/>
      <c r="R112"/>
    </row>
    <row r="113" spans="1:18" s="52" customFormat="1">
      <c r="A113" s="49"/>
      <c r="B113" s="49"/>
      <c r="C113" s="49"/>
      <c r="D113" s="49"/>
      <c r="E113" s="49"/>
      <c r="F113" s="49"/>
      <c r="G113" s="49"/>
      <c r="H113" s="50"/>
      <c r="I113" s="49"/>
      <c r="J113"/>
      <c r="K113"/>
      <c r="L113"/>
      <c r="M113"/>
      <c r="N113"/>
      <c r="O113"/>
      <c r="P113"/>
      <c r="Q113"/>
      <c r="R113"/>
    </row>
    <row r="114" spans="1:18" s="52" customFormat="1">
      <c r="A114" s="49"/>
      <c r="B114" s="49"/>
      <c r="C114" s="49"/>
      <c r="D114" s="49"/>
      <c r="E114" s="49"/>
      <c r="F114" s="49"/>
      <c r="G114" s="49"/>
      <c r="H114" s="50"/>
      <c r="I114" s="49"/>
      <c r="J114"/>
      <c r="K114"/>
      <c r="L114"/>
      <c r="M114"/>
      <c r="N114"/>
      <c r="O114"/>
      <c r="P114"/>
      <c r="Q114"/>
      <c r="R114"/>
    </row>
    <row r="115" spans="1:18" s="52" customFormat="1">
      <c r="A115" s="49"/>
      <c r="B115" s="49"/>
      <c r="C115" s="49"/>
      <c r="D115" s="49"/>
      <c r="E115" s="49"/>
      <c r="F115" s="49"/>
      <c r="G115" s="49"/>
      <c r="H115" s="50"/>
      <c r="I115" s="49"/>
      <c r="J115"/>
      <c r="K115"/>
      <c r="L115"/>
      <c r="M115"/>
      <c r="N115"/>
      <c r="O115"/>
      <c r="P115"/>
      <c r="Q115"/>
      <c r="R115"/>
    </row>
    <row r="116" spans="1:18" s="52" customFormat="1">
      <c r="A116" s="49"/>
      <c r="B116" s="49"/>
      <c r="C116" s="49"/>
      <c r="D116" s="49"/>
      <c r="E116" s="49"/>
      <c r="F116" s="49"/>
      <c r="G116" s="49"/>
      <c r="H116" s="50"/>
      <c r="I116" s="49"/>
      <c r="J116"/>
      <c r="K116"/>
      <c r="L116"/>
      <c r="M116"/>
      <c r="N116"/>
      <c r="O116"/>
      <c r="P116"/>
      <c r="Q116"/>
      <c r="R116"/>
    </row>
    <row r="117" spans="1:18" s="52" customFormat="1">
      <c r="A117" s="49"/>
      <c r="B117" s="49"/>
      <c r="C117" s="49"/>
      <c r="D117" s="49"/>
      <c r="E117" s="49"/>
      <c r="F117" s="49"/>
      <c r="G117" s="49"/>
      <c r="H117" s="50"/>
      <c r="I117" s="49"/>
      <c r="J117"/>
      <c r="K117"/>
      <c r="L117"/>
      <c r="M117"/>
      <c r="N117"/>
      <c r="O117"/>
      <c r="P117"/>
      <c r="Q117"/>
      <c r="R117"/>
    </row>
    <row r="118" spans="1:18" s="52" customFormat="1">
      <c r="A118" s="49"/>
      <c r="B118" s="49"/>
      <c r="C118" s="49"/>
      <c r="D118" s="49"/>
      <c r="E118" s="49"/>
      <c r="F118" s="49"/>
      <c r="G118" s="49"/>
      <c r="H118" s="50"/>
      <c r="I118" s="49"/>
      <c r="J118"/>
      <c r="K118"/>
      <c r="L118"/>
      <c r="M118"/>
      <c r="N118"/>
      <c r="O118"/>
      <c r="P118"/>
      <c r="Q118"/>
      <c r="R118"/>
    </row>
    <row r="119" spans="1:18" s="52" customFormat="1">
      <c r="A119" s="49"/>
      <c r="B119" s="49"/>
      <c r="C119" s="49"/>
      <c r="D119" s="49"/>
      <c r="E119" s="49"/>
      <c r="F119" s="49"/>
      <c r="G119" s="49"/>
      <c r="H119" s="50"/>
      <c r="I119" s="49"/>
      <c r="J119"/>
      <c r="K119"/>
      <c r="L119"/>
      <c r="M119"/>
      <c r="N119"/>
      <c r="O119"/>
      <c r="P119"/>
      <c r="Q119"/>
      <c r="R119"/>
    </row>
    <row r="120" spans="1:18" s="52" customFormat="1">
      <c r="A120" s="49"/>
      <c r="B120" s="49"/>
      <c r="C120" s="49"/>
      <c r="D120" s="49"/>
      <c r="E120" s="49"/>
      <c r="F120" s="49"/>
      <c r="G120" s="49"/>
      <c r="H120" s="50"/>
      <c r="I120" s="49"/>
      <c r="J120"/>
      <c r="K120"/>
      <c r="L120"/>
      <c r="M120"/>
      <c r="N120"/>
      <c r="O120"/>
      <c r="P120"/>
      <c r="Q120"/>
      <c r="R120"/>
    </row>
    <row r="121" spans="1:18" s="52" customFormat="1">
      <c r="A121" s="49"/>
      <c r="B121" s="49"/>
      <c r="C121" s="49"/>
      <c r="D121" s="49"/>
      <c r="E121" s="49"/>
      <c r="F121" s="49"/>
      <c r="G121" s="49"/>
      <c r="H121" s="50"/>
      <c r="I121" s="49"/>
      <c r="J121"/>
      <c r="K121"/>
      <c r="L121"/>
      <c r="M121"/>
      <c r="N121"/>
      <c r="O121"/>
      <c r="P121"/>
      <c r="Q121"/>
      <c r="R121"/>
    </row>
    <row r="122" spans="1:18" s="52" customFormat="1">
      <c r="A122" s="49"/>
      <c r="B122" s="49"/>
      <c r="C122" s="49"/>
      <c r="D122" s="49"/>
      <c r="E122" s="49"/>
      <c r="F122" s="49"/>
      <c r="G122" s="49"/>
      <c r="H122" s="50"/>
      <c r="I122" s="49"/>
      <c r="J122"/>
      <c r="K122"/>
      <c r="L122"/>
      <c r="M122"/>
      <c r="N122"/>
      <c r="O122"/>
      <c r="P122"/>
      <c r="Q122"/>
      <c r="R122"/>
    </row>
    <row r="123" spans="1:18" s="52" customFormat="1">
      <c r="A123" s="49"/>
      <c r="B123" s="49"/>
      <c r="C123" s="49"/>
      <c r="D123" s="49"/>
      <c r="E123" s="49"/>
      <c r="F123" s="49"/>
      <c r="G123" s="49"/>
      <c r="H123" s="50"/>
      <c r="I123" s="49"/>
      <c r="J123"/>
      <c r="K123"/>
      <c r="L123"/>
      <c r="M123"/>
      <c r="N123"/>
      <c r="O123"/>
      <c r="P123"/>
      <c r="Q123"/>
      <c r="R123"/>
    </row>
    <row r="124" spans="1:18" s="52" customFormat="1">
      <c r="A124" s="49"/>
      <c r="B124" s="49"/>
      <c r="C124" s="49"/>
      <c r="D124" s="49"/>
      <c r="E124" s="49"/>
      <c r="F124" s="49"/>
      <c r="G124" s="49"/>
      <c r="H124" s="50"/>
      <c r="I124" s="49"/>
      <c r="J124"/>
      <c r="K124"/>
      <c r="L124"/>
      <c r="M124"/>
      <c r="N124"/>
      <c r="O124"/>
      <c r="P124"/>
      <c r="Q124"/>
      <c r="R124"/>
    </row>
    <row r="125" spans="1:18" s="52" customFormat="1">
      <c r="A125" s="49"/>
      <c r="B125" s="49"/>
      <c r="C125" s="49"/>
      <c r="D125" s="49"/>
      <c r="E125" s="49"/>
      <c r="F125" s="49"/>
      <c r="G125" s="49"/>
      <c r="H125" s="50"/>
      <c r="I125" s="49"/>
      <c r="J125"/>
      <c r="K125"/>
      <c r="L125"/>
      <c r="M125"/>
      <c r="N125"/>
      <c r="O125"/>
      <c r="P125"/>
      <c r="Q125"/>
      <c r="R125"/>
    </row>
    <row r="126" spans="1:18" s="52" customFormat="1">
      <c r="A126" s="49"/>
      <c r="B126" s="49"/>
      <c r="C126" s="49"/>
      <c r="D126" s="49"/>
      <c r="E126" s="49"/>
      <c r="F126" s="49"/>
      <c r="G126" s="49"/>
      <c r="H126" s="50"/>
      <c r="I126" s="49"/>
      <c r="J126"/>
      <c r="K126"/>
      <c r="L126"/>
      <c r="M126"/>
      <c r="N126"/>
      <c r="O126"/>
      <c r="P126"/>
      <c r="Q126"/>
      <c r="R126"/>
    </row>
    <row r="127" spans="1:18" s="52" customFormat="1">
      <c r="A127" s="49"/>
      <c r="B127" s="49"/>
      <c r="C127" s="49"/>
      <c r="D127" s="49"/>
      <c r="E127" s="49"/>
      <c r="F127" s="49"/>
      <c r="G127" s="49"/>
      <c r="H127" s="50"/>
      <c r="I127" s="49"/>
      <c r="J127"/>
      <c r="K127"/>
      <c r="L127"/>
      <c r="M127"/>
      <c r="N127"/>
      <c r="O127"/>
      <c r="P127"/>
      <c r="Q127"/>
      <c r="R127"/>
    </row>
    <row r="128" spans="1:18" s="52" customFormat="1">
      <c r="A128" s="49"/>
      <c r="B128" s="49"/>
      <c r="C128" s="49"/>
      <c r="D128" s="49"/>
      <c r="E128" s="49"/>
      <c r="F128" s="49"/>
      <c r="G128" s="49"/>
      <c r="H128" s="50"/>
      <c r="I128" s="49"/>
      <c r="J128"/>
      <c r="K128"/>
      <c r="L128"/>
      <c r="M128"/>
      <c r="N128"/>
      <c r="O128"/>
      <c r="P128"/>
      <c r="Q128"/>
      <c r="R128"/>
    </row>
    <row r="129" spans="1:18" s="52" customFormat="1">
      <c r="A129" s="49"/>
      <c r="B129" s="49"/>
      <c r="C129" s="49"/>
      <c r="D129" s="49"/>
      <c r="E129" s="49"/>
      <c r="F129" s="49"/>
      <c r="G129" s="49"/>
      <c r="H129" s="50"/>
      <c r="I129" s="49"/>
      <c r="J129"/>
      <c r="K129"/>
      <c r="L129"/>
      <c r="M129"/>
      <c r="N129"/>
      <c r="O129"/>
      <c r="P129"/>
      <c r="Q129"/>
      <c r="R129"/>
    </row>
    <row r="130" spans="1:18" s="52" customFormat="1">
      <c r="A130" s="49"/>
      <c r="B130" s="49"/>
      <c r="C130" s="49"/>
      <c r="D130" s="49"/>
      <c r="E130" s="49"/>
      <c r="F130" s="49"/>
      <c r="G130" s="49"/>
      <c r="H130" s="50"/>
      <c r="I130" s="49"/>
      <c r="J130"/>
      <c r="K130"/>
      <c r="L130"/>
      <c r="M130"/>
      <c r="N130"/>
      <c r="O130"/>
      <c r="P130"/>
      <c r="Q130"/>
      <c r="R130"/>
    </row>
    <row r="131" spans="1:18" s="52" customFormat="1">
      <c r="A131" s="49"/>
      <c r="B131" s="49"/>
      <c r="C131" s="49"/>
      <c r="D131" s="49"/>
      <c r="E131" s="49"/>
      <c r="F131" s="49"/>
      <c r="G131" s="49"/>
      <c r="H131" s="50"/>
      <c r="I131" s="49"/>
      <c r="J131"/>
      <c r="K131"/>
      <c r="L131"/>
      <c r="M131"/>
      <c r="N131"/>
      <c r="O131"/>
      <c r="P131"/>
      <c r="Q131"/>
      <c r="R131"/>
    </row>
    <row r="132" spans="1:18" s="52" customFormat="1">
      <c r="A132" s="49"/>
      <c r="B132" s="49"/>
      <c r="C132" s="49"/>
      <c r="D132" s="49"/>
      <c r="E132" s="49"/>
      <c r="F132" s="49"/>
      <c r="G132" s="49"/>
      <c r="H132" s="50"/>
      <c r="I132" s="49"/>
      <c r="J132"/>
      <c r="K132"/>
      <c r="L132"/>
      <c r="M132"/>
      <c r="N132"/>
      <c r="O132"/>
      <c r="P132"/>
      <c r="Q132"/>
      <c r="R132"/>
    </row>
    <row r="133" spans="1:18" s="52" customFormat="1">
      <c r="A133" s="49"/>
      <c r="B133" s="49"/>
      <c r="C133" s="49"/>
      <c r="D133" s="49"/>
      <c r="E133" s="49"/>
      <c r="F133" s="49"/>
      <c r="G133" s="49"/>
      <c r="H133" s="50"/>
      <c r="I133" s="49"/>
      <c r="J133"/>
      <c r="K133"/>
      <c r="L133"/>
      <c r="M133"/>
      <c r="N133"/>
      <c r="O133"/>
      <c r="P133"/>
      <c r="Q133"/>
      <c r="R133"/>
    </row>
    <row r="134" spans="1:18" s="52" customFormat="1">
      <c r="A134" s="49"/>
      <c r="B134" s="49"/>
      <c r="C134" s="49"/>
      <c r="D134" s="49"/>
      <c r="E134" s="49"/>
      <c r="F134" s="49"/>
      <c r="G134" s="49"/>
      <c r="H134" s="50"/>
      <c r="I134" s="49"/>
      <c r="J134"/>
      <c r="K134"/>
      <c r="L134"/>
      <c r="M134"/>
      <c r="N134"/>
      <c r="O134"/>
      <c r="P134"/>
      <c r="Q134"/>
      <c r="R134"/>
    </row>
    <row r="135" spans="1:18" s="52" customFormat="1">
      <c r="A135" s="49"/>
      <c r="B135" s="49"/>
      <c r="C135" s="49"/>
      <c r="D135" s="49"/>
      <c r="E135" s="49"/>
      <c r="F135" s="49"/>
      <c r="G135" s="49"/>
      <c r="H135" s="50"/>
      <c r="I135" s="49"/>
      <c r="J135"/>
      <c r="K135"/>
      <c r="L135"/>
      <c r="M135"/>
      <c r="N135"/>
      <c r="O135"/>
      <c r="P135"/>
      <c r="Q135"/>
      <c r="R135"/>
    </row>
    <row r="136" spans="1:18" s="52" customFormat="1">
      <c r="A136" s="49"/>
      <c r="B136" s="49"/>
      <c r="C136" s="49"/>
      <c r="D136" s="49"/>
      <c r="E136" s="49"/>
      <c r="F136" s="49"/>
      <c r="G136" s="49"/>
      <c r="H136" s="50"/>
      <c r="I136" s="49"/>
      <c r="J136"/>
      <c r="K136"/>
      <c r="L136"/>
      <c r="M136"/>
      <c r="N136"/>
      <c r="O136"/>
      <c r="P136"/>
      <c r="Q136"/>
      <c r="R136"/>
    </row>
    <row r="137" spans="1:18" s="52" customFormat="1">
      <c r="A137" s="49"/>
      <c r="B137" s="49"/>
      <c r="C137" s="49"/>
      <c r="D137" s="49"/>
      <c r="E137" s="49"/>
      <c r="F137" s="49"/>
      <c r="G137" s="49"/>
      <c r="H137" s="50"/>
      <c r="I137" s="49"/>
      <c r="J137"/>
      <c r="K137"/>
      <c r="L137"/>
      <c r="M137"/>
      <c r="N137"/>
      <c r="O137"/>
      <c r="P137"/>
      <c r="Q137"/>
      <c r="R137"/>
    </row>
    <row r="138" spans="1:18" s="52" customFormat="1">
      <c r="A138" s="49"/>
      <c r="B138" s="49"/>
      <c r="C138" s="49"/>
      <c r="D138" s="49"/>
      <c r="E138" s="49"/>
      <c r="F138" s="49"/>
      <c r="G138" s="49"/>
      <c r="H138" s="50"/>
      <c r="I138" s="49"/>
      <c r="J138"/>
      <c r="K138"/>
      <c r="L138"/>
      <c r="M138"/>
      <c r="N138"/>
      <c r="O138"/>
      <c r="P138"/>
      <c r="Q138"/>
      <c r="R138"/>
    </row>
    <row r="139" spans="1:18" s="52" customFormat="1">
      <c r="A139" s="49"/>
      <c r="B139" s="49"/>
      <c r="C139" s="49"/>
      <c r="D139" s="49"/>
      <c r="E139" s="49"/>
      <c r="F139" s="49"/>
      <c r="G139" s="49"/>
      <c r="H139" s="50"/>
      <c r="I139" s="49"/>
      <c r="J139"/>
      <c r="K139"/>
      <c r="L139"/>
      <c r="M139"/>
      <c r="N139"/>
      <c r="O139"/>
      <c r="P139"/>
      <c r="Q139"/>
      <c r="R139"/>
    </row>
    <row r="140" spans="1:18" s="52" customFormat="1">
      <c r="A140" s="49"/>
      <c r="B140" s="49"/>
      <c r="C140" s="49"/>
      <c r="D140" s="49"/>
      <c r="E140" s="49"/>
      <c r="F140" s="49"/>
      <c r="G140" s="49"/>
      <c r="H140" s="50"/>
      <c r="I140" s="49"/>
      <c r="J140"/>
      <c r="K140"/>
      <c r="L140"/>
      <c r="M140"/>
      <c r="N140"/>
      <c r="O140"/>
      <c r="P140"/>
      <c r="Q140"/>
      <c r="R140"/>
    </row>
    <row r="141" spans="1:18" s="52" customFormat="1">
      <c r="A141" s="49"/>
      <c r="B141" s="49"/>
      <c r="C141" s="49"/>
      <c r="D141" s="49"/>
      <c r="E141" s="49"/>
      <c r="F141" s="49"/>
      <c r="G141" s="49"/>
      <c r="H141" s="50"/>
      <c r="I141" s="49"/>
      <c r="J141"/>
      <c r="K141"/>
      <c r="L141"/>
      <c r="M141"/>
      <c r="N141"/>
      <c r="O141"/>
      <c r="P141"/>
      <c r="Q141"/>
      <c r="R141"/>
    </row>
    <row r="142" spans="1:18" s="52" customFormat="1">
      <c r="A142" s="49"/>
      <c r="B142" s="49"/>
      <c r="C142" s="49"/>
      <c r="D142" s="49"/>
      <c r="E142" s="49"/>
      <c r="F142" s="49"/>
      <c r="G142" s="49"/>
      <c r="H142" s="50"/>
      <c r="I142" s="49"/>
      <c r="J142"/>
      <c r="K142"/>
      <c r="L142"/>
      <c r="M142"/>
      <c r="N142"/>
      <c r="O142"/>
      <c r="P142"/>
      <c r="Q142"/>
      <c r="R142"/>
    </row>
    <row r="143" spans="1:18" s="52" customFormat="1">
      <c r="A143" s="49"/>
      <c r="B143" s="49"/>
      <c r="C143" s="49"/>
      <c r="D143" s="49"/>
      <c r="E143" s="49"/>
      <c r="F143" s="49"/>
      <c r="G143" s="49"/>
      <c r="H143" s="50"/>
      <c r="I143" s="49"/>
      <c r="J143"/>
      <c r="K143"/>
      <c r="L143"/>
      <c r="M143"/>
      <c r="N143"/>
      <c r="O143"/>
      <c r="P143"/>
      <c r="Q143"/>
      <c r="R143"/>
    </row>
    <row r="144" spans="1:18" s="52" customFormat="1">
      <c r="A144" s="49"/>
      <c r="B144" s="49"/>
      <c r="C144" s="49"/>
      <c r="D144" s="49"/>
      <c r="E144" s="49"/>
      <c r="F144" s="49"/>
      <c r="G144" s="49"/>
      <c r="H144" s="50"/>
      <c r="I144" s="49"/>
      <c r="J144"/>
      <c r="K144"/>
      <c r="L144"/>
      <c r="M144"/>
      <c r="N144"/>
      <c r="O144"/>
      <c r="P144"/>
      <c r="Q144"/>
      <c r="R144"/>
    </row>
    <row r="145" spans="1:18" s="52" customFormat="1">
      <c r="A145" s="49"/>
      <c r="B145" s="49"/>
      <c r="C145" s="49"/>
      <c r="D145" s="49"/>
      <c r="E145" s="49"/>
      <c r="F145" s="49"/>
      <c r="G145" s="49"/>
      <c r="H145" s="50"/>
      <c r="I145" s="49"/>
      <c r="J145"/>
      <c r="K145"/>
      <c r="L145"/>
      <c r="M145"/>
      <c r="N145"/>
      <c r="O145"/>
      <c r="P145"/>
      <c r="Q145"/>
      <c r="R145"/>
    </row>
    <row r="146" spans="1:18" s="52" customFormat="1">
      <c r="A146" s="49"/>
      <c r="B146" s="49"/>
      <c r="C146" s="49"/>
      <c r="D146" s="49"/>
      <c r="E146" s="49"/>
      <c r="F146" s="49"/>
      <c r="G146" s="49"/>
      <c r="H146" s="50"/>
      <c r="I146" s="49"/>
      <c r="J146"/>
      <c r="K146"/>
      <c r="L146"/>
      <c r="M146"/>
      <c r="N146"/>
      <c r="O146"/>
      <c r="P146"/>
      <c r="Q146"/>
      <c r="R146"/>
    </row>
    <row r="147" spans="1:18" s="52" customFormat="1">
      <c r="A147" s="49"/>
      <c r="B147" s="49"/>
      <c r="C147" s="49"/>
      <c r="D147" s="49"/>
      <c r="E147" s="49"/>
      <c r="F147" s="49"/>
      <c r="G147" s="49"/>
      <c r="H147" s="50"/>
      <c r="I147" s="49"/>
      <c r="J147"/>
      <c r="K147"/>
      <c r="L147"/>
      <c r="M147"/>
      <c r="N147"/>
      <c r="O147"/>
      <c r="P147"/>
      <c r="Q147"/>
      <c r="R147"/>
    </row>
    <row r="148" spans="1:18" s="52" customFormat="1">
      <c r="A148" s="49"/>
      <c r="B148" s="49"/>
      <c r="C148" s="49"/>
      <c r="D148" s="49"/>
      <c r="E148" s="49"/>
      <c r="F148" s="49"/>
      <c r="G148" s="49"/>
      <c r="H148" s="50"/>
      <c r="I148" s="49"/>
      <c r="J148"/>
      <c r="K148"/>
      <c r="L148"/>
      <c r="M148"/>
      <c r="N148"/>
      <c r="O148"/>
      <c r="P148"/>
      <c r="Q148"/>
      <c r="R148"/>
    </row>
    <row r="149" spans="1:18" s="52" customFormat="1">
      <c r="A149" s="49"/>
      <c r="B149" s="49"/>
      <c r="C149" s="49"/>
      <c r="D149" s="49"/>
      <c r="E149" s="49"/>
      <c r="F149" s="49"/>
      <c r="G149" s="49"/>
      <c r="H149" s="50"/>
      <c r="I149" s="49"/>
      <c r="J149"/>
      <c r="K149"/>
      <c r="L149"/>
      <c r="M149"/>
      <c r="N149"/>
      <c r="O149"/>
      <c r="P149"/>
      <c r="Q149"/>
      <c r="R149"/>
    </row>
    <row r="150" spans="1:18" s="52" customFormat="1">
      <c r="A150" s="49"/>
      <c r="B150" s="49"/>
      <c r="C150" s="49"/>
      <c r="D150" s="49"/>
      <c r="E150" s="49"/>
      <c r="F150" s="49"/>
      <c r="G150" s="49"/>
      <c r="H150" s="50"/>
      <c r="I150" s="49"/>
      <c r="J150"/>
      <c r="K150"/>
      <c r="L150"/>
      <c r="M150"/>
      <c r="N150"/>
      <c r="O150"/>
      <c r="P150"/>
      <c r="Q150"/>
      <c r="R150"/>
    </row>
    <row r="151" spans="1:18" s="52" customFormat="1">
      <c r="A151" s="49"/>
      <c r="B151" s="49"/>
      <c r="C151" s="49"/>
      <c r="D151" s="49"/>
      <c r="E151" s="49"/>
      <c r="F151" s="49"/>
      <c r="G151" s="49"/>
      <c r="H151" s="50"/>
      <c r="I151" s="49"/>
      <c r="J151"/>
      <c r="K151"/>
      <c r="L151"/>
      <c r="M151"/>
      <c r="N151"/>
      <c r="O151"/>
      <c r="P151"/>
      <c r="Q151"/>
      <c r="R151"/>
    </row>
    <row r="152" spans="1:18" s="52" customFormat="1">
      <c r="A152" s="49"/>
      <c r="B152" s="49"/>
      <c r="C152" s="49"/>
      <c r="D152" s="49"/>
      <c r="E152" s="49"/>
      <c r="F152" s="49"/>
      <c r="G152" s="49"/>
      <c r="H152" s="50"/>
      <c r="I152" s="49"/>
      <c r="J152"/>
      <c r="K152"/>
      <c r="L152"/>
      <c r="M152"/>
      <c r="N152"/>
      <c r="O152"/>
      <c r="P152"/>
      <c r="Q152"/>
      <c r="R152"/>
    </row>
    <row r="153" spans="1:18" s="52" customFormat="1">
      <c r="A153" s="49"/>
      <c r="B153" s="49"/>
      <c r="C153" s="49"/>
      <c r="D153" s="49"/>
      <c r="E153" s="49"/>
      <c r="F153" s="49"/>
      <c r="G153" s="49"/>
      <c r="H153" s="50"/>
      <c r="I153" s="49"/>
      <c r="J153"/>
      <c r="K153"/>
      <c r="L153"/>
      <c r="M153"/>
      <c r="N153"/>
      <c r="O153"/>
      <c r="P153"/>
      <c r="Q153"/>
      <c r="R153"/>
    </row>
    <row r="154" spans="1:18" s="52" customFormat="1">
      <c r="A154" s="49"/>
      <c r="B154" s="49"/>
      <c r="C154" s="49"/>
      <c r="D154" s="49"/>
      <c r="E154" s="49"/>
      <c r="F154" s="49"/>
      <c r="G154" s="49"/>
      <c r="H154" s="50"/>
      <c r="I154" s="49"/>
      <c r="J154"/>
      <c r="K154"/>
      <c r="L154"/>
      <c r="M154"/>
      <c r="N154"/>
      <c r="O154"/>
      <c r="P154"/>
      <c r="Q154"/>
      <c r="R154"/>
    </row>
    <row r="155" spans="1:18" s="52" customFormat="1">
      <c r="A155" s="49"/>
      <c r="B155" s="49"/>
      <c r="C155" s="49"/>
      <c r="D155" s="49"/>
      <c r="E155" s="49"/>
      <c r="F155" s="49"/>
      <c r="G155" s="49"/>
      <c r="H155" s="50"/>
      <c r="I155" s="49"/>
      <c r="J155"/>
      <c r="K155"/>
      <c r="L155"/>
      <c r="M155"/>
      <c r="N155"/>
      <c r="O155"/>
      <c r="P155"/>
      <c r="Q155"/>
      <c r="R155"/>
    </row>
    <row r="156" spans="1:18" s="52" customFormat="1">
      <c r="A156" s="49"/>
      <c r="B156" s="49"/>
      <c r="C156" s="49"/>
      <c r="D156" s="49"/>
      <c r="E156" s="49"/>
      <c r="F156" s="49"/>
      <c r="G156" s="49"/>
      <c r="H156" s="50"/>
      <c r="I156" s="49"/>
      <c r="J156"/>
      <c r="K156"/>
      <c r="L156"/>
      <c r="M156"/>
      <c r="N156"/>
      <c r="O156"/>
      <c r="P156"/>
      <c r="Q156"/>
      <c r="R156"/>
    </row>
    <row r="157" spans="1:18" s="52" customFormat="1">
      <c r="A157" s="49"/>
      <c r="B157" s="49"/>
      <c r="C157" s="49"/>
      <c r="D157" s="49"/>
      <c r="E157" s="49"/>
      <c r="F157" s="49"/>
      <c r="G157" s="49"/>
      <c r="H157" s="50"/>
      <c r="I157" s="49"/>
      <c r="J157"/>
      <c r="K157"/>
      <c r="L157"/>
      <c r="M157"/>
      <c r="N157"/>
      <c r="O157"/>
      <c r="P157"/>
      <c r="Q157"/>
      <c r="R157"/>
    </row>
    <row r="158" spans="1:18" s="52" customFormat="1">
      <c r="A158" s="49"/>
      <c r="B158" s="49"/>
      <c r="C158" s="49"/>
      <c r="D158" s="49"/>
      <c r="E158" s="49"/>
      <c r="F158" s="49"/>
      <c r="G158" s="49"/>
      <c r="H158" s="50"/>
      <c r="I158" s="49"/>
      <c r="J158"/>
      <c r="K158"/>
      <c r="L158"/>
      <c r="M158"/>
      <c r="N158"/>
      <c r="O158"/>
      <c r="P158"/>
      <c r="Q158"/>
      <c r="R158"/>
    </row>
    <row r="159" spans="1:18" s="52" customFormat="1">
      <c r="A159" s="49"/>
      <c r="B159" s="49"/>
      <c r="C159" s="49"/>
      <c r="D159" s="49"/>
      <c r="E159" s="49"/>
      <c r="F159" s="49"/>
      <c r="G159" s="49"/>
      <c r="H159" s="50"/>
      <c r="I159" s="49"/>
      <c r="J159"/>
      <c r="K159"/>
      <c r="L159"/>
      <c r="M159"/>
      <c r="N159"/>
      <c r="O159"/>
      <c r="P159"/>
      <c r="Q159"/>
      <c r="R159"/>
    </row>
    <row r="160" spans="1:18" s="52" customFormat="1">
      <c r="A160" s="49"/>
      <c r="B160" s="49"/>
      <c r="C160" s="49"/>
      <c r="D160" s="49"/>
      <c r="E160" s="49"/>
      <c r="F160" s="49"/>
      <c r="G160" s="49"/>
      <c r="H160" s="50"/>
      <c r="I160" s="49"/>
      <c r="J160"/>
      <c r="K160"/>
      <c r="L160"/>
      <c r="M160"/>
      <c r="N160"/>
      <c r="O160"/>
      <c r="P160"/>
      <c r="Q160"/>
      <c r="R160"/>
    </row>
    <row r="161" spans="1:18" s="52" customFormat="1">
      <c r="A161" s="49"/>
      <c r="B161" s="49"/>
      <c r="C161" s="49"/>
      <c r="D161" s="49"/>
      <c r="E161" s="49"/>
      <c r="F161" s="49"/>
      <c r="G161" s="49"/>
      <c r="H161" s="50"/>
      <c r="I161" s="49"/>
      <c r="J161"/>
      <c r="K161"/>
      <c r="L161"/>
      <c r="M161"/>
      <c r="N161"/>
      <c r="O161"/>
      <c r="P161"/>
      <c r="Q161"/>
      <c r="R161"/>
    </row>
    <row r="162" spans="1:18" s="52" customFormat="1">
      <c r="A162" s="49"/>
      <c r="B162" s="49"/>
      <c r="C162" s="49"/>
      <c r="D162" s="49"/>
      <c r="E162" s="49"/>
      <c r="F162" s="49"/>
      <c r="G162" s="49"/>
      <c r="H162" s="50"/>
      <c r="I162" s="49"/>
      <c r="J162"/>
      <c r="K162"/>
      <c r="L162"/>
      <c r="M162"/>
      <c r="N162"/>
      <c r="O162"/>
      <c r="P162"/>
      <c r="Q162"/>
      <c r="R162"/>
    </row>
    <row r="163" spans="1:18" s="52" customFormat="1">
      <c r="A163" s="49"/>
      <c r="B163" s="49"/>
      <c r="C163" s="49"/>
      <c r="D163" s="49"/>
      <c r="E163" s="49"/>
      <c r="F163" s="49"/>
      <c r="G163" s="49"/>
      <c r="H163" s="50"/>
      <c r="I163" s="49"/>
      <c r="J163"/>
      <c r="K163"/>
      <c r="L163"/>
      <c r="M163"/>
      <c r="N163"/>
      <c r="O163"/>
      <c r="P163"/>
      <c r="Q163"/>
      <c r="R163"/>
    </row>
    <row r="164" spans="1:18" s="52" customFormat="1">
      <c r="A164" s="49"/>
      <c r="B164" s="49"/>
      <c r="C164" s="49"/>
      <c r="D164" s="49"/>
      <c r="E164" s="49"/>
      <c r="F164" s="49"/>
      <c r="G164" s="49"/>
      <c r="H164" s="50"/>
      <c r="I164" s="49"/>
      <c r="J164"/>
      <c r="K164"/>
      <c r="L164"/>
      <c r="M164"/>
      <c r="N164"/>
      <c r="O164"/>
      <c r="P164"/>
      <c r="Q164"/>
      <c r="R164"/>
    </row>
    <row r="165" spans="1:18" s="52" customFormat="1">
      <c r="A165" s="49"/>
      <c r="B165" s="49"/>
      <c r="C165" s="49"/>
      <c r="D165" s="49"/>
      <c r="E165" s="49"/>
      <c r="F165" s="49"/>
      <c r="G165" s="49"/>
      <c r="H165" s="50"/>
      <c r="I165" s="49"/>
      <c r="J165"/>
      <c r="K165"/>
      <c r="L165"/>
      <c r="M165"/>
      <c r="N165"/>
      <c r="O165"/>
      <c r="P165"/>
      <c r="Q165"/>
      <c r="R165"/>
    </row>
    <row r="166" spans="1:18" s="52" customFormat="1">
      <c r="A166" s="49"/>
      <c r="B166" s="49"/>
      <c r="C166" s="49"/>
      <c r="D166" s="49"/>
      <c r="E166" s="49"/>
      <c r="F166" s="49"/>
      <c r="G166" s="49"/>
      <c r="H166" s="50"/>
      <c r="I166" s="49"/>
      <c r="J166"/>
      <c r="K166"/>
      <c r="L166"/>
      <c r="M166"/>
      <c r="N166"/>
      <c r="O166"/>
      <c r="P166"/>
      <c r="Q166"/>
      <c r="R166"/>
    </row>
    <row r="167" spans="1:18" s="52" customFormat="1">
      <c r="A167" s="49"/>
      <c r="B167" s="49"/>
      <c r="C167" s="49"/>
      <c r="D167" s="49"/>
      <c r="E167" s="49"/>
      <c r="F167" s="49"/>
      <c r="G167" s="49"/>
      <c r="H167" s="50"/>
      <c r="I167" s="49"/>
      <c r="J167"/>
      <c r="K167"/>
      <c r="L167"/>
      <c r="M167"/>
      <c r="N167"/>
      <c r="O167"/>
      <c r="P167"/>
      <c r="Q167"/>
      <c r="R167"/>
    </row>
    <row r="168" spans="1:18" s="52" customFormat="1">
      <c r="A168" s="49"/>
      <c r="B168" s="49"/>
      <c r="C168" s="49"/>
      <c r="D168" s="49"/>
      <c r="E168" s="49"/>
      <c r="F168" s="49"/>
      <c r="G168" s="49"/>
      <c r="H168" s="50"/>
      <c r="I168" s="49"/>
      <c r="J168"/>
      <c r="K168"/>
      <c r="L168"/>
      <c r="M168"/>
      <c r="N168"/>
      <c r="O168"/>
      <c r="P168"/>
      <c r="Q168"/>
      <c r="R168"/>
    </row>
    <row r="169" spans="1:18" s="52" customFormat="1">
      <c r="A169" s="49"/>
      <c r="B169" s="49"/>
      <c r="C169" s="49"/>
      <c r="D169" s="49"/>
      <c r="E169" s="49"/>
      <c r="F169" s="49"/>
      <c r="G169" s="49"/>
      <c r="H169" s="50"/>
      <c r="I169" s="49"/>
      <c r="J169"/>
      <c r="K169"/>
      <c r="L169"/>
      <c r="M169"/>
      <c r="N169"/>
      <c r="O169"/>
      <c r="P169"/>
      <c r="Q169"/>
      <c r="R169"/>
    </row>
    <row r="170" spans="1:18" s="52" customFormat="1">
      <c r="A170" s="49"/>
      <c r="B170" s="49"/>
      <c r="C170" s="49"/>
      <c r="D170" s="49"/>
      <c r="E170" s="49"/>
      <c r="F170" s="49"/>
      <c r="G170" s="49"/>
      <c r="H170" s="50"/>
      <c r="I170" s="49"/>
      <c r="J170"/>
      <c r="K170"/>
      <c r="L170"/>
      <c r="M170"/>
      <c r="N170"/>
      <c r="O170"/>
      <c r="P170"/>
      <c r="Q170"/>
      <c r="R170"/>
    </row>
    <row r="171" spans="1:18" s="52" customFormat="1">
      <c r="A171" s="49"/>
      <c r="B171" s="49"/>
      <c r="C171" s="49"/>
      <c r="D171" s="49"/>
      <c r="E171" s="49"/>
      <c r="F171" s="49"/>
      <c r="G171" s="49"/>
      <c r="H171" s="50"/>
      <c r="I171" s="49"/>
      <c r="J171"/>
      <c r="K171"/>
      <c r="L171"/>
      <c r="M171"/>
      <c r="N171"/>
      <c r="O171"/>
      <c r="P171"/>
      <c r="Q171"/>
      <c r="R171"/>
    </row>
    <row r="172" spans="1:18" s="52" customFormat="1">
      <c r="A172" s="49"/>
      <c r="B172" s="49"/>
      <c r="C172" s="49"/>
      <c r="D172" s="49"/>
      <c r="E172" s="49"/>
      <c r="F172" s="49"/>
      <c r="G172" s="49"/>
      <c r="H172" s="50"/>
      <c r="I172" s="49"/>
      <c r="J172"/>
      <c r="K172"/>
      <c r="L172"/>
      <c r="M172"/>
      <c r="N172"/>
      <c r="O172"/>
      <c r="P172"/>
      <c r="Q172"/>
      <c r="R172"/>
    </row>
    <row r="173" spans="1:18" s="52" customFormat="1">
      <c r="A173" s="49"/>
      <c r="B173" s="49"/>
      <c r="C173" s="49"/>
      <c r="D173" s="49"/>
      <c r="E173" s="49"/>
      <c r="F173" s="49"/>
      <c r="G173" s="49"/>
      <c r="H173" s="50"/>
      <c r="I173" s="49"/>
      <c r="J173"/>
      <c r="K173"/>
      <c r="L173"/>
      <c r="M173"/>
      <c r="N173"/>
      <c r="O173"/>
      <c r="P173"/>
      <c r="Q173"/>
      <c r="R173"/>
    </row>
    <row r="174" spans="1:18" s="52" customFormat="1">
      <c r="A174" s="49"/>
      <c r="B174" s="49"/>
      <c r="C174" s="49"/>
      <c r="D174" s="49"/>
      <c r="E174" s="49"/>
      <c r="F174" s="49"/>
      <c r="G174" s="49"/>
      <c r="H174" s="50"/>
      <c r="I174" s="49"/>
      <c r="J174"/>
      <c r="K174"/>
      <c r="L174"/>
      <c r="M174"/>
      <c r="N174"/>
      <c r="O174"/>
      <c r="P174"/>
      <c r="Q174"/>
      <c r="R174"/>
    </row>
    <row r="175" spans="1:18" s="52" customFormat="1">
      <c r="A175" s="49"/>
      <c r="B175" s="49"/>
      <c r="C175" s="49"/>
      <c r="D175" s="49"/>
      <c r="E175" s="49"/>
      <c r="F175" s="49"/>
      <c r="G175" s="49"/>
      <c r="H175" s="50"/>
      <c r="I175" s="49"/>
      <c r="J175"/>
      <c r="K175"/>
      <c r="L175"/>
      <c r="M175"/>
      <c r="N175"/>
      <c r="O175"/>
      <c r="P175"/>
      <c r="Q175"/>
      <c r="R175"/>
    </row>
    <row r="176" spans="1:18" s="52" customFormat="1">
      <c r="A176" s="49"/>
      <c r="B176" s="49"/>
      <c r="C176" s="49"/>
      <c r="D176" s="49"/>
      <c r="E176" s="49"/>
      <c r="F176" s="49"/>
      <c r="G176" s="49"/>
      <c r="H176" s="50"/>
      <c r="I176" s="49"/>
      <c r="J176"/>
      <c r="K176"/>
      <c r="L176"/>
      <c r="M176"/>
      <c r="N176"/>
      <c r="O176"/>
      <c r="P176"/>
      <c r="Q176"/>
      <c r="R176"/>
    </row>
    <row r="177" spans="1:18" s="52" customFormat="1">
      <c r="A177" s="49"/>
      <c r="B177" s="49"/>
      <c r="C177" s="49"/>
      <c r="D177" s="49"/>
      <c r="E177" s="49"/>
      <c r="F177" s="49"/>
      <c r="G177" s="49"/>
      <c r="H177" s="50"/>
      <c r="I177" s="49"/>
      <c r="J177"/>
      <c r="K177"/>
      <c r="L177"/>
      <c r="M177"/>
      <c r="N177"/>
      <c r="O177"/>
      <c r="P177"/>
      <c r="Q177"/>
      <c r="R177"/>
    </row>
    <row r="178" spans="1:18" s="52" customFormat="1">
      <c r="A178" s="49"/>
      <c r="B178" s="49"/>
      <c r="C178" s="49"/>
      <c r="D178" s="49"/>
      <c r="E178" s="49"/>
      <c r="F178" s="49"/>
      <c r="G178" s="49"/>
      <c r="H178" s="50"/>
      <c r="I178" s="49"/>
      <c r="J178"/>
      <c r="K178"/>
      <c r="L178"/>
      <c r="M178"/>
      <c r="N178"/>
      <c r="O178"/>
      <c r="P178"/>
      <c r="Q178"/>
      <c r="R178"/>
    </row>
    <row r="179" spans="1:18" s="52" customFormat="1">
      <c r="A179" s="49"/>
      <c r="B179" s="49"/>
      <c r="C179" s="49"/>
      <c r="D179" s="49"/>
      <c r="E179" s="49"/>
      <c r="F179" s="49"/>
      <c r="G179" s="49"/>
      <c r="H179" s="50"/>
      <c r="I179" s="49"/>
      <c r="J179"/>
      <c r="K179"/>
      <c r="L179"/>
      <c r="M179"/>
      <c r="N179"/>
      <c r="O179"/>
      <c r="P179"/>
      <c r="Q179"/>
      <c r="R179"/>
    </row>
    <row r="180" spans="1:18" s="52" customFormat="1">
      <c r="A180" s="49"/>
      <c r="B180" s="49"/>
      <c r="C180" s="49"/>
      <c r="D180" s="49"/>
      <c r="E180" s="49"/>
      <c r="F180" s="49"/>
      <c r="G180" s="49"/>
      <c r="H180" s="50"/>
      <c r="I180" s="49"/>
      <c r="J180"/>
      <c r="K180"/>
      <c r="L180"/>
      <c r="M180"/>
      <c r="N180"/>
      <c r="O180"/>
      <c r="P180"/>
      <c r="Q180"/>
      <c r="R180"/>
    </row>
    <row r="181" spans="1:18" s="52" customFormat="1">
      <c r="A181" s="49"/>
      <c r="B181" s="49"/>
      <c r="C181" s="49"/>
      <c r="D181" s="49"/>
      <c r="E181" s="49"/>
      <c r="F181" s="49"/>
      <c r="G181" s="49"/>
      <c r="H181" s="50"/>
      <c r="I181" s="49"/>
      <c r="J181"/>
      <c r="K181"/>
      <c r="L181"/>
      <c r="M181"/>
      <c r="N181"/>
      <c r="O181"/>
      <c r="P181"/>
      <c r="Q181"/>
      <c r="R181"/>
    </row>
    <row r="182" spans="1:18" s="52" customFormat="1">
      <c r="A182" s="49"/>
      <c r="B182" s="49"/>
      <c r="C182" s="49"/>
      <c r="D182" s="49"/>
      <c r="E182" s="49"/>
      <c r="F182" s="49"/>
      <c r="G182" s="49"/>
      <c r="H182" s="50"/>
      <c r="I182" s="49"/>
      <c r="J182"/>
      <c r="K182"/>
      <c r="L182"/>
      <c r="M182"/>
      <c r="N182"/>
      <c r="O182"/>
      <c r="P182"/>
      <c r="Q182"/>
      <c r="R182"/>
    </row>
    <row r="183" spans="1:18" s="52" customFormat="1">
      <c r="A183" s="49"/>
      <c r="B183" s="49"/>
      <c r="C183" s="49"/>
      <c r="D183" s="49"/>
      <c r="E183" s="49"/>
      <c r="F183" s="49"/>
      <c r="G183" s="49"/>
      <c r="H183" s="50"/>
      <c r="I183" s="49"/>
      <c r="J183"/>
      <c r="K183"/>
      <c r="L183"/>
      <c r="M183"/>
      <c r="N183"/>
      <c r="O183"/>
      <c r="P183"/>
      <c r="Q183"/>
      <c r="R183"/>
    </row>
    <row r="184" spans="1:18" s="52" customFormat="1">
      <c r="A184" s="49"/>
      <c r="B184" s="49"/>
      <c r="C184" s="49"/>
      <c r="D184" s="49"/>
      <c r="E184" s="49"/>
      <c r="F184" s="49"/>
      <c r="G184" s="49"/>
      <c r="H184" s="50"/>
      <c r="I184" s="49"/>
      <c r="J184"/>
      <c r="K184"/>
      <c r="L184"/>
      <c r="M184"/>
      <c r="N184"/>
      <c r="O184"/>
      <c r="P184"/>
      <c r="Q184"/>
      <c r="R184"/>
    </row>
    <row r="185" spans="1:18" s="52" customFormat="1">
      <c r="A185" s="49"/>
      <c r="B185" s="49"/>
      <c r="C185" s="49"/>
      <c r="D185" s="49"/>
      <c r="E185" s="49"/>
      <c r="F185" s="49"/>
      <c r="G185" s="49"/>
      <c r="H185" s="50"/>
      <c r="I185" s="49"/>
      <c r="J185"/>
      <c r="K185"/>
      <c r="L185"/>
      <c r="M185"/>
      <c r="N185"/>
      <c r="O185"/>
      <c r="P185"/>
      <c r="Q185"/>
      <c r="R185"/>
    </row>
    <row r="186" spans="1:18" s="52" customFormat="1">
      <c r="A186" s="49"/>
      <c r="B186" s="49"/>
      <c r="C186" s="49"/>
      <c r="D186" s="49"/>
      <c r="E186" s="49"/>
      <c r="F186" s="49"/>
      <c r="G186" s="49"/>
      <c r="H186" s="50"/>
      <c r="I186" s="49"/>
      <c r="J186"/>
      <c r="K186"/>
      <c r="L186"/>
      <c r="M186"/>
      <c r="N186"/>
      <c r="O186"/>
      <c r="P186"/>
      <c r="Q186"/>
      <c r="R186"/>
    </row>
    <row r="187" spans="1:18" s="52" customFormat="1">
      <c r="A187" s="49"/>
      <c r="B187" s="49"/>
      <c r="C187" s="49"/>
      <c r="D187" s="49"/>
      <c r="E187" s="49"/>
      <c r="F187" s="49"/>
      <c r="G187" s="49"/>
      <c r="H187" s="50"/>
      <c r="I187" s="49"/>
      <c r="J187"/>
      <c r="K187"/>
      <c r="L187"/>
      <c r="M187"/>
      <c r="N187"/>
      <c r="O187"/>
      <c r="P187"/>
      <c r="Q187"/>
      <c r="R187"/>
    </row>
    <row r="188" spans="1:18" s="52" customFormat="1">
      <c r="A188" s="49"/>
      <c r="B188" s="49"/>
      <c r="C188" s="49"/>
      <c r="D188" s="49"/>
      <c r="E188" s="49"/>
      <c r="F188" s="49"/>
      <c r="G188" s="49"/>
      <c r="H188" s="50"/>
      <c r="I188" s="49"/>
      <c r="J188"/>
      <c r="K188"/>
      <c r="L188"/>
      <c r="M188"/>
      <c r="N188"/>
      <c r="O188"/>
      <c r="P188"/>
      <c r="Q188"/>
      <c r="R188"/>
    </row>
    <row r="189" spans="1:18" s="52" customFormat="1">
      <c r="A189" s="49"/>
      <c r="B189" s="49"/>
      <c r="C189" s="49"/>
      <c r="D189" s="49"/>
      <c r="E189" s="49"/>
      <c r="F189" s="49"/>
      <c r="G189" s="49"/>
      <c r="H189" s="50"/>
      <c r="I189" s="49"/>
      <c r="J189"/>
      <c r="K189"/>
      <c r="L189"/>
      <c r="M189"/>
      <c r="N189"/>
      <c r="O189"/>
      <c r="P189"/>
      <c r="Q189"/>
      <c r="R189"/>
    </row>
    <row r="190" spans="1:18" s="52" customFormat="1">
      <c r="A190" s="49"/>
      <c r="B190" s="49"/>
      <c r="C190" s="49"/>
      <c r="D190" s="49"/>
      <c r="E190" s="49"/>
      <c r="F190" s="49"/>
      <c r="G190" s="49"/>
      <c r="H190" s="50"/>
      <c r="I190" s="49"/>
      <c r="J190"/>
      <c r="K190"/>
      <c r="L190"/>
      <c r="M190"/>
      <c r="N190"/>
      <c r="O190"/>
      <c r="P190"/>
      <c r="Q190"/>
      <c r="R190"/>
    </row>
    <row r="191" spans="1:18" s="52" customFormat="1">
      <c r="A191" s="49"/>
      <c r="B191" s="49"/>
      <c r="C191" s="49"/>
      <c r="D191" s="49"/>
      <c r="E191" s="49"/>
      <c r="F191" s="49"/>
      <c r="G191" s="49"/>
      <c r="H191" s="50"/>
      <c r="I191" s="49"/>
      <c r="J191"/>
      <c r="K191"/>
      <c r="L191"/>
      <c r="M191"/>
      <c r="N191"/>
      <c r="O191"/>
      <c r="P191"/>
      <c r="Q191"/>
      <c r="R191"/>
    </row>
    <row r="192" spans="1:18" s="52" customFormat="1">
      <c r="A192" s="49"/>
      <c r="B192" s="49"/>
      <c r="C192" s="49"/>
      <c r="D192" s="49"/>
      <c r="E192" s="49"/>
      <c r="F192" s="49"/>
      <c r="G192" s="49"/>
      <c r="H192" s="50"/>
      <c r="I192" s="49"/>
      <c r="J192"/>
      <c r="K192"/>
      <c r="L192"/>
      <c r="M192"/>
      <c r="N192"/>
      <c r="O192"/>
      <c r="P192"/>
      <c r="Q192"/>
      <c r="R192"/>
    </row>
    <row r="193" spans="1:18" s="52" customFormat="1">
      <c r="A193" s="49"/>
      <c r="B193" s="49"/>
      <c r="C193" s="49"/>
      <c r="D193" s="49"/>
      <c r="E193" s="49"/>
      <c r="F193" s="49"/>
      <c r="G193" s="49"/>
      <c r="H193" s="50"/>
      <c r="I193" s="49"/>
      <c r="J193"/>
      <c r="K193"/>
      <c r="L193"/>
      <c r="M193"/>
      <c r="N193"/>
      <c r="O193"/>
      <c r="P193"/>
      <c r="Q193"/>
      <c r="R193"/>
    </row>
    <row r="194" spans="1:18" s="52" customFormat="1">
      <c r="A194" s="49"/>
      <c r="B194" s="49"/>
      <c r="C194" s="49"/>
      <c r="D194" s="49"/>
      <c r="E194" s="49"/>
      <c r="F194" s="49"/>
      <c r="G194" s="49"/>
      <c r="H194" s="50"/>
      <c r="I194" s="49"/>
      <c r="J194"/>
      <c r="K194"/>
      <c r="L194"/>
      <c r="M194"/>
      <c r="N194"/>
      <c r="O194"/>
      <c r="P194"/>
      <c r="Q194"/>
      <c r="R194"/>
    </row>
    <row r="195" spans="1:18" s="52" customFormat="1">
      <c r="A195" s="49"/>
      <c r="B195" s="49"/>
      <c r="C195" s="49"/>
      <c r="D195" s="49"/>
      <c r="E195" s="49"/>
      <c r="F195" s="49"/>
      <c r="G195" s="49"/>
      <c r="H195" s="50"/>
      <c r="I195" s="49"/>
      <c r="J195"/>
      <c r="K195"/>
      <c r="L195"/>
      <c r="M195"/>
      <c r="N195"/>
      <c r="O195"/>
      <c r="P195"/>
      <c r="Q195"/>
      <c r="R195"/>
    </row>
    <row r="196" spans="1:18" s="52" customFormat="1">
      <c r="A196" s="49"/>
      <c r="B196" s="49"/>
      <c r="C196" s="49"/>
      <c r="D196" s="49"/>
      <c r="E196" s="49"/>
      <c r="F196" s="49"/>
      <c r="G196" s="49"/>
      <c r="H196" s="50"/>
      <c r="I196" s="49"/>
      <c r="J196"/>
      <c r="K196"/>
      <c r="L196"/>
      <c r="M196"/>
      <c r="N196"/>
      <c r="O196"/>
      <c r="P196"/>
      <c r="Q196"/>
      <c r="R196"/>
    </row>
    <row r="197" spans="1:18" s="52" customFormat="1">
      <c r="A197" s="49"/>
      <c r="B197" s="49"/>
      <c r="C197" s="49"/>
      <c r="D197" s="49"/>
      <c r="E197" s="49"/>
      <c r="F197" s="49"/>
      <c r="G197" s="49"/>
      <c r="H197" s="50"/>
      <c r="I197" s="49"/>
      <c r="J197"/>
      <c r="K197"/>
      <c r="L197"/>
      <c r="M197"/>
      <c r="N197"/>
      <c r="O197"/>
      <c r="P197"/>
      <c r="Q197"/>
      <c r="R197"/>
    </row>
    <row r="198" spans="1:18" s="52" customFormat="1">
      <c r="A198" s="49"/>
      <c r="B198" s="49"/>
      <c r="C198" s="49"/>
      <c r="D198" s="49"/>
      <c r="E198" s="49"/>
      <c r="F198" s="49"/>
      <c r="G198" s="49"/>
      <c r="H198" s="50"/>
      <c r="I198" s="49"/>
      <c r="J198"/>
      <c r="K198"/>
      <c r="L198"/>
      <c r="M198"/>
      <c r="N198"/>
      <c r="O198"/>
      <c r="P198"/>
      <c r="Q198"/>
      <c r="R198"/>
    </row>
    <row r="199" spans="1:18" s="52" customFormat="1">
      <c r="A199" s="49"/>
      <c r="B199" s="49"/>
      <c r="C199" s="49"/>
      <c r="D199" s="49"/>
      <c r="E199" s="49"/>
      <c r="F199" s="49"/>
      <c r="G199" s="49"/>
      <c r="H199" s="50"/>
      <c r="I199" s="49"/>
      <c r="J199"/>
      <c r="K199"/>
      <c r="L199"/>
      <c r="M199"/>
      <c r="N199"/>
      <c r="O199"/>
      <c r="P199"/>
      <c r="Q199"/>
      <c r="R199"/>
    </row>
    <row r="200" spans="1:18" s="52" customFormat="1">
      <c r="A200" s="49"/>
      <c r="B200" s="49"/>
      <c r="C200" s="49"/>
      <c r="D200" s="49"/>
      <c r="E200" s="49"/>
      <c r="F200" s="49"/>
      <c r="G200" s="49"/>
      <c r="H200" s="50"/>
      <c r="I200" s="49"/>
      <c r="J200"/>
      <c r="K200"/>
      <c r="L200"/>
      <c r="M200"/>
      <c r="N200"/>
      <c r="O200"/>
      <c r="P200"/>
      <c r="Q200"/>
      <c r="R200"/>
    </row>
    <row r="201" spans="1:18" s="52" customFormat="1">
      <c r="A201" s="49"/>
      <c r="B201" s="49"/>
      <c r="C201" s="49"/>
      <c r="D201" s="49"/>
      <c r="E201" s="49"/>
      <c r="F201" s="49"/>
      <c r="G201" s="49"/>
      <c r="H201" s="50"/>
      <c r="I201" s="49"/>
      <c r="J201"/>
      <c r="K201"/>
      <c r="L201"/>
      <c r="M201"/>
      <c r="N201"/>
      <c r="O201"/>
      <c r="P201"/>
      <c r="Q201"/>
      <c r="R201"/>
    </row>
    <row r="202" spans="1:18" s="52" customFormat="1">
      <c r="A202" s="49"/>
      <c r="B202" s="49"/>
      <c r="C202" s="49"/>
      <c r="D202" s="49"/>
      <c r="E202" s="49"/>
      <c r="F202" s="49"/>
      <c r="G202" s="49"/>
      <c r="H202" s="50"/>
      <c r="I202" s="49"/>
      <c r="J202"/>
      <c r="K202"/>
      <c r="L202"/>
      <c r="M202"/>
      <c r="N202"/>
      <c r="O202"/>
      <c r="P202"/>
      <c r="Q202"/>
      <c r="R202"/>
    </row>
  </sheetData>
  <mergeCells count="9">
    <mergeCell ref="A14:J14"/>
    <mergeCell ref="A16:J16"/>
    <mergeCell ref="I4:J4"/>
    <mergeCell ref="A6:J6"/>
    <mergeCell ref="A8:J8"/>
    <mergeCell ref="D4:H4"/>
    <mergeCell ref="A4:A5"/>
    <mergeCell ref="B4:B5"/>
    <mergeCell ref="C4:C5"/>
  </mergeCells>
  <printOptions horizontalCentered="1"/>
  <pageMargins left="0.70866141732283472" right="0.70866141732283472" top="0.74803149606299213" bottom="0.74803149606299213" header="0.51181102362204722" footer="0.51181102362204722"/>
  <pageSetup paperSize="9" scale="85" fitToHeight="0" orientation="portrait" horizontalDpi="300" verticalDpi="300" r:id="rId1"/>
  <ignoredErrors>
    <ignoredError sqref="I18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E7"/>
  <sheetViews>
    <sheetView view="pageBreakPreview" zoomScaleNormal="100" zoomScaleSheetLayoutView="100" zoomScalePageLayoutView="160" workbookViewId="0">
      <selection activeCell="G11" sqref="G11"/>
    </sheetView>
  </sheetViews>
  <sheetFormatPr defaultColWidth="9.140625" defaultRowHeight="15"/>
  <cols>
    <col min="1" max="1" width="60.140625" style="56" customWidth="1"/>
    <col min="2" max="2" width="10.7109375" style="56" customWidth="1"/>
    <col min="3" max="3" width="12.42578125" style="56" customWidth="1"/>
    <col min="4" max="4" width="12.28515625" style="56" customWidth="1"/>
    <col min="5" max="5" width="29.85546875" style="56" customWidth="1"/>
    <col min="6" max="6" width="13" style="56" customWidth="1"/>
    <col min="7" max="7" width="11.85546875" style="56" customWidth="1"/>
    <col min="8" max="8" width="16.5703125" style="56" customWidth="1"/>
    <col min="9" max="9" width="14.85546875" style="56" customWidth="1"/>
    <col min="10" max="10" width="27.5703125" style="56" customWidth="1"/>
    <col min="11" max="16384" width="9.140625" style="56"/>
  </cols>
  <sheetData>
    <row r="1" spans="1:5" ht="16.5" thickBot="1">
      <c r="A1" s="199" t="s">
        <v>248</v>
      </c>
      <c r="B1" s="200"/>
      <c r="C1" s="200"/>
      <c r="D1" s="200"/>
    </row>
    <row r="2" spans="1:5">
      <c r="A2" s="64" t="s">
        <v>249</v>
      </c>
      <c r="B2" s="65" t="s">
        <v>250</v>
      </c>
      <c r="C2" s="65" t="s">
        <v>251</v>
      </c>
      <c r="D2" s="201" t="s">
        <v>252</v>
      </c>
    </row>
    <row r="3" spans="1:5" ht="36.4" customHeight="1">
      <c r="A3" s="202" t="s">
        <v>253</v>
      </c>
      <c r="B3" s="203" t="s">
        <v>24</v>
      </c>
      <c r="C3" s="203" t="s">
        <v>317</v>
      </c>
      <c r="D3" s="204">
        <v>2598.3000000000002</v>
      </c>
      <c r="E3" s="57" t="s">
        <v>27</v>
      </c>
    </row>
    <row r="4" spans="1:5" ht="30.75" customHeight="1">
      <c r="A4" s="202" t="s">
        <v>373</v>
      </c>
      <c r="B4" s="203" t="s">
        <v>6</v>
      </c>
      <c r="C4" s="203" t="s">
        <v>374</v>
      </c>
      <c r="D4" s="204">
        <f>11.5+3.2+7.3</f>
        <v>22</v>
      </c>
      <c r="E4" s="57" t="s">
        <v>27</v>
      </c>
    </row>
    <row r="5" spans="1:5" ht="19.5" customHeight="1">
      <c r="A5" s="202" t="s">
        <v>376</v>
      </c>
      <c r="B5" s="203" t="s">
        <v>6</v>
      </c>
      <c r="C5" s="203" t="s">
        <v>375</v>
      </c>
      <c r="D5" s="204">
        <f>3.5+6.2+15.5</f>
        <v>25.2</v>
      </c>
      <c r="E5" s="59" t="s">
        <v>27</v>
      </c>
    </row>
    <row r="6" spans="1:5" ht="37.5" customHeight="1">
      <c r="A6" s="202" t="s">
        <v>378</v>
      </c>
      <c r="B6" s="203" t="s">
        <v>24</v>
      </c>
      <c r="C6" s="203" t="s">
        <v>377</v>
      </c>
      <c r="D6" s="204">
        <f>10+13.6+20.7</f>
        <v>44.3</v>
      </c>
      <c r="E6" s="59" t="s">
        <v>27</v>
      </c>
    </row>
    <row r="7" spans="1:5" ht="27" customHeight="1" thickBot="1">
      <c r="A7" s="71" t="s">
        <v>379</v>
      </c>
      <c r="B7" s="206" t="s">
        <v>6</v>
      </c>
      <c r="C7" s="206" t="s">
        <v>4</v>
      </c>
      <c r="D7" s="226">
        <v>6</v>
      </c>
      <c r="E7" s="57" t="s">
        <v>27</v>
      </c>
    </row>
  </sheetData>
  <pageMargins left="0.7" right="0.7" top="0.75" bottom="0.75" header="0.511811023622047" footer="0.511811023622047"/>
  <pageSetup paperSize="9" scale="91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45"/>
  <sheetViews>
    <sheetView view="pageBreakPreview" zoomScale="115" zoomScaleNormal="100" zoomScaleSheetLayoutView="115" zoomScalePageLayoutView="160" workbookViewId="0">
      <selection activeCell="G6" sqref="G6"/>
    </sheetView>
  </sheetViews>
  <sheetFormatPr defaultColWidth="9.140625" defaultRowHeight="15"/>
  <cols>
    <col min="1" max="1" width="60.140625" style="58" customWidth="1"/>
    <col min="2" max="2" width="10.7109375" style="58" customWidth="1"/>
    <col min="3" max="3" width="14.85546875" style="58" customWidth="1"/>
    <col min="4" max="4" width="12.28515625" style="58" customWidth="1"/>
    <col min="5" max="5" width="13" style="58" customWidth="1"/>
    <col min="6" max="6" width="11.85546875" style="58" customWidth="1"/>
    <col min="7" max="7" width="16.5703125" style="58" customWidth="1"/>
    <col min="8" max="8" width="14.85546875" style="58" customWidth="1"/>
    <col min="9" max="9" width="27.5703125" style="58" customWidth="1"/>
    <col min="10" max="16384" width="9.140625" style="58"/>
  </cols>
  <sheetData>
    <row r="1" spans="1:6" ht="16.5" thickBot="1">
      <c r="A1" s="437" t="s">
        <v>255</v>
      </c>
      <c r="B1" s="437"/>
      <c r="C1" s="437"/>
      <c r="D1" s="437"/>
      <c r="E1" s="60"/>
    </row>
    <row r="2" spans="1:6" ht="15.75" thickBot="1">
      <c r="A2" s="324" t="s">
        <v>249</v>
      </c>
      <c r="B2" s="325" t="s">
        <v>250</v>
      </c>
      <c r="C2" s="325" t="s">
        <v>251</v>
      </c>
      <c r="D2" s="326" t="s">
        <v>252</v>
      </c>
      <c r="E2" s="60"/>
    </row>
    <row r="3" spans="1:6" ht="15" customHeight="1">
      <c r="A3" s="436" t="s">
        <v>285</v>
      </c>
      <c r="B3" s="436"/>
      <c r="C3" s="436"/>
      <c r="D3" s="436"/>
      <c r="E3" s="60"/>
    </row>
    <row r="4" spans="1:6" ht="36" customHeight="1">
      <c r="A4" s="202" t="s">
        <v>288</v>
      </c>
      <c r="B4" s="203" t="s">
        <v>6</v>
      </c>
      <c r="C4" s="203" t="s">
        <v>289</v>
      </c>
      <c r="D4" s="204">
        <v>260</v>
      </c>
      <c r="E4" s="60" t="s">
        <v>27</v>
      </c>
    </row>
    <row r="5" spans="1:6" ht="30">
      <c r="A5" s="202" t="s">
        <v>257</v>
      </c>
      <c r="B5" s="203" t="s">
        <v>6</v>
      </c>
      <c r="C5" s="203" t="s">
        <v>258</v>
      </c>
      <c r="D5" s="204">
        <v>487</v>
      </c>
      <c r="E5" s="60" t="s">
        <v>27</v>
      </c>
    </row>
    <row r="6" spans="1:6" ht="30">
      <c r="A6" s="202" t="s">
        <v>490</v>
      </c>
      <c r="B6" s="203" t="s">
        <v>6</v>
      </c>
      <c r="C6" s="203" t="s">
        <v>254</v>
      </c>
      <c r="D6" s="204">
        <v>113</v>
      </c>
      <c r="E6" s="60" t="s">
        <v>27</v>
      </c>
      <c r="F6" s="58" t="s">
        <v>484</v>
      </c>
    </row>
    <row r="7" spans="1:6" ht="33.75" customHeight="1">
      <c r="A7" s="202" t="s">
        <v>286</v>
      </c>
      <c r="B7" s="203" t="s">
        <v>6</v>
      </c>
      <c r="C7" s="203" t="s">
        <v>287</v>
      </c>
      <c r="D7" s="204">
        <v>158</v>
      </c>
      <c r="E7" s="60" t="s">
        <v>27</v>
      </c>
      <c r="F7" s="58" t="s">
        <v>484</v>
      </c>
    </row>
    <row r="8" spans="1:6" ht="49.5" customHeight="1">
      <c r="A8" s="202" t="s">
        <v>297</v>
      </c>
      <c r="B8" s="203" t="s">
        <v>15</v>
      </c>
      <c r="C8" s="203" t="s">
        <v>4</v>
      </c>
      <c r="D8" s="204">
        <v>3</v>
      </c>
      <c r="E8" s="60" t="s">
        <v>27</v>
      </c>
      <c r="F8" s="58" t="s">
        <v>484</v>
      </c>
    </row>
    <row r="9" spans="1:6" ht="19.5" customHeight="1">
      <c r="A9" s="202" t="s">
        <v>259</v>
      </c>
      <c r="B9" s="203" t="s">
        <v>6</v>
      </c>
      <c r="C9" s="203" t="s">
        <v>260</v>
      </c>
      <c r="D9" s="204">
        <v>121.5</v>
      </c>
      <c r="E9" s="60" t="s">
        <v>27</v>
      </c>
    </row>
    <row r="10" spans="1:6" ht="33.75" customHeight="1">
      <c r="A10" s="202" t="s">
        <v>261</v>
      </c>
      <c r="B10" s="203" t="s">
        <v>15</v>
      </c>
      <c r="C10" s="203" t="s">
        <v>254</v>
      </c>
      <c r="D10" s="204">
        <v>41</v>
      </c>
      <c r="E10" s="60" t="s">
        <v>27</v>
      </c>
    </row>
    <row r="11" spans="1:6" ht="29.25" customHeight="1">
      <c r="A11" s="202" t="s">
        <v>262</v>
      </c>
      <c r="B11" s="203" t="s">
        <v>15</v>
      </c>
      <c r="C11" s="203" t="s">
        <v>4</v>
      </c>
      <c r="D11" s="204">
        <v>1</v>
      </c>
      <c r="E11" s="60" t="s">
        <v>27</v>
      </c>
    </row>
    <row r="12" spans="1:6" ht="35.25" customHeight="1">
      <c r="A12" s="202" t="s">
        <v>380</v>
      </c>
      <c r="B12" s="203" t="s">
        <v>15</v>
      </c>
      <c r="C12" s="203" t="s">
        <v>256</v>
      </c>
      <c r="D12" s="204">
        <v>1</v>
      </c>
      <c r="E12" s="60" t="s">
        <v>27</v>
      </c>
    </row>
    <row r="13" spans="1:6" ht="22.5" customHeight="1">
      <c r="A13" s="202" t="s">
        <v>290</v>
      </c>
      <c r="B13" s="203" t="s">
        <v>15</v>
      </c>
      <c r="C13" s="203" t="s">
        <v>291</v>
      </c>
      <c r="D13" s="204">
        <v>26</v>
      </c>
      <c r="E13" s="60" t="s">
        <v>27</v>
      </c>
    </row>
    <row r="14" spans="1:6" ht="22.5" customHeight="1">
      <c r="A14" s="202" t="s">
        <v>263</v>
      </c>
      <c r="B14" s="203" t="s">
        <v>15</v>
      </c>
      <c r="C14" s="203" t="s">
        <v>256</v>
      </c>
      <c r="D14" s="204">
        <v>14</v>
      </c>
      <c r="E14" s="60" t="s">
        <v>27</v>
      </c>
      <c r="F14" s="58" t="s">
        <v>484</v>
      </c>
    </row>
    <row r="15" spans="1:6" ht="22.5" customHeight="1">
      <c r="A15" s="202" t="s">
        <v>485</v>
      </c>
      <c r="B15" s="203" t="s">
        <v>15</v>
      </c>
      <c r="C15" s="203" t="s">
        <v>486</v>
      </c>
      <c r="D15" s="204">
        <v>1</v>
      </c>
      <c r="E15" s="60" t="s">
        <v>27</v>
      </c>
      <c r="F15" s="58" t="s">
        <v>484</v>
      </c>
    </row>
    <row r="16" spans="1:6" ht="34.5" customHeight="1">
      <c r="A16" s="202" t="s">
        <v>381</v>
      </c>
      <c r="B16" s="203" t="s">
        <v>15</v>
      </c>
      <c r="C16" s="203" t="s">
        <v>291</v>
      </c>
      <c r="D16" s="204">
        <v>6</v>
      </c>
      <c r="E16" s="60" t="s">
        <v>27</v>
      </c>
    </row>
    <row r="17" spans="1:6" ht="21.75" customHeight="1">
      <c r="A17" s="436" t="s">
        <v>479</v>
      </c>
      <c r="B17" s="436"/>
      <c r="C17" s="436"/>
      <c r="D17" s="436"/>
      <c r="E17" s="60"/>
    </row>
    <row r="18" spans="1:6" ht="19.5" customHeight="1">
      <c r="A18" s="327" t="s">
        <v>292</v>
      </c>
      <c r="B18" s="227" t="s">
        <v>28</v>
      </c>
      <c r="C18" s="227" t="s">
        <v>4</v>
      </c>
      <c r="D18" s="328">
        <v>1348.6</v>
      </c>
      <c r="E18" s="60" t="s">
        <v>27</v>
      </c>
      <c r="F18" s="58" t="s">
        <v>484</v>
      </c>
    </row>
    <row r="19" spans="1:6" ht="46.5" customHeight="1">
      <c r="A19" s="327" t="s">
        <v>296</v>
      </c>
      <c r="B19" s="227" t="s">
        <v>24</v>
      </c>
      <c r="C19" s="227" t="s">
        <v>295</v>
      </c>
      <c r="D19" s="204">
        <v>172.5</v>
      </c>
      <c r="E19" s="60" t="s">
        <v>27</v>
      </c>
      <c r="F19" s="58" t="s">
        <v>484</v>
      </c>
    </row>
    <row r="20" spans="1:6" ht="63.75" customHeight="1">
      <c r="A20" s="327" t="s">
        <v>299</v>
      </c>
      <c r="B20" s="227" t="s">
        <v>24</v>
      </c>
      <c r="C20" s="227" t="s">
        <v>295</v>
      </c>
      <c r="D20" s="204">
        <v>229</v>
      </c>
      <c r="E20" s="60" t="s">
        <v>27</v>
      </c>
      <c r="F20" s="58" t="s">
        <v>484</v>
      </c>
    </row>
    <row r="21" spans="1:6" ht="19.5" customHeight="1">
      <c r="A21" s="327" t="s">
        <v>293</v>
      </c>
      <c r="B21" s="227" t="s">
        <v>24</v>
      </c>
      <c r="C21" s="227" t="s">
        <v>4</v>
      </c>
      <c r="D21" s="328">
        <f>D20+D19</f>
        <v>401.5</v>
      </c>
      <c r="E21" s="60" t="s">
        <v>27</v>
      </c>
      <c r="F21" s="58" t="s">
        <v>484</v>
      </c>
    </row>
    <row r="22" spans="1:6" ht="21.75" customHeight="1">
      <c r="A22" s="327" t="s">
        <v>298</v>
      </c>
      <c r="B22" s="227" t="s">
        <v>24</v>
      </c>
      <c r="C22" s="227" t="s">
        <v>4</v>
      </c>
      <c r="D22" s="328">
        <f>174.5+235</f>
        <v>409.5</v>
      </c>
      <c r="E22" s="60" t="s">
        <v>27</v>
      </c>
      <c r="F22" s="58" t="s">
        <v>484</v>
      </c>
    </row>
    <row r="23" spans="1:6" ht="34.5" customHeight="1">
      <c r="A23" s="327" t="s">
        <v>300</v>
      </c>
      <c r="B23" s="227" t="s">
        <v>24</v>
      </c>
      <c r="C23" s="227" t="s">
        <v>4</v>
      </c>
      <c r="D23" s="328">
        <v>8.4</v>
      </c>
      <c r="E23" s="60" t="s">
        <v>27</v>
      </c>
      <c r="F23" s="58" t="s">
        <v>484</v>
      </c>
    </row>
    <row r="24" spans="1:6" ht="21" customHeight="1">
      <c r="A24" s="327" t="s">
        <v>294</v>
      </c>
      <c r="B24" s="227" t="s">
        <v>6</v>
      </c>
      <c r="C24" s="227" t="s">
        <v>4</v>
      </c>
      <c r="D24" s="328">
        <v>84</v>
      </c>
      <c r="E24" s="60" t="s">
        <v>27</v>
      </c>
      <c r="F24" s="58" t="s">
        <v>484</v>
      </c>
    </row>
    <row r="25" spans="1:6" ht="48" customHeight="1" thickBot="1">
      <c r="A25" s="228" t="s">
        <v>383</v>
      </c>
      <c r="B25" s="229" t="s">
        <v>6</v>
      </c>
      <c r="C25" s="229" t="s">
        <v>389</v>
      </c>
      <c r="D25" s="230">
        <v>32</v>
      </c>
      <c r="E25" s="60" t="s">
        <v>27</v>
      </c>
      <c r="F25" s="58" t="s">
        <v>484</v>
      </c>
    </row>
    <row r="26" spans="1:6" ht="15" customHeight="1">
      <c r="A26" s="436" t="s">
        <v>480</v>
      </c>
      <c r="B26" s="436"/>
      <c r="C26" s="436"/>
      <c r="D26" s="436"/>
      <c r="E26" s="60"/>
    </row>
    <row r="27" spans="1:6" ht="20.25" customHeight="1">
      <c r="A27" s="327" t="s">
        <v>292</v>
      </c>
      <c r="B27" s="227" t="s">
        <v>28</v>
      </c>
      <c r="C27" s="227" t="s">
        <v>4</v>
      </c>
      <c r="D27" s="328">
        <v>913.21</v>
      </c>
      <c r="E27" s="60" t="s">
        <v>27</v>
      </c>
    </row>
    <row r="28" spans="1:6" ht="20.25" customHeight="1">
      <c r="A28" s="327" t="s">
        <v>382</v>
      </c>
      <c r="B28" s="227" t="s">
        <v>28</v>
      </c>
      <c r="C28" s="227" t="s">
        <v>4</v>
      </c>
      <c r="D28" s="328">
        <v>79.36</v>
      </c>
      <c r="E28" s="60" t="s">
        <v>27</v>
      </c>
    </row>
    <row r="29" spans="1:6" ht="45.75" customHeight="1">
      <c r="A29" s="327" t="s">
        <v>296</v>
      </c>
      <c r="B29" s="227" t="s">
        <v>24</v>
      </c>
      <c r="C29" s="227" t="s">
        <v>295</v>
      </c>
      <c r="D29" s="204">
        <v>191.5</v>
      </c>
      <c r="E29" s="61" t="s">
        <v>27</v>
      </c>
    </row>
    <row r="30" spans="1:6" ht="60">
      <c r="A30" s="327" t="s">
        <v>299</v>
      </c>
      <c r="B30" s="227" t="s">
        <v>24</v>
      </c>
      <c r="C30" s="227" t="s">
        <v>295</v>
      </c>
      <c r="D30" s="204">
        <v>822</v>
      </c>
      <c r="E30" s="61" t="s">
        <v>27</v>
      </c>
    </row>
    <row r="31" spans="1:6" ht="16.5" customHeight="1">
      <c r="A31" s="327" t="s">
        <v>293</v>
      </c>
      <c r="B31" s="227" t="s">
        <v>24</v>
      </c>
      <c r="C31" s="227" t="s">
        <v>4</v>
      </c>
      <c r="D31" s="328">
        <f>D30+D29</f>
        <v>1013.5</v>
      </c>
      <c r="E31" s="61" t="s">
        <v>337</v>
      </c>
    </row>
    <row r="32" spans="1:6" ht="16.5" customHeight="1">
      <c r="A32" s="327" t="s">
        <v>298</v>
      </c>
      <c r="B32" s="227" t="s">
        <v>24</v>
      </c>
      <c r="C32" s="227" t="s">
        <v>4</v>
      </c>
      <c r="D32" s="328">
        <v>1065</v>
      </c>
      <c r="E32" s="61" t="s">
        <v>337</v>
      </c>
    </row>
    <row r="33" spans="1:5" ht="38.25" customHeight="1">
      <c r="A33" s="327" t="s">
        <v>300</v>
      </c>
      <c r="B33" s="227" t="s">
        <v>24</v>
      </c>
      <c r="C33" s="227" t="s">
        <v>4</v>
      </c>
      <c r="D33" s="328">
        <v>7.5</v>
      </c>
      <c r="E33" s="61" t="s">
        <v>27</v>
      </c>
    </row>
    <row r="34" spans="1:5" ht="21.75" customHeight="1">
      <c r="A34" s="329" t="s">
        <v>294</v>
      </c>
      <c r="B34" s="330" t="s">
        <v>6</v>
      </c>
      <c r="C34" s="330" t="s">
        <v>4</v>
      </c>
      <c r="D34" s="331">
        <v>102.5</v>
      </c>
      <c r="E34" s="61" t="s">
        <v>27</v>
      </c>
    </row>
    <row r="35" spans="1:5" ht="16.5" customHeight="1">
      <c r="A35" s="436" t="s">
        <v>481</v>
      </c>
      <c r="B35" s="436"/>
      <c r="C35" s="436"/>
      <c r="D35" s="436"/>
      <c r="E35" s="61"/>
    </row>
    <row r="36" spans="1:5">
      <c r="A36" s="327" t="s">
        <v>292</v>
      </c>
      <c r="B36" s="227" t="s">
        <v>28</v>
      </c>
      <c r="C36" s="227" t="s">
        <v>4</v>
      </c>
      <c r="D36" s="328">
        <v>821.58</v>
      </c>
      <c r="E36" s="57" t="s">
        <v>27</v>
      </c>
    </row>
    <row r="37" spans="1:5" ht="45">
      <c r="A37" s="327" t="s">
        <v>296</v>
      </c>
      <c r="B37" s="227" t="s">
        <v>24</v>
      </c>
      <c r="C37" s="227" t="s">
        <v>295</v>
      </c>
      <c r="D37" s="204">
        <v>105.5</v>
      </c>
      <c r="E37" s="57" t="s">
        <v>27</v>
      </c>
    </row>
    <row r="38" spans="1:5" ht="60">
      <c r="A38" s="327" t="s">
        <v>299</v>
      </c>
      <c r="B38" s="227" t="s">
        <v>24</v>
      </c>
      <c r="C38" s="227" t="s">
        <v>295</v>
      </c>
      <c r="D38" s="204">
        <v>267</v>
      </c>
      <c r="E38" s="57" t="s">
        <v>27</v>
      </c>
    </row>
    <row r="39" spans="1:5">
      <c r="A39" s="327" t="s">
        <v>293</v>
      </c>
      <c r="B39" s="227" t="s">
        <v>24</v>
      </c>
      <c r="C39" s="227" t="s">
        <v>4</v>
      </c>
      <c r="D39" s="328">
        <f>D38+D37</f>
        <v>372.5</v>
      </c>
      <c r="E39" s="57" t="s">
        <v>337</v>
      </c>
    </row>
    <row r="40" spans="1:5">
      <c r="A40" s="327" t="s">
        <v>298</v>
      </c>
      <c r="B40" s="227" t="s">
        <v>24</v>
      </c>
      <c r="C40" s="227" t="s">
        <v>4</v>
      </c>
      <c r="D40" s="328">
        <v>392</v>
      </c>
      <c r="E40" s="57" t="s">
        <v>337</v>
      </c>
    </row>
    <row r="41" spans="1:5" ht="30">
      <c r="A41" s="327" t="s">
        <v>300</v>
      </c>
      <c r="B41" s="227" t="s">
        <v>24</v>
      </c>
      <c r="C41" s="227" t="s">
        <v>4</v>
      </c>
      <c r="D41" s="328">
        <v>9.6999999999999993</v>
      </c>
      <c r="E41" s="57" t="s">
        <v>27</v>
      </c>
    </row>
    <row r="42" spans="1:5">
      <c r="A42" s="327" t="s">
        <v>294</v>
      </c>
      <c r="B42" s="227" t="s">
        <v>6</v>
      </c>
      <c r="C42" s="227" t="s">
        <v>4</v>
      </c>
      <c r="D42" s="328">
        <v>90</v>
      </c>
      <c r="E42" s="57" t="s">
        <v>27</v>
      </c>
    </row>
    <row r="43" spans="1:5" ht="45.75" thickBot="1">
      <c r="A43" s="228" t="s">
        <v>383</v>
      </c>
      <c r="B43" s="229" t="s">
        <v>6</v>
      </c>
      <c r="C43" s="229" t="s">
        <v>389</v>
      </c>
      <c r="D43" s="230">
        <v>33</v>
      </c>
      <c r="E43" s="57" t="s">
        <v>27</v>
      </c>
    </row>
    <row r="44" spans="1:5">
      <c r="A44" s="79"/>
      <c r="B44" s="78"/>
      <c r="C44" s="78"/>
      <c r="D44" s="78"/>
    </row>
    <row r="45" spans="1:5">
      <c r="A45" s="79"/>
      <c r="B45" s="78"/>
      <c r="C45" s="78"/>
      <c r="D45" s="78"/>
    </row>
  </sheetData>
  <mergeCells count="5">
    <mergeCell ref="A3:D3"/>
    <mergeCell ref="A26:D26"/>
    <mergeCell ref="A1:D1"/>
    <mergeCell ref="A35:D35"/>
    <mergeCell ref="A17:D17"/>
  </mergeCells>
  <pageMargins left="0.7" right="0.7" top="0.75" bottom="0.75" header="0.511811023622047" footer="0.511811023622047"/>
  <pageSetup paperSize="9" scale="83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31"/>
  <sheetViews>
    <sheetView view="pageBreakPreview" topLeftCell="A11" zoomScale="85" zoomScaleNormal="100" zoomScaleSheetLayoutView="85" zoomScalePageLayoutView="160" workbookViewId="0">
      <selection activeCell="A2" sqref="A2"/>
    </sheetView>
  </sheetViews>
  <sheetFormatPr defaultColWidth="9.140625" defaultRowHeight="15"/>
  <cols>
    <col min="1" max="1" width="41.85546875" style="56" customWidth="1"/>
    <col min="2" max="2" width="10.7109375" style="56" customWidth="1"/>
    <col min="3" max="3" width="15.5703125" style="56" customWidth="1"/>
    <col min="4" max="4" width="23.42578125" style="56" customWidth="1"/>
    <col min="5" max="5" width="14.28515625" style="56" customWidth="1"/>
    <col min="6" max="6" width="13" style="56" customWidth="1"/>
    <col min="7" max="7" width="11.85546875" style="56" customWidth="1"/>
    <col min="8" max="8" width="16.5703125" style="56" customWidth="1"/>
    <col min="9" max="9" width="14.85546875" style="56" customWidth="1"/>
    <col min="10" max="10" width="27.5703125" style="56" customWidth="1"/>
    <col min="11" max="16384" width="9.140625" style="56"/>
  </cols>
  <sheetData>
    <row r="1" spans="1:6" hidden="1"/>
    <row r="2" spans="1:6" s="58" customFormat="1" ht="15.75">
      <c r="A2" s="62" t="s">
        <v>264</v>
      </c>
      <c r="B2" s="63"/>
      <c r="C2" s="63"/>
      <c r="D2" s="63"/>
    </row>
    <row r="3" spans="1:6" s="58" customFormat="1" ht="15.75" thickBot="1">
      <c r="A3" s="1"/>
      <c r="B3" s="1"/>
      <c r="C3" s="1"/>
      <c r="D3" s="1"/>
    </row>
    <row r="4" spans="1:6" s="58" customFormat="1">
      <c r="A4" s="64" t="s">
        <v>265</v>
      </c>
      <c r="B4" s="65" t="s">
        <v>250</v>
      </c>
      <c r="C4" s="66" t="s">
        <v>266</v>
      </c>
      <c r="D4" s="67" t="s">
        <v>252</v>
      </c>
    </row>
    <row r="5" spans="1:6" s="58" customFormat="1" ht="15" customHeight="1">
      <c r="A5" s="436" t="s">
        <v>267</v>
      </c>
      <c r="B5" s="436"/>
      <c r="C5" s="436"/>
      <c r="D5" s="436"/>
    </row>
    <row r="6" spans="1:6" s="58" customFormat="1" ht="60">
      <c r="A6" s="202" t="s">
        <v>268</v>
      </c>
      <c r="B6" s="80" t="s">
        <v>6</v>
      </c>
      <c r="C6" s="80" t="s">
        <v>269</v>
      </c>
      <c r="D6" s="205">
        <v>980</v>
      </c>
      <c r="F6" s="57" t="s">
        <v>27</v>
      </c>
    </row>
    <row r="7" spans="1:6" s="58" customFormat="1" ht="15" customHeight="1">
      <c r="A7" s="436" t="s">
        <v>270</v>
      </c>
      <c r="B7" s="436"/>
      <c r="C7" s="436"/>
      <c r="D7" s="436"/>
      <c r="F7" s="57"/>
    </row>
    <row r="8" spans="1:6" s="58" customFormat="1" ht="68.25" customHeight="1">
      <c r="A8" s="68" t="s">
        <v>271</v>
      </c>
      <c r="B8" s="69" t="s">
        <v>6</v>
      </c>
      <c r="C8" s="69" t="s">
        <v>272</v>
      </c>
      <c r="D8" s="70">
        <v>22.5</v>
      </c>
      <c r="E8" s="59" t="s">
        <v>390</v>
      </c>
      <c r="F8" s="57" t="s">
        <v>27</v>
      </c>
    </row>
    <row r="9" spans="1:6" s="58" customFormat="1" ht="15" customHeight="1">
      <c r="A9" s="436" t="s">
        <v>301</v>
      </c>
      <c r="B9" s="436"/>
      <c r="C9" s="436"/>
      <c r="D9" s="436"/>
    </row>
    <row r="10" spans="1:6" s="58" customFormat="1" ht="60">
      <c r="A10" s="68" t="s">
        <v>273</v>
      </c>
      <c r="B10" s="69" t="s">
        <v>6</v>
      </c>
      <c r="C10" s="231" t="s">
        <v>274</v>
      </c>
      <c r="D10" s="70">
        <v>934</v>
      </c>
      <c r="E10" s="57" t="s">
        <v>390</v>
      </c>
      <c r="F10" s="58" t="s">
        <v>27</v>
      </c>
    </row>
    <row r="11" spans="1:6" s="58" customFormat="1">
      <c r="A11" s="436" t="s">
        <v>384</v>
      </c>
      <c r="B11" s="436"/>
      <c r="C11" s="436"/>
      <c r="D11" s="436"/>
    </row>
    <row r="12" spans="1:6" s="58" customFormat="1" ht="60.75" thickBot="1">
      <c r="A12" s="71" t="s">
        <v>457</v>
      </c>
      <c r="B12" s="206" t="s">
        <v>6</v>
      </c>
      <c r="C12" s="208" t="s">
        <v>385</v>
      </c>
      <c r="D12" s="207">
        <v>368.5</v>
      </c>
    </row>
    <row r="13" spans="1:6" s="58" customFormat="1" ht="15.75">
      <c r="A13" s="62" t="s">
        <v>275</v>
      </c>
      <c r="B13" s="63"/>
      <c r="C13" s="63"/>
    </row>
    <row r="14" spans="1:6" s="58" customFormat="1" ht="15.75" thickBot="1"/>
    <row r="15" spans="1:6" s="58" customFormat="1">
      <c r="A15" s="72" t="s">
        <v>265</v>
      </c>
      <c r="B15" s="66" t="s">
        <v>250</v>
      </c>
      <c r="C15" s="67" t="s">
        <v>252</v>
      </c>
    </row>
    <row r="16" spans="1:6" s="58" customFormat="1" ht="15" customHeight="1">
      <c r="A16" s="436" t="s">
        <v>386</v>
      </c>
      <c r="B16" s="436"/>
      <c r="C16" s="436"/>
    </row>
    <row r="17" spans="1:5" s="58" customFormat="1" ht="30">
      <c r="A17" s="202" t="s">
        <v>302</v>
      </c>
      <c r="B17" s="203" t="s">
        <v>24</v>
      </c>
      <c r="C17" s="205">
        <v>5570.9</v>
      </c>
      <c r="E17" s="58" t="s">
        <v>337</v>
      </c>
    </row>
    <row r="18" spans="1:5" s="58" customFormat="1" ht="30">
      <c r="A18" s="73" t="s">
        <v>276</v>
      </c>
      <c r="B18" s="203" t="s">
        <v>24</v>
      </c>
      <c r="C18" s="205">
        <f>1.02*C17</f>
        <v>5682.3179999999993</v>
      </c>
      <c r="E18" s="58" t="s">
        <v>337</v>
      </c>
    </row>
    <row r="19" spans="1:5" s="58" customFormat="1" ht="30">
      <c r="A19" s="73" t="s">
        <v>303</v>
      </c>
      <c r="B19" s="203" t="s">
        <v>24</v>
      </c>
      <c r="C19" s="74">
        <f>1.1*C17</f>
        <v>6127.99</v>
      </c>
      <c r="E19" s="58" t="s">
        <v>337</v>
      </c>
    </row>
    <row r="20" spans="1:5" s="58" customFormat="1" ht="37.5" customHeight="1" thickBot="1">
      <c r="A20" s="75" t="s">
        <v>304</v>
      </c>
      <c r="B20" s="206" t="s">
        <v>24</v>
      </c>
      <c r="C20" s="76">
        <f>1.28*C17</f>
        <v>7130.7519999999995</v>
      </c>
      <c r="E20" s="58" t="s">
        <v>27</v>
      </c>
    </row>
    <row r="21" spans="1:5" s="58" customFormat="1" ht="17.25" customHeight="1">
      <c r="A21" s="436" t="s">
        <v>387</v>
      </c>
      <c r="B21" s="436"/>
      <c r="C21" s="436"/>
    </row>
    <row r="22" spans="1:5" s="58" customFormat="1" ht="37.5" customHeight="1">
      <c r="A22" s="202" t="s">
        <v>302</v>
      </c>
      <c r="B22" s="203" t="s">
        <v>24</v>
      </c>
      <c r="C22" s="205">
        <f>534.3+413.4+331.8</f>
        <v>1279.5</v>
      </c>
      <c r="E22" s="58" t="s">
        <v>337</v>
      </c>
    </row>
    <row r="23" spans="1:5" s="58" customFormat="1" ht="37.5" customHeight="1">
      <c r="A23" s="73" t="s">
        <v>388</v>
      </c>
      <c r="B23" s="203" t="s">
        <v>24</v>
      </c>
      <c r="C23" s="205">
        <f>1.02*C22</f>
        <v>1305.0899999999999</v>
      </c>
      <c r="E23" s="58" t="s">
        <v>337</v>
      </c>
    </row>
    <row r="24" spans="1:5" s="58" customFormat="1" ht="37.5" customHeight="1">
      <c r="A24" s="73" t="s">
        <v>303</v>
      </c>
      <c r="B24" s="203" t="s">
        <v>24</v>
      </c>
      <c r="C24" s="74">
        <f>1.1*C22</f>
        <v>1407.45</v>
      </c>
      <c r="E24" s="58" t="s">
        <v>337</v>
      </c>
    </row>
    <row r="25" spans="1:5" s="58" customFormat="1" ht="37.5" customHeight="1" thickBot="1">
      <c r="A25" s="75" t="s">
        <v>304</v>
      </c>
      <c r="B25" s="206" t="s">
        <v>24</v>
      </c>
      <c r="C25" s="76">
        <f>1.28*C22</f>
        <v>1637.76</v>
      </c>
      <c r="E25" s="58" t="s">
        <v>27</v>
      </c>
    </row>
    <row r="26" spans="1:5" ht="15" customHeight="1">
      <c r="A26" s="438" t="s">
        <v>277</v>
      </c>
      <c r="B26" s="438"/>
      <c r="C26" s="438"/>
      <c r="D26" s="58"/>
    </row>
    <row r="27" spans="1:5" ht="30">
      <c r="A27" s="202" t="s">
        <v>305</v>
      </c>
      <c r="B27" s="203" t="s">
        <v>24</v>
      </c>
      <c r="C27" s="205">
        <f>1031.4+5.1+295.2+70+309.5+112.6</f>
        <v>1823.8</v>
      </c>
      <c r="D27" s="58"/>
      <c r="E27" s="58" t="s">
        <v>27</v>
      </c>
    </row>
    <row r="28" spans="1:5" ht="21" customHeight="1">
      <c r="A28" s="73" t="s">
        <v>346</v>
      </c>
      <c r="B28" s="203" t="s">
        <v>24</v>
      </c>
      <c r="C28" s="205">
        <f>C27</f>
        <v>1823.8</v>
      </c>
      <c r="D28" s="58"/>
      <c r="E28" s="58" t="s">
        <v>27</v>
      </c>
    </row>
    <row r="29" spans="1:5" ht="30">
      <c r="A29" s="73" t="s">
        <v>278</v>
      </c>
      <c r="B29" s="203" t="s">
        <v>24</v>
      </c>
      <c r="C29" s="205">
        <f>C27</f>
        <v>1823.8</v>
      </c>
      <c r="D29" s="58"/>
      <c r="E29" s="58" t="s">
        <v>337</v>
      </c>
    </row>
    <row r="30" spans="1:5" ht="30.75" thickBot="1">
      <c r="A30" s="75" t="s">
        <v>306</v>
      </c>
      <c r="B30" s="206" t="s">
        <v>24</v>
      </c>
      <c r="C30" s="207">
        <f>C28</f>
        <v>1823.8</v>
      </c>
      <c r="D30" s="58"/>
      <c r="E30" s="58" t="s">
        <v>27</v>
      </c>
    </row>
    <row r="31" spans="1:5">
      <c r="B31" s="232"/>
    </row>
  </sheetData>
  <mergeCells count="7">
    <mergeCell ref="A5:D5"/>
    <mergeCell ref="A7:D7"/>
    <mergeCell ref="A9:D9"/>
    <mergeCell ref="A16:C16"/>
    <mergeCell ref="A26:C26"/>
    <mergeCell ref="A11:D11"/>
    <mergeCell ref="A21:C21"/>
  </mergeCells>
  <printOptions horizontalCentered="1"/>
  <pageMargins left="0.70833333333333304" right="0.70833333333333304" top="0.74791666666666701" bottom="0.74791666666666701" header="0.511811023622047" footer="0.511811023622047"/>
  <pageSetup paperSize="9" scale="86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77"/>
  <sheetViews>
    <sheetView view="pageBreakPreview" topLeftCell="A40" zoomScale="85" zoomScaleNormal="100" zoomScaleSheetLayoutView="85" zoomScalePageLayoutView="160" workbookViewId="0">
      <selection activeCell="F73" sqref="F73"/>
    </sheetView>
  </sheetViews>
  <sheetFormatPr defaultColWidth="8.7109375" defaultRowHeight="15"/>
  <cols>
    <col min="1" max="2" width="15.5703125" customWidth="1"/>
    <col min="3" max="4" width="13" customWidth="1"/>
    <col min="5" max="5" width="12.28515625" customWidth="1"/>
    <col min="6" max="6" width="14" customWidth="1"/>
    <col min="7" max="7" width="13.28515625" customWidth="1"/>
    <col min="8" max="8" width="13.42578125" customWidth="1"/>
    <col min="12" max="12" width="36.5703125" customWidth="1"/>
    <col min="13" max="13" width="15.140625" customWidth="1"/>
    <col min="14" max="14" width="15.85546875" customWidth="1"/>
    <col min="15" max="15" width="15.140625" customWidth="1"/>
  </cols>
  <sheetData>
    <row r="1" spans="1:15" ht="16.5" thickBot="1">
      <c r="A1" s="89" t="s">
        <v>311</v>
      </c>
      <c r="B1" s="89"/>
      <c r="C1" s="1"/>
      <c r="D1" s="1"/>
      <c r="E1" s="1"/>
      <c r="F1" s="1"/>
      <c r="G1" s="1"/>
      <c r="H1" s="1"/>
      <c r="I1" s="1"/>
      <c r="J1" s="1"/>
      <c r="K1" s="85"/>
      <c r="L1" s="1"/>
      <c r="M1" s="1"/>
      <c r="N1" s="1"/>
      <c r="O1" s="1"/>
    </row>
    <row r="2" spans="1:15" ht="19.5" thickBot="1">
      <c r="A2" s="439" t="s">
        <v>397</v>
      </c>
      <c r="B2" s="439"/>
      <c r="C2" s="439"/>
      <c r="D2" s="439"/>
      <c r="E2" s="439"/>
      <c r="F2" s="439"/>
      <c r="G2" s="439"/>
      <c r="H2" s="439"/>
      <c r="I2" s="1"/>
      <c r="J2" s="1"/>
      <c r="K2" s="1"/>
      <c r="L2" s="1"/>
      <c r="M2" s="1"/>
      <c r="N2" s="1"/>
      <c r="O2" s="1"/>
    </row>
    <row r="3" spans="1:15" ht="51.75" thickBot="1">
      <c r="A3" s="88" t="s">
        <v>279</v>
      </c>
      <c r="B3" s="236" t="s">
        <v>391</v>
      </c>
      <c r="C3" s="88" t="s">
        <v>280</v>
      </c>
      <c r="D3" s="236" t="s">
        <v>392</v>
      </c>
      <c r="E3" s="88" t="s">
        <v>281</v>
      </c>
      <c r="F3" s="88" t="s">
        <v>282</v>
      </c>
      <c r="G3" s="88" t="s">
        <v>283</v>
      </c>
      <c r="H3" s="88" t="s">
        <v>284</v>
      </c>
      <c r="I3" s="1"/>
      <c r="J3" s="1"/>
      <c r="K3" s="91"/>
      <c r="L3" s="91"/>
      <c r="M3" s="91"/>
      <c r="N3" s="91"/>
      <c r="O3" s="91"/>
    </row>
    <row r="4" spans="1:15" ht="15.75" thickBot="1">
      <c r="A4" s="237">
        <v>0</v>
      </c>
      <c r="B4" s="251">
        <v>0</v>
      </c>
      <c r="C4" s="252">
        <v>0</v>
      </c>
      <c r="D4" s="253">
        <v>0</v>
      </c>
      <c r="E4" s="253">
        <v>0</v>
      </c>
      <c r="F4" s="252">
        <v>0</v>
      </c>
      <c r="G4" s="260">
        <v>0</v>
      </c>
      <c r="H4" s="247">
        <f>F4-G4</f>
        <v>0</v>
      </c>
      <c r="I4" s="1"/>
      <c r="J4" s="1"/>
      <c r="K4" s="91"/>
      <c r="L4" s="91"/>
      <c r="M4" s="91"/>
      <c r="N4" s="91"/>
      <c r="O4" s="91"/>
    </row>
    <row r="5" spans="1:15" ht="15.75" thickBot="1">
      <c r="A5" s="237">
        <v>40</v>
      </c>
      <c r="B5" s="241">
        <v>1.85</v>
      </c>
      <c r="C5" s="332">
        <f>ROUND((A5-A4)*((B5+B4)/2),2)</f>
        <v>37</v>
      </c>
      <c r="D5" s="244">
        <v>8.0399999999999991</v>
      </c>
      <c r="E5" s="333">
        <f>ROUND((A5-A4)*((D5+D4)/2),2)</f>
        <v>160.80000000000001</v>
      </c>
      <c r="F5" s="240">
        <f>F4+C5</f>
        <v>37</v>
      </c>
      <c r="G5" s="246">
        <f>G4+E5</f>
        <v>160.80000000000001</v>
      </c>
      <c r="H5" s="248">
        <f>F5-G5</f>
        <v>-123.80000000000001</v>
      </c>
      <c r="I5" s="1"/>
      <c r="J5" s="1"/>
      <c r="K5" s="77"/>
      <c r="L5" s="86"/>
      <c r="M5" s="92"/>
      <c r="N5" s="92"/>
      <c r="O5" s="92"/>
    </row>
    <row r="6" spans="1:15" ht="15.75" thickBot="1">
      <c r="A6" s="237">
        <v>60</v>
      </c>
      <c r="B6" s="242">
        <v>0</v>
      </c>
      <c r="C6" s="332">
        <f>ROUND((A6-A5)*((B6+B5)/2),2)</f>
        <v>18.5</v>
      </c>
      <c r="D6" s="333">
        <v>4.22</v>
      </c>
      <c r="E6" s="333">
        <f t="shared" ref="E6:E29" si="0">ROUND((A6-A5)*((D6+D5)/2),2)</f>
        <v>122.6</v>
      </c>
      <c r="F6" s="334">
        <f t="shared" ref="F6:F29" si="1">C6+F5</f>
        <v>55.5</v>
      </c>
      <c r="G6" s="246">
        <f t="shared" ref="G6:G29" si="2">G5+E6</f>
        <v>283.39999999999998</v>
      </c>
      <c r="H6" s="95">
        <f t="shared" ref="H6:H29" si="3">F6-G6</f>
        <v>-227.89999999999998</v>
      </c>
      <c r="I6" s="1"/>
      <c r="J6" s="1"/>
      <c r="K6" s="77"/>
      <c r="L6" s="86"/>
      <c r="M6" s="92"/>
      <c r="N6" s="92"/>
      <c r="O6" s="92"/>
    </row>
    <row r="7" spans="1:15" ht="15.75" thickBot="1">
      <c r="A7" s="237">
        <v>80</v>
      </c>
      <c r="B7" s="242">
        <v>0.22</v>
      </c>
      <c r="C7" s="332">
        <f t="shared" ref="C7:C29" si="4">ROUND((A7-A6)*((B7+B6)/2),2)</f>
        <v>2.2000000000000002</v>
      </c>
      <c r="D7" s="333">
        <v>1.5</v>
      </c>
      <c r="E7" s="333">
        <f t="shared" si="0"/>
        <v>57.2</v>
      </c>
      <c r="F7" s="334">
        <f t="shared" si="1"/>
        <v>57.7</v>
      </c>
      <c r="G7" s="246">
        <f t="shared" si="2"/>
        <v>340.59999999999997</v>
      </c>
      <c r="H7" s="95">
        <f t="shared" si="3"/>
        <v>-282.89999999999998</v>
      </c>
      <c r="I7" s="1"/>
      <c r="J7" s="1"/>
      <c r="K7" s="77"/>
      <c r="L7" s="86"/>
      <c r="M7" s="92"/>
      <c r="N7" s="92"/>
      <c r="O7" s="92"/>
    </row>
    <row r="8" spans="1:15" ht="15.75" thickBot="1">
      <c r="A8" s="237">
        <v>100</v>
      </c>
      <c r="B8" s="242">
        <v>1.67</v>
      </c>
      <c r="C8" s="332">
        <f t="shared" si="4"/>
        <v>18.899999999999999</v>
      </c>
      <c r="D8" s="333">
        <v>0.12</v>
      </c>
      <c r="E8" s="333">
        <f t="shared" si="0"/>
        <v>16.2</v>
      </c>
      <c r="F8" s="334">
        <f t="shared" si="1"/>
        <v>76.599999999999994</v>
      </c>
      <c r="G8" s="246">
        <f t="shared" si="2"/>
        <v>356.79999999999995</v>
      </c>
      <c r="H8" s="95">
        <f t="shared" si="3"/>
        <v>-280.19999999999993</v>
      </c>
      <c r="I8" s="1"/>
      <c r="J8" s="1"/>
      <c r="K8" s="77"/>
      <c r="L8" s="86"/>
      <c r="M8" s="92"/>
      <c r="N8" s="92"/>
      <c r="O8" s="92"/>
    </row>
    <row r="9" spans="1:15" ht="15.75" thickBot="1">
      <c r="A9" s="237">
        <v>120</v>
      </c>
      <c r="B9" s="242">
        <v>0.73</v>
      </c>
      <c r="C9" s="332">
        <f t="shared" si="4"/>
        <v>24</v>
      </c>
      <c r="D9" s="333">
        <v>0.27</v>
      </c>
      <c r="E9" s="333">
        <f t="shared" si="0"/>
        <v>3.9</v>
      </c>
      <c r="F9" s="334">
        <f t="shared" si="1"/>
        <v>100.6</v>
      </c>
      <c r="G9" s="246">
        <f t="shared" si="2"/>
        <v>360.69999999999993</v>
      </c>
      <c r="H9" s="95">
        <f t="shared" si="3"/>
        <v>-260.09999999999991</v>
      </c>
      <c r="I9" s="1"/>
      <c r="J9" s="1"/>
      <c r="K9" s="77"/>
      <c r="L9" s="86"/>
      <c r="M9" s="92"/>
      <c r="N9" s="92"/>
      <c r="O9" s="92"/>
    </row>
    <row r="10" spans="1:15" ht="15.75" thickBot="1">
      <c r="A10" s="237">
        <v>140</v>
      </c>
      <c r="B10" s="242">
        <v>1.25</v>
      </c>
      <c r="C10" s="332">
        <f t="shared" si="4"/>
        <v>19.8</v>
      </c>
      <c r="D10" s="333">
        <v>0.26</v>
      </c>
      <c r="E10" s="333">
        <f t="shared" si="0"/>
        <v>5.3</v>
      </c>
      <c r="F10" s="334">
        <f t="shared" si="1"/>
        <v>120.39999999999999</v>
      </c>
      <c r="G10" s="246">
        <f t="shared" si="2"/>
        <v>365.99999999999994</v>
      </c>
      <c r="H10" s="95">
        <f t="shared" si="3"/>
        <v>-245.59999999999997</v>
      </c>
      <c r="I10" s="1"/>
      <c r="J10" s="1"/>
      <c r="K10" s="77"/>
      <c r="L10" s="93"/>
      <c r="M10" s="94"/>
      <c r="N10" s="94"/>
      <c r="O10" s="77"/>
    </row>
    <row r="11" spans="1:15" ht="15.75" thickBot="1">
      <c r="A11" s="237">
        <v>160</v>
      </c>
      <c r="B11" s="242">
        <v>2</v>
      </c>
      <c r="C11" s="332">
        <f t="shared" si="4"/>
        <v>32.5</v>
      </c>
      <c r="D11" s="333">
        <v>0.11</v>
      </c>
      <c r="E11" s="333">
        <f t="shared" si="0"/>
        <v>3.7</v>
      </c>
      <c r="F11" s="334">
        <f t="shared" si="1"/>
        <v>152.89999999999998</v>
      </c>
      <c r="G11" s="246">
        <f t="shared" si="2"/>
        <v>369.69999999999993</v>
      </c>
      <c r="H11" s="95">
        <f t="shared" si="3"/>
        <v>-216.79999999999995</v>
      </c>
      <c r="I11" s="1"/>
      <c r="J11" s="1"/>
      <c r="K11" s="77"/>
      <c r="L11" s="234"/>
      <c r="M11" s="77"/>
      <c r="N11" s="77"/>
      <c r="O11" s="77"/>
    </row>
    <row r="12" spans="1:15" ht="15.75" thickBot="1">
      <c r="A12" s="237">
        <v>180</v>
      </c>
      <c r="B12" s="242">
        <v>2.64</v>
      </c>
      <c r="C12" s="332">
        <f t="shared" si="4"/>
        <v>46.4</v>
      </c>
      <c r="D12" s="333">
        <v>0.05</v>
      </c>
      <c r="E12" s="333">
        <f t="shared" si="0"/>
        <v>1.6</v>
      </c>
      <c r="F12" s="334">
        <f t="shared" si="1"/>
        <v>199.29999999999998</v>
      </c>
      <c r="G12" s="246">
        <f t="shared" si="2"/>
        <v>371.29999999999995</v>
      </c>
      <c r="H12" s="95">
        <f t="shared" si="3"/>
        <v>-171.99999999999997</v>
      </c>
      <c r="I12" s="1"/>
      <c r="J12" s="1"/>
      <c r="K12" s="77"/>
      <c r="L12" s="86"/>
      <c r="M12" s="77"/>
      <c r="N12" s="77"/>
      <c r="O12" s="77"/>
    </row>
    <row r="13" spans="1:15" ht="15.75" thickBot="1">
      <c r="A13" s="237">
        <v>200</v>
      </c>
      <c r="B13" s="242">
        <v>2.59</v>
      </c>
      <c r="C13" s="332">
        <f t="shared" si="4"/>
        <v>52.3</v>
      </c>
      <c r="D13" s="333">
        <v>0.03</v>
      </c>
      <c r="E13" s="333">
        <f t="shared" si="0"/>
        <v>0.8</v>
      </c>
      <c r="F13" s="334">
        <f t="shared" si="1"/>
        <v>251.59999999999997</v>
      </c>
      <c r="G13" s="246">
        <f t="shared" si="2"/>
        <v>372.09999999999997</v>
      </c>
      <c r="H13" s="95">
        <f t="shared" si="3"/>
        <v>-120.5</v>
      </c>
      <c r="I13" s="1"/>
      <c r="J13" s="1"/>
      <c r="K13" s="77"/>
      <c r="L13" s="86"/>
      <c r="M13" s="77"/>
      <c r="N13" s="77"/>
      <c r="O13" s="77"/>
    </row>
    <row r="14" spans="1:15" ht="15.75" thickBot="1">
      <c r="A14" s="237">
        <v>220</v>
      </c>
      <c r="B14" s="242">
        <v>2.71</v>
      </c>
      <c r="C14" s="332">
        <f t="shared" si="4"/>
        <v>53</v>
      </c>
      <c r="D14" s="333">
        <v>0.08</v>
      </c>
      <c r="E14" s="333">
        <f t="shared" si="0"/>
        <v>1.1000000000000001</v>
      </c>
      <c r="F14" s="334">
        <f t="shared" si="1"/>
        <v>304.59999999999997</v>
      </c>
      <c r="G14" s="246">
        <f t="shared" si="2"/>
        <v>373.2</v>
      </c>
      <c r="H14" s="95">
        <f t="shared" si="3"/>
        <v>-68.600000000000023</v>
      </c>
      <c r="I14" s="1"/>
      <c r="J14" s="1"/>
      <c r="K14" s="77"/>
      <c r="L14" s="86"/>
      <c r="M14" s="77"/>
      <c r="N14" s="77"/>
      <c r="O14" s="77"/>
    </row>
    <row r="15" spans="1:15" ht="15.75" thickBot="1">
      <c r="A15" s="237">
        <v>240</v>
      </c>
      <c r="B15" s="242">
        <v>2.48</v>
      </c>
      <c r="C15" s="332">
        <f>ROUND((A15-A14)*((B15+B14)/2),2)</f>
        <v>51.9</v>
      </c>
      <c r="D15" s="333">
        <v>0.28999999999999998</v>
      </c>
      <c r="E15" s="333">
        <f>ROUND((A15-A14)*((D15+D14)/2),2)</f>
        <v>3.7</v>
      </c>
      <c r="F15" s="334">
        <f>C15+F14</f>
        <v>356.49999999999994</v>
      </c>
      <c r="G15" s="246">
        <f>G14+E15</f>
        <v>376.9</v>
      </c>
      <c r="H15" s="95">
        <f t="shared" si="3"/>
        <v>-20.400000000000034</v>
      </c>
      <c r="I15" s="1"/>
      <c r="J15" s="1"/>
      <c r="K15" s="77"/>
      <c r="L15" s="86"/>
      <c r="M15" s="77"/>
      <c r="N15" s="77"/>
      <c r="O15" s="77"/>
    </row>
    <row r="16" spans="1:15" ht="15.75" thickBot="1">
      <c r="A16" s="237">
        <v>260</v>
      </c>
      <c r="B16" s="242">
        <v>3.48</v>
      </c>
      <c r="C16" s="332">
        <f t="shared" si="4"/>
        <v>59.6</v>
      </c>
      <c r="D16" s="333">
        <v>0.17</v>
      </c>
      <c r="E16" s="333">
        <f t="shared" si="0"/>
        <v>4.5999999999999996</v>
      </c>
      <c r="F16" s="334">
        <f t="shared" si="1"/>
        <v>416.09999999999997</v>
      </c>
      <c r="G16" s="246">
        <f t="shared" si="2"/>
        <v>381.5</v>
      </c>
      <c r="H16" s="95">
        <f t="shared" si="3"/>
        <v>34.599999999999966</v>
      </c>
      <c r="I16" s="1"/>
      <c r="J16" s="1"/>
      <c r="K16" s="87"/>
      <c r="L16" s="87"/>
      <c r="M16" s="87"/>
      <c r="N16" s="87"/>
      <c r="O16" s="87"/>
    </row>
    <row r="17" spans="1:15" ht="15.75" thickBot="1">
      <c r="A17" s="237">
        <v>280</v>
      </c>
      <c r="B17" s="242">
        <v>3.1</v>
      </c>
      <c r="C17" s="332">
        <f t="shared" si="4"/>
        <v>65.8</v>
      </c>
      <c r="D17" s="333">
        <v>0.28999999999999998</v>
      </c>
      <c r="E17" s="333">
        <f t="shared" si="0"/>
        <v>4.5999999999999996</v>
      </c>
      <c r="F17" s="334">
        <f t="shared" si="1"/>
        <v>481.9</v>
      </c>
      <c r="G17" s="246">
        <f t="shared" si="2"/>
        <v>386.1</v>
      </c>
      <c r="H17" s="95">
        <f t="shared" si="3"/>
        <v>95.799999999999955</v>
      </c>
      <c r="I17" s="1"/>
      <c r="J17" s="1"/>
      <c r="K17" s="1"/>
      <c r="L17" s="1"/>
      <c r="M17" s="1"/>
      <c r="N17" s="1"/>
      <c r="O17" s="1"/>
    </row>
    <row r="18" spans="1:15" ht="15.75" thickBot="1">
      <c r="A18" s="237">
        <v>300</v>
      </c>
      <c r="B18" s="242">
        <v>2.56</v>
      </c>
      <c r="C18" s="332">
        <f t="shared" si="4"/>
        <v>56.6</v>
      </c>
      <c r="D18" s="333">
        <v>0.55000000000000004</v>
      </c>
      <c r="E18" s="333">
        <f t="shared" si="0"/>
        <v>8.4</v>
      </c>
      <c r="F18" s="334">
        <f t="shared" si="1"/>
        <v>538.5</v>
      </c>
      <c r="G18" s="246">
        <f t="shared" si="2"/>
        <v>394.5</v>
      </c>
      <c r="H18" s="95">
        <f t="shared" si="3"/>
        <v>144</v>
      </c>
      <c r="I18" s="1"/>
      <c r="J18" s="1"/>
      <c r="K18" s="1"/>
      <c r="L18" s="1"/>
      <c r="M18" s="1"/>
      <c r="N18" s="1"/>
      <c r="O18" s="1"/>
    </row>
    <row r="19" spans="1:15" ht="15.75" thickBot="1">
      <c r="A19" s="237">
        <v>320</v>
      </c>
      <c r="B19" s="242">
        <v>1.05</v>
      </c>
      <c r="C19" s="332">
        <f t="shared" si="4"/>
        <v>36.1</v>
      </c>
      <c r="D19" s="333">
        <v>1.19</v>
      </c>
      <c r="E19" s="333">
        <f t="shared" si="0"/>
        <v>17.399999999999999</v>
      </c>
      <c r="F19" s="334">
        <f t="shared" si="1"/>
        <v>574.6</v>
      </c>
      <c r="G19" s="246">
        <f t="shared" si="2"/>
        <v>411.9</v>
      </c>
      <c r="H19" s="95">
        <f t="shared" si="3"/>
        <v>162.70000000000005</v>
      </c>
      <c r="I19" s="1"/>
      <c r="J19" s="1"/>
      <c r="K19" s="1"/>
      <c r="L19" s="1"/>
      <c r="M19" s="1"/>
      <c r="N19" s="1"/>
      <c r="O19" s="1"/>
    </row>
    <row r="20" spans="1:15" ht="15.75" thickBot="1">
      <c r="A20" s="237">
        <v>340</v>
      </c>
      <c r="B20" s="242">
        <v>0.27</v>
      </c>
      <c r="C20" s="332">
        <f t="shared" si="4"/>
        <v>13.2</v>
      </c>
      <c r="D20" s="333">
        <v>2.61</v>
      </c>
      <c r="E20" s="333">
        <f t="shared" si="0"/>
        <v>38</v>
      </c>
      <c r="F20" s="334">
        <f t="shared" si="1"/>
        <v>587.80000000000007</v>
      </c>
      <c r="G20" s="246">
        <f t="shared" si="2"/>
        <v>449.9</v>
      </c>
      <c r="H20" s="95">
        <f t="shared" si="3"/>
        <v>137.90000000000009</v>
      </c>
      <c r="I20" s="1"/>
      <c r="J20" s="1"/>
      <c r="K20" s="1"/>
      <c r="L20" s="1"/>
      <c r="M20" s="1"/>
      <c r="N20" s="1"/>
      <c r="O20" s="1"/>
    </row>
    <row r="21" spans="1:15" ht="15.75" thickBot="1">
      <c r="A21" s="237">
        <v>360</v>
      </c>
      <c r="B21" s="242">
        <v>1.23</v>
      </c>
      <c r="C21" s="332">
        <f t="shared" si="4"/>
        <v>15</v>
      </c>
      <c r="D21" s="333">
        <v>1.58</v>
      </c>
      <c r="E21" s="333">
        <f t="shared" si="0"/>
        <v>41.9</v>
      </c>
      <c r="F21" s="334">
        <f t="shared" si="1"/>
        <v>602.80000000000007</v>
      </c>
      <c r="G21" s="246">
        <f t="shared" si="2"/>
        <v>491.79999999999995</v>
      </c>
      <c r="H21" s="95">
        <f t="shared" si="3"/>
        <v>111.00000000000011</v>
      </c>
      <c r="I21" s="1"/>
      <c r="J21" s="1"/>
      <c r="K21" s="1"/>
      <c r="L21" s="1"/>
      <c r="M21" s="1"/>
      <c r="N21" s="1"/>
      <c r="O21" s="1"/>
    </row>
    <row r="22" spans="1:15" ht="15.75" thickBot="1">
      <c r="A22" s="237">
        <v>380</v>
      </c>
      <c r="B22" s="242">
        <v>1.78</v>
      </c>
      <c r="C22" s="332">
        <f t="shared" si="4"/>
        <v>30.1</v>
      </c>
      <c r="D22" s="333">
        <v>1.34</v>
      </c>
      <c r="E22" s="333">
        <f t="shared" si="0"/>
        <v>29.2</v>
      </c>
      <c r="F22" s="334">
        <f t="shared" si="1"/>
        <v>632.90000000000009</v>
      </c>
      <c r="G22" s="246">
        <f t="shared" si="2"/>
        <v>521</v>
      </c>
      <c r="H22" s="95">
        <f t="shared" si="3"/>
        <v>111.90000000000009</v>
      </c>
      <c r="I22" s="1"/>
      <c r="J22" s="1"/>
      <c r="K22" s="1"/>
      <c r="L22" s="1"/>
      <c r="M22" s="1"/>
      <c r="N22" s="1"/>
      <c r="O22" s="1"/>
    </row>
    <row r="23" spans="1:15" ht="15.75" thickBot="1">
      <c r="A23" s="237">
        <v>400</v>
      </c>
      <c r="B23" s="242">
        <v>4.68</v>
      </c>
      <c r="C23" s="332">
        <f t="shared" si="4"/>
        <v>64.599999999999994</v>
      </c>
      <c r="D23" s="333">
        <v>0.06</v>
      </c>
      <c r="E23" s="333">
        <f t="shared" si="0"/>
        <v>14</v>
      </c>
      <c r="F23" s="334">
        <f t="shared" si="1"/>
        <v>697.50000000000011</v>
      </c>
      <c r="G23" s="246">
        <f t="shared" si="2"/>
        <v>535</v>
      </c>
      <c r="H23" s="95">
        <f t="shared" si="3"/>
        <v>162.50000000000011</v>
      </c>
      <c r="I23" s="1"/>
      <c r="J23" s="1"/>
      <c r="K23" s="1"/>
      <c r="L23" s="1"/>
      <c r="M23" s="1"/>
      <c r="N23" s="1"/>
      <c r="O23" s="1"/>
    </row>
    <row r="24" spans="1:15" ht="15.75" thickBot="1">
      <c r="A24" s="237">
        <v>420</v>
      </c>
      <c r="B24" s="242">
        <v>3.48</v>
      </c>
      <c r="C24" s="332">
        <f t="shared" si="4"/>
        <v>81.599999999999994</v>
      </c>
      <c r="D24" s="333">
        <v>0.1</v>
      </c>
      <c r="E24" s="333">
        <f t="shared" si="0"/>
        <v>1.6</v>
      </c>
      <c r="F24" s="334">
        <f t="shared" si="1"/>
        <v>779.10000000000014</v>
      </c>
      <c r="G24" s="246">
        <f t="shared" si="2"/>
        <v>536.6</v>
      </c>
      <c r="H24" s="95">
        <f t="shared" si="3"/>
        <v>242.50000000000011</v>
      </c>
      <c r="I24" s="1"/>
      <c r="J24" s="1"/>
      <c r="K24" s="1"/>
      <c r="L24" s="1"/>
      <c r="M24" s="1"/>
      <c r="N24" s="1"/>
      <c r="O24" s="1"/>
    </row>
    <row r="25" spans="1:15" ht="15.75" thickBot="1">
      <c r="A25" s="237">
        <v>440</v>
      </c>
      <c r="B25" s="242">
        <v>1.57</v>
      </c>
      <c r="C25" s="332">
        <f t="shared" si="4"/>
        <v>50.5</v>
      </c>
      <c r="D25" s="333">
        <v>0.37</v>
      </c>
      <c r="E25" s="333">
        <f t="shared" si="0"/>
        <v>4.7</v>
      </c>
      <c r="F25" s="334">
        <f t="shared" si="1"/>
        <v>829.60000000000014</v>
      </c>
      <c r="G25" s="246">
        <f t="shared" si="2"/>
        <v>541.30000000000007</v>
      </c>
      <c r="H25" s="95">
        <f t="shared" si="3"/>
        <v>288.30000000000007</v>
      </c>
      <c r="I25" s="1"/>
      <c r="J25" s="1"/>
      <c r="K25" s="1"/>
      <c r="L25" s="1"/>
      <c r="M25" s="1"/>
      <c r="N25" s="1"/>
      <c r="O25" s="1"/>
    </row>
    <row r="26" spans="1:15" ht="15.75" thickBot="1">
      <c r="A26" s="237">
        <v>460</v>
      </c>
      <c r="B26" s="242">
        <v>0.87</v>
      </c>
      <c r="C26" s="332">
        <f t="shared" si="4"/>
        <v>24.4</v>
      </c>
      <c r="D26" s="333">
        <v>0.74</v>
      </c>
      <c r="E26" s="333">
        <f t="shared" si="0"/>
        <v>11.1</v>
      </c>
      <c r="F26" s="334">
        <f t="shared" si="1"/>
        <v>854.00000000000011</v>
      </c>
      <c r="G26" s="246">
        <f t="shared" si="2"/>
        <v>552.40000000000009</v>
      </c>
      <c r="H26" s="95">
        <f t="shared" si="3"/>
        <v>301.60000000000002</v>
      </c>
      <c r="I26" s="1"/>
      <c r="J26" s="1"/>
      <c r="K26" s="1"/>
      <c r="L26" s="1"/>
      <c r="M26" s="1"/>
      <c r="N26" s="1"/>
      <c r="O26" s="1"/>
    </row>
    <row r="27" spans="1:15" ht="15.75" thickBot="1">
      <c r="A27" s="237">
        <v>480</v>
      </c>
      <c r="B27" s="242">
        <v>0.55000000000000004</v>
      </c>
      <c r="C27" s="332">
        <f t="shared" si="4"/>
        <v>14.2</v>
      </c>
      <c r="D27" s="333">
        <v>1.58</v>
      </c>
      <c r="E27" s="333">
        <f t="shared" si="0"/>
        <v>23.2</v>
      </c>
      <c r="F27" s="334">
        <f t="shared" si="1"/>
        <v>868.20000000000016</v>
      </c>
      <c r="G27" s="246">
        <f t="shared" si="2"/>
        <v>575.60000000000014</v>
      </c>
      <c r="H27" s="95">
        <f t="shared" si="3"/>
        <v>292.60000000000002</v>
      </c>
      <c r="I27" s="1"/>
      <c r="J27" s="1"/>
      <c r="K27" s="1"/>
      <c r="L27" s="1"/>
      <c r="M27" s="1"/>
      <c r="N27" s="1"/>
      <c r="O27" s="1"/>
    </row>
    <row r="28" spans="1:15" ht="15.75" thickBot="1">
      <c r="A28" s="237">
        <v>500</v>
      </c>
      <c r="B28" s="242">
        <v>1.74</v>
      </c>
      <c r="C28" s="332">
        <f t="shared" si="4"/>
        <v>22.9</v>
      </c>
      <c r="D28" s="333">
        <v>0.54</v>
      </c>
      <c r="E28" s="333">
        <f t="shared" si="0"/>
        <v>21.2</v>
      </c>
      <c r="F28" s="335">
        <f t="shared" si="1"/>
        <v>891.10000000000014</v>
      </c>
      <c r="G28" s="257">
        <f t="shared" si="2"/>
        <v>596.80000000000018</v>
      </c>
      <c r="H28" s="95">
        <f t="shared" si="3"/>
        <v>294.29999999999995</v>
      </c>
      <c r="I28" s="1"/>
      <c r="J28" s="1"/>
      <c r="K28" s="1"/>
      <c r="L28" s="1"/>
      <c r="M28" s="1"/>
      <c r="N28" s="1"/>
      <c r="O28" s="1"/>
    </row>
    <row r="29" spans="1:15" ht="15.75" thickBot="1">
      <c r="A29" s="238">
        <v>535.24</v>
      </c>
      <c r="B29" s="243">
        <v>1.98</v>
      </c>
      <c r="C29" s="235">
        <f t="shared" si="4"/>
        <v>65.55</v>
      </c>
      <c r="D29" s="245">
        <v>0.08</v>
      </c>
      <c r="E29" s="255">
        <f t="shared" si="0"/>
        <v>10.92</v>
      </c>
      <c r="F29" s="256">
        <f t="shared" si="1"/>
        <v>956.65000000000009</v>
      </c>
      <c r="G29" s="258">
        <f t="shared" si="2"/>
        <v>607.72000000000014</v>
      </c>
      <c r="H29" s="95">
        <f t="shared" si="3"/>
        <v>348.92999999999995</v>
      </c>
      <c r="I29" s="1"/>
      <c r="J29" s="1"/>
      <c r="K29" s="1"/>
      <c r="L29" s="1"/>
      <c r="M29" s="1"/>
      <c r="N29" s="1"/>
      <c r="O29" s="1"/>
    </row>
    <row r="30" spans="1:15" ht="19.5" thickBot="1">
      <c r="A30" s="441" t="s">
        <v>398</v>
      </c>
      <c r="B30" s="441"/>
      <c r="C30" s="441"/>
      <c r="D30" s="441"/>
      <c r="E30" s="441"/>
      <c r="F30" s="441"/>
      <c r="G30" s="441"/>
      <c r="H30" s="439"/>
      <c r="I30" s="1"/>
      <c r="J30" s="1"/>
      <c r="K30" s="1"/>
      <c r="L30" s="1"/>
      <c r="M30" s="1"/>
      <c r="N30" s="1"/>
      <c r="O30" s="1"/>
    </row>
    <row r="31" spans="1:15" ht="15.75" thickBot="1">
      <c r="A31" s="250">
        <v>0</v>
      </c>
      <c r="B31" s="251">
        <v>0</v>
      </c>
      <c r="C31" s="252">
        <v>0</v>
      </c>
      <c r="D31" s="253">
        <v>0</v>
      </c>
      <c r="E31" s="253">
        <v>0</v>
      </c>
      <c r="F31" s="252">
        <v>0</v>
      </c>
      <c r="G31" s="254">
        <v>0</v>
      </c>
      <c r="H31" s="247">
        <f>F31-G31</f>
        <v>0</v>
      </c>
      <c r="I31" s="1"/>
      <c r="J31" s="1"/>
      <c r="K31" s="1"/>
      <c r="L31" s="1"/>
      <c r="M31" s="1"/>
      <c r="N31" s="1"/>
      <c r="O31" s="1"/>
    </row>
    <row r="32" spans="1:15" ht="15.75" thickBot="1">
      <c r="A32" s="239">
        <v>20</v>
      </c>
      <c r="B32" s="242">
        <v>0</v>
      </c>
      <c r="C32" s="332">
        <f>ROUND((A32-A31)*((B32+B31)/2),2)</f>
        <v>0</v>
      </c>
      <c r="D32" s="333">
        <v>3.62</v>
      </c>
      <c r="E32" s="333">
        <f>ROUND((A32-A31)*((D32+D31)/2),2)</f>
        <v>36.200000000000003</v>
      </c>
      <c r="F32" s="240">
        <f>F31+C32</f>
        <v>0</v>
      </c>
      <c r="G32" s="246">
        <f>G31+E32</f>
        <v>36.200000000000003</v>
      </c>
      <c r="H32" s="247">
        <f t="shared" ref="H32:H48" si="5">F32-G32</f>
        <v>-36.200000000000003</v>
      </c>
      <c r="I32" s="1"/>
      <c r="J32" s="1"/>
      <c r="K32" s="1"/>
      <c r="L32" s="1"/>
      <c r="M32" s="1"/>
      <c r="N32" s="1"/>
      <c r="O32" s="1"/>
    </row>
    <row r="33" spans="1:15" ht="15.75" thickBot="1">
      <c r="A33" s="239">
        <v>40</v>
      </c>
      <c r="B33" s="242">
        <v>0</v>
      </c>
      <c r="C33" s="332">
        <f t="shared" ref="C33:C48" si="6">ROUND((A33-A32)*((B33+B32)/2),2)</f>
        <v>0</v>
      </c>
      <c r="D33" s="333">
        <v>4.79</v>
      </c>
      <c r="E33" s="333">
        <f t="shared" ref="E33:E48" si="7">ROUND((A33-A32)*((D33+D32)/2),2)</f>
        <v>84.1</v>
      </c>
      <c r="F33" s="240">
        <f t="shared" ref="F33:F48" si="8">F32+C33</f>
        <v>0</v>
      </c>
      <c r="G33" s="246">
        <f t="shared" ref="G33:G48" si="9">G32+E33</f>
        <v>120.3</v>
      </c>
      <c r="H33" s="247">
        <f t="shared" si="5"/>
        <v>-120.3</v>
      </c>
      <c r="I33" s="1"/>
      <c r="J33" s="1"/>
      <c r="K33" s="1"/>
      <c r="L33" s="1"/>
      <c r="M33" s="1"/>
      <c r="N33" s="1"/>
      <c r="O33" s="1"/>
    </row>
    <row r="34" spans="1:15" ht="15.75" thickBot="1">
      <c r="A34" s="239">
        <v>60</v>
      </c>
      <c r="B34" s="242">
        <v>0.92</v>
      </c>
      <c r="C34" s="332">
        <f t="shared" si="6"/>
        <v>9.1999999999999993</v>
      </c>
      <c r="D34" s="333">
        <v>0.99</v>
      </c>
      <c r="E34" s="333">
        <f t="shared" si="7"/>
        <v>57.8</v>
      </c>
      <c r="F34" s="240">
        <f t="shared" si="8"/>
        <v>9.1999999999999993</v>
      </c>
      <c r="G34" s="246">
        <f t="shared" si="9"/>
        <v>178.1</v>
      </c>
      <c r="H34" s="247">
        <f t="shared" si="5"/>
        <v>-168.9</v>
      </c>
      <c r="I34" s="1"/>
      <c r="J34" s="1"/>
      <c r="K34" s="1"/>
      <c r="L34" s="1"/>
      <c r="M34" s="1"/>
      <c r="N34" s="1"/>
      <c r="O34" s="1"/>
    </row>
    <row r="35" spans="1:15" ht="15.75" thickBot="1">
      <c r="A35" s="239">
        <v>80</v>
      </c>
      <c r="B35" s="242">
        <v>5.17</v>
      </c>
      <c r="C35" s="332">
        <f t="shared" si="6"/>
        <v>60.9</v>
      </c>
      <c r="D35" s="333">
        <v>0.03</v>
      </c>
      <c r="E35" s="333">
        <f t="shared" si="7"/>
        <v>10.199999999999999</v>
      </c>
      <c r="F35" s="240">
        <f t="shared" si="8"/>
        <v>70.099999999999994</v>
      </c>
      <c r="G35" s="246">
        <f t="shared" si="9"/>
        <v>188.29999999999998</v>
      </c>
      <c r="H35" s="247">
        <f t="shared" si="5"/>
        <v>-118.19999999999999</v>
      </c>
      <c r="I35" s="1"/>
      <c r="J35" s="1"/>
      <c r="K35" s="1"/>
      <c r="L35" s="1"/>
      <c r="M35" s="1"/>
      <c r="N35" s="1"/>
      <c r="O35" s="1"/>
    </row>
    <row r="36" spans="1:15" ht="15.75" thickBot="1">
      <c r="A36" s="239">
        <v>100</v>
      </c>
      <c r="B36" s="242">
        <v>9.15</v>
      </c>
      <c r="C36" s="332">
        <f t="shared" si="6"/>
        <v>143.19999999999999</v>
      </c>
      <c r="D36" s="333">
        <v>0</v>
      </c>
      <c r="E36" s="333">
        <f t="shared" si="7"/>
        <v>0.3</v>
      </c>
      <c r="F36" s="240">
        <f t="shared" si="8"/>
        <v>213.29999999999998</v>
      </c>
      <c r="G36" s="246">
        <f t="shared" si="9"/>
        <v>188.6</v>
      </c>
      <c r="H36" s="247">
        <f t="shared" si="5"/>
        <v>24.699999999999989</v>
      </c>
      <c r="I36" s="1"/>
      <c r="J36" s="1"/>
      <c r="K36" s="1"/>
      <c r="L36" s="1"/>
      <c r="M36" s="1"/>
      <c r="N36" s="1"/>
      <c r="O36" s="1"/>
    </row>
    <row r="37" spans="1:15" ht="15.75" thickBot="1">
      <c r="A37" s="239">
        <v>120</v>
      </c>
      <c r="B37" s="242">
        <v>1.4</v>
      </c>
      <c r="C37" s="332">
        <f t="shared" si="6"/>
        <v>105.5</v>
      </c>
      <c r="D37" s="333">
        <v>0.57999999999999996</v>
      </c>
      <c r="E37" s="333">
        <f t="shared" si="7"/>
        <v>5.8</v>
      </c>
      <c r="F37" s="240">
        <f t="shared" si="8"/>
        <v>318.79999999999995</v>
      </c>
      <c r="G37" s="246">
        <f t="shared" si="9"/>
        <v>194.4</v>
      </c>
      <c r="H37" s="247">
        <f t="shared" si="5"/>
        <v>124.39999999999995</v>
      </c>
      <c r="I37" s="1"/>
      <c r="J37" s="1"/>
      <c r="K37" s="1"/>
      <c r="L37" s="1"/>
      <c r="M37" s="1"/>
      <c r="N37" s="1"/>
      <c r="O37" s="1"/>
    </row>
    <row r="38" spans="1:15" ht="15.75" thickBot="1">
      <c r="A38" s="239">
        <v>140</v>
      </c>
      <c r="B38" s="242">
        <v>0</v>
      </c>
      <c r="C38" s="332">
        <f t="shared" si="6"/>
        <v>14</v>
      </c>
      <c r="D38" s="333">
        <v>3.5</v>
      </c>
      <c r="E38" s="333">
        <f t="shared" si="7"/>
        <v>40.799999999999997</v>
      </c>
      <c r="F38" s="240">
        <f t="shared" si="8"/>
        <v>332.79999999999995</v>
      </c>
      <c r="G38" s="246">
        <f t="shared" si="9"/>
        <v>235.2</v>
      </c>
      <c r="H38" s="247">
        <f t="shared" si="5"/>
        <v>97.599999999999966</v>
      </c>
      <c r="I38" s="1"/>
      <c r="J38" s="1"/>
      <c r="K38" s="1"/>
      <c r="L38" s="1"/>
      <c r="M38" s="1"/>
      <c r="N38" s="1"/>
      <c r="O38" s="1"/>
    </row>
    <row r="39" spans="1:15" ht="15.75" thickBot="1">
      <c r="A39" s="239">
        <v>160</v>
      </c>
      <c r="B39" s="242">
        <v>4.34</v>
      </c>
      <c r="C39" s="332">
        <f t="shared" si="6"/>
        <v>43.4</v>
      </c>
      <c r="D39" s="333">
        <v>0.03</v>
      </c>
      <c r="E39" s="333">
        <f t="shared" si="7"/>
        <v>35.299999999999997</v>
      </c>
      <c r="F39" s="240">
        <f t="shared" si="8"/>
        <v>376.19999999999993</v>
      </c>
      <c r="G39" s="246">
        <f t="shared" si="9"/>
        <v>270.5</v>
      </c>
      <c r="H39" s="247">
        <f t="shared" si="5"/>
        <v>105.69999999999993</v>
      </c>
      <c r="I39" s="1"/>
      <c r="J39" s="1"/>
      <c r="K39" s="1"/>
      <c r="L39" s="1"/>
      <c r="M39" s="1"/>
      <c r="N39" s="1"/>
      <c r="O39" s="1"/>
    </row>
    <row r="40" spans="1:15" ht="15.75" thickBot="1">
      <c r="A40" s="239">
        <v>180</v>
      </c>
      <c r="B40" s="242">
        <v>5.48</v>
      </c>
      <c r="C40" s="332">
        <f t="shared" si="6"/>
        <v>98.2</v>
      </c>
      <c r="D40" s="333">
        <v>0.25</v>
      </c>
      <c r="E40" s="333">
        <f t="shared" si="7"/>
        <v>2.8</v>
      </c>
      <c r="F40" s="240">
        <f t="shared" si="8"/>
        <v>474.39999999999992</v>
      </c>
      <c r="G40" s="246">
        <f t="shared" si="9"/>
        <v>273.3</v>
      </c>
      <c r="H40" s="247">
        <f t="shared" si="5"/>
        <v>201.09999999999991</v>
      </c>
      <c r="I40" s="1"/>
      <c r="J40" s="1"/>
      <c r="K40" s="1"/>
      <c r="L40" s="1"/>
      <c r="M40" s="1"/>
      <c r="N40" s="1"/>
      <c r="O40" s="1"/>
    </row>
    <row r="41" spans="1:15" ht="15.75" thickBot="1">
      <c r="A41" s="239">
        <v>220</v>
      </c>
      <c r="B41" s="242">
        <v>2.88</v>
      </c>
      <c r="C41" s="332">
        <f t="shared" si="6"/>
        <v>167.2</v>
      </c>
      <c r="D41" s="333">
        <v>0.01</v>
      </c>
      <c r="E41" s="333">
        <f t="shared" si="7"/>
        <v>5.2</v>
      </c>
      <c r="F41" s="240">
        <f t="shared" si="8"/>
        <v>641.59999999999991</v>
      </c>
      <c r="G41" s="246">
        <f t="shared" si="9"/>
        <v>278.5</v>
      </c>
      <c r="H41" s="247">
        <f t="shared" si="5"/>
        <v>363.09999999999991</v>
      </c>
      <c r="I41" s="1"/>
      <c r="J41" s="1"/>
      <c r="K41" s="1"/>
      <c r="L41" s="1"/>
      <c r="M41" s="1"/>
      <c r="N41" s="1"/>
      <c r="O41" s="1"/>
    </row>
    <row r="42" spans="1:15" ht="15.75" thickBot="1">
      <c r="A42" s="239">
        <v>240</v>
      </c>
      <c r="B42" s="242">
        <v>0.56000000000000005</v>
      </c>
      <c r="C42" s="332">
        <f t="shared" si="6"/>
        <v>34.4</v>
      </c>
      <c r="D42" s="333">
        <v>0.27</v>
      </c>
      <c r="E42" s="333">
        <f t="shared" si="7"/>
        <v>2.8</v>
      </c>
      <c r="F42" s="240">
        <f t="shared" si="8"/>
        <v>675.99999999999989</v>
      </c>
      <c r="G42" s="246">
        <f t="shared" si="9"/>
        <v>281.3</v>
      </c>
      <c r="H42" s="247">
        <f t="shared" si="5"/>
        <v>394.69999999999987</v>
      </c>
      <c r="I42" s="1"/>
      <c r="J42" s="1"/>
      <c r="K42" s="1"/>
      <c r="L42" s="1"/>
      <c r="M42" s="1"/>
      <c r="N42" s="1"/>
      <c r="O42" s="1"/>
    </row>
    <row r="43" spans="1:15" ht="15.75" thickBot="1">
      <c r="A43" s="239">
        <v>260</v>
      </c>
      <c r="B43" s="242">
        <v>0.91</v>
      </c>
      <c r="C43" s="332">
        <f t="shared" si="6"/>
        <v>14.7</v>
      </c>
      <c r="D43" s="333">
        <v>0.2</v>
      </c>
      <c r="E43" s="333">
        <f t="shared" si="7"/>
        <v>4.7</v>
      </c>
      <c r="F43" s="240">
        <f t="shared" si="8"/>
        <v>690.69999999999993</v>
      </c>
      <c r="G43" s="246">
        <f t="shared" si="9"/>
        <v>286</v>
      </c>
      <c r="H43" s="247">
        <f t="shared" si="5"/>
        <v>404.69999999999993</v>
      </c>
      <c r="I43" s="1"/>
      <c r="J43" s="1"/>
      <c r="K43" s="1"/>
      <c r="L43" s="1"/>
      <c r="M43" s="1"/>
      <c r="N43" s="1"/>
      <c r="O43" s="1"/>
    </row>
    <row r="44" spans="1:15" ht="15.75" thickBot="1">
      <c r="A44" s="239">
        <v>280</v>
      </c>
      <c r="B44" s="242">
        <v>2.0099999999999998</v>
      </c>
      <c r="C44" s="332">
        <f t="shared" si="6"/>
        <v>29.2</v>
      </c>
      <c r="D44" s="333">
        <v>0.04</v>
      </c>
      <c r="E44" s="333">
        <f t="shared" si="7"/>
        <v>2.4</v>
      </c>
      <c r="F44" s="240">
        <f t="shared" si="8"/>
        <v>719.9</v>
      </c>
      <c r="G44" s="246">
        <f t="shared" si="9"/>
        <v>288.39999999999998</v>
      </c>
      <c r="H44" s="247">
        <f t="shared" si="5"/>
        <v>431.5</v>
      </c>
      <c r="I44" s="1"/>
      <c r="J44" s="1"/>
      <c r="K44" s="1"/>
      <c r="L44" s="1"/>
      <c r="M44" s="1"/>
      <c r="N44" s="1"/>
      <c r="O44" s="1"/>
    </row>
    <row r="45" spans="1:15" ht="15.75" thickBot="1">
      <c r="A45" s="239">
        <v>300</v>
      </c>
      <c r="B45" s="242">
        <v>3.13</v>
      </c>
      <c r="C45" s="332">
        <f t="shared" si="6"/>
        <v>51.4</v>
      </c>
      <c r="D45" s="333">
        <v>0.03</v>
      </c>
      <c r="E45" s="333">
        <f t="shared" si="7"/>
        <v>0.7</v>
      </c>
      <c r="F45" s="240">
        <f t="shared" si="8"/>
        <v>771.3</v>
      </c>
      <c r="G45" s="246">
        <f t="shared" si="9"/>
        <v>289.09999999999997</v>
      </c>
      <c r="H45" s="247">
        <f t="shared" si="5"/>
        <v>482.2</v>
      </c>
      <c r="I45" s="1"/>
      <c r="J45" s="1"/>
      <c r="K45" s="1"/>
      <c r="L45" s="1"/>
      <c r="M45" s="1"/>
      <c r="N45" s="1"/>
      <c r="O45" s="1"/>
    </row>
    <row r="46" spans="1:15" ht="15.75" thickBot="1">
      <c r="A46" s="239">
        <v>320</v>
      </c>
      <c r="B46" s="242">
        <v>5.56</v>
      </c>
      <c r="C46" s="332">
        <f t="shared" si="6"/>
        <v>86.9</v>
      </c>
      <c r="D46" s="333">
        <v>0.03</v>
      </c>
      <c r="E46" s="333">
        <f t="shared" si="7"/>
        <v>0.6</v>
      </c>
      <c r="F46" s="240">
        <f t="shared" si="8"/>
        <v>858.19999999999993</v>
      </c>
      <c r="G46" s="246">
        <f t="shared" si="9"/>
        <v>289.7</v>
      </c>
      <c r="H46" s="247">
        <f t="shared" si="5"/>
        <v>568.5</v>
      </c>
      <c r="I46" s="1"/>
      <c r="J46" s="1"/>
      <c r="K46" s="1"/>
      <c r="L46" s="1"/>
      <c r="M46" s="1"/>
      <c r="N46" s="1"/>
      <c r="O46" s="1"/>
    </row>
    <row r="47" spans="1:15" ht="15.75" thickBot="1">
      <c r="A47" s="239">
        <v>340</v>
      </c>
      <c r="B47" s="242">
        <v>2.56</v>
      </c>
      <c r="C47" s="332">
        <f t="shared" si="6"/>
        <v>81.2</v>
      </c>
      <c r="D47" s="333">
        <v>0.04</v>
      </c>
      <c r="E47" s="333">
        <f t="shared" si="7"/>
        <v>0.7</v>
      </c>
      <c r="F47" s="259">
        <f t="shared" si="8"/>
        <v>939.4</v>
      </c>
      <c r="G47" s="257">
        <f t="shared" si="9"/>
        <v>290.39999999999998</v>
      </c>
      <c r="H47" s="247">
        <f t="shared" si="5"/>
        <v>649</v>
      </c>
      <c r="I47" s="1"/>
      <c r="J47" s="1"/>
      <c r="K47" s="1"/>
      <c r="L47" s="1"/>
      <c r="M47" s="1"/>
      <c r="N47" s="1"/>
      <c r="O47" s="1"/>
    </row>
    <row r="48" spans="1:15" ht="15.75" thickBot="1">
      <c r="A48" s="239">
        <v>352.57</v>
      </c>
      <c r="B48" s="243">
        <v>2.42</v>
      </c>
      <c r="C48" s="332">
        <f t="shared" si="6"/>
        <v>31.3</v>
      </c>
      <c r="D48" s="245">
        <v>7.0000000000000007E-2</v>
      </c>
      <c r="E48" s="336">
        <f t="shared" si="7"/>
        <v>0.69</v>
      </c>
      <c r="F48" s="256">
        <f t="shared" si="8"/>
        <v>970.69999999999993</v>
      </c>
      <c r="G48" s="258">
        <f t="shared" si="9"/>
        <v>291.08999999999997</v>
      </c>
      <c r="H48" s="247">
        <f t="shared" si="5"/>
        <v>679.6099999999999</v>
      </c>
      <c r="I48" s="1"/>
      <c r="J48" s="1"/>
      <c r="K48" s="1"/>
      <c r="L48" s="1"/>
      <c r="M48" s="1"/>
      <c r="N48" s="1"/>
      <c r="O48" s="1"/>
    </row>
    <row r="49" spans="1:15" ht="19.5" thickBot="1">
      <c r="A49" s="439" t="s">
        <v>396</v>
      </c>
      <c r="B49" s="439"/>
      <c r="C49" s="439"/>
      <c r="D49" s="439"/>
      <c r="E49" s="439"/>
      <c r="F49" s="439"/>
      <c r="G49" s="439"/>
      <c r="H49" s="439"/>
      <c r="I49" s="1"/>
      <c r="J49" s="1"/>
      <c r="K49" s="1"/>
      <c r="L49" s="1"/>
      <c r="M49" s="1"/>
      <c r="N49" s="1"/>
      <c r="O49" s="1"/>
    </row>
    <row r="50" spans="1:15" ht="15.75" thickBot="1">
      <c r="A50" s="249">
        <v>0</v>
      </c>
      <c r="B50" s="261">
        <v>1.8</v>
      </c>
      <c r="C50" s="252">
        <v>0</v>
      </c>
      <c r="D50" s="253">
        <v>0</v>
      </c>
      <c r="E50" s="253">
        <v>0</v>
      </c>
      <c r="F50" s="252">
        <v>0</v>
      </c>
      <c r="G50" s="254">
        <v>0</v>
      </c>
      <c r="H50" s="247">
        <f>F50-G50</f>
        <v>0</v>
      </c>
      <c r="I50" s="1"/>
      <c r="J50" s="1"/>
      <c r="K50" s="1"/>
      <c r="L50" s="1"/>
      <c r="M50" s="1"/>
      <c r="N50" s="1"/>
      <c r="O50" s="1"/>
    </row>
    <row r="51" spans="1:15" ht="15.75" thickBot="1">
      <c r="A51" s="237">
        <v>20</v>
      </c>
      <c r="B51" s="332">
        <v>2.08</v>
      </c>
      <c r="C51" s="332">
        <f>ROUND((A51-A50)*((B51+B50)/2),2)</f>
        <v>38.799999999999997</v>
      </c>
      <c r="D51" s="333">
        <v>0.01</v>
      </c>
      <c r="E51" s="333">
        <f>ROUND((A51-A50)*((D51+D50)/2),2)</f>
        <v>0.1</v>
      </c>
      <c r="F51" s="240">
        <f>F50+C51</f>
        <v>38.799999999999997</v>
      </c>
      <c r="G51" s="246">
        <f>G50+E51</f>
        <v>0.1</v>
      </c>
      <c r="H51" s="247">
        <f t="shared" ref="H51:H55" si="10">F51-G51</f>
        <v>38.699999999999996</v>
      </c>
      <c r="I51" s="1"/>
      <c r="J51" s="1"/>
      <c r="K51" s="1"/>
      <c r="L51" s="1"/>
      <c r="M51" s="1"/>
      <c r="N51" s="1"/>
      <c r="O51" s="1"/>
    </row>
    <row r="52" spans="1:15" ht="15.75" thickBot="1">
      <c r="A52" s="237">
        <v>40</v>
      </c>
      <c r="B52" s="332">
        <v>2.2400000000000002</v>
      </c>
      <c r="C52" s="332">
        <f t="shared" ref="C52:C55" si="11">ROUND((A52-A51)*((B52+B51)/2),2)</f>
        <v>43.2</v>
      </c>
      <c r="D52" s="333">
        <v>0.03</v>
      </c>
      <c r="E52" s="333">
        <f t="shared" ref="E52:E55" si="12">ROUND((A52-A51)*((D52+D51)/2),2)</f>
        <v>0.4</v>
      </c>
      <c r="F52" s="240">
        <f>F51+C52</f>
        <v>82</v>
      </c>
      <c r="G52" s="246">
        <f t="shared" ref="G52:G55" si="13">G51+E52</f>
        <v>0.5</v>
      </c>
      <c r="H52" s="247">
        <f t="shared" si="10"/>
        <v>81.5</v>
      </c>
      <c r="I52" s="1"/>
      <c r="J52" s="1"/>
      <c r="K52" s="1"/>
      <c r="L52" s="1"/>
      <c r="M52" s="1"/>
      <c r="N52" s="1"/>
      <c r="O52" s="1"/>
    </row>
    <row r="53" spans="1:15" ht="15.75" thickBot="1">
      <c r="A53" s="237">
        <v>60</v>
      </c>
      <c r="B53" s="332">
        <v>1.83</v>
      </c>
      <c r="C53" s="332">
        <f t="shared" si="11"/>
        <v>40.700000000000003</v>
      </c>
      <c r="D53" s="333">
        <v>0.05</v>
      </c>
      <c r="E53" s="333">
        <f t="shared" si="12"/>
        <v>0.8</v>
      </c>
      <c r="F53" s="240">
        <f t="shared" ref="F53:F55" si="14">F52+C53</f>
        <v>122.7</v>
      </c>
      <c r="G53" s="246">
        <f t="shared" si="13"/>
        <v>1.3</v>
      </c>
      <c r="H53" s="247">
        <f t="shared" si="10"/>
        <v>121.4</v>
      </c>
      <c r="I53" s="1"/>
      <c r="J53" s="1"/>
      <c r="K53" s="1"/>
      <c r="L53" s="1"/>
      <c r="M53" s="1"/>
      <c r="N53" s="1"/>
      <c r="O53" s="1"/>
    </row>
    <row r="54" spans="1:15" ht="15.75" thickBot="1">
      <c r="A54" s="237">
        <v>80</v>
      </c>
      <c r="B54" s="332">
        <v>1.89</v>
      </c>
      <c r="C54" s="332">
        <f t="shared" si="11"/>
        <v>37.200000000000003</v>
      </c>
      <c r="D54" s="333">
        <v>0</v>
      </c>
      <c r="E54" s="333">
        <f t="shared" si="12"/>
        <v>0.5</v>
      </c>
      <c r="F54" s="259">
        <f t="shared" si="14"/>
        <v>159.9</v>
      </c>
      <c r="G54" s="257">
        <f t="shared" si="13"/>
        <v>1.8</v>
      </c>
      <c r="H54" s="247">
        <f t="shared" si="10"/>
        <v>158.1</v>
      </c>
      <c r="I54" s="1"/>
      <c r="J54" s="1"/>
      <c r="K54" s="1"/>
      <c r="L54" s="1"/>
      <c r="M54" s="1"/>
      <c r="N54" s="1"/>
      <c r="O54" s="1"/>
    </row>
    <row r="55" spans="1:15" ht="15.75" thickBot="1">
      <c r="A55" s="238">
        <v>95.48</v>
      </c>
      <c r="B55" s="235">
        <v>1.74</v>
      </c>
      <c r="C55" s="235">
        <f t="shared" si="11"/>
        <v>28.1</v>
      </c>
      <c r="D55" s="245">
        <v>0</v>
      </c>
      <c r="E55" s="255">
        <f t="shared" si="12"/>
        <v>0</v>
      </c>
      <c r="F55" s="256">
        <f t="shared" si="14"/>
        <v>188</v>
      </c>
      <c r="G55" s="258">
        <f t="shared" si="13"/>
        <v>1.8</v>
      </c>
      <c r="H55" s="247">
        <f t="shared" si="10"/>
        <v>186.2</v>
      </c>
      <c r="I55" s="1"/>
      <c r="J55" s="1"/>
      <c r="K55" s="1"/>
      <c r="L55" s="1"/>
      <c r="M55" s="1"/>
      <c r="N55" s="1"/>
      <c r="O55" s="1"/>
    </row>
    <row r="56" spans="1:15" ht="19.5" thickBot="1">
      <c r="A56" s="439" t="s">
        <v>395</v>
      </c>
      <c r="B56" s="439"/>
      <c r="C56" s="439"/>
      <c r="D56" s="439"/>
      <c r="E56" s="439"/>
      <c r="F56" s="439"/>
      <c r="G56" s="439"/>
      <c r="H56" s="439"/>
      <c r="I56" s="1"/>
      <c r="J56" s="1"/>
      <c r="K56" s="1"/>
      <c r="L56" s="1"/>
      <c r="M56" s="1"/>
      <c r="N56" s="1"/>
      <c r="O56" s="1"/>
    </row>
    <row r="57" spans="1:15" ht="15.75" thickBot="1">
      <c r="A57" s="249">
        <v>0</v>
      </c>
      <c r="B57" s="261">
        <v>0</v>
      </c>
      <c r="C57" s="252">
        <v>0</v>
      </c>
      <c r="D57" s="253">
        <v>0</v>
      </c>
      <c r="E57" s="253">
        <v>0</v>
      </c>
      <c r="F57" s="252">
        <v>0</v>
      </c>
      <c r="G57" s="260">
        <v>0</v>
      </c>
      <c r="H57" s="247">
        <f>F57-G57</f>
        <v>0</v>
      </c>
      <c r="I57" s="1"/>
      <c r="J57" s="1"/>
      <c r="K57" s="1"/>
      <c r="L57" s="1"/>
      <c r="M57" s="1"/>
      <c r="N57" s="1"/>
      <c r="O57" s="1"/>
    </row>
    <row r="58" spans="1:15" ht="15.75" thickBot="1">
      <c r="A58" s="237">
        <v>20</v>
      </c>
      <c r="B58" s="332">
        <v>1.9</v>
      </c>
      <c r="C58" s="332">
        <f>ROUND((A58-A57)*((B58+B57)/2),2)</f>
        <v>19</v>
      </c>
      <c r="D58" s="333">
        <v>0.02</v>
      </c>
      <c r="E58" s="333">
        <f>ROUND((A58-A57)*((D58+D57)/2),2)</f>
        <v>0.2</v>
      </c>
      <c r="F58" s="240">
        <f>F57+C58</f>
        <v>19</v>
      </c>
      <c r="G58" s="246">
        <f>G57+E58</f>
        <v>0.2</v>
      </c>
      <c r="H58" s="247">
        <f t="shared" ref="H58:H63" si="15">F58-G58</f>
        <v>18.8</v>
      </c>
      <c r="I58" s="1"/>
      <c r="J58" s="1"/>
      <c r="K58" s="1"/>
      <c r="L58" s="1"/>
      <c r="M58" s="1"/>
      <c r="N58" s="1"/>
      <c r="O58" s="1"/>
    </row>
    <row r="59" spans="1:15" ht="15.75" thickBot="1">
      <c r="A59" s="237">
        <v>40</v>
      </c>
      <c r="B59" s="332">
        <v>1.81</v>
      </c>
      <c r="C59" s="332">
        <f t="shared" ref="C59:C63" si="16">ROUND((A59-A58)*((B59+B58)/2),2)</f>
        <v>37.1</v>
      </c>
      <c r="D59" s="333">
        <v>0</v>
      </c>
      <c r="E59" s="333">
        <f t="shared" ref="E59:E63" si="17">ROUND((A59-A58)*((D59+D58)/2),2)</f>
        <v>0.2</v>
      </c>
      <c r="F59" s="240">
        <f t="shared" ref="F59:F63" si="18">F58+C59</f>
        <v>56.1</v>
      </c>
      <c r="G59" s="246">
        <f t="shared" ref="G59:G63" si="19">G58+E59</f>
        <v>0.4</v>
      </c>
      <c r="H59" s="247">
        <f t="shared" si="15"/>
        <v>55.7</v>
      </c>
      <c r="I59" s="1"/>
      <c r="J59" s="1"/>
      <c r="K59" s="1"/>
      <c r="L59" s="1"/>
      <c r="M59" s="1"/>
      <c r="N59" s="1"/>
      <c r="O59" s="1"/>
    </row>
    <row r="60" spans="1:15" ht="15.75" thickBot="1">
      <c r="A60" s="237">
        <v>60</v>
      </c>
      <c r="B60" s="332">
        <v>2.59</v>
      </c>
      <c r="C60" s="332">
        <f t="shared" si="16"/>
        <v>44</v>
      </c>
      <c r="D60" s="333">
        <v>0.02</v>
      </c>
      <c r="E60" s="333">
        <f t="shared" si="17"/>
        <v>0.2</v>
      </c>
      <c r="F60" s="240">
        <f t="shared" si="18"/>
        <v>100.1</v>
      </c>
      <c r="G60" s="246">
        <f t="shared" si="19"/>
        <v>0.60000000000000009</v>
      </c>
      <c r="H60" s="247">
        <f t="shared" si="15"/>
        <v>99.5</v>
      </c>
      <c r="I60" s="1"/>
      <c r="J60" s="1"/>
      <c r="K60" s="1"/>
      <c r="L60" s="1"/>
      <c r="M60" s="1"/>
      <c r="N60" s="1"/>
      <c r="O60" s="1"/>
    </row>
    <row r="61" spans="1:15" ht="15.75" thickBot="1">
      <c r="A61" s="237">
        <v>80</v>
      </c>
      <c r="B61" s="332">
        <v>2.44</v>
      </c>
      <c r="C61" s="332">
        <f t="shared" si="16"/>
        <v>50.3</v>
      </c>
      <c r="D61" s="333">
        <v>2.2400000000000002</v>
      </c>
      <c r="E61" s="333">
        <f t="shared" si="17"/>
        <v>22.6</v>
      </c>
      <c r="F61" s="240">
        <f t="shared" si="18"/>
        <v>150.39999999999998</v>
      </c>
      <c r="G61" s="246">
        <f t="shared" si="19"/>
        <v>23.200000000000003</v>
      </c>
      <c r="H61" s="247">
        <f t="shared" si="15"/>
        <v>127.19999999999997</v>
      </c>
      <c r="I61" s="1"/>
      <c r="J61" s="1"/>
      <c r="K61" s="1"/>
      <c r="L61" s="1"/>
      <c r="M61" s="1"/>
      <c r="N61" s="1"/>
      <c r="O61" s="1"/>
    </row>
    <row r="62" spans="1:15" ht="15.75" thickBot="1">
      <c r="A62" s="237">
        <v>100</v>
      </c>
      <c r="B62" s="332">
        <v>1.33</v>
      </c>
      <c r="C62" s="332">
        <f t="shared" si="16"/>
        <v>37.700000000000003</v>
      </c>
      <c r="D62" s="333">
        <v>1.33</v>
      </c>
      <c r="E62" s="333">
        <f t="shared" si="17"/>
        <v>35.700000000000003</v>
      </c>
      <c r="F62" s="259">
        <f t="shared" si="18"/>
        <v>188.09999999999997</v>
      </c>
      <c r="G62" s="257">
        <f t="shared" si="19"/>
        <v>58.900000000000006</v>
      </c>
      <c r="H62" s="247">
        <f t="shared" si="15"/>
        <v>129.19999999999996</v>
      </c>
      <c r="I62" s="1"/>
      <c r="J62" s="1"/>
      <c r="K62" s="1"/>
      <c r="L62" s="1"/>
      <c r="M62" s="1"/>
      <c r="N62" s="1"/>
      <c r="O62" s="1"/>
    </row>
    <row r="63" spans="1:15" ht="15.75" thickBot="1">
      <c r="A63" s="238">
        <v>116.18</v>
      </c>
      <c r="B63" s="235">
        <v>0.86</v>
      </c>
      <c r="C63" s="235">
        <f t="shared" si="16"/>
        <v>17.72</v>
      </c>
      <c r="D63" s="245">
        <v>0.14000000000000001</v>
      </c>
      <c r="E63" s="255">
        <f t="shared" si="17"/>
        <v>11.89</v>
      </c>
      <c r="F63" s="256">
        <f t="shared" si="18"/>
        <v>205.81999999999996</v>
      </c>
      <c r="G63" s="258">
        <f t="shared" si="19"/>
        <v>70.790000000000006</v>
      </c>
      <c r="H63" s="95">
        <f t="shared" si="15"/>
        <v>135.02999999999997</v>
      </c>
      <c r="I63" s="1"/>
      <c r="J63" s="1"/>
      <c r="K63" s="1"/>
      <c r="L63" s="1"/>
      <c r="M63" s="1"/>
      <c r="N63" s="1"/>
      <c r="O63" s="1"/>
    </row>
    <row r="64" spans="1:15" ht="19.5" thickBot="1">
      <c r="A64" s="439" t="s">
        <v>394</v>
      </c>
      <c r="B64" s="439"/>
      <c r="C64" s="439"/>
      <c r="D64" s="439"/>
      <c r="E64" s="439"/>
      <c r="F64" s="439"/>
      <c r="G64" s="439"/>
      <c r="H64" s="439"/>
      <c r="I64" s="1"/>
      <c r="J64" s="1"/>
      <c r="K64" s="1"/>
      <c r="L64" s="1"/>
      <c r="M64" s="1"/>
      <c r="N64" s="1"/>
      <c r="O64" s="1"/>
    </row>
    <row r="65" spans="1:15" ht="15.75" thickBot="1">
      <c r="A65" s="249">
        <v>0</v>
      </c>
      <c r="B65" s="332">
        <v>0</v>
      </c>
      <c r="C65" s="334">
        <v>0</v>
      </c>
      <c r="D65" s="333">
        <v>0</v>
      </c>
      <c r="E65" s="333">
        <v>0</v>
      </c>
      <c r="F65" s="334">
        <v>0</v>
      </c>
      <c r="G65" s="336">
        <v>0</v>
      </c>
      <c r="H65" s="247">
        <f>F65-G65</f>
        <v>0</v>
      </c>
      <c r="I65" s="1"/>
      <c r="J65" s="1"/>
      <c r="K65" s="1"/>
      <c r="L65" s="1"/>
      <c r="M65" s="1"/>
      <c r="N65" s="1"/>
      <c r="O65" s="1"/>
    </row>
    <row r="66" spans="1:15" ht="15.75" thickBot="1">
      <c r="A66" s="237">
        <v>20</v>
      </c>
      <c r="B66" s="332">
        <v>0</v>
      </c>
      <c r="C66" s="332">
        <f>ROUND((A66-A65)*((B66+B65)/2),2)</f>
        <v>0</v>
      </c>
      <c r="D66" s="333">
        <v>7.2</v>
      </c>
      <c r="E66" s="333">
        <f>ROUND((A66-A65)*((D66+D65)/2),2)</f>
        <v>72</v>
      </c>
      <c r="F66" s="240">
        <f>F65+C66</f>
        <v>0</v>
      </c>
      <c r="G66" s="246">
        <f>G65+E66</f>
        <v>72</v>
      </c>
      <c r="H66" s="247">
        <f t="shared" ref="H66:H71" si="20">F66-G66</f>
        <v>-72</v>
      </c>
      <c r="I66" s="1"/>
      <c r="J66" s="1"/>
      <c r="K66" s="1"/>
      <c r="L66" s="1"/>
      <c r="M66" s="1"/>
      <c r="N66" s="1"/>
      <c r="O66" s="1"/>
    </row>
    <row r="67" spans="1:15" ht="15.75" thickBot="1">
      <c r="A67" s="237">
        <v>40</v>
      </c>
      <c r="B67" s="332">
        <v>2.72</v>
      </c>
      <c r="C67" s="332">
        <f t="shared" ref="C67:C71" si="21">ROUND((A67-A66)*((B67+B66)/2),2)</f>
        <v>27.2</v>
      </c>
      <c r="D67" s="333">
        <v>0.02</v>
      </c>
      <c r="E67" s="333">
        <f t="shared" ref="E67:E71" si="22">ROUND((A67-A66)*((D67+D66)/2),2)</f>
        <v>72.2</v>
      </c>
      <c r="F67" s="240">
        <f t="shared" ref="F67:F71" si="23">F66+C67</f>
        <v>27.2</v>
      </c>
      <c r="G67" s="246">
        <f t="shared" ref="G67:G71" si="24">G66+E67</f>
        <v>144.19999999999999</v>
      </c>
      <c r="H67" s="247">
        <f t="shared" si="20"/>
        <v>-116.99999999999999</v>
      </c>
      <c r="I67" s="1"/>
      <c r="J67" s="1"/>
      <c r="K67" s="1"/>
      <c r="L67" s="1"/>
      <c r="M67" s="1"/>
      <c r="N67" s="1"/>
      <c r="O67" s="1"/>
    </row>
    <row r="68" spans="1:15" ht="15.75" thickBot="1">
      <c r="A68" s="237">
        <v>60</v>
      </c>
      <c r="B68" s="332">
        <v>0.01</v>
      </c>
      <c r="C68" s="332">
        <f t="shared" si="21"/>
        <v>27.3</v>
      </c>
      <c r="D68" s="333">
        <v>0.26</v>
      </c>
      <c r="E68" s="333">
        <f t="shared" si="22"/>
        <v>2.8</v>
      </c>
      <c r="F68" s="240">
        <f t="shared" si="23"/>
        <v>54.5</v>
      </c>
      <c r="G68" s="246">
        <f t="shared" si="24"/>
        <v>147</v>
      </c>
      <c r="H68" s="247">
        <f t="shared" si="20"/>
        <v>-92.5</v>
      </c>
      <c r="I68" s="1"/>
      <c r="J68" s="1"/>
      <c r="K68" s="1"/>
      <c r="L68" s="1"/>
      <c r="M68" s="1"/>
      <c r="N68" s="1"/>
      <c r="O68" s="1"/>
    </row>
    <row r="69" spans="1:15" ht="15.75" thickBot="1">
      <c r="A69" s="237">
        <v>80</v>
      </c>
      <c r="B69" s="332">
        <v>0.96</v>
      </c>
      <c r="C69" s="332">
        <f t="shared" si="21"/>
        <v>9.6999999999999993</v>
      </c>
      <c r="D69" s="333">
        <v>0.02</v>
      </c>
      <c r="E69" s="333">
        <f t="shared" si="22"/>
        <v>2.8</v>
      </c>
      <c r="F69" s="240">
        <f t="shared" si="23"/>
        <v>64.2</v>
      </c>
      <c r="G69" s="246">
        <f t="shared" si="24"/>
        <v>149.80000000000001</v>
      </c>
      <c r="H69" s="247">
        <f t="shared" si="20"/>
        <v>-85.600000000000009</v>
      </c>
      <c r="I69" s="1"/>
      <c r="J69" s="1"/>
      <c r="K69" s="1"/>
      <c r="L69" s="1"/>
      <c r="M69" s="1"/>
      <c r="N69" s="1"/>
      <c r="O69" s="1"/>
    </row>
    <row r="70" spans="1:15" ht="15.75" thickBot="1">
      <c r="A70" s="237">
        <v>100</v>
      </c>
      <c r="B70" s="332">
        <v>1.53</v>
      </c>
      <c r="C70" s="332">
        <f t="shared" si="21"/>
        <v>24.9</v>
      </c>
      <c r="D70" s="333">
        <v>7.0000000000000007E-2</v>
      </c>
      <c r="E70" s="333">
        <f t="shared" si="22"/>
        <v>0.9</v>
      </c>
      <c r="F70" s="259">
        <f t="shared" si="23"/>
        <v>89.1</v>
      </c>
      <c r="G70" s="257">
        <f t="shared" si="24"/>
        <v>150.70000000000002</v>
      </c>
      <c r="H70" s="247">
        <f t="shared" si="20"/>
        <v>-61.600000000000023</v>
      </c>
      <c r="I70" s="1"/>
      <c r="J70" s="1"/>
      <c r="K70" s="1"/>
      <c r="L70" s="1"/>
      <c r="M70" s="1"/>
      <c r="N70" s="1"/>
      <c r="O70" s="1"/>
    </row>
    <row r="71" spans="1:15" ht="15.75" thickBot="1">
      <c r="A71" s="238">
        <v>113.05</v>
      </c>
      <c r="B71" s="332">
        <v>0.21</v>
      </c>
      <c r="C71" s="332">
        <f t="shared" si="21"/>
        <v>11.35</v>
      </c>
      <c r="D71" s="333">
        <v>1.1200000000000001</v>
      </c>
      <c r="E71" s="336">
        <f t="shared" si="22"/>
        <v>7.76</v>
      </c>
      <c r="F71" s="256">
        <f t="shared" si="23"/>
        <v>100.44999999999999</v>
      </c>
      <c r="G71" s="258">
        <f t="shared" si="24"/>
        <v>158.46</v>
      </c>
      <c r="H71" s="247">
        <f t="shared" si="20"/>
        <v>-58.010000000000019</v>
      </c>
      <c r="I71" s="1"/>
      <c r="J71" s="1"/>
      <c r="K71" s="1"/>
      <c r="L71" s="1"/>
      <c r="M71" s="1"/>
      <c r="N71" s="1"/>
      <c r="O71" s="1"/>
    </row>
    <row r="72" spans="1:15" ht="19.5" thickBot="1">
      <c r="A72" s="439" t="s">
        <v>393</v>
      </c>
      <c r="B72" s="439"/>
      <c r="C72" s="439"/>
      <c r="D72" s="439"/>
      <c r="E72" s="439"/>
      <c r="F72" s="439"/>
      <c r="G72" s="439"/>
      <c r="H72" s="439"/>
    </row>
    <row r="73" spans="1:15" ht="39" customHeight="1" thickBot="1">
      <c r="A73" s="440" t="s">
        <v>432</v>
      </c>
      <c r="B73" s="440"/>
      <c r="C73" s="439"/>
      <c r="D73" s="439"/>
      <c r="E73" s="439"/>
      <c r="F73" s="337">
        <f>'3. Odwodnienie korpusu'!D36+'3. Odwodnienie korpusu'!D27+'3. Odwodnienie korpusu'!D18</f>
        <v>3083.39</v>
      </c>
      <c r="G73" s="338">
        <f>'3. Odwodnienie korpusu'!D28</f>
        <v>79.36</v>
      </c>
      <c r="H73" s="90">
        <f>F73-G73</f>
        <v>3004.0299999999997</v>
      </c>
    </row>
    <row r="74" spans="1:15" ht="19.5" thickBot="1">
      <c r="A74" s="439" t="s">
        <v>312</v>
      </c>
      <c r="B74" s="439"/>
      <c r="C74" s="439"/>
      <c r="D74" s="439"/>
      <c r="E74" s="439"/>
      <c r="F74" s="439"/>
      <c r="G74" s="439"/>
      <c r="H74" s="439"/>
    </row>
    <row r="75" spans="1:15" ht="35.25" customHeight="1" thickBot="1">
      <c r="A75" s="440" t="s">
        <v>314</v>
      </c>
      <c r="B75" s="440"/>
      <c r="C75" s="439"/>
      <c r="D75" s="439"/>
      <c r="E75" s="439"/>
      <c r="F75" s="339">
        <f>68*12</f>
        <v>816</v>
      </c>
      <c r="G75" s="340">
        <f>12.5*12</f>
        <v>150</v>
      </c>
      <c r="H75" s="90">
        <f>F75-G75</f>
        <v>666</v>
      </c>
    </row>
    <row r="76" spans="1:15" ht="19.5" thickBot="1">
      <c r="A76" s="1"/>
      <c r="B76" s="1"/>
      <c r="C76" s="1"/>
      <c r="D76" s="1"/>
      <c r="E76" s="96" t="s">
        <v>313</v>
      </c>
      <c r="F76" s="262">
        <f>F75+F73+F71+F63+F55+F48+F29</f>
        <v>6321.01</v>
      </c>
      <c r="G76" s="263">
        <f>G75+G73+G71+G63+G55+G48+G29</f>
        <v>1359.2200000000003</v>
      </c>
      <c r="H76" s="233"/>
    </row>
    <row r="77" spans="1:15">
      <c r="F77" s="1" t="s">
        <v>27</v>
      </c>
      <c r="G77" s="1" t="s">
        <v>27</v>
      </c>
    </row>
  </sheetData>
  <mergeCells count="9">
    <mergeCell ref="A2:H2"/>
    <mergeCell ref="A72:H72"/>
    <mergeCell ref="A73:E73"/>
    <mergeCell ref="A74:H74"/>
    <mergeCell ref="A75:E75"/>
    <mergeCell ref="A30:H30"/>
    <mergeCell ref="A49:H49"/>
    <mergeCell ref="A56:H56"/>
    <mergeCell ref="A64:H64"/>
  </mergeCells>
  <phoneticPr fontId="52" type="noConversion"/>
  <pageMargins left="0.7" right="0.7" top="0.75" bottom="0.75" header="0.511811023622047" footer="0.511811023622047"/>
  <pageSetup paperSize="9" scale="79" orientation="portrait" horizontalDpi="300" verticalDpi="300" r:id="rId1"/>
  <rowBreaks count="1" manualBreakCount="1">
    <brk id="55" max="7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Zakresy nazwane</vt:lpstr>
      </vt:variant>
      <vt:variant>
        <vt:i4>10</vt:i4>
      </vt:variant>
    </vt:vector>
  </HeadingPairs>
  <TitlesOfParts>
    <vt:vector size="20" baseType="lpstr">
      <vt:lpstr>Przedmiar robót</vt:lpstr>
      <vt:lpstr>ZZK</vt:lpstr>
      <vt:lpstr>KO</vt:lpstr>
      <vt:lpstr>ZAŁ_1</vt:lpstr>
      <vt:lpstr>1. Zjazdy</vt:lpstr>
      <vt:lpstr>2. Roboty rozbiórkowe </vt:lpstr>
      <vt:lpstr>3. Odwodnienie korpusu</vt:lpstr>
      <vt:lpstr>4. El. pref. 5.konstr.</vt:lpstr>
      <vt:lpstr>6. TRZ</vt:lpstr>
      <vt:lpstr>7. gaz WC</vt:lpstr>
      <vt:lpstr>'1. Zjazdy'!Obszar_wydruku</vt:lpstr>
      <vt:lpstr>'2. Roboty rozbiórkowe '!Obszar_wydruku</vt:lpstr>
      <vt:lpstr>'3. Odwodnienie korpusu'!Obszar_wydruku</vt:lpstr>
      <vt:lpstr>'4. El. pref. 5.konstr.'!Obszar_wydruku</vt:lpstr>
      <vt:lpstr>'6. TRZ'!Obszar_wydruku</vt:lpstr>
      <vt:lpstr>'7. gaz WC'!Obszar_wydruku</vt:lpstr>
      <vt:lpstr>KO!Obszar_wydruku</vt:lpstr>
      <vt:lpstr>'Przedmiar robót'!Obszar_wydruku</vt:lpstr>
      <vt:lpstr>ZAŁ_1!Obszar_wydruku</vt:lpstr>
      <vt:lpstr>ZZK!Obszar_wydruku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dc:description/>
  <cp:lastModifiedBy>Andrzej Kaszuba</cp:lastModifiedBy>
  <cp:revision>5</cp:revision>
  <cp:lastPrinted>2024-09-26T06:47:50Z</cp:lastPrinted>
  <dcterms:created xsi:type="dcterms:W3CDTF">2017-08-27T20:28:48Z</dcterms:created>
  <dcterms:modified xsi:type="dcterms:W3CDTF">2024-09-26T06:53:57Z</dcterms:modified>
  <dc:language>pl-PL</dc:language>
</cp:coreProperties>
</file>