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240" windowHeight="9360" tabRatio="291" activeTab="1"/>
  </bookViews>
  <sheets>
    <sheet name="Przedmiar" sheetId="1" r:id="rId1"/>
    <sheet name="Kosztorys Ofertowy" sheetId="2" r:id="rId2"/>
  </sheets>
  <externalReferences>
    <externalReference r:id="rId5"/>
  </externalReferences>
  <definedNames>
    <definedName name="_xlnm.Print_Area" localSheetId="1">'Kosztorys Ofertowy'!$A$1:$G$137</definedName>
    <definedName name="_xlnm.Print_Area" localSheetId="0">'Przedmiar'!$A$1:$F$134</definedName>
    <definedName name="_xlnm.Print_Titles" localSheetId="1">'Kosztorys Ofertowy'!$5:$6</definedName>
  </definedNames>
  <calcPr fullCalcOnLoad="1"/>
</workbook>
</file>

<file path=xl/sharedStrings.xml><?xml version="1.0" encoding="utf-8"?>
<sst xmlns="http://schemas.openxmlformats.org/spreadsheetml/2006/main" count="727" uniqueCount="243">
  <si>
    <t xml:space="preserve">PRZEDMIAR ROBÓT </t>
  </si>
  <si>
    <t>Lp</t>
  </si>
  <si>
    <t>Wyszczególnienie elementów rozliczeniowych</t>
  </si>
  <si>
    <t>Jedn. miary</t>
  </si>
  <si>
    <t>OBMIAR</t>
  </si>
  <si>
    <t>Uwagi</t>
  </si>
  <si>
    <t>D.01.00.00 ROBOTY PRZYGOTOWAWCZE I ROZBIÓRKOWE - CPV 45111000-8</t>
  </si>
  <si>
    <t>D.01.01.01</t>
  </si>
  <si>
    <t>WYZNACZENIE TRASY I PUNKTÓW WYSOKOŚCIOWYCH WRAZ Z INWENTARYZACJĄ POWYKONAWCZĄ</t>
  </si>
  <si>
    <t>km</t>
  </si>
  <si>
    <t>D.01.02.01</t>
  </si>
  <si>
    <t xml:space="preserve"> -</t>
  </si>
  <si>
    <t>szt</t>
  </si>
  <si>
    <t>m3</t>
  </si>
  <si>
    <t>m2</t>
  </si>
  <si>
    <t>D.02.00.00  ROBOTY ZIEMNE - CPV 45112000-5</t>
  </si>
  <si>
    <t>D.02.01.01</t>
  </si>
  <si>
    <t>WYKONANIE WYKOPÓW W GRUNTACH I-V KAT.</t>
  </si>
  <si>
    <t>D.02.03.01</t>
  </si>
  <si>
    <t xml:space="preserve"> </t>
  </si>
  <si>
    <t>D.04.00.00  PODBUDOWY CPV 45233000-9</t>
  </si>
  <si>
    <t>D.04.01.01</t>
  </si>
  <si>
    <t>PROFILOWANIE I ZAGĘSZCZENIE PODŁOŻA</t>
  </si>
  <si>
    <t>D.04.02.01</t>
  </si>
  <si>
    <t>WARSTWY ODCINAJĄCE</t>
  </si>
  <si>
    <t>-</t>
  </si>
  <si>
    <t>WYKONANIE WARSTWY ODCINAJĄCEJ Z PIASKU GR. 10 CM</t>
  </si>
  <si>
    <t>D.04.03.01</t>
  </si>
  <si>
    <t>OCZYSZCZENIE I SKROPIENIE WARSTW KONSTRUKCYJNYCH</t>
  </si>
  <si>
    <t>OCZYSZCZENIE WARSTW KONSTRUKCYJNYCH MECHANICZNIE</t>
  </si>
  <si>
    <t>SKROPIENIE PODBUDOWY Z KRUSZYWA ŁAMANEGO EMULSJĄ ASFALTOWĄ  W ILOŚCI  0.5-0.7 kg/m2</t>
  </si>
  <si>
    <t>D.04.04.02</t>
  </si>
  <si>
    <t>PODBUDOWA Z KRUSZYWA ŁAMANEGO STABILIZOWANEGO MECHANICZNIE</t>
  </si>
  <si>
    <t>D.05.03.05a</t>
  </si>
  <si>
    <t>WYRÓWNANIE NAWIERZCHNI  MIESZANKAMI MINERALNO- BITUMICZNYMI</t>
  </si>
  <si>
    <t>Mg</t>
  </si>
  <si>
    <t>D.05.00.00  NAWIERZCHNIE CPV 45233000-9</t>
  </si>
  <si>
    <t>NAWIERZCHNIA Z BETONU ASFALTOWEGO</t>
  </si>
  <si>
    <t>D.05.03.05b</t>
  </si>
  <si>
    <t>D.05.03.11</t>
  </si>
  <si>
    <t>FREZOWANIE ISTNIEJĄCEJ NAWIERZCHNI</t>
  </si>
  <si>
    <t>WYKONANIE FREZOWANIA ISTNIEJĄCEJ NAWIERZCHNI BITUMICZNEJ O ŚR. GRUBOŚCI 4 cm</t>
  </si>
  <si>
    <t>D.06.00.00 ROBOTY WYKOŃCZENIOWE</t>
  </si>
  <si>
    <t>D.06.03.01</t>
  </si>
  <si>
    <t>WYKONANIE POBOCZY</t>
  </si>
  <si>
    <t>Wartość (zł)</t>
  </si>
  <si>
    <t>Razem netto</t>
  </si>
  <si>
    <t>23 % VAT</t>
  </si>
  <si>
    <t>Razem brutto</t>
  </si>
  <si>
    <t>………………………………………….</t>
  </si>
  <si>
    <t>Specyfikacja techniczna/ podstawa</t>
  </si>
  <si>
    <t>WYKONYWANIE NASYPÓW MECHANICZNIE Z GRUNTÓW Z WYKOPU</t>
  </si>
  <si>
    <t>D.06.02.01</t>
  </si>
  <si>
    <t>PRZEPUSTY POD ZJAZDAMI</t>
  </si>
  <si>
    <t>mb</t>
  </si>
  <si>
    <t>WYKONANIE ŚCIANEK CZOŁOWYCH PRAFABRYKOWANYCH PRZEPUSTÓW POD ZJAZDAMI INDYWIDUALNYMI</t>
  </si>
  <si>
    <t>szt.</t>
  </si>
  <si>
    <t>1.</t>
  </si>
  <si>
    <t>D.07.02.01</t>
  </si>
  <si>
    <t>OZNAKOWANIE PIONOWE</t>
  </si>
  <si>
    <t>USTAWIENIE SŁUPKÓW Z RUR STALOWYCH DLA ZNAKÓW DROGOWYCH</t>
  </si>
  <si>
    <t>TARCZE ZNAKÓW DROGOWYCH ODBLASKOWYCH</t>
  </si>
  <si>
    <t>WYKONANIE PODBUDOWY Z MIESZANKI KRUSZYW NATURALNYCH ŁAMANYCH 0/31.5 STAB. MECH.  GR 15 CM PO ZAGĘSZCZENIU</t>
  </si>
  <si>
    <t>WYKONANIE PODBUDOWY Z MIESZANKI KRUSZYW NATURALNYCH ŁAMANYCH 0/31.5 STAB. MECH.  GR 20 CM PO ZAGĘSZCZENIU</t>
  </si>
  <si>
    <t>KOSZTORYS INWESTORSKI</t>
  </si>
  <si>
    <t xml:space="preserve">PROFILOWANIE I ZAGĘSZCZANIE PODŁOŻA POD WARSTWY KONSTRUKCYJNE NAWIERZCHNI </t>
  </si>
  <si>
    <t xml:space="preserve">WYRÓWNANIE ISTNIEJACEJ NAWIERZCHNI BITUMICZNEJ MIESZANKAMI MINERALNO- BITUMICZNYMI </t>
  </si>
  <si>
    <t>D.08.00.00 ELEMENTY ULIC CPV 45233000-9</t>
  </si>
  <si>
    <t>D.07.00.00 URZĄDZENIA BEZPIECZEŃSTWA RUCHU</t>
  </si>
  <si>
    <t>D.08.01.01</t>
  </si>
  <si>
    <t>KRAWĘŻNIKI BETONOWE</t>
  </si>
  <si>
    <t>USTAWIENIE KRAWĘŻNIKÓW BETONOWYCH 15x30 CM NA PODSYPCE CEM.PIASKOWEJ GR. 5CM I ŁAWIE BETONOWEJ Z OPOREM Z WYPEŁNIENIEM SPOIN ZAPRAWĄ CEMENTOWĄ</t>
  </si>
  <si>
    <t>USTAWIENIE OPORNIKÓW BETONOWYCH 12x25 CM NA PODSYPCE CEM.PIASKOWEJ GR. 5CM I ŁAWIE BETONOWEJ Z OPOREM Z WYPEŁNIENIEM SPOIN ZAPRAWĄ CEMENTOWĄ</t>
  </si>
  <si>
    <t>D.08.02.01</t>
  </si>
  <si>
    <t>CHODNIKI Z PŁYT BETONOWYCH</t>
  </si>
  <si>
    <t xml:space="preserve">WYKONANIE CHODNIKÓW Z PŁYT BETONOWYCH Z WYPUSTAMI 35x35 cm NA PODSYPCE CEMENTOWO-PIASKOWEJ </t>
  </si>
  <si>
    <t>D.08.03.01</t>
  </si>
  <si>
    <t>OBRZEŻA BETONOWE</t>
  </si>
  <si>
    <t xml:space="preserve">USTAWIENIE OBRZEŻY BETONOWYCH O WYMIARACH 8x30 CM </t>
  </si>
  <si>
    <t>UŁOŻENIE KANAŁÓW Z RUR PVC 200 SN8 ŁĄCZONYCH NA WCISK I USZCZELKĘ</t>
  </si>
  <si>
    <t>STUDZIENKI ŚCIEKOWE ULICZNE Z KREGÓW BETONOWYCH FI 500 Z OSADNIKIEM 0,5M I WPUSTEM ULICZNYM D400</t>
  </si>
  <si>
    <t>D.05.03.23</t>
  </si>
  <si>
    <t>NAWIERZCHNIA Z KOSTKI BRUKOWEJ BETONOWEJ</t>
  </si>
  <si>
    <t>wg SOR</t>
  </si>
  <si>
    <t>D.07.01.01</t>
  </si>
  <si>
    <t>OZNAKOWANIE POZIOME</t>
  </si>
  <si>
    <t>OZNAKOWANIE POZIOME JEZDNI (MATERIAŁAMI CIENKOWARSTWOWYMI)</t>
  </si>
  <si>
    <t>ROZEBRANIE ISTNIEJĄCEGO OZNAKOWANIA (SŁUPKI) WRAZ Z WYWOZEM ZŁOMU POZA PLAC BUDOWY</t>
  </si>
  <si>
    <t>ROZEBRANIE ISTNIEJĄCEGO OZNAKOWANIA (TARCZE) WRAZ Z WYWOZEM ZŁOMU POZA PLAC BUDOWY</t>
  </si>
  <si>
    <t>D.06.01.06</t>
  </si>
  <si>
    <t>Cena jedn. (zł)</t>
  </si>
  <si>
    <t>WYWÓZ GRUZU POZA PLAC BUDOWY NA ODL. DO 10 KM</t>
  </si>
  <si>
    <t xml:space="preserve">wg wykazu nr 1                                                                                                             </t>
  </si>
  <si>
    <t xml:space="preserve">WYWÓZ NADMIARU GRUNTU POZA PLAC BUDOWY NA ODL. DO 10 KM </t>
  </si>
  <si>
    <t xml:space="preserve">WYKONYWANIE WYKOPÓW MECHANICZNIE                           W GRUNTACH KAT&gt;I-V </t>
  </si>
  <si>
    <t>D.03.00.00 ODWODNIENIE DROGI</t>
  </si>
  <si>
    <t>D.03.01.01</t>
  </si>
  <si>
    <t>PRZEPUSTY POD KORONĄ DROGI</t>
  </si>
  <si>
    <t>UŁOŻENIE PRZEPUSTU Z RUR PEHD DN 600 POD KORONĄ DROGI</t>
  </si>
  <si>
    <t>WYKONANIE ŚCIAN CZOŁOWYCH PRZEPUSTÓW DN 600</t>
  </si>
  <si>
    <t>m</t>
  </si>
  <si>
    <t>UMOCNIENIE POWIERZCHNIOWE ELEMENTAMI PREFABRYKOWANYMI</t>
  </si>
  <si>
    <t>MONTAŻ WYGRODZEŃ OCHRONNYCH U-11a WYS. 1,1 m</t>
  </si>
  <si>
    <t>WYKONANIE ŚCIAN CZOŁOWYCH PRZEPUSTÓW DN 800</t>
  </si>
  <si>
    <t>D.04.07.01</t>
  </si>
  <si>
    <t>PODBUDOWA ZASADNICZA Z BETONU ASFALTOWEGO</t>
  </si>
  <si>
    <t xml:space="preserve">WYKONANIE PODBUDOWY Z BETONU ASFALTOWEGO Z AC 16P -  GRUBOŚĆ WARSTWY 7 CM   </t>
  </si>
  <si>
    <t>D.04.05.01</t>
  </si>
  <si>
    <t>ROZEBRANIE CZĘŚĆI PRZELOTOWEJ PRZEPUSTÓW BET. Z RUR DN400 POD ZJAZDAMI WRAZ Z WYWOZEM GRUZU POZA PLAC BUDOWY</t>
  </si>
  <si>
    <t>ROZEBRANIE ŚCIAN CZOŁOWYCH PRZEPUSTÓW POD ZJAZDAMI WRAZ Z WYWOZEM GRUZU POZA PLAC BUDOWY</t>
  </si>
  <si>
    <t>ROZEBRANIE CZĘŚĆI PRZELOTOWEJ PRZEPUSTÓW BET. Z RUR DN600 POD KORONĄ DROGI WRAZ Z WYWOZEM GRUZU POZA PLAC BUDOWY</t>
  </si>
  <si>
    <t>ROZEBRANIE ŚCIAN CZOŁOWYCH PRZEPUSTÓW POD KORONĄ DROGI WRAZ Z WYWOZEM GRUZU POZA PLAC BUDOWY</t>
  </si>
  <si>
    <t>ROZEBRANIE CZĘŚĆI PRZELOTOWEJ PRZEPUSTÓW BET. Z RUR DN800 POD KORONĄ DROGI WRAZ Z WYWOZEM GRUZU POZA PLAC BUDOWY</t>
  </si>
  <si>
    <t>ODWODNIENIE DROGI</t>
  </si>
  <si>
    <t>PODBUDOWA POMOCNICZA Z MIESZANKI ZWIĄZANEJ CEMENTEM</t>
  </si>
  <si>
    <t>SKROPIENIE WARSTW BITUMICZNYCH EMULSJĄ ASFALTOWĄ  W ILOŚCI  0.3-0.5 kg/m2</t>
  </si>
  <si>
    <t xml:space="preserve">INWESTOR: ZARZĄD POWIATU MŁAWSKIEGO, UL. REYMONTA 6, 06-500 MŁAWA
</t>
  </si>
  <si>
    <t>wg PZT</t>
  </si>
  <si>
    <t>WYKONANIE NAWIERZCHNI Z BETONU ASFALTOWEGO Z AC 16W - WARSTWA WIĄŻĄCA - GRUBOŚĆ WARSTWY 4 CM   - ZJAZDY PUBLICZNE I INDYWIDUALNE</t>
  </si>
  <si>
    <t xml:space="preserve">UMOCNIENIE DNA KORYTA ROWU MELIORACYJNEGO NARZUTEM KAMIENNYM </t>
  </si>
  <si>
    <t>ROBOTY ZIEMNE WYKONYWANIE MECHANICZNIE ZE ZŁOŻENIEM NA ODKŁAD</t>
  </si>
  <si>
    <t>UMOCNIENIE PIONOWYCH ŚCIAN WYKOPÓW LINIOWYCH ŁĄCZNIE Z ROZBIÓRKĄ</t>
  </si>
  <si>
    <t>PODŁOŻA POD KANAŁY I OBIEKTY Z PIASKU O GR. 15CM</t>
  </si>
  <si>
    <t>OSYPKA I ZASYPKA KANAŁÓW PIASKIEM 25CM PONAD RURĘ</t>
  </si>
  <si>
    <t>WYKONANIE NAWIERZCHNI Z KOSTKI BRUKOWEJ BETONOWEJ O GRUB. 6 CM NA PODSYPCE CEM.-PIASK. 1:4 GR 3 cm</t>
  </si>
  <si>
    <t>WYKONANIE NAWIERZCHNI  Z KOSTKI BRUKOWEJ BETONOWEJ KOLOR CZERWONY O GRUB. 8 CM NA PODSYPCE CEM.PIASKOWEJ 1:4 GR 3 cm</t>
  </si>
  <si>
    <t>UMOCNIENIE POWIERZCHNIOWE SKARP PŁYTAMI BET. AŻUROWYMI 40X60 CM NA PODSYPCE PIASKOWEJ GR. 10CM Z WYPEŁNIENIEM OTWORÓW DO POŁOWY HUMUSEM I OBSIANIEM MIESIANKĄ TRAW</t>
  </si>
  <si>
    <t>UMOCNIENIE POWIERZCHNIOWE SKARP PŁYTAMI BET. TYPU JOMB 75x100x12,5cm NA GEOWŁÓKNINIE SEPARACYJNEJ Z ZAKOŃCZENIEM PALISADĄ Z KOŁKÓW DREWNIANYCH FI7-9CM I GŁ. WBICIA 1,0 M</t>
  </si>
  <si>
    <t xml:space="preserve">WYKONANIE PRZEPUSTÓW Z RUR PP DN400 POD ZJAZDAMI  </t>
  </si>
  <si>
    <t xml:space="preserve">wg planu sytuacyjnego </t>
  </si>
  <si>
    <t>wg planu sytuacyjnego</t>
  </si>
  <si>
    <t>D.10.00.00 INNE ROBOTY</t>
  </si>
  <si>
    <t>D.10.11.01</t>
  </si>
  <si>
    <t>REGULACJA ZASUW WODOCIĄGOWYCH</t>
  </si>
  <si>
    <t>WYCINKA DRZEW O ŚREDNICY do 120 CM WRAZ Z KARCZOWANIEM PNIA ORAZ WYWIEZIENIEM DŁUŻYC, GAŁĘZI I KARPINY NA ODL. DO 10KM I UZUPEŁNIENIEM WYKOPU</t>
  </si>
  <si>
    <t xml:space="preserve">3622,00 m2 - Chodnik z kostki bet. (z wyłączeniem przejazdu kol.)       </t>
  </si>
  <si>
    <t>D.01.02.04</t>
  </si>
  <si>
    <t>ROZBIÓRKA ELEMENTÓW DRÓG I PRZEPUSTÓW</t>
  </si>
  <si>
    <t>D.03.02.01</t>
  </si>
  <si>
    <t>D.05.03.13</t>
  </si>
  <si>
    <t>WYKONANIE PODBUDOWY Z MIESZANKI KRUSZYW NATURALNYCH ŁAMANYCH 0/31.5 STAB. MECH.  GR 10 CM PO ZAGĘSZCZENIU</t>
  </si>
  <si>
    <t>Rozbudowa drogi powiatowej nr 2361W Szemplino - Brzozowo Maje - Dzierzgowo - Rzęgnowo - Grójec - Klewki</t>
  </si>
  <si>
    <t>17x2,0 =34,0</t>
  </si>
  <si>
    <t>ROZEBRANIE CZĘŚĆI PRZELOTOWEJ PRZEPUSTÓW BET. Z RUR DN500 POD KORONĄ DROGI WRAZ Z WYWOZEM GRUZU POZA PLAC BUDOWY</t>
  </si>
  <si>
    <t xml:space="preserve">przepust w km 8+812,35 - 10,0m </t>
  </si>
  <si>
    <t xml:space="preserve">przepust w km 5+580,80 - 11,00m                                                                                  przepust w km 6+365,14 - 9,50m                                                                          przepust w km 10+054,47- 11,00m                                                                      Razem  31,50 m                                                                                                                                              </t>
  </si>
  <si>
    <t>ROZEBRANIE CZĘŚĆI PRZELOTOWEJ PRZEPUSTÓW BET. Z RUR DN1000 POD KORONĄ DROGI WRAZ Z WYWOZEM GRUZU POZA PLAC BUDOWY</t>
  </si>
  <si>
    <t xml:space="preserve">przepust w km 8+135,20- 12,50m    </t>
  </si>
  <si>
    <t>ROZEBRANIE CZĘŚĆI PRZELOTOWEJ PRZEPUSTÓW BET. Z RUR DN1500 POD KORONĄ DROGI WRAZ Z WYWOZEM GRUZU POZA PLAC BUDOWY</t>
  </si>
  <si>
    <t xml:space="preserve">przepust w km 7+312,17- 11,00m      </t>
  </si>
  <si>
    <t>UŁOŻENIE PRZEPUSTU Z RUR PEHD DN 1500 POD KORONĄ DROGI</t>
  </si>
  <si>
    <t>przepust w km 7+312,17</t>
  </si>
  <si>
    <t>WYKONANIE ŚCIAN CZOŁOWYCH PRZEPUSTU DN 1500</t>
  </si>
  <si>
    <t>WYKONANIE ŚCIAN CZOŁOWYCH PRZEPUSTU 2XDN1200</t>
  </si>
  <si>
    <t>UŁOŻENIE PRZEPUSTU Z RUR PEHD DN 1000 POD KORONĄ DROGI</t>
  </si>
  <si>
    <t>przepust w km 8+135,20</t>
  </si>
  <si>
    <t>WYKONANIE ŚCIAN CZOŁOWYCH PRZEPUSTU DN 1000</t>
  </si>
  <si>
    <t>UŁOŻENIE PRZEPUSTÓW Z RUR PEHD DN 800 POD KORONĄ DROGI</t>
  </si>
  <si>
    <t>przepust w km 8+812,35</t>
  </si>
  <si>
    <t>UŁOŻENIE KANAŁÓW Z RUR PVC 315 SN8 ŁĄCZONYCH NA WCISK I USZCZELKĘ</t>
  </si>
  <si>
    <t>WYKONANIE PRÓBY WODNEJ SZCZELNOŚCI KANAŁÓW FI315</t>
  </si>
  <si>
    <t>STUDNIA REWIZYJNA Z KRĘGÓW BET. DN1500</t>
  </si>
  <si>
    <t>STUDNIE INSPEKCYJNE TWORZYWOWE DN600</t>
  </si>
  <si>
    <t>WYKONANIE PRÓBY WODNEJ SZCZELNOŚCI KANAŁÓW FI200</t>
  </si>
  <si>
    <t>wg przedmiaru KD</t>
  </si>
  <si>
    <t xml:space="preserve">odc. od km 5+310,00 do km 5+779,20 - 2787,10                                          </t>
  </si>
  <si>
    <t>PODBUDOWA POMOCNICZA Z MIESZANKI ZWIĄZANEJ  CEMENTEM GRUB. WARSTWY 15 CM PO ZAGĘSZCZENIU C3/4</t>
  </si>
  <si>
    <t xml:space="preserve">WYKONANIE NAWIERZCHNI Z BETONU ASFALTOWEGO Z AC 16W - WARSTWA WIĄŻĄCA - GRUBOŚĆ WARSTWY 7 CM </t>
  </si>
  <si>
    <t>WYKONANIE NAWIERZCHNI Z BETONU ASFALTOWEGO Z AC 16W - WARSTWA ŚCIERALNA - GRUBOŚĆ WARSTWY 4 CM - ZJAZDY PUBLICZNE I INDYWIDUALNE</t>
  </si>
  <si>
    <t>WYKONANIE NAWIERZCHNI Z MIESZANKI MASTYKSOWO-GRYSOWEJ SMA11 - WARSTWA ŚCIERALNA - GRUBOŚĆ WARSTWY 4 CM - JEZDNIA DP NR 2361W</t>
  </si>
  <si>
    <t xml:space="preserve">REGULACJA PIONOWA ZASUW WODOCIĄGOWYCH </t>
  </si>
  <si>
    <t>17</t>
  </si>
  <si>
    <t>18</t>
  </si>
  <si>
    <t xml:space="preserve">OCZYSZCZENIE ROWÓW MELIORACYJNCYH </t>
  </si>
  <si>
    <t xml:space="preserve">OCZYSZCZENIE ROWÓW MELIORACYJNYCH Z NAMUŁU </t>
  </si>
  <si>
    <t xml:space="preserve">UMOCNIENIE POWIERZCHNIOWE DNA ROWU KORYTKAMI ŚCIEKOWYMI  WG KPED 01.04 </t>
  </si>
  <si>
    <t>kpl.</t>
  </si>
  <si>
    <t>OZNAKOWANIE PIONOWE AKTYWNE</t>
  </si>
  <si>
    <t xml:space="preserve">USTAWIENIE ZNAKU PIONOWEGO WRAZ Z KONSTRUKCJA WSPORCZĄ </t>
  </si>
  <si>
    <t>UŁOŻENIE SIATKI STALOWEJ PRZECIWSPĘKANIOWEJ O WYTRZYMAŁOŚCI NA ROZCIAGANIE WZDŁUŻ I W POPRZEK PASMA MIN. 40 kN/m</t>
  </si>
  <si>
    <t>D.05.03.26g</t>
  </si>
  <si>
    <t>oczyszczenie przepustu w km 10+670</t>
  </si>
  <si>
    <t xml:space="preserve">10x2=20,00                                                                                                             ściana czołowa przepustu w km 5+358,40 - 1 szt.                                             RAZEM: 23szt.        </t>
  </si>
  <si>
    <t xml:space="preserve">ROZEBRANIE NAWIERZCHNI Z MIESZANEK MIENERALNO-BITUMICZNYCH </t>
  </si>
  <si>
    <t>ROZEBRANIE PODBUDOWY Z BRUKU KAMIENNEGO</t>
  </si>
  <si>
    <t>przepust w km 5+705,50 - 2x11,40 = 22,80</t>
  </si>
  <si>
    <t>ZASYPANIE WYKOPU LINIOWEGO I OBIEKTOWEGO GRUNTEM Z DOKOPU WRAZ Z ZAGĘSZCZENIEM</t>
  </si>
  <si>
    <t>WARSTWA MROZOCHRONNA Z MIESZANKI ZWIĄZANEJ  CEMENTEM C1,5/2 ≤ 4,0 MPa GRUB. WARSTWY 30 CM PO ZAGĘSZCZENIU</t>
  </si>
  <si>
    <t xml:space="preserve">WARSTWA MROZOCHRONNA Z MIESZANKI ZWIĄZANEJ  CEMENTEM C1,5/2 ≤ 4,0 MPa GRUB. WARSTWY 22 CM PO ZAGĘSZCZENIU </t>
  </si>
  <si>
    <t xml:space="preserve">WARSTWA ULEPSZONEGO PODŁOŻAZ GRUNTU STABILIZOWANEGO CEMENTEM C0,4/0,5 ≤ 2,0 MPa  GR. WARSTWY 25 CM PO ZAGĘSZCZENIU </t>
  </si>
  <si>
    <t>od km 6+300 do km 6+500 - 200,00x6,22 = 1244,00</t>
  </si>
  <si>
    <t>WYKONANIE POBOCZA Z MIESZANKI KRUSZYW  NATURALNYCH ŁAMANYCH 0/31,5 GR. 10 cm</t>
  </si>
  <si>
    <t>D.03.01.03</t>
  </si>
  <si>
    <t>OCZYSZCZENIE PRZEPUSTÓW</t>
  </si>
  <si>
    <t>przepust w km 10+670 - 10,0</t>
  </si>
  <si>
    <t>ROZEBRANIE CZĘŚĆI PRZELOTOWEJ PRZEPUSTÓW BET. Z RUR DN1200 POD KORONĄ DROGI WRAZ Z WYWOZEM GRUZU POZA PLAC BUDOWY</t>
  </si>
  <si>
    <t>UŁOŻENIE PRZEPUSTU Z RUR PEHD DN1200 POD KORONĄ DROGI</t>
  </si>
  <si>
    <r>
      <rPr>
        <sz val="8"/>
        <rFont val="Arial"/>
        <family val="2"/>
      </rPr>
      <t xml:space="preserve">wg SOR                                                                                                                        84 szt. - słupki proj.                                                                                                    46 szt. - słupki do wymiany                                                                                         RAZEM: 130 szt.   </t>
    </r>
    <r>
      <rPr>
        <b/>
        <sz val="8"/>
        <rFont val="Arial"/>
        <family val="2"/>
      </rPr>
      <t xml:space="preserve">                                                                 </t>
    </r>
  </si>
  <si>
    <r>
      <rPr>
        <sz val="8"/>
        <rFont val="Arial"/>
        <family val="2"/>
      </rPr>
      <t xml:space="preserve">wg SOR                                                                                                                        72 szt. - tarcze proj.                                                                                                    41szt. - tarcze do wymiany                                                                                         RAZEM: 113 szt.   </t>
    </r>
    <r>
      <rPr>
        <b/>
        <sz val="8"/>
        <rFont val="Arial"/>
        <family val="2"/>
      </rPr>
      <t xml:space="preserve">                                                                 </t>
    </r>
  </si>
  <si>
    <r>
      <rPr>
        <sz val="8"/>
        <rFont val="Arial"/>
        <family val="2"/>
      </rPr>
      <t xml:space="preserve">wg SOR                                                                                                                                                                                             </t>
    </r>
    <r>
      <rPr>
        <b/>
        <sz val="8"/>
        <rFont val="Arial"/>
        <family val="2"/>
      </rPr>
      <t xml:space="preserve">                                                            </t>
    </r>
  </si>
  <si>
    <t>D.07.05.01</t>
  </si>
  <si>
    <t>BARIERY OCHRONNE</t>
  </si>
  <si>
    <t>WYKONANIE BARIERY OCHRONNEJ STALOWEJ SP-05/2 (N2 W4)</t>
  </si>
  <si>
    <t xml:space="preserve">przepust w km 5+705,50 - 8,0                                                                                                                                    skarpa str.P od km 5+730,00 do km 5+801,00 - 71,0                                skarpa str. P od km 5+805,50 do km 5+855,00 - 48,0                            RAZEM 127,00                                                                                                                                            </t>
  </si>
  <si>
    <t>odc. 5+200,00 - 10+804,00</t>
  </si>
  <si>
    <t>od km 5+200 do km 10+804</t>
  </si>
  <si>
    <t xml:space="preserve"> przepust w km 5+580,80 - 13,10 m                                                                   przepust w km 5+580,80 - 13,10 m                                                                   przepust w km 6+365,14 - 9,40                                                                      przepust w km 10+054,47 - 11,90                                                               RAZEM 47,5</t>
  </si>
  <si>
    <t>2x4=8</t>
  </si>
  <si>
    <t xml:space="preserve">km 5+580,80 str. P - 15,0 m                                                                                                                      km 5+705,00 str. P+L - 18,0+15,0 = 23,0 m                                                     km 6+365,14 str.P+L -15,0+25,0 m = 40,0 m                                                                                               km 7+312,17 str. P+L - 15,0+15,0 m = 30,0 m                                                                                        km 8+135,20 str.P+L - 15,0+15,0 =  30,0 m                                                             km 8+812,35 str. L-30,0 m                                                                                           km 10+054,47 str. P+L -  15,0+15,0 =  30,00 m                                                              RAZEM 198,00 mb  </t>
  </si>
  <si>
    <t xml:space="preserve">przepust w km 5+705,50 - 2x10,50=21,00m    </t>
  </si>
  <si>
    <t xml:space="preserve">1817,2 m2 - Chodnik z kostki bet.     </t>
  </si>
  <si>
    <t xml:space="preserve">280,20 m2 - Zjazdy ind. z kostki bet.   </t>
  </si>
  <si>
    <t>1782,15 m2 - Zjazdy ind. z BA  
607,65 m2 - Zjazdy publ. i dr. gm  z BA (G1)                                      897,40 m2 - Zjazdy publ. i dr. gm  z BA (G4)                                                    RAZEM 3287,20</t>
  </si>
  <si>
    <t xml:space="preserve"> DP NR2361W - 34450,00 m2                                                                          droga powiatowa  nr 2310W - 81,50 m2                                                                           RAZEM 34531,50</t>
  </si>
  <si>
    <t xml:space="preserve"> istniejąca jezdnia z BA do wzmocnienia                                                                                                                        odc.1 - od km 2+930 do km 5+200 - 2270x 5,5 = 12485,00 m2                            odc.2 - od km 5+779,20 do km 10+804 - 5024,80x5,0 = 25 124,0 m2                                                                    RAZEM: 37609,00 m2                                                                                       </t>
  </si>
  <si>
    <t xml:space="preserve">                                                                                                     przepust km 8+135,20 str. L+P - 1,5+1,5+1,5+1,5 m  = 6,0 m                                                                                        km 10+054,47 str.L+P -1,5+1,5+1+1= 5,0 m                                                                          RAZEM 11,0 m</t>
  </si>
  <si>
    <t xml:space="preserve">wwg wykazu nr 4  - 1107,05 m2                                                                                             </t>
  </si>
  <si>
    <t xml:space="preserve">                                                                                                                     km 5+705,00 str. P+L - 14,30+29,0 = 42,30 m2                                                      km 6+365,14 str.P+L 3,0x5,0+4,3x2x0,9 = 22,74 m2                                         km 7+312,17 str. P+L - 1,1x2x3,20 + 3,25x2x1,05 =13,87                                          km 8+135,20 str.P+L - 1,50x2,0x3,70+3,70x2x1,41= 21,53 m2                                 km 10+054,47 str. P+L - 4,5x2,0x0,8+4x2x0,95 =14,80                                                                       RAZEM 115,24 m2      </t>
  </si>
  <si>
    <t xml:space="preserve">                                                                                                                      km 5+705,00 str. P+L - 13,0+18,10 = 21,10 m2                                                      km 6+365,14 str.P+L 2,0x5,0x0,85= 8,5 m2                                                       km 7+312,17 str. P+L 2,0x5,0x0,85 = 8,5m2                                                                                            km 8+135,20 str.P+L - 2,0x5,0x0,85 =  8,5 m2                                                      km 10+054,47 str. P+L -  2,0x5,0x0,85 =  8,5 m25                                                               RAZEM 55,10 m2      </t>
  </si>
  <si>
    <t xml:space="preserve">z wykazu nr 5 - 1068,50-309,0=759,5                                                                             </t>
  </si>
  <si>
    <t>"33 x 2 =66 szt."</t>
  </si>
  <si>
    <t>warstwa mrozoochronna stab. cem. wg wykazu nr 2.2                               od km 4+150 do km 8+150 i od km 10+600 do km10+804 - 8606,49m2  droga powiatowa nr 2310W  - 81,50 m2                                                                        RAZEM 8687,99</t>
  </si>
  <si>
    <t xml:space="preserve">897,40 m2 - Zjazdy publ. i dr. gm  z BA (G4)      </t>
  </si>
  <si>
    <t>warstwa ulepszonego podłoża stab. cem. wg wykazu nr 2.2                              od km 5+200 do km 8+150 i od km 10+600 do km10+804 - 8606,49 m2                                                                                                      droga powiatowa  nr 2310W  - 81,50 m2                                                                        RAZEM 8687,99</t>
  </si>
  <si>
    <t xml:space="preserve"> podbudowa pomocnicza stab. cem. wg wykazu nr 2.1                                        od km 8+150 do km 10+600 - 5313,94 m2                                                                                                                                                                                                        </t>
  </si>
  <si>
    <t xml:space="preserve"> podbudowa pom. stab. cem.  wg wykazu nr 2.1                                                  od km 8+150 do km 10+600 - 5313,94 m2                                         warstwa mrozoochronna stab. cem. wg wykazu nr 2.2                                                      od km 5+200 do km 8+150 i od km 10+600 do km10+804 - 8606,49 m2
1817,20 m2 - Chodnik z kostki bet.                                                                                                 280,20 m2 - Zjazdy ind. z kostki bet.                                                                        1782,15 m2 - Zjazdy ind. z BA  
134,00 m2 - Zjazdy publ. i dr. gm  z BA (G1)                                      454,00 m2 - Zjazdy publ. i dr. gm  z BA (G4)                                              81,50 m2 - dr. powiatowa  nr 2310W                                                                               29,00 m2 - Chodnik z płyt z wypustami                                                                                                                                                                                                                       RAZEM: 18498,48 m2</t>
  </si>
  <si>
    <t>1817,20 m2 - Chodnik z kostki bet.                                                                         1782,15 m2 - Zjazdy ind. z BA  
134,00 m2 - Zjazdy publ. i dr. gm  z BA (G1)                                                                                                                   29,00 m2 - Chodnik z płyt z wypustami                                                                                                                                                                                                                       RAZEM: 3762,35 m2</t>
  </si>
  <si>
    <t xml:space="preserve"> podbudowa zasadnicza z BA  wg wykazu nr 2.1 i 2.2                                                 od km 8+150 do km 10+600 - 3491,67 m2                                                    od km 5+200 do km 8+150 i od km 10+600 do km10+804 - 7167,12 m2  droga powiatowa  nr 2310W - 81,50 m2                                                                              RAZEM 10740,29</t>
  </si>
  <si>
    <t xml:space="preserve"> warstwa wiążaca z BA  wg wykazu nr 2.1 i 2.2                                                                   od km 8+150 do km 10+600 - 3164,36 m2                                                   od km 5+200 do km 8+150 i od km 10+600 do km10+804 - 6868,50 m2  droga powiatowa nr 2310W - 81,50 m2                                              istniejąca jezdnia do wzmocnienia                                                                  odc.1 - od km 5+200 do km 5+310 - 110x 5,5 = 550,00 m2                      odc.2 - od km 5+779,20 do km 10+804 - 5024,80x5,0 = 25124,00 m2                                                                             RAZEM 35788,36</t>
  </si>
  <si>
    <t>1817,20 m2 - Chodnik z kostki bet.                                                                       29,00 m2 - Chodnik z płyt z wypustami                                                                         RAZEM 1846,20 m2</t>
  </si>
  <si>
    <t>280,20 m2 - Zjazdy ind. z kostki bet.                                                                        1782,15 m2 - Zjazdy ind. z BA                                                                                                                                                                                                       RAZEM: 2062,35 m2</t>
  </si>
  <si>
    <t>podbudowa z kruszywa nat. łamanego  wg wykazu nr 2.1 i 2.2                                                 od km 8+150 do km 10+600 - 4834,39m2                                                   od km 5+200 do km 8+150 i od km 10+600 do km10+804- 8345,13 m2  
134,00 m2 - Zjazdy publ. i dr. gm  z BA (G1)                                      454,00 m2 - Zjazdy publ. i dr. gm  z BA (G4)                                         81,50 m2 - dr. powiatowa  nr 2310W                                                                                                                                                                                                                                                                                            RAZEM: 13849,02 m2</t>
  </si>
  <si>
    <t xml:space="preserve">                                                                                                                            przepust w km 5+705,50 - 60,0m -str. L                                                                przepust w km 6+365,14 - 2*60,0m=120,0m                                                        przepust w km 7+312,17 - 2*60,0m=120,0m                                                                  przepust w km 8+135,20 - 2*60,0m=120,0m                                                               przepust w km 10+054,47 - 2*60,0m=120,0m                                      RAZEM 480,00  </t>
  </si>
  <si>
    <t xml:space="preserve">Rozbudowa drogi powiatowej nr 2361W Szemplino - Brzozowo Maje - Dzierzgowo - Rzęgnowo - Grójec - odc. 5+200,00 - 10+804,00 </t>
  </si>
  <si>
    <t>Mława, dnia 17.01.2024 r.</t>
  </si>
  <si>
    <r>
      <rPr>
        <sz val="8"/>
        <rFont val="Arial"/>
        <family val="2"/>
      </rPr>
      <t xml:space="preserve">wg SOR                                                                                                                        20 szt. - słupki likwidacja                                                                                                    46 szt. - słupki do wymiany                                                                                         RAZEM: 66szt.   </t>
    </r>
    <r>
      <rPr>
        <b/>
        <sz val="8"/>
        <rFont val="Arial"/>
        <family val="2"/>
      </rPr>
      <t xml:space="preserve">                                                                 </t>
    </r>
  </si>
  <si>
    <r>
      <rPr>
        <sz val="8"/>
        <rFont val="Arial"/>
        <family val="2"/>
      </rPr>
      <t xml:space="preserve">wg SOR                                                                                                                        29szt. - tarcze likwidacja                                                                                                  41 szt. - tarcze do wymiany                                                                                         RAZEM: 70 szt.   </t>
    </r>
    <r>
      <rPr>
        <b/>
        <sz val="8"/>
        <rFont val="Arial"/>
        <family val="2"/>
      </rPr>
      <t xml:space="preserve">                                                                 </t>
    </r>
  </si>
  <si>
    <r>
      <rPr>
        <sz val="8"/>
        <rFont val="Arial"/>
        <family val="2"/>
      </rPr>
      <t xml:space="preserve">naw. z BA - 2787,10x0,15= 418,06                                                                            podbudowa z bruku - 2787,10x0,2=557,42                                                                                RAZEM: 975,48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rFont val="Arial"/>
        <family val="2"/>
      </rPr>
      <t xml:space="preserve">                                                                </t>
    </r>
  </si>
  <si>
    <r>
      <t xml:space="preserve"> podbudowa zasadnicza z BA  wg wykazu nr 2.1 i 2.2                                                 od km 8+150 do km 10+600 - 3491,67 m2                                                od km 5+200 do km 8+150 i od km 10+600 do km10+804 - 7167,12 m2                                                                                                                warstwa wiążąca z BA  wg wykazu nr 2        </t>
    </r>
    <r>
      <rPr>
        <b/>
        <sz val="8"/>
        <rFont val="Arial"/>
        <family val="2"/>
      </rPr>
      <t xml:space="preserve">                                                     </t>
    </r>
    <r>
      <rPr>
        <sz val="8"/>
        <rFont val="Arial"/>
        <family val="2"/>
      </rPr>
      <t xml:space="preserve">od km 8+150 do km 10+600 - 3164,36 m2                                                   od km 5+200 do km 8+150 i od km 10+600 do km10+804 - 6868,50 m2   </t>
    </r>
    <r>
      <rPr>
        <b/>
        <sz val="8"/>
        <rFont val="Arial"/>
        <family val="2"/>
      </rPr>
      <t xml:space="preserve">                       </t>
    </r>
    <r>
      <rPr>
        <sz val="8"/>
        <rFont val="Arial"/>
        <family val="2"/>
      </rPr>
      <t xml:space="preserve">
 istniejąca jezdnia z BA do wzmocnienia                                                                                                                        odc.1 - od km 5+200 do km 5+310 - 3x(110x 5,5) = 1650 m2                      odc.2 - od km 5+779,20 do km 10+804 - 3x(5024,80x5,0) = 75372 m2                                                                                                                                                                           1782,15 m2 - Zjazdy ind. z BA  
134,00 m2 - Zjazdy publ. i dr. gm  z BA (G1)                                      454,00 m2 - Zjazdy publ. i dr. gm  z BA (G4)                                               2x81,50 m2=163,0  m2- dr. powiatowa  nr 2310W                                                                                                                                                                                                                                                                                                          RAZEM: 100246,80 m2</t>
    </r>
  </si>
  <si>
    <r>
      <t xml:space="preserve"> podbudowa z kruszywa nat. łamanego  wg wykazu nr 2.1 i 2.2                                                 od km 8+150 do km 10+600 - 4834,39m2                                                   od km 5+200 do km 8+150 i od km 10+600 do km10+804- 8345,13 m2     </t>
    </r>
    <r>
      <rPr>
        <b/>
        <sz val="8"/>
        <rFont val="Arial"/>
        <family val="2"/>
      </rPr>
      <t xml:space="preserve">                       </t>
    </r>
    <r>
      <rPr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1782,15 m2 - Zjazdy ind. z BA  
134,00 m2 - Zjazdy publ. i dr. gm  z BA (G1)                                      454,00 m2 - Zjazdy publ. i dr. gm  z BA (G4)                                        81,50 m2 - dr. powiatowa   nr 2310W                                                                                                                                                                                                                                                                                                          RAZEM: 15631,17 m2</t>
    </r>
  </si>
  <si>
    <r>
      <t xml:space="preserve"> podbudowa zasadnicza z BA  wg wykazu nr 2.1 i 2.2                                                 od km 8+150 do km 10+600 - 3491,67 m2                                                od km 5+200 do km 8+150 i od km 10+600 do km10+804 - 7167,12 m2                                                                                                                     warstwa wiążąca z BA  wg wykazu nr 2        </t>
    </r>
    <r>
      <rPr>
        <b/>
        <sz val="8"/>
        <rFont val="Arial"/>
        <family val="2"/>
      </rPr>
      <t xml:space="preserve">                                                     </t>
    </r>
    <r>
      <rPr>
        <sz val="8"/>
        <rFont val="Arial"/>
        <family val="2"/>
      </rPr>
      <t xml:space="preserve">od km 8+150 do km 10+600 - 3164,36 m2                                                   od km 5+200 do km 8+150 i od km 10+600 do km10+804 - 6868,50 m2       </t>
    </r>
    <r>
      <rPr>
        <b/>
        <sz val="8"/>
        <rFont val="Arial"/>
        <family val="2"/>
      </rPr>
      <t xml:space="preserve">                       </t>
    </r>
    <r>
      <rPr>
        <sz val="8"/>
        <rFont val="Arial"/>
        <family val="2"/>
      </rPr>
      <t xml:space="preserve">
 istniejąca jezdnia z BA do wzmocnienia                                                                                                                        odc.1 - od km 5+200 do km 5+310 - 3x(110x 5,5) = 1650 m2                      odc.2 - od km 5+779,20 do km 10+804 - 3x(5024,80x5,0) = 75372 m2                                                                                                                                                                       1782,15 m2 - Zjazdy ind. z BA  
134,00 m2 - Zjazdy publ. i dr. gm  z BA (G1)                                      454,00 m2 - Zjazdy publ. i dr. gm  z BA (G4)                                               2x81,50 m2=163,0  m2- dr. powiatowa  nr 2310W                                                                                                                                                                                                                                                                                                          RAZEM: 100246,80 m2</t>
    </r>
  </si>
  <si>
    <r>
      <rPr>
        <sz val="8"/>
        <rFont val="Arial"/>
        <family val="2"/>
      </rPr>
      <t xml:space="preserve">wg wykazu nr 3                                                                                             </t>
    </r>
    <r>
      <rPr>
        <b/>
        <sz val="8"/>
        <rFont val="Arial"/>
        <family val="2"/>
      </rPr>
      <t xml:space="preserve">                                                        </t>
    </r>
  </si>
  <si>
    <t>….............., dnia ….........................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</si>
</sst>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00"/>
    <numFmt numFmtId="167" formatCode="#,##0.00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50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30"/>
      <name val="Arial"/>
      <family val="2"/>
    </font>
    <font>
      <sz val="36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50"/>
      <name val="Arial"/>
      <family val="2"/>
    </font>
    <font>
      <sz val="9"/>
      <name val="Albertus"/>
      <family val="2"/>
    </font>
    <font>
      <b/>
      <sz val="18"/>
      <name val="Albertus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52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/>
      <top style="thin">
        <color indexed="8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4" fillId="27" borderId="1" applyNumberFormat="0" applyAlignment="0" applyProtection="0"/>
    <xf numFmtId="9" fontId="0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16" fontId="2" fillId="0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4" fontId="2" fillId="34" borderId="12" xfId="0" applyNumberFormat="1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/>
    </xf>
    <xf numFmtId="4" fontId="2" fillId="34" borderId="11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" fontId="2" fillId="0" borderId="17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0" fontId="2" fillId="0" borderId="11" xfId="53" applyFont="1" applyBorder="1" applyAlignment="1">
      <alignment horizontal="center" vertical="center" wrapText="1"/>
      <protection/>
    </xf>
    <xf numFmtId="4" fontId="2" fillId="0" borderId="11" xfId="53" applyNumberFormat="1" applyFont="1" applyBorder="1" applyAlignment="1">
      <alignment horizontal="center" vertical="center"/>
      <protection/>
    </xf>
    <xf numFmtId="0" fontId="2" fillId="0" borderId="11" xfId="53" applyFont="1" applyFill="1" applyBorder="1" applyAlignment="1">
      <alignment horizontal="center" vertical="center" wrapText="1"/>
      <protection/>
    </xf>
    <xf numFmtId="4" fontId="2" fillId="0" borderId="11" xfId="53" applyNumberFormat="1" applyFont="1" applyFill="1" applyBorder="1" applyAlignment="1">
      <alignment horizontal="center" vertical="center"/>
      <protection/>
    </xf>
    <xf numFmtId="0" fontId="2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2" borderId="10" xfId="53" applyFont="1" applyFill="1" applyBorder="1" applyAlignment="1">
      <alignment horizontal="center" vertical="center"/>
      <protection/>
    </xf>
    <xf numFmtId="0" fontId="2" fillId="2" borderId="11" xfId="53" applyFont="1" applyFill="1" applyBorder="1" applyAlignment="1">
      <alignment horizontal="center" vertical="center"/>
      <protection/>
    </xf>
    <xf numFmtId="0" fontId="2" fillId="2" borderId="11" xfId="53" applyFont="1" applyFill="1" applyBorder="1" applyAlignment="1">
      <alignment horizontal="center" vertical="center" wrapText="1"/>
      <protection/>
    </xf>
    <xf numFmtId="4" fontId="2" fillId="2" borderId="11" xfId="53" applyNumberFormat="1" applyFont="1" applyFill="1" applyBorder="1" applyAlignment="1">
      <alignment horizontal="center" vertical="center"/>
      <protection/>
    </xf>
    <xf numFmtId="0" fontId="1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2" fontId="2" fillId="2" borderId="24" xfId="53" applyNumberFormat="1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center" vertical="center"/>
      <protection/>
    </xf>
    <xf numFmtId="0" fontId="2" fillId="0" borderId="11" xfId="53" applyFont="1" applyFill="1" applyBorder="1" applyAlignment="1">
      <alignment horizontal="center" vertical="center"/>
      <protection/>
    </xf>
    <xf numFmtId="4" fontId="2" fillId="33" borderId="12" xfId="0" applyNumberFormat="1" applyFont="1" applyFill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center" vertical="center"/>
    </xf>
    <xf numFmtId="2" fontId="2" fillId="0" borderId="17" xfId="0" applyNumberFormat="1" applyFont="1" applyFill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4" fontId="2" fillId="0" borderId="26" xfId="0" applyNumberFormat="1" applyFont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wrapText="1"/>
    </xf>
    <xf numFmtId="4" fontId="2" fillId="0" borderId="28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4" fontId="2" fillId="0" borderId="29" xfId="0" applyNumberFormat="1" applyFont="1" applyBorder="1" applyAlignment="1">
      <alignment horizontal="center" vertical="center"/>
    </xf>
    <xf numFmtId="4" fontId="2" fillId="0" borderId="30" xfId="0" applyNumberFormat="1" applyFont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 wrapText="1"/>
    </xf>
    <xf numFmtId="2" fontId="2" fillId="0" borderId="32" xfId="0" applyNumberFormat="1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2" fontId="1" fillId="34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4" fontId="8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4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10" fillId="0" borderId="0" xfId="0" applyFont="1" applyAlignment="1">
      <alignment/>
    </xf>
    <xf numFmtId="0" fontId="1" fillId="0" borderId="0" xfId="0" applyFont="1" applyFill="1" applyBorder="1" applyAlignment="1">
      <alignment horizontal="left" vertical="center"/>
    </xf>
    <xf numFmtId="0" fontId="1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2" fontId="0" fillId="0" borderId="36" xfId="0" applyNumberFormat="1" applyFont="1" applyFill="1" applyBorder="1" applyAlignment="1">
      <alignment/>
    </xf>
    <xf numFmtId="4" fontId="1" fillId="0" borderId="12" xfId="0" applyNumberFormat="1" applyFont="1" applyFill="1" applyBorder="1" applyAlignment="1">
      <alignment horizontal="center" vertical="center"/>
    </xf>
    <xf numFmtId="2" fontId="2" fillId="33" borderId="11" xfId="0" applyNumberFormat="1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4" fontId="2" fillId="2" borderId="14" xfId="0" applyNumberFormat="1" applyFont="1" applyFill="1" applyBorder="1" applyAlignment="1">
      <alignment horizontal="center" vertical="center"/>
    </xf>
    <xf numFmtId="0" fontId="0" fillId="0" borderId="36" xfId="0" applyFont="1" applyBorder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2" fontId="2" fillId="34" borderId="12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34" borderId="22" xfId="0" applyNumberFormat="1" applyFont="1" applyFill="1" applyBorder="1" applyAlignment="1">
      <alignment horizontal="center" vertical="center"/>
    </xf>
    <xf numFmtId="2" fontId="2" fillId="2" borderId="12" xfId="53" applyNumberFormat="1" applyFont="1" applyFill="1" applyBorder="1" applyAlignment="1">
      <alignment horizontal="center" vertical="center" wrapText="1"/>
      <protection/>
    </xf>
    <xf numFmtId="2" fontId="2" fillId="0" borderId="12" xfId="0" applyNumberFormat="1" applyFont="1" applyFill="1" applyBorder="1" applyAlignment="1">
      <alignment horizontal="center" vertical="center" wrapText="1"/>
    </xf>
    <xf numFmtId="4" fontId="2" fillId="0" borderId="12" xfId="53" applyNumberFormat="1" applyFont="1" applyFill="1" applyBorder="1" applyAlignment="1">
      <alignment horizontal="center" vertical="center"/>
      <protection/>
    </xf>
    <xf numFmtId="2" fontId="2" fillId="0" borderId="24" xfId="0" applyNumberFormat="1" applyFont="1" applyFill="1" applyBorder="1" applyAlignment="1">
      <alignment horizontal="center" vertical="center"/>
    </xf>
    <xf numFmtId="2" fontId="2" fillId="34" borderId="11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4" fontId="2" fillId="0" borderId="41" xfId="0" applyNumberFormat="1" applyFont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1" fillId="0" borderId="44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 wrapText="1"/>
    </xf>
    <xf numFmtId="2" fontId="2" fillId="33" borderId="12" xfId="0" applyNumberFormat="1" applyFont="1" applyFill="1" applyBorder="1" applyAlignment="1">
      <alignment horizontal="center" vertical="center"/>
    </xf>
    <xf numFmtId="0" fontId="0" fillId="0" borderId="47" xfId="0" applyFont="1" applyBorder="1" applyAlignment="1">
      <alignment/>
    </xf>
    <xf numFmtId="0" fontId="5" fillId="0" borderId="0" xfId="0" applyFont="1" applyBorder="1" applyAlignment="1">
      <alignment/>
    </xf>
    <xf numFmtId="4" fontId="2" fillId="2" borderId="25" xfId="0" applyNumberFormat="1" applyFont="1" applyFill="1" applyBorder="1" applyAlignment="1">
      <alignment horizontal="center" vertical="center"/>
    </xf>
    <xf numFmtId="0" fontId="0" fillId="0" borderId="48" xfId="0" applyFont="1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0" fontId="0" fillId="0" borderId="48" xfId="0" applyFont="1" applyFill="1" applyBorder="1" applyAlignment="1">
      <alignment/>
    </xf>
    <xf numFmtId="0" fontId="1" fillId="34" borderId="12" xfId="0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2" fontId="1" fillId="34" borderId="12" xfId="0" applyNumberFormat="1" applyFont="1" applyFill="1" applyBorder="1" applyAlignment="1">
      <alignment horizontal="center" vertical="center"/>
    </xf>
    <xf numFmtId="4" fontId="8" fillId="0" borderId="12" xfId="0" applyNumberFormat="1" applyFont="1" applyFill="1" applyBorder="1" applyAlignment="1">
      <alignment horizontal="center" vertical="center"/>
    </xf>
    <xf numFmtId="2" fontId="2" fillId="0" borderId="17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4" fontId="2" fillId="2" borderId="47" xfId="0" applyNumberFormat="1" applyFont="1" applyFill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/>
    </xf>
    <xf numFmtId="0" fontId="11" fillId="0" borderId="47" xfId="0" applyFont="1" applyFill="1" applyBorder="1" applyAlignment="1">
      <alignment horizontal="center"/>
    </xf>
    <xf numFmtId="0" fontId="12" fillId="0" borderId="5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47" xfId="0" applyFont="1" applyFill="1" applyBorder="1" applyAlignment="1">
      <alignment horizontal="center"/>
    </xf>
    <xf numFmtId="0" fontId="13" fillId="0" borderId="5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47" xfId="0" applyFont="1" applyFill="1" applyBorder="1" applyAlignment="1">
      <alignment horizontal="center" vertical="center" wrapText="1"/>
    </xf>
    <xf numFmtId="0" fontId="13" fillId="0" borderId="51" xfId="0" applyFont="1" applyFill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 wrapText="1"/>
    </xf>
    <xf numFmtId="0" fontId="13" fillId="0" borderId="5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wrapText="1"/>
    </xf>
    <xf numFmtId="0" fontId="11" fillId="0" borderId="47" xfId="0" applyFont="1" applyFill="1" applyBorder="1" applyAlignment="1">
      <alignment horizontal="center" wrapText="1"/>
    </xf>
    <xf numFmtId="4" fontId="4" fillId="35" borderId="54" xfId="0" applyNumberFormat="1" applyFont="1" applyFill="1" applyBorder="1" applyAlignment="1">
      <alignment horizontal="right" vertical="center"/>
    </xf>
    <xf numFmtId="4" fontId="2" fillId="0" borderId="55" xfId="0" applyNumberFormat="1" applyFont="1" applyBorder="1" applyAlignment="1">
      <alignment horizontal="center" vertical="center"/>
    </xf>
    <xf numFmtId="4" fontId="2" fillId="0" borderId="56" xfId="0" applyNumberFormat="1" applyFont="1" applyBorder="1" applyAlignment="1">
      <alignment horizontal="center" vertical="center"/>
    </xf>
    <xf numFmtId="4" fontId="4" fillId="35" borderId="57" xfId="0" applyNumberFormat="1" applyFont="1" applyFill="1" applyBorder="1" applyAlignment="1">
      <alignment horizontal="right" vertical="center"/>
    </xf>
    <xf numFmtId="4" fontId="4" fillId="35" borderId="58" xfId="0" applyNumberFormat="1" applyFont="1" applyFill="1" applyBorder="1" applyAlignment="1">
      <alignment horizontal="right" vertical="center"/>
    </xf>
    <xf numFmtId="4" fontId="3" fillId="35" borderId="59" xfId="0" applyNumberFormat="1" applyFont="1" applyFill="1" applyBorder="1" applyAlignment="1">
      <alignment vertical="center"/>
    </xf>
    <xf numFmtId="4" fontId="4" fillId="35" borderId="60" xfId="0" applyNumberFormat="1" applyFont="1" applyFill="1" applyBorder="1" applyAlignment="1">
      <alignment horizontal="right" vertical="center"/>
    </xf>
    <xf numFmtId="4" fontId="3" fillId="35" borderId="61" xfId="0" applyNumberFormat="1" applyFont="1" applyFill="1" applyBorder="1" applyAlignment="1">
      <alignment vertical="center"/>
    </xf>
    <xf numFmtId="4" fontId="4" fillId="35" borderId="62" xfId="0" applyNumberFormat="1" applyFont="1" applyFill="1" applyBorder="1" applyAlignment="1">
      <alignment horizontal="right" vertical="center"/>
    </xf>
    <xf numFmtId="4" fontId="4" fillId="35" borderId="63" xfId="0" applyNumberFormat="1" applyFont="1" applyFill="1" applyBorder="1" applyAlignment="1">
      <alignment horizontal="right" vertical="center"/>
    </xf>
    <xf numFmtId="4" fontId="3" fillId="35" borderId="64" xfId="0" applyNumberFormat="1" applyFont="1" applyFill="1" applyBorder="1" applyAlignment="1">
      <alignment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5" xfId="52"/>
    <cellStyle name="Normalny 6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3CA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kie\Downloads\Kosztorys%20DP%20nr%202361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zedmiar"/>
      <sheetName val="inwestorski "/>
      <sheetName val="Ofertowy"/>
    </sheetNames>
    <sheetDataSet>
      <sheetData sheetId="0">
        <row r="115">
          <cell r="E115">
            <v>1048.8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4"/>
  <sheetViews>
    <sheetView view="pageBreakPreview" zoomScaleSheetLayoutView="100" zoomScalePageLayoutView="0" workbookViewId="0" topLeftCell="A118">
      <selection activeCell="G97" sqref="G97"/>
    </sheetView>
  </sheetViews>
  <sheetFormatPr defaultColWidth="11.57421875" defaultRowHeight="12.75"/>
  <cols>
    <col min="1" max="1" width="5.140625" style="1" customWidth="1"/>
    <col min="2" max="2" width="8.7109375" style="4" customWidth="1"/>
    <col min="3" max="3" width="36.421875" style="4" customWidth="1"/>
    <col min="4" max="4" width="6.00390625" style="4" customWidth="1"/>
    <col min="5" max="5" width="8.28125" style="29" bestFit="1" customWidth="1"/>
    <col min="6" max="6" width="46.7109375" style="4" customWidth="1"/>
    <col min="7" max="7" width="35.28125" style="4" customWidth="1"/>
    <col min="8" max="248" width="9.140625" style="4" customWidth="1"/>
    <col min="249" max="16384" width="11.57421875" style="4" customWidth="1"/>
  </cols>
  <sheetData>
    <row r="1" spans="1:6" ht="12.75">
      <c r="A1" s="106"/>
      <c r="B1" s="107"/>
      <c r="C1" s="107"/>
      <c r="D1" s="107"/>
      <c r="E1" s="108"/>
      <c r="F1" s="149"/>
    </row>
    <row r="2" spans="1:6" ht="31.5" customHeight="1">
      <c r="A2" s="166" t="s">
        <v>116</v>
      </c>
      <c r="B2" s="167"/>
      <c r="C2" s="167"/>
      <c r="D2" s="167"/>
      <c r="E2" s="167"/>
      <c r="F2" s="168"/>
    </row>
    <row r="3" spans="1:6" ht="23.25">
      <c r="A3" s="169" t="s">
        <v>0</v>
      </c>
      <c r="B3" s="170"/>
      <c r="C3" s="170"/>
      <c r="D3" s="170"/>
      <c r="E3" s="170"/>
      <c r="F3" s="171"/>
    </row>
    <row r="4" spans="1:6" ht="35.25" customHeight="1">
      <c r="A4" s="172" t="s">
        <v>141</v>
      </c>
      <c r="B4" s="173"/>
      <c r="C4" s="173"/>
      <c r="D4" s="173"/>
      <c r="E4" s="173"/>
      <c r="F4" s="174"/>
    </row>
    <row r="5" spans="1:6" ht="19.5" customHeight="1" thickBot="1">
      <c r="A5" s="175" t="s">
        <v>204</v>
      </c>
      <c r="B5" s="176"/>
      <c r="C5" s="176"/>
      <c r="D5" s="176"/>
      <c r="E5" s="176"/>
      <c r="F5" s="177"/>
    </row>
    <row r="6" spans="1:6" ht="33.75" customHeight="1">
      <c r="A6" s="80" t="s">
        <v>1</v>
      </c>
      <c r="B6" s="81" t="s">
        <v>50</v>
      </c>
      <c r="C6" s="82" t="s">
        <v>2</v>
      </c>
      <c r="D6" s="83" t="s">
        <v>3</v>
      </c>
      <c r="E6" s="84" t="s">
        <v>4</v>
      </c>
      <c r="F6" s="85" t="s">
        <v>5</v>
      </c>
    </row>
    <row r="7" spans="1:6" ht="12.75">
      <c r="A7" s="3">
        <v>1</v>
      </c>
      <c r="B7" s="86">
        <v>2</v>
      </c>
      <c r="C7" s="86">
        <v>3</v>
      </c>
      <c r="D7" s="86">
        <v>4</v>
      </c>
      <c r="E7" s="86">
        <v>5</v>
      </c>
      <c r="F7" s="87">
        <v>6</v>
      </c>
    </row>
    <row r="8" spans="1:6" ht="22.5">
      <c r="A8" s="88"/>
      <c r="B8" s="89"/>
      <c r="C8" s="21" t="s">
        <v>6</v>
      </c>
      <c r="D8" s="89"/>
      <c r="E8" s="90"/>
      <c r="F8" s="150"/>
    </row>
    <row r="9" spans="1:8" ht="33.75">
      <c r="A9" s="3" t="s">
        <v>57</v>
      </c>
      <c r="B9" s="91" t="s">
        <v>7</v>
      </c>
      <c r="C9" s="5" t="s">
        <v>8</v>
      </c>
      <c r="D9" s="91" t="s">
        <v>9</v>
      </c>
      <c r="E9" s="7">
        <v>5.6</v>
      </c>
      <c r="F9" s="151" t="s">
        <v>205</v>
      </c>
      <c r="H9" s="4">
        <f>10804-5200</f>
        <v>5604</v>
      </c>
    </row>
    <row r="10" spans="1:7" ht="49.5" customHeight="1">
      <c r="A10" s="32">
        <v>2</v>
      </c>
      <c r="B10" s="9" t="s">
        <v>10</v>
      </c>
      <c r="C10" s="28" t="s">
        <v>134</v>
      </c>
      <c r="D10" s="9" t="s">
        <v>12</v>
      </c>
      <c r="E10" s="7">
        <v>127</v>
      </c>
      <c r="F10" s="152" t="s">
        <v>130</v>
      </c>
      <c r="G10" s="69"/>
    </row>
    <row r="11" spans="1:7" ht="24" customHeight="1">
      <c r="A11" s="32"/>
      <c r="B11" s="91" t="s">
        <v>136</v>
      </c>
      <c r="C11" s="28" t="s">
        <v>137</v>
      </c>
      <c r="D11" s="9" t="s">
        <v>25</v>
      </c>
      <c r="E11" s="7" t="s">
        <v>25</v>
      </c>
      <c r="F11" s="152" t="s">
        <v>25</v>
      </c>
      <c r="G11" s="69"/>
    </row>
    <row r="12" spans="1:7" ht="33.75" customHeight="1">
      <c r="A12" s="32">
        <v>3</v>
      </c>
      <c r="B12" s="9"/>
      <c r="C12" s="28" t="s">
        <v>183</v>
      </c>
      <c r="D12" s="9" t="s">
        <v>14</v>
      </c>
      <c r="E12" s="7">
        <v>2787.1</v>
      </c>
      <c r="F12" s="153" t="s">
        <v>165</v>
      </c>
      <c r="G12" s="105"/>
    </row>
    <row r="13" spans="1:7" ht="28.5" customHeight="1">
      <c r="A13" s="32">
        <v>4</v>
      </c>
      <c r="B13" s="9"/>
      <c r="C13" s="28" t="s">
        <v>184</v>
      </c>
      <c r="D13" s="9" t="s">
        <v>14</v>
      </c>
      <c r="E13" s="7">
        <v>2787.1</v>
      </c>
      <c r="F13" s="153" t="s">
        <v>165</v>
      </c>
      <c r="G13" s="105"/>
    </row>
    <row r="14" spans="1:6" ht="48.75" customHeight="1">
      <c r="A14" s="32">
        <v>5</v>
      </c>
      <c r="B14" s="9"/>
      <c r="C14" s="57" t="s">
        <v>108</v>
      </c>
      <c r="D14" s="9" t="s">
        <v>54</v>
      </c>
      <c r="E14" s="7">
        <v>126.45</v>
      </c>
      <c r="F14" s="152" t="s">
        <v>130</v>
      </c>
    </row>
    <row r="15" spans="1:6" ht="53.25" customHeight="1">
      <c r="A15" s="32">
        <v>6</v>
      </c>
      <c r="B15" s="9"/>
      <c r="C15" s="57" t="s">
        <v>143</v>
      </c>
      <c r="D15" s="9" t="s">
        <v>54</v>
      </c>
      <c r="E15" s="7">
        <v>10</v>
      </c>
      <c r="F15" s="153" t="s">
        <v>144</v>
      </c>
    </row>
    <row r="16" spans="1:6" ht="45.75" customHeight="1">
      <c r="A16" s="32">
        <v>7</v>
      </c>
      <c r="B16" s="9"/>
      <c r="C16" s="57" t="s">
        <v>110</v>
      </c>
      <c r="D16" s="9" t="s">
        <v>54</v>
      </c>
      <c r="E16" s="7">
        <v>0</v>
      </c>
      <c r="F16" s="151"/>
    </row>
    <row r="17" spans="1:6" ht="45">
      <c r="A17" s="32">
        <v>8</v>
      </c>
      <c r="B17" s="9"/>
      <c r="C17" s="57" t="s">
        <v>112</v>
      </c>
      <c r="D17" s="9" t="s">
        <v>54</v>
      </c>
      <c r="E17" s="7">
        <v>31.5</v>
      </c>
      <c r="F17" s="151" t="s">
        <v>145</v>
      </c>
    </row>
    <row r="18" spans="1:6" ht="45">
      <c r="A18" s="32">
        <v>9</v>
      </c>
      <c r="B18" s="9"/>
      <c r="C18" s="57" t="s">
        <v>146</v>
      </c>
      <c r="D18" s="9" t="s">
        <v>54</v>
      </c>
      <c r="E18" s="7">
        <v>12.5</v>
      </c>
      <c r="F18" s="151" t="s">
        <v>147</v>
      </c>
    </row>
    <row r="19" spans="1:6" ht="45">
      <c r="A19" s="32">
        <v>10</v>
      </c>
      <c r="B19" s="9"/>
      <c r="C19" s="57" t="s">
        <v>195</v>
      </c>
      <c r="D19" s="9" t="s">
        <v>54</v>
      </c>
      <c r="E19" s="7">
        <v>21</v>
      </c>
      <c r="F19" s="151" t="s">
        <v>209</v>
      </c>
    </row>
    <row r="20" spans="1:6" ht="45">
      <c r="A20" s="32">
        <v>11</v>
      </c>
      <c r="B20" s="9"/>
      <c r="C20" s="57" t="s">
        <v>148</v>
      </c>
      <c r="D20" s="9" t="s">
        <v>54</v>
      </c>
      <c r="E20" s="7">
        <v>11</v>
      </c>
      <c r="F20" s="151" t="s">
        <v>149</v>
      </c>
    </row>
    <row r="21" spans="1:6" ht="37.5" customHeight="1">
      <c r="A21" s="32">
        <v>12</v>
      </c>
      <c r="B21" s="9"/>
      <c r="C21" s="57" t="s">
        <v>109</v>
      </c>
      <c r="D21" s="9" t="s">
        <v>12</v>
      </c>
      <c r="E21" s="7">
        <v>34</v>
      </c>
      <c r="F21" s="153" t="s">
        <v>142</v>
      </c>
    </row>
    <row r="22" spans="1:7" ht="33.75">
      <c r="A22" s="32">
        <v>13</v>
      </c>
      <c r="B22" s="9"/>
      <c r="C22" s="57" t="s">
        <v>111</v>
      </c>
      <c r="D22" s="9" t="s">
        <v>12</v>
      </c>
      <c r="E22" s="7">
        <v>23</v>
      </c>
      <c r="F22" s="153" t="s">
        <v>182</v>
      </c>
      <c r="G22" s="4" t="s">
        <v>181</v>
      </c>
    </row>
    <row r="23" spans="1:6" ht="47.25" customHeight="1">
      <c r="A23" s="32">
        <v>14</v>
      </c>
      <c r="B23" s="9"/>
      <c r="C23" s="57" t="s">
        <v>87</v>
      </c>
      <c r="D23" s="9" t="s">
        <v>56</v>
      </c>
      <c r="E23" s="120">
        <v>66</v>
      </c>
      <c r="F23" s="135" t="s">
        <v>235</v>
      </c>
    </row>
    <row r="24" spans="1:6" ht="45">
      <c r="A24" s="32">
        <v>15</v>
      </c>
      <c r="B24" s="9"/>
      <c r="C24" s="57" t="s">
        <v>88</v>
      </c>
      <c r="D24" s="9" t="s">
        <v>56</v>
      </c>
      <c r="E24" s="120">
        <v>70</v>
      </c>
      <c r="F24" s="135" t="s">
        <v>236</v>
      </c>
    </row>
    <row r="25" spans="1:7" ht="38.25" customHeight="1">
      <c r="A25" s="32">
        <v>16</v>
      </c>
      <c r="B25" s="9"/>
      <c r="C25" s="57" t="s">
        <v>91</v>
      </c>
      <c r="D25" s="9" t="s">
        <v>13</v>
      </c>
      <c r="E25" s="120">
        <v>975.48</v>
      </c>
      <c r="F25" s="154" t="s">
        <v>237</v>
      </c>
      <c r="G25" s="103">
        <f>418.06+557.42</f>
        <v>975.48</v>
      </c>
    </row>
    <row r="26" spans="1:6" ht="15.75" customHeight="1">
      <c r="A26" s="26"/>
      <c r="B26" s="21"/>
      <c r="C26" s="21" t="s">
        <v>15</v>
      </c>
      <c r="D26" s="24"/>
      <c r="E26" s="126"/>
      <c r="F26" s="22"/>
    </row>
    <row r="27" spans="1:6" ht="22.5">
      <c r="A27" s="3"/>
      <c r="B27" s="5" t="s">
        <v>16</v>
      </c>
      <c r="C27" s="5" t="s">
        <v>17</v>
      </c>
      <c r="D27" s="91" t="s">
        <v>11</v>
      </c>
      <c r="E27" s="7" t="s">
        <v>11</v>
      </c>
      <c r="F27" s="94" t="s">
        <v>11</v>
      </c>
    </row>
    <row r="28" spans="1:7" ht="22.5">
      <c r="A28" s="116">
        <v>16</v>
      </c>
      <c r="B28" s="5"/>
      <c r="C28" s="28" t="s">
        <v>94</v>
      </c>
      <c r="D28" s="8" t="s">
        <v>13</v>
      </c>
      <c r="E28" s="7">
        <v>11990.89</v>
      </c>
      <c r="F28" s="151" t="s">
        <v>92</v>
      </c>
      <c r="G28" s="103"/>
    </row>
    <row r="29" spans="1:6" ht="22.5">
      <c r="A29" s="116" t="s">
        <v>171</v>
      </c>
      <c r="B29" s="5" t="s">
        <v>18</v>
      </c>
      <c r="C29" s="5" t="s">
        <v>51</v>
      </c>
      <c r="D29" s="8" t="s">
        <v>13</v>
      </c>
      <c r="E29" s="7">
        <v>1790.54</v>
      </c>
      <c r="F29" s="151" t="s">
        <v>92</v>
      </c>
    </row>
    <row r="30" spans="1:7" ht="22.5">
      <c r="A30" s="116" t="s">
        <v>172</v>
      </c>
      <c r="B30" s="5"/>
      <c r="C30" s="5" t="s">
        <v>93</v>
      </c>
      <c r="D30" s="8" t="s">
        <v>13</v>
      </c>
      <c r="E30" s="7">
        <v>10200.35</v>
      </c>
      <c r="F30" s="151"/>
      <c r="G30" s="103">
        <f>11990.89-1790.54</f>
        <v>10200.349999999999</v>
      </c>
    </row>
    <row r="31" spans="1:6" ht="12.75">
      <c r="A31" s="52"/>
      <c r="B31" s="53"/>
      <c r="C31" s="54" t="s">
        <v>95</v>
      </c>
      <c r="D31" s="55"/>
      <c r="E31" s="60"/>
      <c r="F31" s="122"/>
    </row>
    <row r="32" spans="1:6" ht="12.75">
      <c r="A32" s="15"/>
      <c r="B32" s="5" t="s">
        <v>96</v>
      </c>
      <c r="C32" s="5" t="s">
        <v>97</v>
      </c>
      <c r="D32" s="8"/>
      <c r="E32" s="120"/>
      <c r="F32" s="151"/>
    </row>
    <row r="33" spans="1:6" ht="22.5">
      <c r="A33" s="61">
        <v>19</v>
      </c>
      <c r="B33" s="62"/>
      <c r="C33" s="45" t="s">
        <v>150</v>
      </c>
      <c r="D33" s="46" t="s">
        <v>100</v>
      </c>
      <c r="E33" s="7">
        <v>10</v>
      </c>
      <c r="F33" s="151" t="s">
        <v>151</v>
      </c>
    </row>
    <row r="34" spans="1:6" ht="22.5">
      <c r="A34" s="61">
        <v>20</v>
      </c>
      <c r="B34" s="62"/>
      <c r="C34" s="45" t="s">
        <v>152</v>
      </c>
      <c r="D34" s="46" t="s">
        <v>12</v>
      </c>
      <c r="E34" s="7">
        <v>2</v>
      </c>
      <c r="F34" s="151"/>
    </row>
    <row r="35" spans="1:6" ht="22.5">
      <c r="A35" s="61">
        <v>21</v>
      </c>
      <c r="B35" s="62"/>
      <c r="C35" s="45" t="s">
        <v>196</v>
      </c>
      <c r="D35" s="46" t="s">
        <v>100</v>
      </c>
      <c r="E35" s="7">
        <v>22.8</v>
      </c>
      <c r="F35" s="151" t="s">
        <v>185</v>
      </c>
    </row>
    <row r="36" spans="1:6" ht="22.5">
      <c r="A36" s="61">
        <v>22</v>
      </c>
      <c r="B36" s="62"/>
      <c r="C36" s="45" t="s">
        <v>153</v>
      </c>
      <c r="D36" s="46" t="s">
        <v>12</v>
      </c>
      <c r="E36" s="7">
        <v>2</v>
      </c>
      <c r="F36" s="151"/>
    </row>
    <row r="37" spans="1:6" ht="22.5">
      <c r="A37" s="61">
        <v>23</v>
      </c>
      <c r="B37" s="62"/>
      <c r="C37" s="45" t="s">
        <v>154</v>
      </c>
      <c r="D37" s="46" t="s">
        <v>100</v>
      </c>
      <c r="E37" s="7">
        <v>11.3</v>
      </c>
      <c r="F37" s="151" t="s">
        <v>155</v>
      </c>
    </row>
    <row r="38" spans="1:6" ht="22.5">
      <c r="A38" s="61">
        <v>24</v>
      </c>
      <c r="B38" s="62"/>
      <c r="C38" s="45" t="s">
        <v>156</v>
      </c>
      <c r="D38" s="46" t="s">
        <v>12</v>
      </c>
      <c r="E38" s="7">
        <v>2</v>
      </c>
      <c r="F38" s="151"/>
    </row>
    <row r="39" spans="1:7" ht="56.25">
      <c r="A39" s="61">
        <v>25</v>
      </c>
      <c r="B39" s="62"/>
      <c r="C39" s="45" t="s">
        <v>157</v>
      </c>
      <c r="D39" s="46" t="s">
        <v>100</v>
      </c>
      <c r="E39" s="7">
        <v>47.5</v>
      </c>
      <c r="F39" s="151" t="s">
        <v>206</v>
      </c>
      <c r="G39" s="103">
        <f>13.1+13.1+9.4+11.9</f>
        <v>47.5</v>
      </c>
    </row>
    <row r="40" spans="1:6" ht="22.5">
      <c r="A40" s="61">
        <v>26</v>
      </c>
      <c r="B40" s="62"/>
      <c r="C40" s="45" t="s">
        <v>103</v>
      </c>
      <c r="D40" s="46" t="s">
        <v>12</v>
      </c>
      <c r="E40" s="7">
        <v>8</v>
      </c>
      <c r="F40" s="151" t="s">
        <v>207</v>
      </c>
    </row>
    <row r="41" spans="1:6" ht="22.5">
      <c r="A41" s="61">
        <v>27</v>
      </c>
      <c r="B41" s="62"/>
      <c r="C41" s="45" t="s">
        <v>98</v>
      </c>
      <c r="D41" s="46" t="s">
        <v>100</v>
      </c>
      <c r="E41" s="7">
        <v>9.3</v>
      </c>
      <c r="F41" s="151" t="s">
        <v>158</v>
      </c>
    </row>
    <row r="42" spans="1:6" ht="22.5">
      <c r="A42" s="61">
        <v>28</v>
      </c>
      <c r="B42" s="62"/>
      <c r="C42" s="45" t="s">
        <v>99</v>
      </c>
      <c r="D42" s="46" t="s">
        <v>12</v>
      </c>
      <c r="E42" s="7">
        <v>2</v>
      </c>
      <c r="F42" s="151"/>
    </row>
    <row r="43" spans="1:6" ht="12.75">
      <c r="A43" s="61"/>
      <c r="B43" s="5" t="s">
        <v>96</v>
      </c>
      <c r="C43" s="5" t="s">
        <v>173</v>
      </c>
      <c r="D43" s="46" t="s">
        <v>25</v>
      </c>
      <c r="E43" s="125" t="s">
        <v>25</v>
      </c>
      <c r="F43" s="151" t="s">
        <v>25</v>
      </c>
    </row>
    <row r="44" spans="1:7" ht="90">
      <c r="A44" s="61">
        <v>29</v>
      </c>
      <c r="B44" s="5"/>
      <c r="C44" s="5" t="s">
        <v>174</v>
      </c>
      <c r="D44" s="46" t="s">
        <v>54</v>
      </c>
      <c r="E44" s="125">
        <v>198</v>
      </c>
      <c r="F44" s="151" t="s">
        <v>208</v>
      </c>
      <c r="G44" s="4">
        <f>15+23+40+30+30+30+30</f>
        <v>198</v>
      </c>
    </row>
    <row r="45" spans="1:6" ht="12.75">
      <c r="A45" s="61"/>
      <c r="B45" s="5" t="s">
        <v>192</v>
      </c>
      <c r="C45" s="5" t="s">
        <v>193</v>
      </c>
      <c r="D45" s="46" t="s">
        <v>54</v>
      </c>
      <c r="E45" s="125">
        <v>10</v>
      </c>
      <c r="F45" s="151" t="s">
        <v>194</v>
      </c>
    </row>
    <row r="46" spans="1:6" ht="12.75">
      <c r="A46" s="15"/>
      <c r="B46" s="5" t="s">
        <v>138</v>
      </c>
      <c r="C46" s="5" t="s">
        <v>113</v>
      </c>
      <c r="D46" s="8" t="s">
        <v>25</v>
      </c>
      <c r="E46" s="125" t="s">
        <v>25</v>
      </c>
      <c r="F46" s="151" t="s">
        <v>25</v>
      </c>
    </row>
    <row r="47" spans="1:6" ht="22.5">
      <c r="A47" s="117">
        <v>30</v>
      </c>
      <c r="B47" s="28"/>
      <c r="C47" s="43" t="s">
        <v>120</v>
      </c>
      <c r="D47" s="27" t="s">
        <v>13</v>
      </c>
      <c r="E47" s="125">
        <v>1475.65</v>
      </c>
      <c r="F47" s="151" t="s">
        <v>164</v>
      </c>
    </row>
    <row r="48" spans="1:6" ht="22.5">
      <c r="A48" s="117">
        <v>31</v>
      </c>
      <c r="B48" s="28"/>
      <c r="C48" s="43" t="s">
        <v>121</v>
      </c>
      <c r="D48" s="27" t="s">
        <v>14</v>
      </c>
      <c r="E48" s="125">
        <v>2768.01</v>
      </c>
      <c r="F48" s="151" t="s">
        <v>164</v>
      </c>
    </row>
    <row r="49" spans="1:6" ht="22.5">
      <c r="A49" s="117">
        <v>32</v>
      </c>
      <c r="B49" s="28"/>
      <c r="C49" s="43" t="s">
        <v>122</v>
      </c>
      <c r="D49" s="27" t="s">
        <v>13</v>
      </c>
      <c r="E49" s="125">
        <v>127.76</v>
      </c>
      <c r="F49" s="151" t="s">
        <v>164</v>
      </c>
    </row>
    <row r="50" spans="1:6" ht="22.5">
      <c r="A50" s="117">
        <v>33</v>
      </c>
      <c r="B50" s="28"/>
      <c r="C50" s="43" t="s">
        <v>123</v>
      </c>
      <c r="D50" s="44" t="s">
        <v>13</v>
      </c>
      <c r="E50" s="125">
        <v>372.06</v>
      </c>
      <c r="F50" s="151" t="s">
        <v>164</v>
      </c>
    </row>
    <row r="51" spans="1:6" ht="33.75">
      <c r="A51" s="117">
        <v>34</v>
      </c>
      <c r="B51" s="28"/>
      <c r="C51" s="43" t="s">
        <v>186</v>
      </c>
      <c r="D51" s="44" t="s">
        <v>13</v>
      </c>
      <c r="E51" s="125">
        <v>898.93</v>
      </c>
      <c r="F51" s="151" t="s">
        <v>164</v>
      </c>
    </row>
    <row r="52" spans="1:6" ht="22.5">
      <c r="A52" s="117">
        <v>35</v>
      </c>
      <c r="B52" s="5"/>
      <c r="C52" s="43" t="s">
        <v>159</v>
      </c>
      <c r="D52" s="44" t="s">
        <v>54</v>
      </c>
      <c r="E52" s="7">
        <v>703.85</v>
      </c>
      <c r="F52" s="151" t="s">
        <v>117</v>
      </c>
    </row>
    <row r="53" spans="1:6" ht="22.5">
      <c r="A53" s="117">
        <v>36</v>
      </c>
      <c r="B53" s="10"/>
      <c r="C53" s="43" t="s">
        <v>79</v>
      </c>
      <c r="D53" s="44" t="s">
        <v>54</v>
      </c>
      <c r="E53" s="7">
        <v>98.85</v>
      </c>
      <c r="F53" s="151" t="s">
        <v>117</v>
      </c>
    </row>
    <row r="54" spans="1:6" ht="12.75">
      <c r="A54" s="117">
        <v>37</v>
      </c>
      <c r="B54" s="28"/>
      <c r="C54" s="43" t="s">
        <v>161</v>
      </c>
      <c r="D54" s="44" t="s">
        <v>56</v>
      </c>
      <c r="E54" s="7">
        <v>1</v>
      </c>
      <c r="F54" s="151" t="s">
        <v>117</v>
      </c>
    </row>
    <row r="55" spans="1:6" ht="12.75">
      <c r="A55" s="117">
        <v>38</v>
      </c>
      <c r="B55" s="40"/>
      <c r="C55" s="43" t="s">
        <v>162</v>
      </c>
      <c r="D55" s="44" t="s">
        <v>56</v>
      </c>
      <c r="E55" s="7">
        <v>24</v>
      </c>
      <c r="F55" s="151" t="s">
        <v>117</v>
      </c>
    </row>
    <row r="56" spans="1:6" ht="33.75">
      <c r="A56" s="117">
        <v>39</v>
      </c>
      <c r="B56" s="5"/>
      <c r="C56" s="43" t="s">
        <v>80</v>
      </c>
      <c r="D56" s="44" t="s">
        <v>56</v>
      </c>
      <c r="E56" s="7">
        <v>25</v>
      </c>
      <c r="F56" s="151" t="s">
        <v>117</v>
      </c>
    </row>
    <row r="57" spans="1:6" ht="22.5">
      <c r="A57" s="117">
        <v>40</v>
      </c>
      <c r="B57" s="5"/>
      <c r="C57" s="45" t="s">
        <v>160</v>
      </c>
      <c r="D57" s="46" t="s">
        <v>54</v>
      </c>
      <c r="E57" s="7">
        <f>E52</f>
        <v>703.85</v>
      </c>
      <c r="F57" s="151" t="s">
        <v>117</v>
      </c>
    </row>
    <row r="58" spans="1:6" ht="22.5">
      <c r="A58" s="117">
        <v>41</v>
      </c>
      <c r="B58" s="5"/>
      <c r="C58" s="45" t="s">
        <v>163</v>
      </c>
      <c r="D58" s="46" t="s">
        <v>54</v>
      </c>
      <c r="E58" s="7">
        <v>98.85</v>
      </c>
      <c r="F58" s="151" t="s">
        <v>117</v>
      </c>
    </row>
    <row r="59" spans="1:6" ht="12.75">
      <c r="A59" s="25"/>
      <c r="B59" s="20"/>
      <c r="C59" s="21" t="s">
        <v>20</v>
      </c>
      <c r="D59" s="24"/>
      <c r="E59" s="126"/>
      <c r="F59" s="155"/>
    </row>
    <row r="60" spans="1:6" ht="12.75">
      <c r="A60" s="3"/>
      <c r="B60" s="5" t="s">
        <v>21</v>
      </c>
      <c r="C60" s="5" t="s">
        <v>22</v>
      </c>
      <c r="D60" s="91" t="s">
        <v>11</v>
      </c>
      <c r="E60" s="7" t="s">
        <v>11</v>
      </c>
      <c r="F60" s="152" t="s">
        <v>11</v>
      </c>
    </row>
    <row r="61" spans="1:9" ht="156.75" customHeight="1">
      <c r="A61" s="3">
        <v>42</v>
      </c>
      <c r="B61" s="93"/>
      <c r="C61" s="5" t="s">
        <v>65</v>
      </c>
      <c r="D61" s="8" t="s">
        <v>14</v>
      </c>
      <c r="E61" s="120">
        <v>18498.48</v>
      </c>
      <c r="F61" s="151" t="s">
        <v>225</v>
      </c>
      <c r="G61" s="103">
        <f>5313.94+8606.49+1817.2+280.2+1782.15+134+454+81.5+29</f>
        <v>18498.480000000003</v>
      </c>
      <c r="I61" s="4">
        <f>2402.15-620</f>
        <v>1782.15</v>
      </c>
    </row>
    <row r="62" spans="1:6" ht="12.75">
      <c r="A62" s="3"/>
      <c r="B62" s="5" t="s">
        <v>23</v>
      </c>
      <c r="C62" s="5" t="s">
        <v>24</v>
      </c>
      <c r="D62" s="8" t="s">
        <v>25</v>
      </c>
      <c r="E62" s="120" t="s">
        <v>25</v>
      </c>
      <c r="F62" s="6" t="s">
        <v>25</v>
      </c>
    </row>
    <row r="63" spans="1:7" ht="56.25">
      <c r="A63" s="3">
        <v>43</v>
      </c>
      <c r="B63" s="5"/>
      <c r="C63" s="5" t="s">
        <v>26</v>
      </c>
      <c r="D63" s="8" t="s">
        <v>14</v>
      </c>
      <c r="E63" s="120">
        <v>3762.35</v>
      </c>
      <c r="F63" s="151" t="s">
        <v>226</v>
      </c>
      <c r="G63" s="103">
        <f>1817.2+1782.15+134+29</f>
        <v>3762.3500000000004</v>
      </c>
    </row>
    <row r="64" spans="1:6" ht="22.5">
      <c r="A64" s="3"/>
      <c r="B64" s="5" t="s">
        <v>27</v>
      </c>
      <c r="C64" s="5" t="s">
        <v>28</v>
      </c>
      <c r="D64" s="91" t="s">
        <v>11</v>
      </c>
      <c r="E64" s="91" t="s">
        <v>11</v>
      </c>
      <c r="F64" s="94" t="s">
        <v>11</v>
      </c>
    </row>
    <row r="65" spans="1:9" ht="206.25" customHeight="1">
      <c r="A65" s="3">
        <v>44</v>
      </c>
      <c r="B65" s="5"/>
      <c r="C65" s="5" t="s">
        <v>29</v>
      </c>
      <c r="D65" s="91" t="s">
        <v>14</v>
      </c>
      <c r="E65" s="120">
        <v>100246.8</v>
      </c>
      <c r="F65" s="151" t="s">
        <v>238</v>
      </c>
      <c r="G65" s="101">
        <f>3491.67+7167.12+3164.36+6868.5+1650+75372+1782.15+134+454+163</f>
        <v>100246.79999999999</v>
      </c>
      <c r="H65" s="4">
        <f>3*5024.8*5</f>
        <v>75372</v>
      </c>
      <c r="I65" s="4">
        <f>3*550</f>
        <v>1650</v>
      </c>
    </row>
    <row r="66" spans="1:7" ht="101.25">
      <c r="A66" s="3">
        <v>45</v>
      </c>
      <c r="B66" s="5"/>
      <c r="C66" s="5" t="s">
        <v>30</v>
      </c>
      <c r="D66" s="8" t="s">
        <v>14</v>
      </c>
      <c r="E66" s="120">
        <v>15631.17</v>
      </c>
      <c r="F66" s="151" t="s">
        <v>239</v>
      </c>
      <c r="G66" s="101">
        <f>4834.39+8345.13+1782.15+134+454+81.5</f>
        <v>15631.17</v>
      </c>
    </row>
    <row r="67" spans="1:7" ht="185.25" customHeight="1">
      <c r="A67" s="3">
        <v>46</v>
      </c>
      <c r="B67" s="5"/>
      <c r="C67" s="5" t="s">
        <v>115</v>
      </c>
      <c r="D67" s="8" t="s">
        <v>14</v>
      </c>
      <c r="E67" s="120">
        <v>100246.8</v>
      </c>
      <c r="F67" s="151" t="s">
        <v>240</v>
      </c>
      <c r="G67" s="102">
        <f>3491.67+7167.12+3164.36+6868.5+1650+75372+1782.15+134+454+163</f>
        <v>100246.79999999999</v>
      </c>
    </row>
    <row r="68" spans="1:7" ht="27.75" customHeight="1">
      <c r="A68" s="3"/>
      <c r="B68" s="5" t="s">
        <v>31</v>
      </c>
      <c r="C68" s="5" t="s">
        <v>32</v>
      </c>
      <c r="D68" s="91" t="s">
        <v>25</v>
      </c>
      <c r="E68" s="7"/>
      <c r="F68" s="94" t="s">
        <v>25</v>
      </c>
      <c r="G68" s="12"/>
    </row>
    <row r="69" spans="1:7" ht="39.75" customHeight="1">
      <c r="A69" s="3">
        <v>47</v>
      </c>
      <c r="B69" s="5"/>
      <c r="C69" s="5" t="s">
        <v>140</v>
      </c>
      <c r="D69" s="8" t="s">
        <v>14</v>
      </c>
      <c r="E69" s="7">
        <v>1846.2</v>
      </c>
      <c r="F69" s="151" t="s">
        <v>229</v>
      </c>
      <c r="G69" s="12">
        <f>1817.2+29</f>
        <v>1846.2</v>
      </c>
    </row>
    <row r="70" spans="1:7" ht="33.75">
      <c r="A70" s="3">
        <v>48</v>
      </c>
      <c r="B70" s="5"/>
      <c r="C70" s="5" t="s">
        <v>62</v>
      </c>
      <c r="D70" s="8" t="s">
        <v>14</v>
      </c>
      <c r="E70" s="120">
        <v>2062.35</v>
      </c>
      <c r="F70" s="151" t="s">
        <v>230</v>
      </c>
      <c r="G70" s="101">
        <f>280.2+1782.15</f>
        <v>2062.35</v>
      </c>
    </row>
    <row r="71" spans="1:7" ht="90">
      <c r="A71" s="3">
        <v>49</v>
      </c>
      <c r="B71" s="5"/>
      <c r="C71" s="5" t="s">
        <v>63</v>
      </c>
      <c r="D71" s="8" t="s">
        <v>14</v>
      </c>
      <c r="E71" s="120">
        <v>13849.02</v>
      </c>
      <c r="F71" s="151" t="s">
        <v>231</v>
      </c>
      <c r="G71" s="101">
        <f>4834.39+8345.13+134+454+81.5</f>
        <v>13849.02</v>
      </c>
    </row>
    <row r="72" spans="1:7" ht="22.5">
      <c r="A72" s="3"/>
      <c r="B72" s="5" t="s">
        <v>107</v>
      </c>
      <c r="C72" s="5" t="s">
        <v>114</v>
      </c>
      <c r="D72" s="91" t="s">
        <v>25</v>
      </c>
      <c r="E72" s="91" t="s">
        <v>25</v>
      </c>
      <c r="F72" s="94" t="s">
        <v>25</v>
      </c>
      <c r="G72" s="12"/>
    </row>
    <row r="73" spans="1:7" ht="33.75">
      <c r="A73" s="3">
        <v>50</v>
      </c>
      <c r="B73" s="5"/>
      <c r="C73" s="5" t="s">
        <v>166</v>
      </c>
      <c r="D73" s="8" t="s">
        <v>14</v>
      </c>
      <c r="E73" s="91">
        <v>5313.94</v>
      </c>
      <c r="F73" s="151" t="s">
        <v>224</v>
      </c>
      <c r="G73" s="12"/>
    </row>
    <row r="74" spans="1:7" ht="51.75" customHeight="1">
      <c r="A74" s="3">
        <v>51</v>
      </c>
      <c r="B74" s="5"/>
      <c r="C74" s="5" t="s">
        <v>188</v>
      </c>
      <c r="D74" s="8" t="s">
        <v>14</v>
      </c>
      <c r="E74" s="120">
        <v>8687.99</v>
      </c>
      <c r="F74" s="151" t="s">
        <v>221</v>
      </c>
      <c r="G74" s="101">
        <f>8606.49+81.5</f>
        <v>8687.99</v>
      </c>
    </row>
    <row r="75" spans="1:7" ht="38.25" customHeight="1">
      <c r="A75" s="3">
        <v>52</v>
      </c>
      <c r="B75" s="5"/>
      <c r="C75" s="5" t="s">
        <v>187</v>
      </c>
      <c r="D75" s="8" t="s">
        <v>14</v>
      </c>
      <c r="E75" s="120">
        <v>897.4</v>
      </c>
      <c r="F75" s="151" t="s">
        <v>222</v>
      </c>
      <c r="G75" s="12"/>
    </row>
    <row r="76" spans="1:7" ht="72" customHeight="1">
      <c r="A76" s="3">
        <v>53</v>
      </c>
      <c r="B76" s="5"/>
      <c r="C76" s="5" t="s">
        <v>189</v>
      </c>
      <c r="D76" s="8" t="s">
        <v>14</v>
      </c>
      <c r="E76" s="120">
        <v>8687.99</v>
      </c>
      <c r="F76" s="151" t="s">
        <v>223</v>
      </c>
      <c r="G76" s="12">
        <f>8606.49+81.5</f>
        <v>8687.99</v>
      </c>
    </row>
    <row r="77" spans="1:7" ht="22.5">
      <c r="A77" s="3"/>
      <c r="B77" s="5" t="s">
        <v>104</v>
      </c>
      <c r="C77" s="5" t="s">
        <v>105</v>
      </c>
      <c r="D77" s="91" t="s">
        <v>25</v>
      </c>
      <c r="E77" s="91" t="s">
        <v>25</v>
      </c>
      <c r="F77" s="94" t="s">
        <v>25</v>
      </c>
      <c r="G77" s="12"/>
    </row>
    <row r="78" spans="1:7" ht="57.75" customHeight="1">
      <c r="A78" s="3">
        <v>54</v>
      </c>
      <c r="B78" s="5"/>
      <c r="C78" s="5" t="s">
        <v>106</v>
      </c>
      <c r="D78" s="8" t="s">
        <v>14</v>
      </c>
      <c r="E78" s="120">
        <v>10740.29</v>
      </c>
      <c r="F78" s="151" t="s">
        <v>227</v>
      </c>
      <c r="G78" s="12">
        <f>3491.67+7167.12+81.5</f>
        <v>10740.29</v>
      </c>
    </row>
    <row r="79" spans="1:6" ht="22.5">
      <c r="A79" s="3"/>
      <c r="B79" s="5" t="s">
        <v>33</v>
      </c>
      <c r="C79" s="5" t="s">
        <v>34</v>
      </c>
      <c r="D79" s="91" t="s">
        <v>11</v>
      </c>
      <c r="E79" s="7" t="s">
        <v>11</v>
      </c>
      <c r="F79" s="94" t="s">
        <v>11</v>
      </c>
    </row>
    <row r="80" spans="1:6" ht="39.75" customHeight="1">
      <c r="A80" s="3">
        <v>55</v>
      </c>
      <c r="B80" s="5"/>
      <c r="C80" s="5" t="s">
        <v>66</v>
      </c>
      <c r="D80" s="8" t="s">
        <v>35</v>
      </c>
      <c r="E80" s="120">
        <v>3433.78</v>
      </c>
      <c r="F80" s="135" t="s">
        <v>241</v>
      </c>
    </row>
    <row r="81" spans="1:6" ht="12.75">
      <c r="A81" s="23"/>
      <c r="B81" s="24"/>
      <c r="C81" s="21" t="s">
        <v>36</v>
      </c>
      <c r="D81" s="24"/>
      <c r="E81" s="126"/>
      <c r="F81" s="22"/>
    </row>
    <row r="82" spans="1:6" ht="12.75">
      <c r="A82" s="3"/>
      <c r="B82" s="5"/>
      <c r="C82" s="5" t="s">
        <v>37</v>
      </c>
      <c r="D82" s="91" t="s">
        <v>11</v>
      </c>
      <c r="E82" s="7" t="s">
        <v>19</v>
      </c>
      <c r="F82" s="94" t="s">
        <v>11</v>
      </c>
    </row>
    <row r="83" spans="1:7" ht="49.5" customHeight="1">
      <c r="A83" s="3">
        <v>56</v>
      </c>
      <c r="B83" s="5" t="s">
        <v>33</v>
      </c>
      <c r="C83" s="5" t="s">
        <v>118</v>
      </c>
      <c r="D83" s="8" t="s">
        <v>14</v>
      </c>
      <c r="E83" s="120">
        <v>3287.2</v>
      </c>
      <c r="F83" s="151" t="s">
        <v>212</v>
      </c>
      <c r="G83" s="103">
        <f>1782.15+607.65+897.4</f>
        <v>3287.2000000000003</v>
      </c>
    </row>
    <row r="84" spans="1:7" ht="96.75" customHeight="1">
      <c r="A84" s="3">
        <v>57</v>
      </c>
      <c r="B84" s="5" t="s">
        <v>33</v>
      </c>
      <c r="C84" s="5" t="s">
        <v>167</v>
      </c>
      <c r="D84" s="8" t="s">
        <v>14</v>
      </c>
      <c r="E84" s="120">
        <v>35788.36</v>
      </c>
      <c r="F84" s="151" t="s">
        <v>228</v>
      </c>
      <c r="G84" s="101">
        <f>3164.36+6868.5+81.5+550+25124</f>
        <v>35788.36</v>
      </c>
    </row>
    <row r="85" spans="1:7" ht="54" customHeight="1">
      <c r="A85" s="3">
        <v>58</v>
      </c>
      <c r="B85" s="5" t="s">
        <v>139</v>
      </c>
      <c r="C85" s="5" t="s">
        <v>169</v>
      </c>
      <c r="D85" s="8" t="s">
        <v>14</v>
      </c>
      <c r="E85" s="120">
        <v>34531.5</v>
      </c>
      <c r="F85" s="151" t="s">
        <v>213</v>
      </c>
      <c r="G85" s="101">
        <f>34450+81.5</f>
        <v>34531.5</v>
      </c>
    </row>
    <row r="86" spans="1:7" ht="54" customHeight="1">
      <c r="A86" s="3">
        <v>59</v>
      </c>
      <c r="B86" s="5" t="s">
        <v>38</v>
      </c>
      <c r="C86" s="5" t="s">
        <v>168</v>
      </c>
      <c r="D86" s="8" t="s">
        <v>14</v>
      </c>
      <c r="E86" s="120">
        <v>3287.2</v>
      </c>
      <c r="F86" s="151" t="s">
        <v>212</v>
      </c>
      <c r="G86" s="103">
        <f>2402.15+741.65+1217.4</f>
        <v>4361.200000000001</v>
      </c>
    </row>
    <row r="87" spans="1:6" ht="12.75">
      <c r="A87" s="3"/>
      <c r="B87" s="5" t="s">
        <v>39</v>
      </c>
      <c r="C87" s="5" t="s">
        <v>40</v>
      </c>
      <c r="D87" s="95" t="s">
        <v>25</v>
      </c>
      <c r="E87" s="127" t="s">
        <v>25</v>
      </c>
      <c r="F87" s="156" t="s">
        <v>25</v>
      </c>
    </row>
    <row r="88" spans="1:7" ht="55.5" customHeight="1">
      <c r="A88" s="3">
        <v>60</v>
      </c>
      <c r="B88" s="96"/>
      <c r="C88" s="5" t="s">
        <v>41</v>
      </c>
      <c r="D88" s="8" t="s">
        <v>14</v>
      </c>
      <c r="E88" s="120">
        <v>37609</v>
      </c>
      <c r="F88" s="151" t="s">
        <v>214</v>
      </c>
      <c r="G88" s="103">
        <f>12485+25124</f>
        <v>37609</v>
      </c>
    </row>
    <row r="89" spans="1:9" ht="22.5">
      <c r="A89" s="3"/>
      <c r="B89" s="31" t="s">
        <v>81</v>
      </c>
      <c r="C89" s="31" t="s">
        <v>82</v>
      </c>
      <c r="D89" s="95" t="s">
        <v>25</v>
      </c>
      <c r="E89" s="127" t="s">
        <v>25</v>
      </c>
      <c r="F89" s="156" t="s">
        <v>25</v>
      </c>
      <c r="I89" s="109" t="s">
        <v>135</v>
      </c>
    </row>
    <row r="90" spans="1:7" ht="39.75" customHeight="1">
      <c r="A90" s="3">
        <v>61</v>
      </c>
      <c r="B90" s="31"/>
      <c r="C90" s="31" t="s">
        <v>124</v>
      </c>
      <c r="D90" s="34" t="s">
        <v>14</v>
      </c>
      <c r="E90" s="120">
        <v>1817.2</v>
      </c>
      <c r="F90" s="151" t="s">
        <v>210</v>
      </c>
      <c r="G90" s="4">
        <f>2011.2-194</f>
        <v>1817.2</v>
      </c>
    </row>
    <row r="91" spans="1:7" ht="45">
      <c r="A91" s="3">
        <v>62</v>
      </c>
      <c r="B91" s="31"/>
      <c r="C91" s="31" t="s">
        <v>125</v>
      </c>
      <c r="D91" s="34" t="s">
        <v>14</v>
      </c>
      <c r="E91" s="7">
        <v>280.2</v>
      </c>
      <c r="F91" s="109" t="s">
        <v>211</v>
      </c>
      <c r="G91" s="4">
        <f>367.2-87</f>
        <v>280.2</v>
      </c>
    </row>
    <row r="92" spans="1:6" ht="45">
      <c r="A92" s="3">
        <v>63</v>
      </c>
      <c r="B92" s="31" t="s">
        <v>180</v>
      </c>
      <c r="C92" s="128" t="s">
        <v>179</v>
      </c>
      <c r="D92" s="129" t="s">
        <v>14</v>
      </c>
      <c r="E92" s="7">
        <v>1244</v>
      </c>
      <c r="F92" s="109" t="s">
        <v>190</v>
      </c>
    </row>
    <row r="93" spans="1:6" ht="12.75">
      <c r="A93" s="16"/>
      <c r="B93" s="17"/>
      <c r="C93" s="18" t="s">
        <v>42</v>
      </c>
      <c r="D93" s="19"/>
      <c r="E93" s="110" t="s">
        <v>19</v>
      </c>
      <c r="F93" s="63"/>
    </row>
    <row r="94" spans="1:6" ht="22.5">
      <c r="A94" s="30"/>
      <c r="B94" s="118" t="s">
        <v>89</v>
      </c>
      <c r="C94" s="28" t="s">
        <v>101</v>
      </c>
      <c r="D94" s="9" t="s">
        <v>11</v>
      </c>
      <c r="E94" s="9" t="s">
        <v>11</v>
      </c>
      <c r="F94" s="71" t="s">
        <v>11</v>
      </c>
    </row>
    <row r="95" spans="1:6" ht="50.25" customHeight="1">
      <c r="A95" s="130">
        <v>63</v>
      </c>
      <c r="B95" s="31"/>
      <c r="C95" s="131" t="s">
        <v>175</v>
      </c>
      <c r="D95" s="27" t="s">
        <v>56</v>
      </c>
      <c r="E95" s="7">
        <v>11</v>
      </c>
      <c r="F95" s="151" t="s">
        <v>215</v>
      </c>
    </row>
    <row r="96" spans="1:7" ht="56.25">
      <c r="A96" s="72">
        <v>64</v>
      </c>
      <c r="B96" s="51"/>
      <c r="C96" s="10" t="s">
        <v>126</v>
      </c>
      <c r="D96" s="37" t="s">
        <v>14</v>
      </c>
      <c r="E96" s="7">
        <v>1107.05</v>
      </c>
      <c r="F96" s="151" t="s">
        <v>216</v>
      </c>
      <c r="G96" s="103">
        <f>72.62+96.5+105.9+278.1+42.6+84.37+84.37+100.05</f>
        <v>864.51</v>
      </c>
    </row>
    <row r="97" spans="1:7" ht="78.75">
      <c r="A97" s="137">
        <v>65</v>
      </c>
      <c r="B97" s="76"/>
      <c r="C97" s="76" t="s">
        <v>127</v>
      </c>
      <c r="D97" s="75" t="s">
        <v>14</v>
      </c>
      <c r="E97" s="7">
        <v>115.24</v>
      </c>
      <c r="F97" s="151" t="s">
        <v>217</v>
      </c>
      <c r="G97" s="104">
        <f>42.3+22.74+13.87+21.53+14.8</f>
        <v>115.24</v>
      </c>
    </row>
    <row r="98" spans="1:7" ht="78.75">
      <c r="A98" s="137">
        <v>66</v>
      </c>
      <c r="B98" s="76"/>
      <c r="C98" s="76" t="s">
        <v>119</v>
      </c>
      <c r="D98" s="75" t="s">
        <v>14</v>
      </c>
      <c r="E98" s="7">
        <v>55.1</v>
      </c>
      <c r="F98" s="151" t="s">
        <v>218</v>
      </c>
      <c r="G98" s="4">
        <f>21.1+8.5+8.5+8.5+8.5</f>
        <v>55.1</v>
      </c>
    </row>
    <row r="99" spans="1:6" ht="12.75">
      <c r="A99" s="74"/>
      <c r="B99" s="97" t="s">
        <v>52</v>
      </c>
      <c r="C99" s="97" t="s">
        <v>53</v>
      </c>
      <c r="D99" s="9" t="s">
        <v>11</v>
      </c>
      <c r="E99" s="7"/>
      <c r="F99" s="109"/>
    </row>
    <row r="100" spans="1:7" ht="22.5">
      <c r="A100" s="30">
        <v>67</v>
      </c>
      <c r="B100" s="28"/>
      <c r="C100" s="28" t="s">
        <v>128</v>
      </c>
      <c r="D100" s="27" t="s">
        <v>54</v>
      </c>
      <c r="E100" s="7">
        <v>759.5</v>
      </c>
      <c r="F100" s="151" t="s">
        <v>219</v>
      </c>
      <c r="G100" s="4">
        <f>1068.5-309</f>
        <v>759.5</v>
      </c>
    </row>
    <row r="101" spans="1:6" ht="33.75">
      <c r="A101" s="30">
        <v>68</v>
      </c>
      <c r="B101" s="28"/>
      <c r="C101" s="28" t="s">
        <v>55</v>
      </c>
      <c r="D101" s="27" t="s">
        <v>56</v>
      </c>
      <c r="E101" s="7">
        <v>66</v>
      </c>
      <c r="F101" s="109" t="s">
        <v>220</v>
      </c>
    </row>
    <row r="102" spans="1:6" ht="12.75" customHeight="1">
      <c r="A102" s="3"/>
      <c r="B102" s="5" t="s">
        <v>43</v>
      </c>
      <c r="C102" s="5" t="s">
        <v>44</v>
      </c>
      <c r="D102" s="91" t="s">
        <v>11</v>
      </c>
      <c r="E102" s="7" t="s">
        <v>11</v>
      </c>
      <c r="F102" s="152" t="s">
        <v>11</v>
      </c>
    </row>
    <row r="103" spans="1:7" ht="31.5" customHeight="1">
      <c r="A103" s="36">
        <v>69</v>
      </c>
      <c r="B103" s="98"/>
      <c r="C103" s="77" t="s">
        <v>191</v>
      </c>
      <c r="D103" s="37" t="s">
        <v>14</v>
      </c>
      <c r="E103" s="157">
        <v>11034.07</v>
      </c>
      <c r="F103" s="151" t="s">
        <v>129</v>
      </c>
      <c r="G103" s="4">
        <f>14734.07-3700</f>
        <v>11034.07</v>
      </c>
    </row>
    <row r="104" spans="1:7" ht="24.75" customHeight="1">
      <c r="A104" s="16"/>
      <c r="B104" s="17"/>
      <c r="C104" s="18" t="s">
        <v>68</v>
      </c>
      <c r="D104" s="19"/>
      <c r="E104" s="19"/>
      <c r="F104" s="63"/>
      <c r="G104" s="70"/>
    </row>
    <row r="105" spans="1:7" ht="22.5" customHeight="1">
      <c r="A105" s="38"/>
      <c r="B105" s="31" t="s">
        <v>84</v>
      </c>
      <c r="C105" s="31" t="s">
        <v>85</v>
      </c>
      <c r="D105" s="34" t="s">
        <v>25</v>
      </c>
      <c r="E105" s="34" t="s">
        <v>25</v>
      </c>
      <c r="F105" s="64" t="s">
        <v>25</v>
      </c>
      <c r="G105" s="70"/>
    </row>
    <row r="106" spans="1:7" ht="24" customHeight="1">
      <c r="A106" s="38">
        <v>70</v>
      </c>
      <c r="B106" s="33"/>
      <c r="C106" s="31" t="s">
        <v>86</v>
      </c>
      <c r="D106" s="34" t="s">
        <v>14</v>
      </c>
      <c r="E106" s="34">
        <v>306.55</v>
      </c>
      <c r="F106" s="65" t="s">
        <v>83</v>
      </c>
      <c r="G106" s="70"/>
    </row>
    <row r="107" spans="1:7" ht="12.75" customHeight="1">
      <c r="A107" s="38"/>
      <c r="B107" s="31" t="s">
        <v>58</v>
      </c>
      <c r="C107" s="31" t="s">
        <v>59</v>
      </c>
      <c r="D107" s="35"/>
      <c r="E107" s="66"/>
      <c r="F107" s="136"/>
      <c r="G107" s="69"/>
    </row>
    <row r="108" spans="1:7" ht="45.75" customHeight="1">
      <c r="A108" s="38">
        <v>71</v>
      </c>
      <c r="B108" s="33"/>
      <c r="C108" s="31" t="s">
        <v>60</v>
      </c>
      <c r="D108" s="27" t="s">
        <v>56</v>
      </c>
      <c r="E108" s="7">
        <v>130</v>
      </c>
      <c r="F108" s="135" t="s">
        <v>197</v>
      </c>
      <c r="G108" s="69"/>
    </row>
    <row r="109" spans="1:7" ht="50.25" customHeight="1">
      <c r="A109" s="47">
        <v>72</v>
      </c>
      <c r="B109" s="48"/>
      <c r="C109" s="49" t="s">
        <v>61</v>
      </c>
      <c r="D109" s="42" t="s">
        <v>56</v>
      </c>
      <c r="E109" s="67">
        <v>113</v>
      </c>
      <c r="F109" s="135" t="s">
        <v>198</v>
      </c>
      <c r="G109" s="69"/>
    </row>
    <row r="110" spans="1:7" ht="14.25" customHeight="1">
      <c r="A110" s="132"/>
      <c r="B110" s="133"/>
      <c r="C110" s="28" t="s">
        <v>177</v>
      </c>
      <c r="D110" s="34" t="s">
        <v>25</v>
      </c>
      <c r="E110" s="34" t="s">
        <v>25</v>
      </c>
      <c r="F110" s="64" t="s">
        <v>25</v>
      </c>
      <c r="G110" s="69"/>
    </row>
    <row r="111" spans="1:7" ht="30" customHeight="1">
      <c r="A111" s="32">
        <v>73</v>
      </c>
      <c r="B111" s="50"/>
      <c r="C111" s="28" t="s">
        <v>178</v>
      </c>
      <c r="D111" s="42" t="s">
        <v>176</v>
      </c>
      <c r="E111" s="67">
        <v>2</v>
      </c>
      <c r="F111" s="135" t="s">
        <v>199</v>
      </c>
      <c r="G111" s="69"/>
    </row>
    <row r="112" spans="1:7" ht="45">
      <c r="A112" s="32">
        <v>74</v>
      </c>
      <c r="B112" s="28"/>
      <c r="C112" s="28" t="s">
        <v>102</v>
      </c>
      <c r="D112" s="68" t="s">
        <v>54</v>
      </c>
      <c r="E112" s="67">
        <v>127</v>
      </c>
      <c r="F112" s="151" t="s">
        <v>203</v>
      </c>
      <c r="G112" s="69">
        <f>8+71+48</f>
        <v>127</v>
      </c>
    </row>
    <row r="113" spans="1:7" ht="37.5">
      <c r="A113" s="32"/>
      <c r="B113" s="31" t="s">
        <v>200</v>
      </c>
      <c r="C113" s="31" t="s">
        <v>201</v>
      </c>
      <c r="D113" s="34" t="s">
        <v>25</v>
      </c>
      <c r="E113" s="34" t="s">
        <v>25</v>
      </c>
      <c r="F113" s="64" t="s">
        <v>25</v>
      </c>
      <c r="G113" s="69"/>
    </row>
    <row r="114" spans="1:8" ht="78.75">
      <c r="A114" s="32">
        <v>75</v>
      </c>
      <c r="B114" s="28"/>
      <c r="C114" s="40" t="s">
        <v>202</v>
      </c>
      <c r="D114" s="68" t="s">
        <v>54</v>
      </c>
      <c r="E114" s="67">
        <v>900</v>
      </c>
      <c r="F114" s="151" t="s">
        <v>232</v>
      </c>
      <c r="G114" s="69"/>
      <c r="H114" s="4">
        <f>120+120+120+120</f>
        <v>480</v>
      </c>
    </row>
    <row r="115" spans="1:7" ht="17.25" customHeight="1">
      <c r="A115" s="16"/>
      <c r="B115" s="17"/>
      <c r="C115" s="21" t="s">
        <v>67</v>
      </c>
      <c r="D115" s="24"/>
      <c r="E115" s="24"/>
      <c r="F115" s="22"/>
      <c r="G115" s="69"/>
    </row>
    <row r="116" spans="1:7" ht="15" customHeight="1">
      <c r="A116" s="58"/>
      <c r="B116" s="31" t="s">
        <v>69</v>
      </c>
      <c r="C116" s="31" t="s">
        <v>70</v>
      </c>
      <c r="D116" s="99" t="s">
        <v>11</v>
      </c>
      <c r="E116" s="99" t="s">
        <v>11</v>
      </c>
      <c r="F116" s="100" t="s">
        <v>11</v>
      </c>
      <c r="G116" s="69"/>
    </row>
    <row r="117" spans="1:7" ht="58.5" customHeight="1">
      <c r="A117" s="58">
        <v>76</v>
      </c>
      <c r="B117" s="31"/>
      <c r="C117" s="31" t="s">
        <v>71</v>
      </c>
      <c r="D117" s="34" t="s">
        <v>54</v>
      </c>
      <c r="E117" s="7">
        <v>1000</v>
      </c>
      <c r="F117" s="65" t="s">
        <v>117</v>
      </c>
      <c r="G117" s="103">
        <f>416+987+401+9</f>
        <v>1813</v>
      </c>
    </row>
    <row r="118" spans="1:7" ht="13.5" customHeight="1">
      <c r="A118" s="58"/>
      <c r="B118" s="31" t="s">
        <v>73</v>
      </c>
      <c r="C118" s="31" t="s">
        <v>74</v>
      </c>
      <c r="D118" s="99" t="s">
        <v>11</v>
      </c>
      <c r="E118" s="99" t="s">
        <v>11</v>
      </c>
      <c r="F118" s="100" t="s">
        <v>11</v>
      </c>
      <c r="G118" s="69"/>
    </row>
    <row r="119" spans="1:7" ht="37.5" customHeight="1">
      <c r="A119" s="58">
        <v>77</v>
      </c>
      <c r="B119" s="31"/>
      <c r="C119" s="31" t="s">
        <v>75</v>
      </c>
      <c r="D119" s="99" t="s">
        <v>14</v>
      </c>
      <c r="E119" s="158">
        <v>29</v>
      </c>
      <c r="F119" s="65" t="s">
        <v>117</v>
      </c>
      <c r="G119" s="69"/>
    </row>
    <row r="120" spans="1:7" ht="56.25">
      <c r="A120" s="58">
        <v>78</v>
      </c>
      <c r="B120" s="31"/>
      <c r="C120" s="31" t="s">
        <v>72</v>
      </c>
      <c r="D120" s="34" t="s">
        <v>54</v>
      </c>
      <c r="E120" s="159">
        <f>'[1]Przedmiar'!E115</f>
        <v>1048.8</v>
      </c>
      <c r="F120" s="65" t="s">
        <v>117</v>
      </c>
      <c r="G120" s="69"/>
    </row>
    <row r="121" spans="1:7" ht="15.75" customHeight="1">
      <c r="A121" s="58"/>
      <c r="B121" s="31" t="s">
        <v>76</v>
      </c>
      <c r="C121" s="31" t="s">
        <v>77</v>
      </c>
      <c r="D121" s="99" t="s">
        <v>11</v>
      </c>
      <c r="E121" s="99" t="s">
        <v>11</v>
      </c>
      <c r="F121" s="100" t="s">
        <v>11</v>
      </c>
      <c r="G121" s="69"/>
    </row>
    <row r="122" spans="1:7" ht="22.5">
      <c r="A122" s="58">
        <v>79</v>
      </c>
      <c r="B122" s="31"/>
      <c r="C122" s="31" t="s">
        <v>78</v>
      </c>
      <c r="D122" s="99" t="s">
        <v>54</v>
      </c>
      <c r="E122" s="7">
        <v>823.5</v>
      </c>
      <c r="F122" s="65" t="s">
        <v>117</v>
      </c>
      <c r="G122" s="103">
        <f>360.91+987+375+8.5</f>
        <v>1731.41</v>
      </c>
    </row>
    <row r="123" spans="1:7" ht="12.75">
      <c r="A123" s="113"/>
      <c r="B123" s="134"/>
      <c r="C123" s="134" t="s">
        <v>131</v>
      </c>
      <c r="D123" s="114"/>
      <c r="E123" s="114"/>
      <c r="F123" s="160"/>
      <c r="G123" s="103"/>
    </row>
    <row r="124" spans="1:7" ht="21" customHeight="1">
      <c r="A124" s="111"/>
      <c r="B124" s="112" t="s">
        <v>132</v>
      </c>
      <c r="C124" s="112" t="s">
        <v>170</v>
      </c>
      <c r="D124" s="99" t="s">
        <v>11</v>
      </c>
      <c r="E124" s="99" t="s">
        <v>11</v>
      </c>
      <c r="F124" s="100" t="s">
        <v>11</v>
      </c>
      <c r="G124" s="103"/>
    </row>
    <row r="125" spans="1:7" ht="13.5" thickBot="1">
      <c r="A125" s="138">
        <v>80</v>
      </c>
      <c r="B125" s="139"/>
      <c r="C125" s="139" t="s">
        <v>133</v>
      </c>
      <c r="D125" s="140" t="s">
        <v>56</v>
      </c>
      <c r="E125" s="140">
        <v>1</v>
      </c>
      <c r="F125" s="161" t="s">
        <v>117</v>
      </c>
      <c r="G125" s="103"/>
    </row>
    <row r="127" spans="1:6" ht="15">
      <c r="A127" s="11" t="s">
        <v>234</v>
      </c>
      <c r="E127" s="163"/>
      <c r="F127" s="163"/>
    </row>
    <row r="128" spans="5:6" ht="12.75">
      <c r="E128" s="163"/>
      <c r="F128" s="163"/>
    </row>
    <row r="129" spans="5:6" ht="12.75">
      <c r="E129" s="13"/>
      <c r="F129" s="13"/>
    </row>
    <row r="130" spans="5:6" ht="12.75">
      <c r="E130" s="13"/>
      <c r="F130" s="13"/>
    </row>
    <row r="131" spans="4:6" ht="12.75">
      <c r="D131" s="165"/>
      <c r="E131" s="165"/>
      <c r="F131" s="165"/>
    </row>
    <row r="132" spans="1:6" ht="12.75">
      <c r="A132" s="162" t="s">
        <v>49</v>
      </c>
      <c r="B132" s="162"/>
      <c r="C132" s="162"/>
      <c r="E132" s="163"/>
      <c r="F132" s="163"/>
    </row>
    <row r="133" spans="1:6" ht="12.75">
      <c r="A133" s="164"/>
      <c r="B133" s="164"/>
      <c r="C133" s="164"/>
      <c r="D133" s="14"/>
      <c r="E133" s="165"/>
      <c r="F133" s="165"/>
    </row>
    <row r="134" ht="12.75">
      <c r="E134" s="4"/>
    </row>
  </sheetData>
  <sheetProtection selectLockedCells="1" selectUnlockedCells="1"/>
  <mergeCells count="11">
    <mergeCell ref="A5:F5"/>
    <mergeCell ref="A132:C132"/>
    <mergeCell ref="E132:F132"/>
    <mergeCell ref="A133:C133"/>
    <mergeCell ref="E133:F133"/>
    <mergeCell ref="A2:F2"/>
    <mergeCell ref="A3:F3"/>
    <mergeCell ref="A4:F4"/>
    <mergeCell ref="E127:F127"/>
    <mergeCell ref="E128:F128"/>
    <mergeCell ref="D131:F131"/>
  </mergeCells>
  <printOptions/>
  <pageMargins left="0.8267716535433072" right="0.6692913385826772" top="0.984251968503937" bottom="1.3385826771653544" header="0.5118110236220472" footer="0.5118110236220472"/>
  <pageSetup fitToHeight="6" fitToWidth="1" horizontalDpi="600" verticalDpi="600" orientation="portrait" paperSize="9" scale="79" r:id="rId1"/>
  <rowBreaks count="1" manualBreakCount="1">
    <brk id="7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37"/>
  <sheetViews>
    <sheetView tabSelected="1" view="pageBreakPreview" zoomScale="110" zoomScaleSheetLayoutView="110" zoomScalePageLayoutView="0" workbookViewId="0" topLeftCell="A1">
      <selection activeCell="H14" sqref="H14"/>
    </sheetView>
  </sheetViews>
  <sheetFormatPr defaultColWidth="11.57421875" defaultRowHeight="12.75"/>
  <cols>
    <col min="1" max="1" width="5.140625" style="1" customWidth="1"/>
    <col min="2" max="2" width="8.7109375" style="0" customWidth="1"/>
    <col min="3" max="3" width="36.421875" style="0" customWidth="1"/>
    <col min="4" max="4" width="6.00390625" style="0" customWidth="1"/>
    <col min="5" max="5" width="8.28125" style="2" bestFit="1" customWidth="1"/>
    <col min="6" max="6" width="12.28125" style="0" customWidth="1"/>
    <col min="7" max="7" width="14.00390625" style="0" customWidth="1"/>
    <col min="8" max="8" width="14.00390625" style="147" customWidth="1"/>
    <col min="9" max="244" width="9.140625" style="0" customWidth="1"/>
  </cols>
  <sheetData>
    <row r="1" spans="1:7" ht="12.75">
      <c r="A1" s="106"/>
      <c r="B1" s="107"/>
      <c r="C1" s="107"/>
      <c r="D1" s="107"/>
      <c r="E1" s="108"/>
      <c r="F1" s="115"/>
      <c r="G1" s="146"/>
    </row>
    <row r="2" spans="1:7" ht="31.5" customHeight="1">
      <c r="A2" s="166" t="s">
        <v>116</v>
      </c>
      <c r="B2" s="178"/>
      <c r="C2" s="178"/>
      <c r="D2" s="178"/>
      <c r="E2" s="178"/>
      <c r="F2" s="178"/>
      <c r="G2" s="179"/>
    </row>
    <row r="3" spans="1:7" ht="23.25">
      <c r="A3" s="169" t="s">
        <v>64</v>
      </c>
      <c r="B3" s="170"/>
      <c r="C3" s="170"/>
      <c r="D3" s="170"/>
      <c r="E3" s="170"/>
      <c r="F3" s="170"/>
      <c r="G3" s="171"/>
    </row>
    <row r="4" spans="1:7" ht="35.25" customHeight="1" thickBot="1">
      <c r="A4" s="175" t="s">
        <v>233</v>
      </c>
      <c r="B4" s="176"/>
      <c r="C4" s="176"/>
      <c r="D4" s="176"/>
      <c r="E4" s="176"/>
      <c r="F4" s="176"/>
      <c r="G4" s="177"/>
    </row>
    <row r="5" spans="1:7" ht="33.75" customHeight="1">
      <c r="A5" s="80" t="s">
        <v>1</v>
      </c>
      <c r="B5" s="81" t="s">
        <v>50</v>
      </c>
      <c r="C5" s="82" t="s">
        <v>2</v>
      </c>
      <c r="D5" s="83" t="s">
        <v>3</v>
      </c>
      <c r="E5" s="84" t="s">
        <v>4</v>
      </c>
      <c r="F5" s="83" t="s">
        <v>90</v>
      </c>
      <c r="G5" s="85" t="s">
        <v>45</v>
      </c>
    </row>
    <row r="6" spans="1:7" ht="12.75">
      <c r="A6" s="3">
        <v>1</v>
      </c>
      <c r="B6" s="86">
        <v>2</v>
      </c>
      <c r="C6" s="86">
        <v>3</v>
      </c>
      <c r="D6" s="86">
        <v>4</v>
      </c>
      <c r="E6" s="86">
        <v>5</v>
      </c>
      <c r="F6" s="86">
        <v>6</v>
      </c>
      <c r="G6" s="87">
        <v>7</v>
      </c>
    </row>
    <row r="7" spans="1:8" ht="22.5">
      <c r="A7" s="88"/>
      <c r="B7" s="89"/>
      <c r="C7" s="21" t="s">
        <v>6</v>
      </c>
      <c r="D7" s="89"/>
      <c r="E7" s="90"/>
      <c r="F7" s="90"/>
      <c r="G7" s="119">
        <f>G8+G9+G11+G12+G13+G14+G15+G16+G17+G18+G19+G20+G21+G22+G23+G24</f>
        <v>0</v>
      </c>
      <c r="H7" s="147">
        <f>G7*1.23</f>
        <v>0</v>
      </c>
    </row>
    <row r="8" spans="1:8" s="4" customFormat="1" ht="33.75">
      <c r="A8" s="3" t="s">
        <v>57</v>
      </c>
      <c r="B8" s="91" t="s">
        <v>7</v>
      </c>
      <c r="C8" s="5" t="s">
        <v>8</v>
      </c>
      <c r="D8" s="91" t="s">
        <v>9</v>
      </c>
      <c r="E8" s="7">
        <f>Przedmiar!E9</f>
        <v>5.6</v>
      </c>
      <c r="F8" s="8"/>
      <c r="G8" s="6">
        <f>ROUND(F8*E8,2)</f>
        <v>0</v>
      </c>
      <c r="H8" s="148"/>
    </row>
    <row r="9" spans="1:8" s="4" customFormat="1" ht="49.5" customHeight="1">
      <c r="A9" s="32">
        <v>2</v>
      </c>
      <c r="B9" s="9" t="s">
        <v>10</v>
      </c>
      <c r="C9" s="28" t="s">
        <v>134</v>
      </c>
      <c r="D9" s="9" t="s">
        <v>12</v>
      </c>
      <c r="E9" s="7">
        <f>Przedmiar!E10</f>
        <v>127</v>
      </c>
      <c r="F9" s="8"/>
      <c r="G9" s="6">
        <f>ROUND(F9*E9,2)</f>
        <v>0</v>
      </c>
      <c r="H9" s="148"/>
    </row>
    <row r="10" spans="1:8" s="4" customFormat="1" ht="16.5" customHeight="1">
      <c r="A10" s="32"/>
      <c r="B10" s="91" t="s">
        <v>136</v>
      </c>
      <c r="C10" s="28" t="s">
        <v>137</v>
      </c>
      <c r="D10" s="9" t="s">
        <v>25</v>
      </c>
      <c r="E10" s="7" t="str">
        <f>Przedmiar!E11</f>
        <v>-</v>
      </c>
      <c r="F10" s="7" t="s">
        <v>25</v>
      </c>
      <c r="G10" s="92" t="s">
        <v>25</v>
      </c>
      <c r="H10" s="148"/>
    </row>
    <row r="11" spans="1:8" s="4" customFormat="1" ht="28.5" customHeight="1">
      <c r="A11" s="32">
        <v>3</v>
      </c>
      <c r="B11" s="9"/>
      <c r="C11" s="28" t="s">
        <v>183</v>
      </c>
      <c r="D11" s="9" t="s">
        <v>14</v>
      </c>
      <c r="E11" s="7">
        <f>Przedmiar!E12</f>
        <v>2787.1</v>
      </c>
      <c r="F11" s="8"/>
      <c r="G11" s="6">
        <f aca="true" t="shared" si="0" ref="G11:G16">ROUND(F11*E11,2)</f>
        <v>0</v>
      </c>
      <c r="H11" s="148"/>
    </row>
    <row r="12" spans="1:8" s="4" customFormat="1" ht="22.5">
      <c r="A12" s="32">
        <v>4</v>
      </c>
      <c r="B12" s="9"/>
      <c r="C12" s="28" t="s">
        <v>184</v>
      </c>
      <c r="D12" s="9" t="s">
        <v>14</v>
      </c>
      <c r="E12" s="7">
        <f>Przedmiar!E13</f>
        <v>2787.1</v>
      </c>
      <c r="F12" s="8"/>
      <c r="G12" s="6">
        <f t="shared" si="0"/>
        <v>0</v>
      </c>
      <c r="H12" s="148"/>
    </row>
    <row r="13" spans="1:8" s="4" customFormat="1" ht="48.75" customHeight="1">
      <c r="A13" s="32">
        <v>5</v>
      </c>
      <c r="B13" s="9"/>
      <c r="C13" s="57" t="s">
        <v>108</v>
      </c>
      <c r="D13" s="9" t="s">
        <v>54</v>
      </c>
      <c r="E13" s="7">
        <f>Przedmiar!E14</f>
        <v>126.45</v>
      </c>
      <c r="F13" s="8"/>
      <c r="G13" s="6">
        <f t="shared" si="0"/>
        <v>0</v>
      </c>
      <c r="H13" s="148"/>
    </row>
    <row r="14" spans="1:8" s="4" customFormat="1" ht="53.25" customHeight="1">
      <c r="A14" s="32">
        <v>6</v>
      </c>
      <c r="B14" s="9"/>
      <c r="C14" s="57" t="s">
        <v>143</v>
      </c>
      <c r="D14" s="9" t="s">
        <v>54</v>
      </c>
      <c r="E14" s="7">
        <f>Przedmiar!E15</f>
        <v>10</v>
      </c>
      <c r="F14" s="8"/>
      <c r="G14" s="6">
        <f t="shared" si="0"/>
        <v>0</v>
      </c>
      <c r="H14" s="148"/>
    </row>
    <row r="15" spans="1:8" s="4" customFormat="1" ht="45.75" customHeight="1">
      <c r="A15" s="32">
        <v>7</v>
      </c>
      <c r="B15" s="9"/>
      <c r="C15" s="57" t="s">
        <v>110</v>
      </c>
      <c r="D15" s="9" t="s">
        <v>54</v>
      </c>
      <c r="E15" s="7">
        <f>Przedmiar!E16</f>
        <v>0</v>
      </c>
      <c r="F15" s="8"/>
      <c r="G15" s="6">
        <f t="shared" si="0"/>
        <v>0</v>
      </c>
      <c r="H15" s="148"/>
    </row>
    <row r="16" spans="1:8" s="4" customFormat="1" ht="45">
      <c r="A16" s="32">
        <v>8</v>
      </c>
      <c r="B16" s="9"/>
      <c r="C16" s="57" t="s">
        <v>112</v>
      </c>
      <c r="D16" s="9" t="s">
        <v>54</v>
      </c>
      <c r="E16" s="7">
        <f>Przedmiar!E17</f>
        <v>31.5</v>
      </c>
      <c r="F16" s="8"/>
      <c r="G16" s="6">
        <f t="shared" si="0"/>
        <v>0</v>
      </c>
      <c r="H16" s="148"/>
    </row>
    <row r="17" spans="1:8" s="4" customFormat="1" ht="45">
      <c r="A17" s="32">
        <v>9</v>
      </c>
      <c r="B17" s="9"/>
      <c r="C17" s="57" t="s">
        <v>146</v>
      </c>
      <c r="D17" s="9" t="s">
        <v>54</v>
      </c>
      <c r="E17" s="7">
        <f>Przedmiar!E18</f>
        <v>12.5</v>
      </c>
      <c r="F17" s="8"/>
      <c r="G17" s="6">
        <f aca="true" t="shared" si="1" ref="G17:G23">ROUND(F17*E17,2)</f>
        <v>0</v>
      </c>
      <c r="H17" s="148"/>
    </row>
    <row r="18" spans="1:8" s="4" customFormat="1" ht="45">
      <c r="A18" s="32">
        <v>10</v>
      </c>
      <c r="B18" s="9"/>
      <c r="C18" s="57" t="s">
        <v>195</v>
      </c>
      <c r="D18" s="9" t="s">
        <v>54</v>
      </c>
      <c r="E18" s="7">
        <f>Przedmiar!E19</f>
        <v>21</v>
      </c>
      <c r="F18" s="8"/>
      <c r="G18" s="6">
        <f t="shared" si="1"/>
        <v>0</v>
      </c>
      <c r="H18" s="148"/>
    </row>
    <row r="19" spans="1:8" s="4" customFormat="1" ht="45">
      <c r="A19" s="32">
        <v>11</v>
      </c>
      <c r="B19" s="9"/>
      <c r="C19" s="57" t="s">
        <v>148</v>
      </c>
      <c r="D19" s="9" t="s">
        <v>54</v>
      </c>
      <c r="E19" s="7">
        <f>Przedmiar!E20</f>
        <v>11</v>
      </c>
      <c r="F19" s="8"/>
      <c r="G19" s="6">
        <f t="shared" si="1"/>
        <v>0</v>
      </c>
      <c r="H19" s="148"/>
    </row>
    <row r="20" spans="1:8" s="4" customFormat="1" ht="37.5" customHeight="1">
      <c r="A20" s="32">
        <v>12</v>
      </c>
      <c r="B20" s="9"/>
      <c r="C20" s="57" t="s">
        <v>109</v>
      </c>
      <c r="D20" s="9" t="s">
        <v>12</v>
      </c>
      <c r="E20" s="7">
        <f>Przedmiar!E21</f>
        <v>34</v>
      </c>
      <c r="F20" s="8"/>
      <c r="G20" s="6">
        <f t="shared" si="1"/>
        <v>0</v>
      </c>
      <c r="H20" s="148"/>
    </row>
    <row r="21" spans="1:8" s="4" customFormat="1" ht="33.75">
      <c r="A21" s="32">
        <v>13</v>
      </c>
      <c r="B21" s="9"/>
      <c r="C21" s="57" t="s">
        <v>111</v>
      </c>
      <c r="D21" s="9" t="s">
        <v>12</v>
      </c>
      <c r="E21" s="7">
        <f>Przedmiar!E22</f>
        <v>23</v>
      </c>
      <c r="F21" s="8"/>
      <c r="G21" s="6">
        <f t="shared" si="1"/>
        <v>0</v>
      </c>
      <c r="H21" s="148"/>
    </row>
    <row r="22" spans="1:8" s="4" customFormat="1" ht="47.25" customHeight="1">
      <c r="A22" s="32">
        <v>14</v>
      </c>
      <c r="B22" s="9"/>
      <c r="C22" s="57" t="s">
        <v>87</v>
      </c>
      <c r="D22" s="9" t="s">
        <v>56</v>
      </c>
      <c r="E22" s="7">
        <f>Przedmiar!E23</f>
        <v>66</v>
      </c>
      <c r="F22" s="8"/>
      <c r="G22" s="6">
        <f t="shared" si="1"/>
        <v>0</v>
      </c>
      <c r="H22" s="148"/>
    </row>
    <row r="23" spans="1:8" s="4" customFormat="1" ht="33.75">
      <c r="A23" s="32">
        <v>15</v>
      </c>
      <c r="B23" s="9"/>
      <c r="C23" s="57" t="s">
        <v>88</v>
      </c>
      <c r="D23" s="9" t="s">
        <v>56</v>
      </c>
      <c r="E23" s="7">
        <f>Przedmiar!E24</f>
        <v>70</v>
      </c>
      <c r="F23" s="8"/>
      <c r="G23" s="6">
        <f t="shared" si="1"/>
        <v>0</v>
      </c>
      <c r="H23" s="148"/>
    </row>
    <row r="24" spans="1:8" s="4" customFormat="1" ht="22.5">
      <c r="A24" s="32">
        <v>16</v>
      </c>
      <c r="B24" s="9"/>
      <c r="C24" s="57" t="s">
        <v>91</v>
      </c>
      <c r="D24" s="9" t="s">
        <v>13</v>
      </c>
      <c r="E24" s="7">
        <f>Przedmiar!E25</f>
        <v>975.48</v>
      </c>
      <c r="F24" s="8"/>
      <c r="G24" s="6">
        <f>ROUND(F24*E24,2)</f>
        <v>0</v>
      </c>
      <c r="H24" s="148"/>
    </row>
    <row r="25" spans="1:8" s="4" customFormat="1" ht="15.75" customHeight="1">
      <c r="A25" s="26"/>
      <c r="B25" s="21"/>
      <c r="C25" s="21" t="s">
        <v>15</v>
      </c>
      <c r="D25" s="24"/>
      <c r="E25" s="24"/>
      <c r="F25" s="121"/>
      <c r="G25" s="119">
        <f>G27+G28+G29</f>
        <v>0</v>
      </c>
      <c r="H25" s="147">
        <f>G25*1.23</f>
        <v>0</v>
      </c>
    </row>
    <row r="26" spans="1:8" s="4" customFormat="1" ht="22.5">
      <c r="A26" s="3"/>
      <c r="B26" s="5" t="s">
        <v>16</v>
      </c>
      <c r="C26" s="5" t="s">
        <v>17</v>
      </c>
      <c r="D26" s="91" t="s">
        <v>11</v>
      </c>
      <c r="E26" s="7" t="str">
        <f>Przedmiar!E27</f>
        <v> -</v>
      </c>
      <c r="F26" s="7" t="s">
        <v>11</v>
      </c>
      <c r="G26" s="92" t="s">
        <v>11</v>
      </c>
      <c r="H26" s="148"/>
    </row>
    <row r="27" spans="1:8" s="4" customFormat="1" ht="22.5">
      <c r="A27" s="116">
        <v>16</v>
      </c>
      <c r="B27" s="5"/>
      <c r="C27" s="28" t="s">
        <v>94</v>
      </c>
      <c r="D27" s="8" t="s">
        <v>13</v>
      </c>
      <c r="E27" s="7">
        <f>Przedmiar!E28</f>
        <v>11990.89</v>
      </c>
      <c r="F27" s="27"/>
      <c r="G27" s="6">
        <f>ROUND(F27*E27,2)</f>
        <v>0</v>
      </c>
      <c r="H27" s="148"/>
    </row>
    <row r="28" spans="1:8" s="4" customFormat="1" ht="22.5">
      <c r="A28" s="116" t="s">
        <v>171</v>
      </c>
      <c r="B28" s="5" t="s">
        <v>18</v>
      </c>
      <c r="C28" s="5" t="s">
        <v>51</v>
      </c>
      <c r="D28" s="8" t="s">
        <v>13</v>
      </c>
      <c r="E28" s="7">
        <f>Przedmiar!E29</f>
        <v>1790.54</v>
      </c>
      <c r="F28" s="27"/>
      <c r="G28" s="6">
        <f>ROUND(F28*E28,2)</f>
        <v>0</v>
      </c>
      <c r="H28" s="148"/>
    </row>
    <row r="29" spans="1:8" s="4" customFormat="1" ht="22.5">
      <c r="A29" s="116" t="s">
        <v>172</v>
      </c>
      <c r="B29" s="5"/>
      <c r="C29" s="5" t="s">
        <v>93</v>
      </c>
      <c r="D29" s="8" t="s">
        <v>13</v>
      </c>
      <c r="E29" s="7">
        <f>Przedmiar!E30</f>
        <v>10200.35</v>
      </c>
      <c r="F29" s="27"/>
      <c r="G29" s="6">
        <f>ROUND(F29*E29,2)</f>
        <v>0</v>
      </c>
      <c r="H29" s="148"/>
    </row>
    <row r="30" spans="1:8" s="4" customFormat="1" ht="12.75">
      <c r="A30" s="52"/>
      <c r="B30" s="53"/>
      <c r="C30" s="54" t="s">
        <v>95</v>
      </c>
      <c r="D30" s="55"/>
      <c r="E30" s="55"/>
      <c r="F30" s="60"/>
      <c r="G30" s="122">
        <f>G32+G33+G34+G35+G36+G37+G38+G39+G40+G41+G43+G44+G46+G47+G48+G49+G50+G51+G52+G53+G54+G55+G56+G57</f>
        <v>0</v>
      </c>
      <c r="H30" s="147">
        <f>G30*1.23</f>
        <v>0</v>
      </c>
    </row>
    <row r="31" spans="1:8" s="4" customFormat="1" ht="12.75">
      <c r="A31" s="15"/>
      <c r="B31" s="5" t="s">
        <v>96</v>
      </c>
      <c r="C31" s="5" t="s">
        <v>97</v>
      </c>
      <c r="D31" s="8"/>
      <c r="E31" s="7">
        <f>Przedmiar!E32</f>
        <v>0</v>
      </c>
      <c r="F31" s="120"/>
      <c r="G31" s="123"/>
      <c r="H31" s="148"/>
    </row>
    <row r="32" spans="1:8" s="4" customFormat="1" ht="22.5">
      <c r="A32" s="61">
        <v>19</v>
      </c>
      <c r="B32" s="62"/>
      <c r="C32" s="45" t="s">
        <v>150</v>
      </c>
      <c r="D32" s="46" t="s">
        <v>100</v>
      </c>
      <c r="E32" s="7">
        <f>Przedmiar!E33</f>
        <v>10</v>
      </c>
      <c r="F32" s="27"/>
      <c r="G32" s="6">
        <f aca="true" t="shared" si="2" ref="G32:G41">ROUND(F32*E32,2)</f>
        <v>0</v>
      </c>
      <c r="H32" s="148"/>
    </row>
    <row r="33" spans="1:8" s="4" customFormat="1" ht="22.5">
      <c r="A33" s="61">
        <v>20</v>
      </c>
      <c r="B33" s="62"/>
      <c r="C33" s="45" t="s">
        <v>152</v>
      </c>
      <c r="D33" s="46" t="s">
        <v>12</v>
      </c>
      <c r="E33" s="7">
        <f>Przedmiar!E34</f>
        <v>2</v>
      </c>
      <c r="F33" s="27"/>
      <c r="G33" s="6">
        <f t="shared" si="2"/>
        <v>0</v>
      </c>
      <c r="H33" s="148"/>
    </row>
    <row r="34" spans="1:8" s="4" customFormat="1" ht="22.5">
      <c r="A34" s="61">
        <v>21</v>
      </c>
      <c r="B34" s="62"/>
      <c r="C34" s="45" t="s">
        <v>196</v>
      </c>
      <c r="D34" s="46" t="s">
        <v>100</v>
      </c>
      <c r="E34" s="7">
        <f>Przedmiar!E35</f>
        <v>22.8</v>
      </c>
      <c r="F34" s="27"/>
      <c r="G34" s="6">
        <f t="shared" si="2"/>
        <v>0</v>
      </c>
      <c r="H34" s="148"/>
    </row>
    <row r="35" spans="1:8" s="4" customFormat="1" ht="22.5">
      <c r="A35" s="61">
        <v>22</v>
      </c>
      <c r="B35" s="62"/>
      <c r="C35" s="45" t="s">
        <v>153</v>
      </c>
      <c r="D35" s="46" t="s">
        <v>12</v>
      </c>
      <c r="E35" s="7">
        <f>Przedmiar!E36</f>
        <v>2</v>
      </c>
      <c r="F35" s="27"/>
      <c r="G35" s="6">
        <f t="shared" si="2"/>
        <v>0</v>
      </c>
      <c r="H35" s="148"/>
    </row>
    <row r="36" spans="1:8" s="4" customFormat="1" ht="22.5">
      <c r="A36" s="61">
        <v>23</v>
      </c>
      <c r="B36" s="62"/>
      <c r="C36" s="45" t="s">
        <v>154</v>
      </c>
      <c r="D36" s="46" t="s">
        <v>100</v>
      </c>
      <c r="E36" s="7">
        <f>Przedmiar!E37</f>
        <v>11.3</v>
      </c>
      <c r="F36" s="27"/>
      <c r="G36" s="6">
        <f t="shared" si="2"/>
        <v>0</v>
      </c>
      <c r="H36" s="148"/>
    </row>
    <row r="37" spans="1:8" s="4" customFormat="1" ht="22.5">
      <c r="A37" s="61">
        <v>24</v>
      </c>
      <c r="B37" s="62"/>
      <c r="C37" s="45" t="s">
        <v>156</v>
      </c>
      <c r="D37" s="46" t="s">
        <v>12</v>
      </c>
      <c r="E37" s="7">
        <f>Przedmiar!E38</f>
        <v>2</v>
      </c>
      <c r="F37" s="27"/>
      <c r="G37" s="6">
        <f t="shared" si="2"/>
        <v>0</v>
      </c>
      <c r="H37" s="148"/>
    </row>
    <row r="38" spans="1:8" s="4" customFormat="1" ht="22.5">
      <c r="A38" s="61">
        <v>25</v>
      </c>
      <c r="B38" s="62"/>
      <c r="C38" s="45" t="s">
        <v>157</v>
      </c>
      <c r="D38" s="46" t="s">
        <v>100</v>
      </c>
      <c r="E38" s="7">
        <f>Przedmiar!E39</f>
        <v>47.5</v>
      </c>
      <c r="F38" s="27"/>
      <c r="G38" s="6">
        <f t="shared" si="2"/>
        <v>0</v>
      </c>
      <c r="H38" s="148"/>
    </row>
    <row r="39" spans="1:8" s="4" customFormat="1" ht="22.5">
      <c r="A39" s="61">
        <v>26</v>
      </c>
      <c r="B39" s="62"/>
      <c r="C39" s="45" t="s">
        <v>103</v>
      </c>
      <c r="D39" s="46" t="s">
        <v>12</v>
      </c>
      <c r="E39" s="7">
        <f>Przedmiar!E40</f>
        <v>8</v>
      </c>
      <c r="F39" s="27"/>
      <c r="G39" s="6">
        <f t="shared" si="2"/>
        <v>0</v>
      </c>
      <c r="H39" s="148"/>
    </row>
    <row r="40" spans="1:8" s="4" customFormat="1" ht="22.5">
      <c r="A40" s="61">
        <v>27</v>
      </c>
      <c r="B40" s="62"/>
      <c r="C40" s="45" t="s">
        <v>98</v>
      </c>
      <c r="D40" s="46" t="s">
        <v>100</v>
      </c>
      <c r="E40" s="7">
        <f>Przedmiar!E41</f>
        <v>9.3</v>
      </c>
      <c r="F40" s="27"/>
      <c r="G40" s="6">
        <f t="shared" si="2"/>
        <v>0</v>
      </c>
      <c r="H40" s="148"/>
    </row>
    <row r="41" spans="1:8" s="4" customFormat="1" ht="22.5">
      <c r="A41" s="61">
        <v>28</v>
      </c>
      <c r="B41" s="62"/>
      <c r="C41" s="45" t="s">
        <v>99</v>
      </c>
      <c r="D41" s="46" t="s">
        <v>12</v>
      </c>
      <c r="E41" s="7">
        <f>Przedmiar!E42</f>
        <v>2</v>
      </c>
      <c r="F41" s="27"/>
      <c r="G41" s="6">
        <f t="shared" si="2"/>
        <v>0</v>
      </c>
      <c r="H41" s="148"/>
    </row>
    <row r="42" spans="1:8" s="4" customFormat="1" ht="12.75">
      <c r="A42" s="61"/>
      <c r="B42" s="5" t="s">
        <v>96</v>
      </c>
      <c r="C42" s="5" t="s">
        <v>173</v>
      </c>
      <c r="D42" s="46" t="s">
        <v>25</v>
      </c>
      <c r="E42" s="7" t="str">
        <f>Przedmiar!E43</f>
        <v>-</v>
      </c>
      <c r="F42" s="46" t="s">
        <v>25</v>
      </c>
      <c r="G42" s="124" t="s">
        <v>25</v>
      </c>
      <c r="H42" s="148"/>
    </row>
    <row r="43" spans="1:8" s="4" customFormat="1" ht="22.5">
      <c r="A43" s="61">
        <v>29</v>
      </c>
      <c r="B43" s="5"/>
      <c r="C43" s="5" t="s">
        <v>174</v>
      </c>
      <c r="D43" s="46" t="s">
        <v>54</v>
      </c>
      <c r="E43" s="7">
        <f>Przedmiar!E44</f>
        <v>198</v>
      </c>
      <c r="F43" s="27"/>
      <c r="G43" s="6">
        <f>ROUND(F43*E43,2)</f>
        <v>0</v>
      </c>
      <c r="H43" s="148"/>
    </row>
    <row r="44" spans="1:8" s="4" customFormat="1" ht="12.75">
      <c r="A44" s="61"/>
      <c r="B44" s="5" t="s">
        <v>192</v>
      </c>
      <c r="C44" s="5" t="s">
        <v>193</v>
      </c>
      <c r="D44" s="46" t="s">
        <v>54</v>
      </c>
      <c r="E44" s="7">
        <f>Przedmiar!E45</f>
        <v>10</v>
      </c>
      <c r="F44" s="27"/>
      <c r="G44" s="6">
        <f>ROUND(F44*E44,2)</f>
        <v>0</v>
      </c>
      <c r="H44" s="148"/>
    </row>
    <row r="45" spans="1:8" s="4" customFormat="1" ht="12.75">
      <c r="A45" s="15"/>
      <c r="B45" s="5" t="s">
        <v>138</v>
      </c>
      <c r="C45" s="5" t="s">
        <v>113</v>
      </c>
      <c r="D45" s="8" t="s">
        <v>25</v>
      </c>
      <c r="E45" s="7" t="str">
        <f>Przedmiar!E46</f>
        <v>-</v>
      </c>
      <c r="F45" s="125" t="s">
        <v>25</v>
      </c>
      <c r="G45" s="92" t="s">
        <v>25</v>
      </c>
      <c r="H45" s="148"/>
    </row>
    <row r="46" spans="1:8" s="4" customFormat="1" ht="22.5">
      <c r="A46" s="117">
        <v>30</v>
      </c>
      <c r="B46" s="28"/>
      <c r="C46" s="43" t="s">
        <v>120</v>
      </c>
      <c r="D46" s="27" t="s">
        <v>13</v>
      </c>
      <c r="E46" s="7">
        <f>Przedmiar!E47</f>
        <v>1475.65</v>
      </c>
      <c r="F46" s="27"/>
      <c r="G46" s="59">
        <f aca="true" t="shared" si="3" ref="G46:G51">ROUND(F46*E46,2)</f>
        <v>0</v>
      </c>
      <c r="H46" s="148"/>
    </row>
    <row r="47" spans="1:8" s="4" customFormat="1" ht="22.5">
      <c r="A47" s="117">
        <v>31</v>
      </c>
      <c r="B47" s="28"/>
      <c r="C47" s="43" t="s">
        <v>121</v>
      </c>
      <c r="D47" s="27" t="s">
        <v>14</v>
      </c>
      <c r="E47" s="7">
        <f>Przedmiar!E48</f>
        <v>2768.01</v>
      </c>
      <c r="F47" s="27"/>
      <c r="G47" s="59">
        <f t="shared" si="3"/>
        <v>0</v>
      </c>
      <c r="H47" s="148"/>
    </row>
    <row r="48" spans="1:8" s="4" customFormat="1" ht="22.5">
      <c r="A48" s="117">
        <v>32</v>
      </c>
      <c r="B48" s="28"/>
      <c r="C48" s="43" t="s">
        <v>122</v>
      </c>
      <c r="D48" s="27" t="s">
        <v>13</v>
      </c>
      <c r="E48" s="7">
        <f>Przedmiar!E49</f>
        <v>127.76</v>
      </c>
      <c r="F48" s="27"/>
      <c r="G48" s="59">
        <f t="shared" si="3"/>
        <v>0</v>
      </c>
      <c r="H48" s="148"/>
    </row>
    <row r="49" spans="1:8" s="4" customFormat="1" ht="22.5">
      <c r="A49" s="117">
        <v>33</v>
      </c>
      <c r="B49" s="28"/>
      <c r="C49" s="43" t="s">
        <v>123</v>
      </c>
      <c r="D49" s="44" t="s">
        <v>13</v>
      </c>
      <c r="E49" s="7">
        <f>Przedmiar!E50</f>
        <v>372.06</v>
      </c>
      <c r="F49" s="27"/>
      <c r="G49" s="59">
        <f t="shared" si="3"/>
        <v>0</v>
      </c>
      <c r="H49" s="148"/>
    </row>
    <row r="50" spans="1:8" s="4" customFormat="1" ht="33.75">
      <c r="A50" s="117">
        <v>34</v>
      </c>
      <c r="B50" s="28"/>
      <c r="C50" s="43" t="s">
        <v>186</v>
      </c>
      <c r="D50" s="44" t="s">
        <v>13</v>
      </c>
      <c r="E50" s="7">
        <f>Przedmiar!E51</f>
        <v>898.93</v>
      </c>
      <c r="F50" s="27"/>
      <c r="G50" s="59">
        <f t="shared" si="3"/>
        <v>0</v>
      </c>
      <c r="H50" s="148"/>
    </row>
    <row r="51" spans="1:8" s="4" customFormat="1" ht="22.5">
      <c r="A51" s="117">
        <v>35</v>
      </c>
      <c r="B51" s="5"/>
      <c r="C51" s="43" t="s">
        <v>159</v>
      </c>
      <c r="D51" s="44" t="s">
        <v>54</v>
      </c>
      <c r="E51" s="7">
        <f>Przedmiar!E52</f>
        <v>703.85</v>
      </c>
      <c r="F51" s="27"/>
      <c r="G51" s="59">
        <f t="shared" si="3"/>
        <v>0</v>
      </c>
      <c r="H51" s="148"/>
    </row>
    <row r="52" spans="1:8" s="4" customFormat="1" ht="22.5">
      <c r="A52" s="117">
        <v>36</v>
      </c>
      <c r="B52" s="10"/>
      <c r="C52" s="43" t="s">
        <v>79</v>
      </c>
      <c r="D52" s="44" t="s">
        <v>54</v>
      </c>
      <c r="E52" s="7">
        <f>Przedmiar!E53</f>
        <v>98.85</v>
      </c>
      <c r="F52" s="27"/>
      <c r="G52" s="59">
        <f aca="true" t="shared" si="4" ref="G52:G57">ROUND(F52*E52,2)</f>
        <v>0</v>
      </c>
      <c r="H52" s="148"/>
    </row>
    <row r="53" spans="1:8" s="4" customFormat="1" ht="12.75">
      <c r="A53" s="117">
        <v>37</v>
      </c>
      <c r="B53" s="28"/>
      <c r="C53" s="43" t="s">
        <v>161</v>
      </c>
      <c r="D53" s="44" t="s">
        <v>56</v>
      </c>
      <c r="E53" s="7">
        <f>Przedmiar!E54</f>
        <v>1</v>
      </c>
      <c r="F53" s="27"/>
      <c r="G53" s="59">
        <f t="shared" si="4"/>
        <v>0</v>
      </c>
      <c r="H53" s="148"/>
    </row>
    <row r="54" spans="1:8" s="4" customFormat="1" ht="12.75">
      <c r="A54" s="117">
        <v>38</v>
      </c>
      <c r="B54" s="40"/>
      <c r="C54" s="43" t="s">
        <v>162</v>
      </c>
      <c r="D54" s="44" t="s">
        <v>56</v>
      </c>
      <c r="E54" s="7">
        <f>Przedmiar!E55</f>
        <v>24</v>
      </c>
      <c r="F54" s="27"/>
      <c r="G54" s="59">
        <f t="shared" si="4"/>
        <v>0</v>
      </c>
      <c r="H54" s="148"/>
    </row>
    <row r="55" spans="1:8" s="4" customFormat="1" ht="33.75">
      <c r="A55" s="117">
        <v>39</v>
      </c>
      <c r="B55" s="5"/>
      <c r="C55" s="43" t="s">
        <v>80</v>
      </c>
      <c r="D55" s="44" t="s">
        <v>56</v>
      </c>
      <c r="E55" s="7">
        <f>Przedmiar!E56</f>
        <v>25</v>
      </c>
      <c r="F55" s="27"/>
      <c r="G55" s="59">
        <f t="shared" si="4"/>
        <v>0</v>
      </c>
      <c r="H55" s="148"/>
    </row>
    <row r="56" spans="1:8" s="4" customFormat="1" ht="22.5">
      <c r="A56" s="117">
        <v>40</v>
      </c>
      <c r="B56" s="5"/>
      <c r="C56" s="45" t="s">
        <v>160</v>
      </c>
      <c r="D56" s="46" t="s">
        <v>54</v>
      </c>
      <c r="E56" s="7">
        <f>Przedmiar!E57</f>
        <v>703.85</v>
      </c>
      <c r="F56" s="27"/>
      <c r="G56" s="59">
        <f t="shared" si="4"/>
        <v>0</v>
      </c>
      <c r="H56" s="148"/>
    </row>
    <row r="57" spans="1:8" s="4" customFormat="1" ht="22.5">
      <c r="A57" s="117">
        <v>41</v>
      </c>
      <c r="B57" s="5"/>
      <c r="C57" s="45" t="s">
        <v>163</v>
      </c>
      <c r="D57" s="46" t="s">
        <v>54</v>
      </c>
      <c r="E57" s="7">
        <f>Przedmiar!E58</f>
        <v>98.85</v>
      </c>
      <c r="F57" s="27"/>
      <c r="G57" s="59">
        <f t="shared" si="4"/>
        <v>0</v>
      </c>
      <c r="H57" s="148"/>
    </row>
    <row r="58" spans="1:8" ht="12.75">
      <c r="A58" s="25"/>
      <c r="B58" s="20"/>
      <c r="C58" s="21" t="s">
        <v>20</v>
      </c>
      <c r="D58" s="24"/>
      <c r="E58" s="24"/>
      <c r="F58" s="126"/>
      <c r="G58" s="119">
        <f>G60+G62+G64+G65+G66+G68+G69+G70+G72+G73+G74+G75+G77+G79</f>
        <v>0</v>
      </c>
      <c r="H58" s="147">
        <f>G58*1.23</f>
        <v>0</v>
      </c>
    </row>
    <row r="59" spans="1:7" ht="12.75">
      <c r="A59" s="3"/>
      <c r="B59" s="5" t="s">
        <v>21</v>
      </c>
      <c r="C59" s="5" t="s">
        <v>22</v>
      </c>
      <c r="D59" s="91" t="s">
        <v>11</v>
      </c>
      <c r="E59" s="7" t="str">
        <f>Przedmiar!E60</f>
        <v> -</v>
      </c>
      <c r="F59" s="7" t="s">
        <v>11</v>
      </c>
      <c r="G59" s="92" t="s">
        <v>11</v>
      </c>
    </row>
    <row r="60" spans="1:7" ht="33.75">
      <c r="A60" s="3">
        <v>42</v>
      </c>
      <c r="B60" s="93"/>
      <c r="C60" s="5" t="s">
        <v>65</v>
      </c>
      <c r="D60" s="8" t="s">
        <v>14</v>
      </c>
      <c r="E60" s="7">
        <f>Przedmiar!E61</f>
        <v>18498.48</v>
      </c>
      <c r="F60" s="27"/>
      <c r="G60" s="59">
        <f>ROUND(F60*E60,2)</f>
        <v>0</v>
      </c>
    </row>
    <row r="61" spans="1:7" ht="12.75">
      <c r="A61" s="3"/>
      <c r="B61" s="5" t="s">
        <v>23</v>
      </c>
      <c r="C61" s="5" t="s">
        <v>24</v>
      </c>
      <c r="D61" s="8" t="s">
        <v>25</v>
      </c>
      <c r="E61" s="7" t="str">
        <f>Przedmiar!E62</f>
        <v>-</v>
      </c>
      <c r="F61" s="120" t="s">
        <v>25</v>
      </c>
      <c r="G61" s="123" t="s">
        <v>25</v>
      </c>
    </row>
    <row r="62" spans="1:7" ht="22.5">
      <c r="A62" s="3">
        <v>43</v>
      </c>
      <c r="B62" s="5"/>
      <c r="C62" s="5" t="s">
        <v>26</v>
      </c>
      <c r="D62" s="8" t="s">
        <v>14</v>
      </c>
      <c r="E62" s="7">
        <f>Przedmiar!E63</f>
        <v>3762.35</v>
      </c>
      <c r="F62" s="27"/>
      <c r="G62" s="59">
        <f>ROUND(F62*E62,2)</f>
        <v>0</v>
      </c>
    </row>
    <row r="63" spans="1:7" ht="22.5">
      <c r="A63" s="3"/>
      <c r="B63" s="5" t="s">
        <v>27</v>
      </c>
      <c r="C63" s="5" t="s">
        <v>28</v>
      </c>
      <c r="D63" s="91" t="s">
        <v>11</v>
      </c>
      <c r="E63" s="7" t="str">
        <f>Przedmiar!E64</f>
        <v> -</v>
      </c>
      <c r="F63" s="91" t="s">
        <v>11</v>
      </c>
      <c r="G63" s="94" t="s">
        <v>11</v>
      </c>
    </row>
    <row r="64" spans="1:7" ht="22.5">
      <c r="A64" s="3">
        <v>44</v>
      </c>
      <c r="B64" s="5"/>
      <c r="C64" s="5" t="s">
        <v>29</v>
      </c>
      <c r="D64" s="91" t="s">
        <v>14</v>
      </c>
      <c r="E64" s="7">
        <f>Przedmiar!E65</f>
        <v>100246.8</v>
      </c>
      <c r="F64" s="27"/>
      <c r="G64" s="59">
        <f>ROUND(F64*E64,2)</f>
        <v>0</v>
      </c>
    </row>
    <row r="65" spans="1:7" ht="33.75">
      <c r="A65" s="3">
        <v>45</v>
      </c>
      <c r="B65" s="5"/>
      <c r="C65" s="5" t="s">
        <v>30</v>
      </c>
      <c r="D65" s="8" t="s">
        <v>14</v>
      </c>
      <c r="E65" s="7">
        <f>Przedmiar!E66</f>
        <v>15631.17</v>
      </c>
      <c r="F65" s="27"/>
      <c r="G65" s="59">
        <f>ROUND(F65*E65,2)</f>
        <v>0</v>
      </c>
    </row>
    <row r="66" spans="1:7" ht="33.75">
      <c r="A66" s="3">
        <v>46</v>
      </c>
      <c r="B66" s="5"/>
      <c r="C66" s="5" t="s">
        <v>115</v>
      </c>
      <c r="D66" s="8" t="s">
        <v>14</v>
      </c>
      <c r="E66" s="7">
        <f>Przedmiar!E67</f>
        <v>100246.8</v>
      </c>
      <c r="F66" s="27"/>
      <c r="G66" s="59">
        <f>ROUND(F66*E66,2)</f>
        <v>0</v>
      </c>
    </row>
    <row r="67" spans="1:7" ht="22.5">
      <c r="A67" s="3"/>
      <c r="B67" s="5" t="s">
        <v>31</v>
      </c>
      <c r="C67" s="5" t="s">
        <v>32</v>
      </c>
      <c r="D67" s="91" t="s">
        <v>25</v>
      </c>
      <c r="E67" s="91" t="s">
        <v>25</v>
      </c>
      <c r="F67" s="91" t="s">
        <v>25</v>
      </c>
      <c r="G67" s="94" t="s">
        <v>25</v>
      </c>
    </row>
    <row r="68" spans="1:7" ht="33.75">
      <c r="A68" s="3">
        <v>47</v>
      </c>
      <c r="B68" s="5"/>
      <c r="C68" s="5" t="s">
        <v>140</v>
      </c>
      <c r="D68" s="8" t="s">
        <v>14</v>
      </c>
      <c r="E68" s="7">
        <f>Przedmiar!E69</f>
        <v>1846.2</v>
      </c>
      <c r="F68" s="27"/>
      <c r="G68" s="59">
        <f>ROUND(F68*E68,2)</f>
        <v>0</v>
      </c>
    </row>
    <row r="69" spans="1:7" ht="33.75">
      <c r="A69" s="3">
        <v>48</v>
      </c>
      <c r="B69" s="5"/>
      <c r="C69" s="5" t="s">
        <v>62</v>
      </c>
      <c r="D69" s="8" t="s">
        <v>14</v>
      </c>
      <c r="E69" s="7">
        <f>Przedmiar!E70</f>
        <v>2062.35</v>
      </c>
      <c r="F69" s="27"/>
      <c r="G69" s="59">
        <f>ROUND(F69*E69,2)</f>
        <v>0</v>
      </c>
    </row>
    <row r="70" spans="1:7" ht="33.75">
      <c r="A70" s="3">
        <v>49</v>
      </c>
      <c r="B70" s="5"/>
      <c r="C70" s="5" t="s">
        <v>63</v>
      </c>
      <c r="D70" s="8" t="s">
        <v>14</v>
      </c>
      <c r="E70" s="7">
        <f>Przedmiar!E71</f>
        <v>13849.02</v>
      </c>
      <c r="F70" s="27"/>
      <c r="G70" s="59">
        <f>ROUND(F70*E70,2)</f>
        <v>0</v>
      </c>
    </row>
    <row r="71" spans="1:7" ht="22.5">
      <c r="A71" s="3"/>
      <c r="B71" s="5" t="s">
        <v>107</v>
      </c>
      <c r="C71" s="5" t="s">
        <v>114</v>
      </c>
      <c r="D71" s="91" t="s">
        <v>25</v>
      </c>
      <c r="E71" s="7" t="str">
        <f>Przedmiar!E72</f>
        <v>-</v>
      </c>
      <c r="F71" s="91" t="s">
        <v>25</v>
      </c>
      <c r="G71" s="94" t="s">
        <v>25</v>
      </c>
    </row>
    <row r="72" spans="1:7" ht="33.75">
      <c r="A72" s="3">
        <v>50</v>
      </c>
      <c r="B72" s="5"/>
      <c r="C72" s="5" t="s">
        <v>166</v>
      </c>
      <c r="D72" s="8" t="s">
        <v>14</v>
      </c>
      <c r="E72" s="7">
        <f>Przedmiar!E73</f>
        <v>5313.94</v>
      </c>
      <c r="F72" s="27"/>
      <c r="G72" s="59">
        <f>ROUND(F72*E72,2)</f>
        <v>0</v>
      </c>
    </row>
    <row r="73" spans="1:7" ht="35.25" customHeight="1">
      <c r="A73" s="3">
        <v>51</v>
      </c>
      <c r="B73" s="5"/>
      <c r="C73" s="5" t="s">
        <v>188</v>
      </c>
      <c r="D73" s="8" t="s">
        <v>14</v>
      </c>
      <c r="E73" s="7">
        <f>Przedmiar!E74</f>
        <v>8687.99</v>
      </c>
      <c r="F73" s="27"/>
      <c r="G73" s="59">
        <f>ROUND(F73*E73,2)</f>
        <v>0</v>
      </c>
    </row>
    <row r="74" spans="1:7" ht="38.25" customHeight="1">
      <c r="A74" s="3">
        <v>52</v>
      </c>
      <c r="B74" s="5"/>
      <c r="C74" s="5" t="s">
        <v>187</v>
      </c>
      <c r="D74" s="8" t="s">
        <v>14</v>
      </c>
      <c r="E74" s="7">
        <f>Przedmiar!E75</f>
        <v>897.4</v>
      </c>
      <c r="F74" s="27"/>
      <c r="G74" s="59">
        <f>ROUND(F74*E74,2)</f>
        <v>0</v>
      </c>
    </row>
    <row r="75" spans="1:7" ht="39.75" customHeight="1">
      <c r="A75" s="3">
        <v>53</v>
      </c>
      <c r="B75" s="5"/>
      <c r="C75" s="5" t="s">
        <v>189</v>
      </c>
      <c r="D75" s="8" t="s">
        <v>14</v>
      </c>
      <c r="E75" s="7">
        <f>Przedmiar!E76</f>
        <v>8687.99</v>
      </c>
      <c r="F75" s="27"/>
      <c r="G75" s="59">
        <f>ROUND(F75*E75,2)</f>
        <v>0</v>
      </c>
    </row>
    <row r="76" spans="1:7" ht="22.5">
      <c r="A76" s="3"/>
      <c r="B76" s="5" t="s">
        <v>104</v>
      </c>
      <c r="C76" s="5" t="s">
        <v>105</v>
      </c>
      <c r="D76" s="91" t="s">
        <v>25</v>
      </c>
      <c r="E76" s="7" t="str">
        <f>Przedmiar!E77</f>
        <v>-</v>
      </c>
      <c r="F76" s="91" t="s">
        <v>25</v>
      </c>
      <c r="G76" s="94" t="s">
        <v>25</v>
      </c>
    </row>
    <row r="77" spans="1:7" ht="33.75">
      <c r="A77" s="3">
        <v>54</v>
      </c>
      <c r="B77" s="5"/>
      <c r="C77" s="5" t="s">
        <v>106</v>
      </c>
      <c r="D77" s="8" t="s">
        <v>14</v>
      </c>
      <c r="E77" s="7">
        <f>Przedmiar!E78</f>
        <v>10740.29</v>
      </c>
      <c r="F77" s="27"/>
      <c r="G77" s="59">
        <f>ROUND(F77*E77,2)</f>
        <v>0</v>
      </c>
    </row>
    <row r="78" spans="1:7" ht="22.5">
      <c r="A78" s="3"/>
      <c r="B78" s="5" t="s">
        <v>33</v>
      </c>
      <c r="C78" s="5" t="s">
        <v>34</v>
      </c>
      <c r="D78" s="91" t="s">
        <v>11</v>
      </c>
      <c r="E78" s="7" t="str">
        <f>Przedmiar!E79</f>
        <v> -</v>
      </c>
      <c r="F78" s="7" t="s">
        <v>11</v>
      </c>
      <c r="G78" s="92" t="s">
        <v>11</v>
      </c>
    </row>
    <row r="79" spans="1:7" ht="39.75" customHeight="1">
      <c r="A79" s="3">
        <v>55</v>
      </c>
      <c r="B79" s="5"/>
      <c r="C79" s="5" t="s">
        <v>66</v>
      </c>
      <c r="D79" s="8" t="s">
        <v>35</v>
      </c>
      <c r="E79" s="7">
        <f>Przedmiar!E80</f>
        <v>3433.78</v>
      </c>
      <c r="F79" s="27"/>
      <c r="G79" s="59">
        <f>ROUND(F79*E79,2)</f>
        <v>0</v>
      </c>
    </row>
    <row r="80" spans="1:8" ht="12.75">
      <c r="A80" s="23"/>
      <c r="B80" s="24"/>
      <c r="C80" s="21" t="s">
        <v>36</v>
      </c>
      <c r="D80" s="24"/>
      <c r="E80" s="24"/>
      <c r="F80" s="126"/>
      <c r="G80" s="119">
        <f>G82+G83+G84+G85+G87+G89+G90+G91</f>
        <v>0</v>
      </c>
      <c r="H80" s="147">
        <f>G80*1.23</f>
        <v>0</v>
      </c>
    </row>
    <row r="81" spans="1:7" ht="12.75">
      <c r="A81" s="3"/>
      <c r="B81" s="5"/>
      <c r="C81" s="5" t="s">
        <v>37</v>
      </c>
      <c r="D81" s="91" t="s">
        <v>11</v>
      </c>
      <c r="E81" s="7" t="str">
        <f>Przedmiar!E82</f>
        <v> </v>
      </c>
      <c r="F81" s="91" t="s">
        <v>11</v>
      </c>
      <c r="G81" s="94" t="s">
        <v>11</v>
      </c>
    </row>
    <row r="82" spans="1:7" ht="49.5" customHeight="1">
      <c r="A82" s="3">
        <v>56</v>
      </c>
      <c r="B82" s="5" t="s">
        <v>33</v>
      </c>
      <c r="C82" s="5" t="s">
        <v>118</v>
      </c>
      <c r="D82" s="8" t="s">
        <v>14</v>
      </c>
      <c r="E82" s="7">
        <f>Przedmiar!E83</f>
        <v>3287.2</v>
      </c>
      <c r="F82" s="27"/>
      <c r="G82" s="59">
        <f>ROUND(F82*E82,2)</f>
        <v>0</v>
      </c>
    </row>
    <row r="83" spans="1:7" ht="33.75">
      <c r="A83" s="3">
        <v>57</v>
      </c>
      <c r="B83" s="5" t="s">
        <v>33</v>
      </c>
      <c r="C83" s="5" t="s">
        <v>167</v>
      </c>
      <c r="D83" s="8" t="s">
        <v>14</v>
      </c>
      <c r="E83" s="7">
        <f>Przedmiar!E84</f>
        <v>35788.36</v>
      </c>
      <c r="F83" s="27"/>
      <c r="G83" s="59">
        <f>ROUND(F83*E83,2)</f>
        <v>0</v>
      </c>
    </row>
    <row r="84" spans="1:7" ht="47.25" customHeight="1">
      <c r="A84" s="3">
        <v>58</v>
      </c>
      <c r="B84" s="5" t="s">
        <v>139</v>
      </c>
      <c r="C84" s="5" t="s">
        <v>169</v>
      </c>
      <c r="D84" s="8" t="s">
        <v>14</v>
      </c>
      <c r="E84" s="7">
        <f>Przedmiar!E85</f>
        <v>34531.5</v>
      </c>
      <c r="F84" s="27"/>
      <c r="G84" s="59">
        <f>ROUND(F84*E84,2)</f>
        <v>0</v>
      </c>
    </row>
    <row r="85" spans="1:7" ht="54" customHeight="1">
      <c r="A85" s="3">
        <v>59</v>
      </c>
      <c r="B85" s="5" t="s">
        <v>38</v>
      </c>
      <c r="C85" s="5" t="s">
        <v>168</v>
      </c>
      <c r="D85" s="8" t="s">
        <v>14</v>
      </c>
      <c r="E85" s="7">
        <f>Przedmiar!E86</f>
        <v>3287.2</v>
      </c>
      <c r="F85" s="27"/>
      <c r="G85" s="59">
        <f>ROUND(F85*E85,2)</f>
        <v>0</v>
      </c>
    </row>
    <row r="86" spans="1:7" ht="12.75">
      <c r="A86" s="3"/>
      <c r="B86" s="5" t="s">
        <v>39</v>
      </c>
      <c r="C86" s="5" t="s">
        <v>40</v>
      </c>
      <c r="D86" s="95" t="s">
        <v>25</v>
      </c>
      <c r="E86" s="7" t="str">
        <f>Przedmiar!E87</f>
        <v>-</v>
      </c>
      <c r="F86" s="127" t="s">
        <v>25</v>
      </c>
      <c r="G86" s="141" t="s">
        <v>25</v>
      </c>
    </row>
    <row r="87" spans="1:7" ht="33.75">
      <c r="A87" s="3">
        <v>60</v>
      </c>
      <c r="B87" s="96"/>
      <c r="C87" s="5" t="s">
        <v>41</v>
      </c>
      <c r="D87" s="8" t="s">
        <v>14</v>
      </c>
      <c r="E87" s="7">
        <f>Przedmiar!E88</f>
        <v>37609</v>
      </c>
      <c r="F87" s="27"/>
      <c r="G87" s="59">
        <f>ROUND(F87*E87,2)</f>
        <v>0</v>
      </c>
    </row>
    <row r="88" spans="1:7" ht="22.5">
      <c r="A88" s="3"/>
      <c r="B88" s="31" t="s">
        <v>81</v>
      </c>
      <c r="C88" s="31" t="s">
        <v>82</v>
      </c>
      <c r="D88" s="95" t="s">
        <v>25</v>
      </c>
      <c r="E88" s="7" t="str">
        <f>Przedmiar!E89</f>
        <v>-</v>
      </c>
      <c r="F88" s="127" t="s">
        <v>25</v>
      </c>
      <c r="G88" s="141" t="s">
        <v>25</v>
      </c>
    </row>
    <row r="89" spans="1:7" ht="39.75" customHeight="1">
      <c r="A89" s="3">
        <v>61</v>
      </c>
      <c r="B89" s="31"/>
      <c r="C89" s="31" t="s">
        <v>124</v>
      </c>
      <c r="D89" s="34" t="s">
        <v>14</v>
      </c>
      <c r="E89" s="7">
        <f>Przedmiar!E90</f>
        <v>1817.2</v>
      </c>
      <c r="F89" s="27"/>
      <c r="G89" s="59">
        <f>ROUND(F89*E89,2)</f>
        <v>0</v>
      </c>
    </row>
    <row r="90" spans="1:7" ht="45">
      <c r="A90" s="3">
        <v>62</v>
      </c>
      <c r="B90" s="31"/>
      <c r="C90" s="31" t="s">
        <v>125</v>
      </c>
      <c r="D90" s="34" t="s">
        <v>14</v>
      </c>
      <c r="E90" s="7">
        <f>Przedmiar!E91</f>
        <v>280.2</v>
      </c>
      <c r="F90" s="27"/>
      <c r="G90" s="59">
        <f>ROUND(F90*E90,2)</f>
        <v>0</v>
      </c>
    </row>
    <row r="91" spans="1:7" ht="45">
      <c r="A91" s="3">
        <v>63</v>
      </c>
      <c r="B91" s="31" t="s">
        <v>180</v>
      </c>
      <c r="C91" s="128" t="s">
        <v>179</v>
      </c>
      <c r="D91" s="129" t="s">
        <v>14</v>
      </c>
      <c r="E91" s="7">
        <f>Przedmiar!E92</f>
        <v>1244</v>
      </c>
      <c r="F91" s="27"/>
      <c r="G91" s="59">
        <f>ROUND(F91*E91,2)</f>
        <v>0</v>
      </c>
    </row>
    <row r="92" spans="1:8" ht="12.75">
      <c r="A92" s="16"/>
      <c r="B92" s="17"/>
      <c r="C92" s="18" t="s">
        <v>42</v>
      </c>
      <c r="D92" s="19"/>
      <c r="E92" s="19"/>
      <c r="F92" s="110" t="s">
        <v>19</v>
      </c>
      <c r="G92" s="142">
        <f>G94+G95+G96+G97+G99+G100+G102</f>
        <v>0</v>
      </c>
      <c r="H92" s="147">
        <f>G92*1.23</f>
        <v>0</v>
      </c>
    </row>
    <row r="93" spans="1:7" ht="22.5">
      <c r="A93" s="30"/>
      <c r="B93" s="118" t="s">
        <v>89</v>
      </c>
      <c r="C93" s="28" t="s">
        <v>101</v>
      </c>
      <c r="D93" s="9" t="s">
        <v>11</v>
      </c>
      <c r="E93" s="7" t="str">
        <f>Przedmiar!E94</f>
        <v> -</v>
      </c>
      <c r="F93" s="9" t="s">
        <v>11</v>
      </c>
      <c r="G93" s="71" t="s">
        <v>11</v>
      </c>
    </row>
    <row r="94" spans="1:7" ht="22.5">
      <c r="A94" s="130">
        <v>63</v>
      </c>
      <c r="B94" s="31"/>
      <c r="C94" s="131" t="s">
        <v>175</v>
      </c>
      <c r="D94" s="27" t="s">
        <v>56</v>
      </c>
      <c r="E94" s="7">
        <f>Przedmiar!E95</f>
        <v>11</v>
      </c>
      <c r="F94" s="42"/>
      <c r="G94" s="73">
        <f>ROUND(F94*E94,2)</f>
        <v>0</v>
      </c>
    </row>
    <row r="95" spans="1:7" ht="56.25">
      <c r="A95" s="72">
        <v>64</v>
      </c>
      <c r="B95" s="51"/>
      <c r="C95" s="10" t="s">
        <v>126</v>
      </c>
      <c r="D95" s="37" t="s">
        <v>14</v>
      </c>
      <c r="E95" s="7">
        <f>Przedmiar!E96</f>
        <v>1107.05</v>
      </c>
      <c r="F95" s="42"/>
      <c r="G95" s="73">
        <f>ROUND(F95*E95,2)</f>
        <v>0</v>
      </c>
    </row>
    <row r="96" spans="1:7" ht="56.25">
      <c r="A96" s="137">
        <v>65</v>
      </c>
      <c r="B96" s="76"/>
      <c r="C96" s="76" t="s">
        <v>127</v>
      </c>
      <c r="D96" s="75" t="s">
        <v>14</v>
      </c>
      <c r="E96" s="7">
        <f>Przedmiar!E97</f>
        <v>115.24</v>
      </c>
      <c r="F96" s="42"/>
      <c r="G96" s="73">
        <f>ROUND(F96*E96,2)</f>
        <v>0</v>
      </c>
    </row>
    <row r="97" spans="1:7" ht="22.5">
      <c r="A97" s="137">
        <v>66</v>
      </c>
      <c r="B97" s="76"/>
      <c r="C97" s="76" t="s">
        <v>119</v>
      </c>
      <c r="D97" s="75" t="s">
        <v>14</v>
      </c>
      <c r="E97" s="7">
        <f>Przedmiar!E98</f>
        <v>55.1</v>
      </c>
      <c r="F97" s="78"/>
      <c r="G97" s="79">
        <f>ROUND(F97*E97,2)</f>
        <v>0</v>
      </c>
    </row>
    <row r="98" spans="1:7" ht="12.75">
      <c r="A98" s="74"/>
      <c r="B98" s="97" t="s">
        <v>52</v>
      </c>
      <c r="C98" s="97" t="s">
        <v>53</v>
      </c>
      <c r="D98" s="9" t="s">
        <v>11</v>
      </c>
      <c r="E98" s="9" t="s">
        <v>11</v>
      </c>
      <c r="F98" s="9" t="s">
        <v>11</v>
      </c>
      <c r="G98" s="9" t="s">
        <v>11</v>
      </c>
    </row>
    <row r="99" spans="1:7" ht="22.5">
      <c r="A99" s="30">
        <v>67</v>
      </c>
      <c r="B99" s="28"/>
      <c r="C99" s="28" t="s">
        <v>128</v>
      </c>
      <c r="D99" s="27" t="s">
        <v>54</v>
      </c>
      <c r="E99" s="7">
        <f>Przedmiar!E100</f>
        <v>759.5</v>
      </c>
      <c r="F99" s="27"/>
      <c r="G99" s="59">
        <f>ROUND(F99*E99,2)</f>
        <v>0</v>
      </c>
    </row>
    <row r="100" spans="1:7" ht="33.75">
      <c r="A100" s="30">
        <v>68</v>
      </c>
      <c r="B100" s="28"/>
      <c r="C100" s="28" t="s">
        <v>55</v>
      </c>
      <c r="D100" s="27" t="s">
        <v>56</v>
      </c>
      <c r="E100" s="7">
        <f>Przedmiar!E101</f>
        <v>66</v>
      </c>
      <c r="F100" s="27"/>
      <c r="G100" s="59">
        <f>ROUND(F100*E100,2)</f>
        <v>0</v>
      </c>
    </row>
    <row r="101" spans="1:7" ht="12.75" customHeight="1">
      <c r="A101" s="3"/>
      <c r="B101" s="5" t="s">
        <v>43</v>
      </c>
      <c r="C101" s="5" t="s">
        <v>44</v>
      </c>
      <c r="D101" s="91" t="s">
        <v>11</v>
      </c>
      <c r="E101" s="7" t="str">
        <f>Przedmiar!E102</f>
        <v> -</v>
      </c>
      <c r="F101" s="7" t="s">
        <v>11</v>
      </c>
      <c r="G101" s="92" t="s">
        <v>11</v>
      </c>
    </row>
    <row r="102" spans="1:7" ht="28.5" customHeight="1">
      <c r="A102" s="36">
        <v>69</v>
      </c>
      <c r="B102" s="98"/>
      <c r="C102" s="77" t="s">
        <v>191</v>
      </c>
      <c r="D102" s="37" t="s">
        <v>14</v>
      </c>
      <c r="E102" s="7">
        <f>Przedmiar!E103</f>
        <v>11034.07</v>
      </c>
      <c r="F102" s="27"/>
      <c r="G102" s="59">
        <f>ROUND(F102*E102,2)</f>
        <v>0</v>
      </c>
    </row>
    <row r="103" spans="1:8" ht="22.5">
      <c r="A103" s="16"/>
      <c r="B103" s="17"/>
      <c r="C103" s="18" t="s">
        <v>68</v>
      </c>
      <c r="D103" s="19"/>
      <c r="E103" s="19"/>
      <c r="F103" s="19"/>
      <c r="G103" s="63">
        <f>G105+G107+G108+G110+G111+G113</f>
        <v>0</v>
      </c>
      <c r="H103" s="147">
        <f>G103*1.23</f>
        <v>0</v>
      </c>
    </row>
    <row r="104" spans="1:7" ht="18" customHeight="1">
      <c r="A104" s="38"/>
      <c r="B104" s="31" t="s">
        <v>84</v>
      </c>
      <c r="C104" s="31" t="s">
        <v>85</v>
      </c>
      <c r="D104" s="34" t="s">
        <v>25</v>
      </c>
      <c r="E104" s="7" t="str">
        <f>Przedmiar!E105</f>
        <v>-</v>
      </c>
      <c r="F104" s="34" t="s">
        <v>25</v>
      </c>
      <c r="G104" s="64" t="s">
        <v>25</v>
      </c>
    </row>
    <row r="105" spans="1:7" ht="24" customHeight="1">
      <c r="A105" s="38">
        <v>70</v>
      </c>
      <c r="B105" s="33"/>
      <c r="C105" s="31" t="s">
        <v>86</v>
      </c>
      <c r="D105" s="34" t="s">
        <v>14</v>
      </c>
      <c r="E105" s="7">
        <f>Przedmiar!E106</f>
        <v>306.55</v>
      </c>
      <c r="F105" s="27"/>
      <c r="G105" s="59">
        <f>ROUND(F105*E105,2)</f>
        <v>0</v>
      </c>
    </row>
    <row r="106" spans="1:7" ht="12.75" customHeight="1">
      <c r="A106" s="38"/>
      <c r="B106" s="31" t="s">
        <v>58</v>
      </c>
      <c r="C106" s="31" t="s">
        <v>59</v>
      </c>
      <c r="D106" s="34" t="s">
        <v>25</v>
      </c>
      <c r="E106" s="7" t="str">
        <f>$D$106</f>
        <v>-</v>
      </c>
      <c r="F106" s="34" t="s">
        <v>25</v>
      </c>
      <c r="G106" s="64" t="s">
        <v>25</v>
      </c>
    </row>
    <row r="107" spans="1:7" ht="26.25" customHeight="1">
      <c r="A107" s="38">
        <v>71</v>
      </c>
      <c r="B107" s="33"/>
      <c r="C107" s="31" t="s">
        <v>60</v>
      </c>
      <c r="D107" s="27" t="s">
        <v>56</v>
      </c>
      <c r="E107" s="7">
        <f>Przedmiar!E108</f>
        <v>130</v>
      </c>
      <c r="F107" s="27"/>
      <c r="G107" s="59">
        <f>ROUND(F107*E107,2)</f>
        <v>0</v>
      </c>
    </row>
    <row r="108" spans="1:7" ht="27.75" customHeight="1">
      <c r="A108" s="47">
        <v>72</v>
      </c>
      <c r="B108" s="48"/>
      <c r="C108" s="49" t="s">
        <v>61</v>
      </c>
      <c r="D108" s="42" t="s">
        <v>56</v>
      </c>
      <c r="E108" s="7">
        <f>Przedmiar!E109</f>
        <v>113</v>
      </c>
      <c r="F108" s="27"/>
      <c r="G108" s="59">
        <f>ROUND(F108*E108,2)</f>
        <v>0</v>
      </c>
    </row>
    <row r="109" spans="1:7" ht="14.25" customHeight="1">
      <c r="A109" s="132"/>
      <c r="B109" s="133"/>
      <c r="C109" s="28" t="s">
        <v>177</v>
      </c>
      <c r="D109" s="34" t="s">
        <v>25</v>
      </c>
      <c r="E109" s="7" t="str">
        <f>Przedmiar!E110</f>
        <v>-</v>
      </c>
      <c r="F109" s="144"/>
      <c r="G109" s="143"/>
    </row>
    <row r="110" spans="1:7" ht="30" customHeight="1">
      <c r="A110" s="32">
        <v>73</v>
      </c>
      <c r="B110" s="50"/>
      <c r="C110" s="28" t="s">
        <v>178</v>
      </c>
      <c r="D110" s="42" t="s">
        <v>176</v>
      </c>
      <c r="E110" s="7">
        <f>Przedmiar!E111</f>
        <v>2</v>
      </c>
      <c r="F110" s="27"/>
      <c r="G110" s="59">
        <f>ROUND(F110*E110,2)</f>
        <v>0</v>
      </c>
    </row>
    <row r="111" spans="1:7" ht="30.75" customHeight="1">
      <c r="A111" s="32">
        <v>74</v>
      </c>
      <c r="B111" s="28"/>
      <c r="C111" s="28" t="s">
        <v>102</v>
      </c>
      <c r="D111" s="68" t="s">
        <v>54</v>
      </c>
      <c r="E111" s="7">
        <f>Przedmiar!E112</f>
        <v>127</v>
      </c>
      <c r="F111" s="27"/>
      <c r="G111" s="59">
        <f>ROUND(F111*E111,2)</f>
        <v>0</v>
      </c>
    </row>
    <row r="112" spans="1:7" ht="30.75" customHeight="1">
      <c r="A112" s="32"/>
      <c r="B112" s="31" t="s">
        <v>200</v>
      </c>
      <c r="C112" s="31" t="s">
        <v>201</v>
      </c>
      <c r="D112" s="34" t="s">
        <v>25</v>
      </c>
      <c r="E112" s="34" t="s">
        <v>25</v>
      </c>
      <c r="F112" s="34" t="s">
        <v>25</v>
      </c>
      <c r="G112" s="34" t="s">
        <v>25</v>
      </c>
    </row>
    <row r="113" spans="1:7" ht="30.75" customHeight="1">
      <c r="A113" s="32">
        <v>75</v>
      </c>
      <c r="B113" s="28"/>
      <c r="C113" s="40" t="s">
        <v>202</v>
      </c>
      <c r="D113" s="68" t="s">
        <v>54</v>
      </c>
      <c r="E113" s="67">
        <v>900</v>
      </c>
      <c r="F113" s="27"/>
      <c r="G113" s="59">
        <f>E113*F113</f>
        <v>0</v>
      </c>
    </row>
    <row r="114" spans="1:8" ht="17.25" customHeight="1">
      <c r="A114" s="16"/>
      <c r="B114" s="17"/>
      <c r="C114" s="21" t="s">
        <v>67</v>
      </c>
      <c r="D114" s="24"/>
      <c r="E114" s="24"/>
      <c r="F114" s="24"/>
      <c r="G114" s="22">
        <f>G116+G118+G119+G121</f>
        <v>0</v>
      </c>
      <c r="H114" s="147">
        <f>G114*1.23</f>
        <v>0</v>
      </c>
    </row>
    <row r="115" spans="1:7" ht="15" customHeight="1">
      <c r="A115" s="58"/>
      <c r="B115" s="31" t="s">
        <v>69</v>
      </c>
      <c r="C115" s="31" t="s">
        <v>70</v>
      </c>
      <c r="D115" s="99" t="s">
        <v>11</v>
      </c>
      <c r="E115" s="7" t="str">
        <f>Przedmiar!E116</f>
        <v> -</v>
      </c>
      <c r="F115" s="99" t="s">
        <v>11</v>
      </c>
      <c r="G115" s="100" t="s">
        <v>11</v>
      </c>
    </row>
    <row r="116" spans="1:7" ht="52.5" customHeight="1">
      <c r="A116" s="58">
        <v>76</v>
      </c>
      <c r="B116" s="31"/>
      <c r="C116" s="31" t="s">
        <v>71</v>
      </c>
      <c r="D116" s="34" t="s">
        <v>54</v>
      </c>
      <c r="E116" s="7">
        <f>Przedmiar!E117</f>
        <v>1000</v>
      </c>
      <c r="F116" s="27"/>
      <c r="G116" s="59">
        <f>ROUND(F116*E116,2)</f>
        <v>0</v>
      </c>
    </row>
    <row r="117" spans="1:7" ht="13.5" customHeight="1">
      <c r="A117" s="58"/>
      <c r="B117" s="31" t="s">
        <v>73</v>
      </c>
      <c r="C117" s="31" t="s">
        <v>74</v>
      </c>
      <c r="D117" s="99" t="s">
        <v>11</v>
      </c>
      <c r="E117" s="7" t="str">
        <f>Przedmiar!E118</f>
        <v> -</v>
      </c>
      <c r="F117" s="99" t="s">
        <v>11</v>
      </c>
      <c r="G117" s="100" t="s">
        <v>11</v>
      </c>
    </row>
    <row r="118" spans="1:7" ht="37.5" customHeight="1">
      <c r="A118" s="58">
        <v>77</v>
      </c>
      <c r="B118" s="31"/>
      <c r="C118" s="31" t="s">
        <v>75</v>
      </c>
      <c r="D118" s="99" t="s">
        <v>14</v>
      </c>
      <c r="E118" s="7">
        <f>Przedmiar!E119</f>
        <v>29</v>
      </c>
      <c r="F118" s="27"/>
      <c r="G118" s="59">
        <f>ROUND(F118*E118,2)</f>
        <v>0</v>
      </c>
    </row>
    <row r="119" spans="1:7" ht="56.25">
      <c r="A119" s="58">
        <v>78</v>
      </c>
      <c r="B119" s="31"/>
      <c r="C119" s="31" t="s">
        <v>72</v>
      </c>
      <c r="D119" s="34" t="s">
        <v>54</v>
      </c>
      <c r="E119" s="7">
        <f>Przedmiar!E120</f>
        <v>1048.8</v>
      </c>
      <c r="F119" s="27"/>
      <c r="G119" s="59">
        <f>ROUND(F119*E119,2)</f>
        <v>0</v>
      </c>
    </row>
    <row r="120" spans="1:7" ht="15.75" customHeight="1">
      <c r="A120" s="58"/>
      <c r="B120" s="31" t="s">
        <v>76</v>
      </c>
      <c r="C120" s="31" t="s">
        <v>77</v>
      </c>
      <c r="D120" s="99" t="s">
        <v>11</v>
      </c>
      <c r="E120" s="7" t="str">
        <f>Przedmiar!E121</f>
        <v> -</v>
      </c>
      <c r="F120" s="99" t="s">
        <v>11</v>
      </c>
      <c r="G120" s="100" t="s">
        <v>11</v>
      </c>
    </row>
    <row r="121" spans="1:7" ht="22.5">
      <c r="A121" s="58">
        <v>79</v>
      </c>
      <c r="B121" s="31"/>
      <c r="C121" s="31" t="s">
        <v>78</v>
      </c>
      <c r="D121" s="99" t="s">
        <v>54</v>
      </c>
      <c r="E121" s="7">
        <f>Przedmiar!E122</f>
        <v>823.5</v>
      </c>
      <c r="F121" s="27"/>
      <c r="G121" s="59">
        <f>ROUND(F121*E121,2)</f>
        <v>0</v>
      </c>
    </row>
    <row r="122" spans="1:8" ht="12.75">
      <c r="A122" s="113"/>
      <c r="B122" s="134"/>
      <c r="C122" s="134" t="s">
        <v>131</v>
      </c>
      <c r="D122" s="114"/>
      <c r="E122" s="114"/>
      <c r="F122" s="114"/>
      <c r="G122" s="145">
        <f>G124</f>
        <v>0</v>
      </c>
      <c r="H122" s="147">
        <f>G122*1.23</f>
        <v>0</v>
      </c>
    </row>
    <row r="123" spans="1:7" ht="20.25" customHeight="1">
      <c r="A123" s="111"/>
      <c r="B123" s="112" t="s">
        <v>132</v>
      </c>
      <c r="C123" s="112" t="s">
        <v>170</v>
      </c>
      <c r="D123" s="99" t="s">
        <v>11</v>
      </c>
      <c r="E123" s="7" t="str">
        <f>Przedmiar!E124</f>
        <v> -</v>
      </c>
      <c r="F123" s="99" t="s">
        <v>11</v>
      </c>
      <c r="G123" s="100" t="s">
        <v>11</v>
      </c>
    </row>
    <row r="124" spans="1:7" ht="13.5" thickBot="1">
      <c r="A124" s="138">
        <v>80</v>
      </c>
      <c r="B124" s="139"/>
      <c r="C124" s="139" t="s">
        <v>133</v>
      </c>
      <c r="D124" s="140" t="s">
        <v>56</v>
      </c>
      <c r="E124" s="67">
        <f>Przedmiar!E125</f>
        <v>1</v>
      </c>
      <c r="F124" s="181"/>
      <c r="G124" s="182">
        <f>ROUND(F124*E124,2)</f>
        <v>0</v>
      </c>
    </row>
    <row r="125" spans="1:7" ht="15">
      <c r="A125" s="39"/>
      <c r="B125" s="40"/>
      <c r="C125" s="40"/>
      <c r="D125" s="39"/>
      <c r="E125" s="183" t="s">
        <v>46</v>
      </c>
      <c r="F125" s="184"/>
      <c r="G125" s="185">
        <f>G7+G25+G30+G58+G80+G92+G103+G114+G122</f>
        <v>0</v>
      </c>
    </row>
    <row r="126" spans="1:7" ht="15">
      <c r="A126" s="39"/>
      <c r="B126" s="40"/>
      <c r="C126" s="40"/>
      <c r="D126" s="39"/>
      <c r="E126" s="186" t="s">
        <v>47</v>
      </c>
      <c r="F126" s="180"/>
      <c r="G126" s="187">
        <f>0.23*G125</f>
        <v>0</v>
      </c>
    </row>
    <row r="127" spans="1:7" ht="15.75" thickBot="1">
      <c r="A127" s="39"/>
      <c r="B127" s="40"/>
      <c r="C127" s="40"/>
      <c r="D127" s="39"/>
      <c r="E127" s="188" t="s">
        <v>48</v>
      </c>
      <c r="F127" s="189"/>
      <c r="G127" s="190">
        <f>SUM(G125:G126)</f>
        <v>0</v>
      </c>
    </row>
    <row r="128" spans="1:7" ht="12.75">
      <c r="A128" s="39"/>
      <c r="B128" s="40"/>
      <c r="C128" s="40"/>
      <c r="D128" s="39"/>
      <c r="E128" s="39"/>
      <c r="F128" s="41"/>
      <c r="G128" s="41"/>
    </row>
    <row r="129" spans="2:7" ht="12.75">
      <c r="B129" s="4"/>
      <c r="C129" s="4"/>
      <c r="D129" s="4"/>
      <c r="E129" s="29"/>
      <c r="F129" s="4"/>
      <c r="G129" s="4"/>
    </row>
    <row r="130" spans="1:7" ht="15">
      <c r="A130" s="11" t="s">
        <v>242</v>
      </c>
      <c r="B130" s="4"/>
      <c r="C130" s="4"/>
      <c r="D130" s="4"/>
      <c r="E130" s="13"/>
      <c r="F130" s="4"/>
      <c r="G130" s="4"/>
    </row>
    <row r="131" spans="2:7" ht="12.75">
      <c r="B131" s="4"/>
      <c r="C131" s="4"/>
      <c r="D131" s="4"/>
      <c r="E131" s="13"/>
      <c r="F131" s="4"/>
      <c r="G131" s="4"/>
    </row>
    <row r="132" spans="2:7" ht="12.75">
      <c r="B132" s="4"/>
      <c r="C132" s="4"/>
      <c r="D132" s="4"/>
      <c r="E132" s="13"/>
      <c r="F132" s="4"/>
      <c r="G132" s="4"/>
    </row>
    <row r="133" spans="2:7" ht="12.75">
      <c r="B133" s="4"/>
      <c r="C133" s="4"/>
      <c r="D133" s="4"/>
      <c r="E133" s="13"/>
      <c r="F133" s="4"/>
      <c r="G133" s="4"/>
    </row>
    <row r="134" spans="2:7" ht="12.75">
      <c r="B134" s="4"/>
      <c r="C134" s="4"/>
      <c r="D134" s="165"/>
      <c r="E134" s="165"/>
      <c r="F134" s="4"/>
      <c r="G134" s="4"/>
    </row>
    <row r="135" spans="1:7" ht="12.75">
      <c r="A135" s="162" t="s">
        <v>49</v>
      </c>
      <c r="B135" s="162"/>
      <c r="C135" s="162"/>
      <c r="D135" s="4"/>
      <c r="E135" s="13"/>
      <c r="F135" s="4"/>
      <c r="G135" s="4"/>
    </row>
    <row r="136" spans="1:7" ht="12.75">
      <c r="A136" s="164"/>
      <c r="B136" s="164"/>
      <c r="C136" s="164"/>
      <c r="D136" s="14"/>
      <c r="E136" s="56"/>
      <c r="F136" s="4"/>
      <c r="G136" s="4"/>
    </row>
    <row r="137" spans="2:7" ht="12.75">
      <c r="B137" s="4"/>
      <c r="C137" s="4"/>
      <c r="D137" s="4"/>
      <c r="E137" s="4"/>
      <c r="F137" s="4"/>
      <c r="G137" s="4"/>
    </row>
  </sheetData>
  <sheetProtection selectLockedCells="1" selectUnlockedCells="1"/>
  <mergeCells count="9">
    <mergeCell ref="A135:C135"/>
    <mergeCell ref="A136:C136"/>
    <mergeCell ref="A4:G4"/>
    <mergeCell ref="A3:G3"/>
    <mergeCell ref="A2:G2"/>
    <mergeCell ref="E125:F125"/>
    <mergeCell ref="E126:F126"/>
    <mergeCell ref="E127:F127"/>
    <mergeCell ref="D134:E134"/>
  </mergeCells>
  <printOptions/>
  <pageMargins left="0.8267716535433072" right="0.6692913385826772" top="0.984251968503937" bottom="0.7480314960629921" header="0.5118110236220472" footer="0.5118110236220472"/>
  <pageSetup fitToHeight="5" horizontalDpi="600" verticalDpi="600" orientation="portrait" paperSize="9" scale="9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PiotrP</dc:creator>
  <cp:keywords/>
  <dc:description/>
  <cp:lastModifiedBy>piotr.kowalski@pzdmlawa.pl</cp:lastModifiedBy>
  <cp:lastPrinted>2024-01-19T11:57:23Z</cp:lastPrinted>
  <dcterms:created xsi:type="dcterms:W3CDTF">2015-07-08T19:47:47Z</dcterms:created>
  <dcterms:modified xsi:type="dcterms:W3CDTF">2024-01-19T11:58:01Z</dcterms:modified>
  <cp:category/>
  <cp:version/>
  <cp:contentType/>
  <cp:contentStatus/>
</cp:coreProperties>
</file>