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90" yWindow="33031" windowWidth="9420" windowHeight="1095" tabRatio="593" activeTab="0"/>
  </bookViews>
  <sheets>
    <sheet name="UrbanC12a_3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Andrzej Gościcki</author>
    <author>Gościcki Andrzej</author>
    <author>Biedrzycki Maciej</author>
  </authors>
  <commentList>
    <comment ref="V23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1371,89</t>
        </r>
      </text>
    </comment>
    <comment ref="V26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1549,79</t>
        </r>
      </text>
    </comment>
    <comment ref="V32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1303,66</t>
        </r>
      </text>
    </comment>
    <comment ref="V35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1264,32</t>
        </r>
      </text>
    </comment>
    <comment ref="V38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951,90</t>
        </r>
      </text>
    </comment>
    <comment ref="V41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902,34</t>
        </r>
      </text>
    </comment>
    <comment ref="V47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785,54</t>
        </r>
      </text>
    </comment>
    <comment ref="V50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836,74</t>
        </r>
      </text>
    </comment>
    <comment ref="V53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836,23</t>
        </r>
      </text>
    </comment>
    <comment ref="V56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1068,48</t>
        </r>
      </text>
    </comment>
    <comment ref="C56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roz "równo"</t>
        </r>
      </text>
    </comment>
    <comment ref="C59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nowy Sprzedawca</t>
        </r>
      </text>
    </comment>
    <comment ref="V59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1392,99</t>
        </r>
      </text>
    </comment>
    <comment ref="V67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1464,24</t>
        </r>
      </text>
    </comment>
    <comment ref="V70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1453,71</t>
        </r>
      </text>
    </comment>
    <comment ref="V79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908,96</t>
        </r>
      </text>
    </comment>
    <comment ref="V82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932,65</t>
        </r>
      </text>
    </comment>
    <comment ref="V85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900,05</t>
        </r>
      </text>
    </comment>
    <comment ref="V88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803,30</t>
        </r>
      </text>
    </comment>
    <comment ref="V91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903,02</t>
        </r>
      </text>
    </comment>
    <comment ref="V94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945,98</t>
        </r>
      </text>
    </comment>
    <comment ref="V97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1208,93</t>
        </r>
      </text>
    </comment>
    <comment ref="V100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1201,29</t>
        </r>
      </text>
    </comment>
    <comment ref="V108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1512,68</t>
        </r>
      </text>
    </comment>
    <comment ref="V112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1364,96</t>
        </r>
      </text>
    </comment>
    <comment ref="V117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1160,30</t>
        </r>
      </text>
    </comment>
    <comment ref="V128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994,65</t>
        </r>
      </text>
    </comment>
    <comment ref="O127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</t>
        </r>
        <r>
          <rPr>
            <sz val="12"/>
            <color indexed="10"/>
            <rFont val="Tahoma"/>
            <family val="2"/>
          </rPr>
          <t>ale zrobili cyrka z abonamentem !!!</t>
        </r>
      </text>
    </comment>
    <comment ref="F128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pb 2,373</t>
        </r>
      </text>
    </comment>
    <comment ref="V143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819,68</t>
        </r>
      </text>
    </comment>
    <comment ref="V146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859,20</t>
        </r>
      </text>
    </comment>
    <comment ref="V149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947,01</t>
        </r>
      </text>
    </comment>
    <comment ref="V152" authorId="1">
      <text>
        <r>
          <rPr>
            <b/>
            <sz val="9"/>
            <rFont val="Tahoma"/>
            <family val="2"/>
          </rPr>
          <t>Gościcki Andrzej:</t>
        </r>
        <r>
          <rPr>
            <sz val="9"/>
            <rFont val="Tahoma"/>
            <family val="2"/>
          </rPr>
          <t xml:space="preserve">
1142,13</t>
        </r>
      </text>
    </comment>
    <comment ref="V155" authorId="1">
      <text>
        <r>
          <rPr>
            <b/>
            <sz val="9"/>
            <rFont val="Tahoma"/>
            <family val="2"/>
          </rPr>
          <t>Gościcki Andrzej:</t>
        </r>
        <r>
          <rPr>
            <sz val="9"/>
            <rFont val="Tahoma"/>
            <family val="2"/>
          </rPr>
          <t xml:space="preserve">
1305,04</t>
        </r>
      </text>
    </comment>
    <comment ref="G160" authorId="1">
      <text>
        <r>
          <rPr>
            <b/>
            <sz val="9"/>
            <rFont val="Tahoma"/>
            <family val="2"/>
          </rPr>
          <t>Gościcki Andrzej:</t>
        </r>
        <r>
          <rPr>
            <sz val="9"/>
            <rFont val="Tahoma"/>
            <family val="2"/>
          </rPr>
          <t xml:space="preserve">
BF/201912/013665</t>
        </r>
      </text>
    </comment>
    <comment ref="V161" authorId="1">
      <text>
        <r>
          <rPr>
            <b/>
            <sz val="9"/>
            <rFont val="Tahoma"/>
            <family val="2"/>
          </rPr>
          <t>Gościcki Andrzej:</t>
        </r>
        <r>
          <rPr>
            <sz val="9"/>
            <rFont val="Tahoma"/>
            <family val="2"/>
          </rPr>
          <t xml:space="preserve">
1390,00</t>
        </r>
      </text>
    </comment>
    <comment ref="G161" authorId="1">
      <text>
        <r>
          <rPr>
            <b/>
            <sz val="9"/>
            <rFont val="Tahoma"/>
            <family val="2"/>
          </rPr>
          <t>Gościcki Andrzej:</t>
        </r>
        <r>
          <rPr>
            <sz val="9"/>
            <rFont val="Tahoma"/>
            <family val="2"/>
          </rPr>
          <t xml:space="preserve">
BF/202001/014556</t>
        </r>
      </text>
    </comment>
    <comment ref="V164" authorId="1">
      <text>
        <r>
          <rPr>
            <b/>
            <sz val="9"/>
            <rFont val="Tahoma"/>
            <family val="2"/>
          </rPr>
          <t>Gościcki Andrzej:</t>
        </r>
        <r>
          <rPr>
            <sz val="9"/>
            <rFont val="Tahoma"/>
            <family val="2"/>
          </rPr>
          <t xml:space="preserve">
1456,59</t>
        </r>
      </text>
    </comment>
    <comment ref="V170" authorId="2">
      <text>
        <r>
          <rPr>
            <b/>
            <sz val="9"/>
            <rFont val="Tahoma"/>
            <family val="0"/>
          </rPr>
          <t>Biedrzycki Maciej:</t>
        </r>
        <r>
          <rPr>
            <sz val="9"/>
            <rFont val="Tahoma"/>
            <family val="0"/>
          </rPr>
          <t xml:space="preserve">
1151,22
</t>
        </r>
      </text>
    </comment>
    <comment ref="V176" authorId="2">
      <text>
        <r>
          <rPr>
            <b/>
            <sz val="9"/>
            <rFont val="Tahoma"/>
            <family val="0"/>
          </rPr>
          <t>Biedrzycki Maciej:</t>
        </r>
        <r>
          <rPr>
            <sz val="9"/>
            <rFont val="Tahoma"/>
            <family val="0"/>
          </rPr>
          <t xml:space="preserve">
1021,80
</t>
        </r>
      </text>
    </comment>
    <comment ref="V179" authorId="2">
      <text>
        <r>
          <rPr>
            <b/>
            <sz val="9"/>
            <rFont val="Tahoma"/>
            <family val="0"/>
          </rPr>
          <t>Biedrzycki Maciej:</t>
        </r>
        <r>
          <rPr>
            <sz val="9"/>
            <rFont val="Tahoma"/>
            <family val="0"/>
          </rPr>
          <t xml:space="preserve">
961,22
</t>
        </r>
      </text>
    </comment>
    <comment ref="V182" authorId="2">
      <text>
        <r>
          <rPr>
            <b/>
            <sz val="9"/>
            <rFont val="Tahoma"/>
            <family val="2"/>
          </rPr>
          <t>Biedrzycki Maciej:</t>
        </r>
        <r>
          <rPr>
            <sz val="9"/>
            <rFont val="Tahoma"/>
            <family val="2"/>
          </rPr>
          <t xml:space="preserve">
872,66
</t>
        </r>
      </text>
    </comment>
    <comment ref="V185" authorId="2">
      <text>
        <r>
          <rPr>
            <b/>
            <sz val="9"/>
            <rFont val="Tahoma"/>
            <family val="0"/>
          </rPr>
          <t>Biedrzycki Maciej:</t>
        </r>
        <r>
          <rPr>
            <sz val="9"/>
            <rFont val="Tahoma"/>
            <family val="0"/>
          </rPr>
          <t xml:space="preserve">
872,72
</t>
        </r>
      </text>
    </comment>
    <comment ref="V188" authorId="2">
      <text>
        <r>
          <rPr>
            <b/>
            <sz val="9"/>
            <rFont val="Tahoma"/>
            <family val="0"/>
          </rPr>
          <t>Biedrzycki Maciej:</t>
        </r>
        <r>
          <rPr>
            <sz val="9"/>
            <rFont val="Tahoma"/>
            <family val="0"/>
          </rPr>
          <t xml:space="preserve">
816,97
</t>
        </r>
      </text>
    </comment>
    <comment ref="V191" authorId="2">
      <text>
        <r>
          <rPr>
            <b/>
            <sz val="9"/>
            <rFont val="Tahoma"/>
            <family val="0"/>
          </rPr>
          <t>Biedrzycki Maciej:</t>
        </r>
        <r>
          <rPr>
            <sz val="9"/>
            <rFont val="Tahoma"/>
            <family val="0"/>
          </rPr>
          <t xml:space="preserve">
965,00
</t>
        </r>
      </text>
    </comment>
    <comment ref="V194" authorId="2">
      <text>
        <r>
          <rPr>
            <b/>
            <sz val="9"/>
            <rFont val="Tahoma"/>
            <family val="0"/>
          </rPr>
          <t>Biedrzycki Maciej:</t>
        </r>
        <r>
          <rPr>
            <sz val="9"/>
            <rFont val="Tahoma"/>
            <family val="0"/>
          </rPr>
          <t xml:space="preserve">
1071,34
</t>
        </r>
      </text>
    </comment>
  </commentList>
</comments>
</file>

<file path=xl/sharedStrings.xml><?xml version="1.0" encoding="utf-8"?>
<sst xmlns="http://schemas.openxmlformats.org/spreadsheetml/2006/main" count="324" uniqueCount="250">
  <si>
    <t xml:space="preserve">Pp = </t>
  </si>
  <si>
    <t xml:space="preserve">Pu = </t>
  </si>
  <si>
    <t>40 kW</t>
  </si>
  <si>
    <r>
      <t xml:space="preserve">Stan początkowy licznika na dzień </t>
    </r>
  </si>
  <si>
    <t>wynosił:</t>
  </si>
  <si>
    <t>całodob.</t>
  </si>
  <si>
    <t>.......</t>
  </si>
  <si>
    <t>tys. kWh</t>
  </si>
  <si>
    <t>szczyt.</t>
  </si>
  <si>
    <t xml:space="preserve">tys. kWh </t>
  </si>
  <si>
    <t>pozaszczyt.</t>
  </si>
  <si>
    <t>szczyt przedpoł.</t>
  </si>
  <si>
    <t>szczyt popoł.</t>
  </si>
  <si>
    <t xml:space="preserve"> </t>
  </si>
  <si>
    <t>dzień</t>
  </si>
  <si>
    <t>noc</t>
  </si>
  <si>
    <t>pozost godz.</t>
  </si>
  <si>
    <t>Lp.</t>
  </si>
  <si>
    <t>Data odczy-tu        ( f-ry )</t>
  </si>
  <si>
    <t>Energia czynna</t>
  </si>
  <si>
    <t>Opłaty za usługi sieciowe i przesyłowe</t>
  </si>
  <si>
    <t>Opłaty</t>
  </si>
  <si>
    <t>Łączne</t>
  </si>
  <si>
    <t xml:space="preserve">Moc </t>
  </si>
  <si>
    <t>Opłata stała za moc umowną: składnik stały stawki sieciowej</t>
  </si>
  <si>
    <t>Opłata zmienna za przesył:</t>
  </si>
  <si>
    <t>za</t>
  </si>
  <si>
    <t>wydatki</t>
  </si>
  <si>
    <t>Średnia</t>
  </si>
  <si>
    <t>Energia przekazana</t>
  </si>
  <si>
    <t>Moc</t>
  </si>
  <si>
    <t>faktycznie</t>
  </si>
  <si>
    <t>składnik zmienny stawki sieciowej</t>
  </si>
  <si>
    <t>stawka systemowa opłaty przesyłowej</t>
  </si>
  <si>
    <t>przekro-</t>
  </si>
  <si>
    <t xml:space="preserve">cena </t>
  </si>
  <si>
    <t>przyłącze-</t>
  </si>
  <si>
    <t>umowna</t>
  </si>
  <si>
    <t xml:space="preserve">Wartość </t>
  </si>
  <si>
    <t>Nr</t>
  </si>
  <si>
    <t xml:space="preserve">Stan </t>
  </si>
  <si>
    <t>Ilość</t>
  </si>
  <si>
    <t>Cena</t>
  </si>
  <si>
    <t>Wartość</t>
  </si>
  <si>
    <t>abona-</t>
  </si>
  <si>
    <t xml:space="preserve">za </t>
  </si>
  <si>
    <t>czenie</t>
  </si>
  <si>
    <t>płacona</t>
  </si>
  <si>
    <t>niowa</t>
  </si>
  <si>
    <t>Pu</t>
  </si>
  <si>
    <t>(wg odczytu</t>
  </si>
  <si>
    <t>przekroczenia</t>
  </si>
  <si>
    <t>rachunku</t>
  </si>
  <si>
    <t>licznika</t>
  </si>
  <si>
    <t>energię</t>
  </si>
  <si>
    <t xml:space="preserve">mocy </t>
  </si>
  <si>
    <t>Pp</t>
  </si>
  <si>
    <t>(wg umowy</t>
  </si>
  <si>
    <t>zawartego</t>
  </si>
  <si>
    <t>(faktury)</t>
  </si>
  <si>
    <t>stawka</t>
  </si>
  <si>
    <t>wartość</t>
  </si>
  <si>
    <t>bierną</t>
  </si>
  <si>
    <t>umownej</t>
  </si>
  <si>
    <t>sprzedaży</t>
  </si>
  <si>
    <t>w fakturze)</t>
  </si>
  <si>
    <t>tys.</t>
  </si>
  <si>
    <t>zł/kW/m-c</t>
  </si>
  <si>
    <t>przyłącz.)</t>
  </si>
  <si>
    <t>i faktury)</t>
  </si>
  <si>
    <t>obrachunkowa</t>
  </si>
  <si>
    <t>kWh</t>
  </si>
  <si>
    <t>zł/kWh</t>
  </si>
  <si>
    <t>zł</t>
  </si>
  <si>
    <t>(zł/m-c)</t>
  </si>
  <si>
    <t>kW</t>
  </si>
  <si>
    <t>mnożna</t>
  </si>
  <si>
    <t>zużyta</t>
  </si>
  <si>
    <t>nr lokalu 3000000309</t>
  </si>
  <si>
    <t>ZK</t>
  </si>
  <si>
    <t>data rejestracji</t>
  </si>
  <si>
    <t>handlowa</t>
  </si>
  <si>
    <t>REJESTR zużycia ENERGII ELEKTRYCZNEJ</t>
  </si>
  <si>
    <t>Energia bierna</t>
  </si>
  <si>
    <t>pobrana</t>
  </si>
  <si>
    <t>oddana</t>
  </si>
  <si>
    <t>mentowa</t>
  </si>
  <si>
    <t>Rozliczenie</t>
  </si>
  <si>
    <t>war. przył. ST-…………………………</t>
  </si>
  <si>
    <t>wskazanie</t>
  </si>
  <si>
    <t>poprzednie</t>
  </si>
  <si>
    <t>bieżące</t>
  </si>
  <si>
    <t>Rodzaj przyłącza:</t>
  </si>
  <si>
    <t>Stacja transformatorowa:</t>
  </si>
  <si>
    <t>SN/nN</t>
  </si>
  <si>
    <t>Moc czynna:</t>
  </si>
  <si>
    <t>Układy kompensacji energii biernej:</t>
  </si>
  <si>
    <t>zasilane budynki nr:</t>
  </si>
  <si>
    <t>lokalizacja:</t>
  </si>
  <si>
    <t>sprzedaż</t>
  </si>
  <si>
    <t>PPE:</t>
  </si>
  <si>
    <t>A.G.261-846-422</t>
  </si>
  <si>
    <t>dystrybucja</t>
  </si>
  <si>
    <t>dystrybucji</t>
  </si>
  <si>
    <t>brak - typ, rodzaj, moc</t>
  </si>
  <si>
    <r>
      <t>st. 6418</t>
    </r>
    <r>
      <rPr>
        <b/>
        <sz val="11"/>
        <color indexed="10"/>
        <rFont val="Arial CE"/>
        <family val="0"/>
      </rPr>
      <t>/1836</t>
    </r>
  </si>
  <si>
    <t>... kW</t>
  </si>
  <si>
    <t>skrzynka na ścianie budynku</t>
  </si>
  <si>
    <t>zdalne</t>
  </si>
  <si>
    <t>1, 2</t>
  </si>
  <si>
    <t>za wszystko</t>
  </si>
  <si>
    <t>(kol.22:5)</t>
  </si>
  <si>
    <t>(kol.24x23)</t>
  </si>
  <si>
    <t>kVarh</t>
  </si>
  <si>
    <t>tg ϕ</t>
  </si>
  <si>
    <t>OZE</t>
  </si>
  <si>
    <t>30.11.16.</t>
  </si>
  <si>
    <r>
      <t>Razem</t>
    </r>
    <r>
      <rPr>
        <sz val="10"/>
        <rFont val="Arial CE"/>
        <family val="2"/>
      </rPr>
      <t xml:space="preserve"> za okres obrachunkowy 2017 r.</t>
    </r>
  </si>
  <si>
    <t>11.01.17.</t>
  </si>
  <si>
    <t>31.12.16.</t>
  </si>
  <si>
    <t>141160732/25R/2016</t>
  </si>
  <si>
    <t>08.02.17.</t>
  </si>
  <si>
    <t>31.01.17.</t>
  </si>
  <si>
    <t>141160732/26R/2017</t>
  </si>
  <si>
    <t>09.03.17.</t>
  </si>
  <si>
    <t>28.02.17.</t>
  </si>
  <si>
    <t>12.02.17.</t>
  </si>
  <si>
    <t>141160732/27R/2017</t>
  </si>
  <si>
    <t>31.03.17.</t>
  </si>
  <si>
    <t>11.04.17.</t>
  </si>
  <si>
    <t>141160732/28R/2017</t>
  </si>
  <si>
    <t>10.05.17.</t>
  </si>
  <si>
    <t>30.04.17.</t>
  </si>
  <si>
    <t>141160732/29R/2017</t>
  </si>
  <si>
    <t>12.06.17.</t>
  </si>
  <si>
    <t>31.05.17.</t>
  </si>
  <si>
    <t>141160732/30R/2017</t>
  </si>
  <si>
    <t>30.06.17.</t>
  </si>
  <si>
    <t>141160732/31R/2017</t>
  </si>
  <si>
    <t>13.07.17.</t>
  </si>
  <si>
    <t>18.08.17.</t>
  </si>
  <si>
    <t>31.07.17.</t>
  </si>
  <si>
    <t>141160732/32R/2017</t>
  </si>
  <si>
    <t>31.08.17.</t>
  </si>
  <si>
    <t>141160732/33R/2017</t>
  </si>
  <si>
    <t>14.09.17.</t>
  </si>
  <si>
    <t>12.10.17.</t>
  </si>
  <si>
    <t>30.09.17.</t>
  </si>
  <si>
    <t>141160732/34R/2017</t>
  </si>
  <si>
    <t>08.11.17.</t>
  </si>
  <si>
    <t>31.10.17.</t>
  </si>
  <si>
    <t>141160732/35R/2017</t>
  </si>
  <si>
    <t>08.12.17.</t>
  </si>
  <si>
    <t>30.11.17.</t>
  </si>
  <si>
    <t>REH_195766</t>
  </si>
  <si>
    <t>0,000 u PKN O pb 4,991</t>
  </si>
  <si>
    <r>
      <t>Razem</t>
    </r>
    <r>
      <rPr>
        <sz val="10"/>
        <rFont val="Arial CE"/>
        <family val="2"/>
      </rPr>
      <t xml:space="preserve"> za okres obrachunkowy 2018 r.</t>
    </r>
  </si>
  <si>
    <t>09.01.18.</t>
  </si>
  <si>
    <t>31.12.17.</t>
  </si>
  <si>
    <t>07.02.18.</t>
  </si>
  <si>
    <t>31.01.18.</t>
  </si>
  <si>
    <t>05.03.18.</t>
  </si>
  <si>
    <t>07.03.18.</t>
  </si>
  <si>
    <t>28.02.18.</t>
  </si>
  <si>
    <t>11.04.18.</t>
  </si>
  <si>
    <t>31.03.18.</t>
  </si>
  <si>
    <t>30.04.18.</t>
  </si>
  <si>
    <t>09.05.18.</t>
  </si>
  <si>
    <t>za usługi</t>
  </si>
  <si>
    <t>en elektr.</t>
  </si>
  <si>
    <t>(kol.10+12+14</t>
  </si>
  <si>
    <t>+15+20+21)</t>
  </si>
  <si>
    <t>08.06.18.</t>
  </si>
  <si>
    <t>31.05.18.</t>
  </si>
  <si>
    <t>30.07.18.</t>
  </si>
  <si>
    <t>30.06.18.</t>
  </si>
  <si>
    <t>31.07.18.</t>
  </si>
  <si>
    <r>
      <t>Adres ..</t>
    </r>
    <r>
      <rPr>
        <b/>
        <sz val="11"/>
        <color indexed="12"/>
        <rFont val="Arial CE"/>
        <family val="2"/>
      </rPr>
      <t>01-476 Warszawa</t>
    </r>
    <r>
      <rPr>
        <b/>
        <sz val="11"/>
        <rFont val="Arial CE"/>
        <family val="2"/>
      </rPr>
      <t xml:space="preserve">...ul. </t>
    </r>
    <r>
      <rPr>
        <b/>
        <sz val="11"/>
        <color indexed="12"/>
        <rFont val="Arial CE"/>
        <family val="2"/>
      </rPr>
      <t xml:space="preserve">Kaliskiego 49 / </t>
    </r>
    <r>
      <rPr>
        <b/>
        <sz val="11"/>
        <color indexed="10"/>
        <rFont val="Arial CE"/>
        <family val="0"/>
      </rPr>
      <t>Urbanowicza 49</t>
    </r>
    <r>
      <rPr>
        <b/>
        <sz val="11"/>
        <color indexed="12"/>
        <rFont val="Arial CE"/>
        <family val="2"/>
      </rPr>
      <t>..........</t>
    </r>
    <r>
      <rPr>
        <b/>
        <sz val="11"/>
        <rFont val="Arial CE"/>
        <family val="2"/>
      </rPr>
      <t>kk 4534</t>
    </r>
  </si>
  <si>
    <t>10.08.18.</t>
  </si>
  <si>
    <t>31.08.18.</t>
  </si>
  <si>
    <t>07.09.18.</t>
  </si>
  <si>
    <t>09.10.18.</t>
  </si>
  <si>
    <t>30.09.18.</t>
  </si>
  <si>
    <t>13.11.18.</t>
  </si>
  <si>
    <t>31.10.18.</t>
  </si>
  <si>
    <t>wg taryfy o symbolu: C12a</t>
  </si>
  <si>
    <r>
      <rPr>
        <b/>
        <sz val="11"/>
        <rFont val="Arial CE"/>
        <family val="0"/>
      </rPr>
      <t>PL</t>
    </r>
    <r>
      <rPr>
        <b/>
        <sz val="11"/>
        <color indexed="10"/>
        <rFont val="Arial CE"/>
        <family val="2"/>
      </rPr>
      <t>00000101-</t>
    </r>
    <r>
      <rPr>
        <b/>
        <sz val="11"/>
        <color indexed="17"/>
        <rFont val="Arial CE"/>
        <family val="0"/>
      </rPr>
      <t>47600000-</t>
    </r>
    <r>
      <rPr>
        <b/>
        <sz val="11"/>
        <color indexed="40"/>
        <rFont val="Arial CE"/>
        <family val="0"/>
      </rPr>
      <t>00000000-</t>
    </r>
    <r>
      <rPr>
        <b/>
        <sz val="11"/>
        <color indexed="10"/>
        <rFont val="Arial CE"/>
        <family val="2"/>
      </rPr>
      <t>0000432</t>
    </r>
  </si>
  <si>
    <t>30.11.18.</t>
  </si>
  <si>
    <t>07.12.18.</t>
  </si>
  <si>
    <t>30.11.18</t>
  </si>
  <si>
    <r>
      <t>Razem</t>
    </r>
    <r>
      <rPr>
        <sz val="10"/>
        <rFont val="Arial CE"/>
        <family val="2"/>
      </rPr>
      <t xml:space="preserve"> za okres obrachunkowy 2019 r.</t>
    </r>
  </si>
  <si>
    <t>09.01.19.</t>
  </si>
  <si>
    <t>31.12.18.</t>
  </si>
  <si>
    <t>08.02.19.</t>
  </si>
  <si>
    <t>31.01.19.</t>
  </si>
  <si>
    <t>25.01.19</t>
  </si>
  <si>
    <t>28.02.19.</t>
  </si>
  <si>
    <t>31.03.19.</t>
  </si>
  <si>
    <t>08.03.19.</t>
  </si>
  <si>
    <t>10.04.19.</t>
  </si>
  <si>
    <t>30.04.19.</t>
  </si>
  <si>
    <t>06.04.19.</t>
  </si>
  <si>
    <t>10.05.19.</t>
  </si>
  <si>
    <t>31.05.19.</t>
  </si>
  <si>
    <t>12.06.19.</t>
  </si>
  <si>
    <t>16.07.19.</t>
  </si>
  <si>
    <t>30.06.19.</t>
  </si>
  <si>
    <t>19.07.19.</t>
  </si>
  <si>
    <t>stawka pomniejszona o część Akcyzy</t>
  </si>
  <si>
    <t>23.07.19</t>
  </si>
  <si>
    <t>24.07.19</t>
  </si>
  <si>
    <t>31.07.19.</t>
  </si>
  <si>
    <t>09.08.19.</t>
  </si>
  <si>
    <t>11.09.19.</t>
  </si>
  <si>
    <t>31.08.19.</t>
  </si>
  <si>
    <t>30.09.19.</t>
  </si>
  <si>
    <r>
      <t xml:space="preserve">oraz umowy o świadczenie usług dystrybucji nr ND-D/1926/2014 z 01.06.2015 r. zawartej  pomiędzy </t>
    </r>
    <r>
      <rPr>
        <b/>
        <sz val="11"/>
        <color indexed="10"/>
        <rFont val="Arial CE"/>
        <family val="0"/>
      </rPr>
      <t>innogy</t>
    </r>
    <r>
      <rPr>
        <b/>
        <sz val="11"/>
        <color indexed="10"/>
        <rFont val="Arial CE"/>
        <family val="0"/>
      </rPr>
      <t xml:space="preserve"> Stoen Operator</t>
    </r>
    <r>
      <rPr>
        <b/>
        <sz val="11"/>
        <rFont val="Arial CE"/>
        <family val="0"/>
      </rPr>
      <t>, a SZI dla odbiorcy ..........JW. 2063...WAK-4...OZ DGW........................</t>
    </r>
  </si>
  <si>
    <t>09.10.19.</t>
  </si>
  <si>
    <t>31.10.19.</t>
  </si>
  <si>
    <t>14.11.19.</t>
  </si>
  <si>
    <t>13.12.19.</t>
  </si>
  <si>
    <t>30.11.19.</t>
  </si>
  <si>
    <r>
      <t>Razem</t>
    </r>
    <r>
      <rPr>
        <sz val="10"/>
        <rFont val="Arial CE"/>
        <family val="2"/>
      </rPr>
      <t xml:space="preserve"> za okres obrachunkowy 2020 r.</t>
    </r>
  </si>
  <si>
    <t>31.12.19.</t>
  </si>
  <si>
    <t>10.01.20.</t>
  </si>
  <si>
    <t>A.G.261-849-422</t>
  </si>
  <si>
    <t>13.02.20.</t>
  </si>
  <si>
    <t>31.01.20.</t>
  </si>
  <si>
    <t>12.03.20.</t>
  </si>
  <si>
    <t>29.02.20.</t>
  </si>
  <si>
    <t>31.03.20</t>
  </si>
  <si>
    <t>30.04.20</t>
  </si>
  <si>
    <t>09.04.20</t>
  </si>
  <si>
    <t>12.05.20</t>
  </si>
  <si>
    <t>08.06.20</t>
  </si>
  <si>
    <t>31.05.20</t>
  </si>
  <si>
    <t>06.07.20</t>
  </si>
  <si>
    <t>30.06.20</t>
  </si>
  <si>
    <t>10.08.20</t>
  </si>
  <si>
    <t>31.07.20</t>
  </si>
  <si>
    <t>07.09.20</t>
  </si>
  <si>
    <t>31.08.20</t>
  </si>
  <si>
    <t>09.10.20</t>
  </si>
  <si>
    <t>30.09.20</t>
  </si>
  <si>
    <t>16.11.20</t>
  </si>
  <si>
    <t>31.10.20</t>
  </si>
  <si>
    <t>09.12.20</t>
  </si>
  <si>
    <t>30.11.20</t>
  </si>
  <si>
    <r>
      <t xml:space="preserve">umowa sprzedaży nr  </t>
    </r>
    <r>
      <rPr>
        <b/>
        <sz val="11"/>
        <color indexed="10"/>
        <rFont val="Arial CE"/>
        <family val="0"/>
      </rPr>
      <t xml:space="preserve">REH/2017/119 z 23.10.2017 r. </t>
    </r>
    <r>
      <rPr>
        <b/>
        <sz val="11"/>
        <rFont val="Arial CE"/>
        <family val="2"/>
      </rPr>
      <t xml:space="preserve">zawartej  z </t>
    </r>
    <r>
      <rPr>
        <b/>
        <sz val="11"/>
        <color indexed="10"/>
        <rFont val="Arial CE"/>
        <family val="0"/>
      </rPr>
      <t>PKN ORLEN Płock</t>
    </r>
  </si>
  <si>
    <r>
      <t xml:space="preserve">Licznik nr </t>
    </r>
    <r>
      <rPr>
        <b/>
        <sz val="11"/>
        <color indexed="10"/>
        <rFont val="Arial CE"/>
        <family val="0"/>
      </rPr>
      <t>4185313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</si>
</sst>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000"/>
    <numFmt numFmtId="168" formatCode="0.0"/>
    <numFmt numFmtId="169" formatCode="0.00000"/>
    <numFmt numFmtId="170" formatCode="0.0%"/>
    <numFmt numFmtId="171" formatCode="#,##0.000"/>
    <numFmt numFmtId="172" formatCode="#,##0.0000"/>
    <numFmt numFmtId="173" formatCode="#,##0.0"/>
    <numFmt numFmtId="174" formatCode="_-* #,##0.0\ _z_ł_-;\-* #,##0.0\ _z_ł_-;_-* &quot;-&quot;??\ _z_ł_-;_-@_-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0.000000"/>
  </numFmts>
  <fonts count="79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11"/>
      <color indexed="12"/>
      <name val="Arial CE"/>
      <family val="2"/>
    </font>
    <font>
      <sz val="11"/>
      <name val="Arial CE"/>
      <family val="2"/>
    </font>
    <font>
      <b/>
      <sz val="11"/>
      <color indexed="10"/>
      <name val="Arial CE"/>
      <family val="2"/>
    </font>
    <font>
      <u val="single"/>
      <sz val="10"/>
      <name val="Arial CE"/>
      <family val="2"/>
    </font>
    <font>
      <sz val="10"/>
      <color indexed="10"/>
      <name val="Arial CE"/>
      <family val="2"/>
    </font>
    <font>
      <i/>
      <sz val="10"/>
      <name val="Arial CE"/>
      <family val="2"/>
    </font>
    <font>
      <i/>
      <sz val="10"/>
      <color indexed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7"/>
      <name val="Arial CE"/>
      <family val="2"/>
    </font>
    <font>
      <sz val="12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i/>
      <sz val="11"/>
      <name val="Arial CE"/>
      <family val="0"/>
    </font>
    <font>
      <sz val="12"/>
      <color indexed="10"/>
      <name val="Tahoma"/>
      <family val="2"/>
    </font>
    <font>
      <b/>
      <sz val="11"/>
      <color indexed="4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10"/>
      <name val="Arial CE"/>
      <family val="0"/>
    </font>
    <font>
      <b/>
      <sz val="10"/>
      <color indexed="10"/>
      <name val="Arial CE"/>
      <family val="2"/>
    </font>
    <font>
      <i/>
      <sz val="10"/>
      <color indexed="17"/>
      <name val="Arial CE"/>
      <family val="2"/>
    </font>
    <font>
      <sz val="10"/>
      <color indexed="17"/>
      <name val="Arial CE"/>
      <family val="0"/>
    </font>
    <font>
      <i/>
      <sz val="11"/>
      <color indexed="10"/>
      <name val="Arial CE"/>
      <family val="0"/>
    </font>
    <font>
      <i/>
      <sz val="10"/>
      <color indexed="30"/>
      <name val="Arial CE"/>
      <family val="2"/>
    </font>
    <font>
      <b/>
      <sz val="10"/>
      <color indexed="30"/>
      <name val="Arial CE"/>
      <family val="2"/>
    </font>
    <font>
      <sz val="10"/>
      <color indexed="30"/>
      <name val="Arial CE"/>
      <family val="0"/>
    </font>
    <font>
      <b/>
      <sz val="11"/>
      <color indexed="30"/>
      <name val="Arial CE"/>
      <family val="2"/>
    </font>
    <font>
      <sz val="10"/>
      <color indexed="10"/>
      <name val="Calibri"/>
      <family val="2"/>
    </font>
    <font>
      <b/>
      <sz val="10"/>
      <color indexed="17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i/>
      <sz val="10"/>
      <color rgb="FFFF0000"/>
      <name val="Arial CE"/>
      <family val="0"/>
    </font>
    <font>
      <b/>
      <sz val="10"/>
      <color rgb="FFFF0000"/>
      <name val="Arial CE"/>
      <family val="2"/>
    </font>
    <font>
      <i/>
      <sz val="10"/>
      <color rgb="FF00B050"/>
      <name val="Arial CE"/>
      <family val="2"/>
    </font>
    <font>
      <sz val="10"/>
      <color rgb="FF00B050"/>
      <name val="Arial CE"/>
      <family val="0"/>
    </font>
    <font>
      <b/>
      <sz val="11"/>
      <color rgb="FFFF0000"/>
      <name val="Arial CE"/>
      <family val="0"/>
    </font>
    <font>
      <i/>
      <sz val="11"/>
      <color rgb="FFFF0000"/>
      <name val="Arial CE"/>
      <family val="0"/>
    </font>
    <font>
      <i/>
      <sz val="10"/>
      <color rgb="FF0070C0"/>
      <name val="Arial CE"/>
      <family val="2"/>
    </font>
    <font>
      <b/>
      <sz val="10"/>
      <color rgb="FF0070C0"/>
      <name val="Arial CE"/>
      <family val="2"/>
    </font>
    <font>
      <sz val="10"/>
      <color rgb="FF0070C0"/>
      <name val="Arial CE"/>
      <family val="0"/>
    </font>
    <font>
      <b/>
      <sz val="11"/>
      <color rgb="FF0070C0"/>
      <name val="Arial CE"/>
      <family val="2"/>
    </font>
    <font>
      <sz val="10"/>
      <color rgb="FFFF0000"/>
      <name val="Calibri"/>
      <family val="2"/>
    </font>
    <font>
      <b/>
      <sz val="10"/>
      <color rgb="FF00B050"/>
      <name val="Arial CE"/>
      <family val="0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 style="dotted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tted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/>
    </xf>
    <xf numFmtId="2" fontId="9" fillId="0" borderId="17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67" fontId="10" fillId="0" borderId="26" xfId="0" applyNumberFormat="1" applyFont="1" applyBorder="1" applyAlignment="1">
      <alignment horizontal="center"/>
    </xf>
    <xf numFmtId="1" fontId="10" fillId="0" borderId="26" xfId="0" applyNumberFormat="1" applyFont="1" applyBorder="1" applyAlignment="1">
      <alignment horizontal="center"/>
    </xf>
    <xf numFmtId="2" fontId="10" fillId="0" borderId="27" xfId="0" applyNumberFormat="1" applyFont="1" applyBorder="1" applyAlignment="1">
      <alignment horizontal="center"/>
    </xf>
    <xf numFmtId="166" fontId="8" fillId="0" borderId="28" xfId="0" applyNumberFormat="1" applyFont="1" applyBorder="1" applyAlignment="1">
      <alignment horizontal="center"/>
    </xf>
    <xf numFmtId="166" fontId="8" fillId="0" borderId="23" xfId="0" applyNumberFormat="1" applyFont="1" applyBorder="1" applyAlignment="1">
      <alignment horizontal="center"/>
    </xf>
    <xf numFmtId="166" fontId="8" fillId="0" borderId="23" xfId="0" applyNumberFormat="1" applyFont="1" applyFill="1" applyBorder="1" applyAlignment="1">
      <alignment horizontal="center"/>
    </xf>
    <xf numFmtId="167" fontId="8" fillId="0" borderId="19" xfId="0" applyNumberFormat="1" applyFont="1" applyBorder="1" applyAlignment="1">
      <alignment/>
    </xf>
    <xf numFmtId="2" fontId="8" fillId="0" borderId="19" xfId="0" applyNumberFormat="1" applyFont="1" applyFill="1" applyBorder="1" applyAlignment="1">
      <alignment horizontal="center"/>
    </xf>
    <xf numFmtId="166" fontId="10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19" xfId="0" applyFont="1" applyFill="1" applyBorder="1" applyAlignment="1">
      <alignment/>
    </xf>
    <xf numFmtId="167" fontId="8" fillId="0" borderId="19" xfId="0" applyNumberFormat="1" applyFont="1" applyBorder="1" applyAlignment="1">
      <alignment horizontal="center"/>
    </xf>
    <xf numFmtId="2" fontId="8" fillId="0" borderId="28" xfId="0" applyNumberFormat="1" applyFont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167" fontId="8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9" xfId="0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/>
    </xf>
    <xf numFmtId="2" fontId="8" fillId="0" borderId="23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167" fontId="8" fillId="0" borderId="1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167" fontId="8" fillId="0" borderId="23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8" fillId="0" borderId="15" xfId="0" applyFont="1" applyBorder="1" applyAlignment="1">
      <alignment/>
    </xf>
    <xf numFmtId="166" fontId="8" fillId="0" borderId="19" xfId="0" applyNumberFormat="1" applyFont="1" applyBorder="1" applyAlignment="1">
      <alignment horizontal="center"/>
    </xf>
    <xf numFmtId="0" fontId="0" fillId="0" borderId="0" xfId="0" applyFill="1" applyAlignment="1">
      <alignment/>
    </xf>
    <xf numFmtId="167" fontId="8" fillId="0" borderId="15" xfId="0" applyNumberFormat="1" applyFont="1" applyBorder="1" applyAlignment="1">
      <alignment/>
    </xf>
    <xf numFmtId="2" fontId="8" fillId="0" borderId="15" xfId="0" applyNumberFormat="1" applyFont="1" applyBorder="1" applyAlignment="1">
      <alignment/>
    </xf>
    <xf numFmtId="166" fontId="8" fillId="0" borderId="15" xfId="0" applyNumberFormat="1" applyFont="1" applyBorder="1" applyAlignment="1">
      <alignment horizontal="center"/>
    </xf>
    <xf numFmtId="166" fontId="8" fillId="0" borderId="15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167" fontId="8" fillId="0" borderId="15" xfId="0" applyNumberFormat="1" applyFont="1" applyFill="1" applyBorder="1" applyAlignment="1">
      <alignment horizontal="center"/>
    </xf>
    <xf numFmtId="166" fontId="8" fillId="0" borderId="15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4" fontId="10" fillId="0" borderId="26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1" fontId="0" fillId="0" borderId="18" xfId="0" applyNumberFormat="1" applyFont="1" applyBorder="1" applyAlignment="1">
      <alignment/>
    </xf>
    <xf numFmtId="1" fontId="0" fillId="0" borderId="18" xfId="0" applyNumberFormat="1" applyFont="1" applyFill="1" applyBorder="1" applyAlignment="1">
      <alignment/>
    </xf>
    <xf numFmtId="167" fontId="8" fillId="0" borderId="15" xfId="0" applyNumberFormat="1" applyFont="1" applyFill="1" applyBorder="1" applyAlignment="1">
      <alignment/>
    </xf>
    <xf numFmtId="2" fontId="8" fillId="0" borderId="15" xfId="0" applyNumberFormat="1" applyFont="1" applyFill="1" applyBorder="1" applyAlignment="1">
      <alignment/>
    </xf>
    <xf numFmtId="2" fontId="8" fillId="0" borderId="30" xfId="0" applyNumberFormat="1" applyFon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166" fontId="8" fillId="0" borderId="19" xfId="0" applyNumberFormat="1" applyFont="1" applyBorder="1" applyAlignment="1">
      <alignment/>
    </xf>
    <xf numFmtId="166" fontId="8" fillId="0" borderId="19" xfId="0" applyNumberFormat="1" applyFont="1" applyFill="1" applyBorder="1" applyAlignment="1">
      <alignment/>
    </xf>
    <xf numFmtId="166" fontId="8" fillId="0" borderId="15" xfId="0" applyNumberFormat="1" applyFont="1" applyBorder="1" applyAlignment="1">
      <alignment/>
    </xf>
    <xf numFmtId="1" fontId="8" fillId="0" borderId="15" xfId="0" applyNumberFormat="1" applyFont="1" applyFill="1" applyBorder="1" applyAlignment="1">
      <alignment horizontal="center"/>
    </xf>
    <xf numFmtId="0" fontId="0" fillId="0" borderId="32" xfId="0" applyBorder="1" applyAlignment="1">
      <alignment/>
    </xf>
    <xf numFmtId="0" fontId="7" fillId="33" borderId="23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2" fontId="9" fillId="0" borderId="14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2" fontId="66" fillId="0" borderId="19" xfId="0" applyNumberFormat="1" applyFont="1" applyFill="1" applyBorder="1" applyAlignment="1">
      <alignment/>
    </xf>
    <xf numFmtId="0" fontId="65" fillId="0" borderId="0" xfId="0" applyFont="1" applyAlignment="1">
      <alignment/>
    </xf>
    <xf numFmtId="166" fontId="65" fillId="0" borderId="0" xfId="0" applyNumberFormat="1" applyFont="1" applyAlignment="1">
      <alignment/>
    </xf>
    <xf numFmtId="4" fontId="66" fillId="0" borderId="19" xfId="0" applyNumberFormat="1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2" fontId="66" fillId="0" borderId="15" xfId="0" applyNumberFormat="1" applyFont="1" applyFill="1" applyBorder="1" applyAlignment="1">
      <alignment/>
    </xf>
    <xf numFmtId="2" fontId="66" fillId="0" borderId="19" xfId="0" applyNumberFormat="1" applyFont="1" applyBorder="1" applyAlignment="1">
      <alignment/>
    </xf>
    <xf numFmtId="4" fontId="67" fillId="0" borderId="26" xfId="0" applyNumberFormat="1" applyFont="1" applyBorder="1" applyAlignment="1">
      <alignment horizontal="center"/>
    </xf>
    <xf numFmtId="2" fontId="0" fillId="0" borderId="34" xfId="0" applyNumberFormat="1" applyBorder="1" applyAlignment="1">
      <alignment/>
    </xf>
    <xf numFmtId="0" fontId="0" fillId="0" borderId="35" xfId="0" applyBorder="1" applyAlignment="1">
      <alignment horizontal="center"/>
    </xf>
    <xf numFmtId="2" fontId="66" fillId="0" borderId="30" xfId="0" applyNumberFormat="1" applyFont="1" applyBorder="1" applyAlignment="1">
      <alignment horizontal="center"/>
    </xf>
    <xf numFmtId="4" fontId="66" fillId="0" borderId="15" xfId="0" applyNumberFormat="1" applyFont="1" applyBorder="1" applyAlignment="1">
      <alignment horizontal="center"/>
    </xf>
    <xf numFmtId="2" fontId="66" fillId="0" borderId="22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66" fontId="66" fillId="0" borderId="28" xfId="0" applyNumberFormat="1" applyFont="1" applyFill="1" applyBorder="1" applyAlignment="1">
      <alignment horizontal="center"/>
    </xf>
    <xf numFmtId="2" fontId="66" fillId="0" borderId="22" xfId="0" applyNumberFormat="1" applyFont="1" applyBorder="1" applyAlignment="1">
      <alignment horizontal="center"/>
    </xf>
    <xf numFmtId="2" fontId="66" fillId="0" borderId="22" xfId="0" applyNumberFormat="1" applyFont="1" applyFill="1" applyBorder="1" applyAlignment="1">
      <alignment/>
    </xf>
    <xf numFmtId="2" fontId="65" fillId="0" borderId="11" xfId="0" applyNumberFormat="1" applyFont="1" applyBorder="1" applyAlignment="1">
      <alignment/>
    </xf>
    <xf numFmtId="4" fontId="8" fillId="0" borderId="22" xfId="0" applyNumberFormat="1" applyFont="1" applyBorder="1" applyAlignment="1">
      <alignment horizontal="center"/>
    </xf>
    <xf numFmtId="166" fontId="8" fillId="0" borderId="19" xfId="0" applyNumberFormat="1" applyFont="1" applyFill="1" applyBorder="1" applyAlignment="1">
      <alignment horizontal="center"/>
    </xf>
    <xf numFmtId="2" fontId="8" fillId="0" borderId="26" xfId="0" applyNumberFormat="1" applyFont="1" applyFill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5" fillId="0" borderId="19" xfId="0" applyFont="1" applyBorder="1" applyAlignment="1">
      <alignment horizontal="center"/>
    </xf>
    <xf numFmtId="167" fontId="8" fillId="0" borderId="19" xfId="0" applyNumberFormat="1" applyFont="1" applyFill="1" applyBorder="1" applyAlignment="1">
      <alignment horizontal="center"/>
    </xf>
    <xf numFmtId="2" fontId="8" fillId="0" borderId="28" xfId="0" applyNumberFormat="1" applyFont="1" applyFill="1" applyBorder="1" applyAlignment="1">
      <alignment horizontal="center"/>
    </xf>
    <xf numFmtId="4" fontId="68" fillId="0" borderId="19" xfId="0" applyNumberFormat="1" applyFont="1" applyFill="1" applyBorder="1" applyAlignment="1">
      <alignment horizontal="center"/>
    </xf>
    <xf numFmtId="166" fontId="66" fillId="0" borderId="22" xfId="0" applyNumberFormat="1" applyFont="1" applyBorder="1" applyAlignment="1">
      <alignment/>
    </xf>
    <xf numFmtId="0" fontId="7" fillId="0" borderId="23" xfId="0" applyFont="1" applyFill="1" applyBorder="1" applyAlignment="1">
      <alignment horizontal="center"/>
    </xf>
    <xf numFmtId="166" fontId="66" fillId="0" borderId="15" xfId="0" applyNumberFormat="1" applyFont="1" applyFill="1" applyBorder="1" applyAlignment="1">
      <alignment horizontal="center"/>
    </xf>
    <xf numFmtId="0" fontId="66" fillId="0" borderId="19" xfId="0" applyFont="1" applyBorder="1" applyAlignment="1">
      <alignment/>
    </xf>
    <xf numFmtId="166" fontId="8" fillId="0" borderId="22" xfId="0" applyNumberFormat="1" applyFont="1" applyBorder="1" applyAlignment="1">
      <alignment/>
    </xf>
    <xf numFmtId="4" fontId="68" fillId="0" borderId="15" xfId="0" applyNumberFormat="1" applyFont="1" applyBorder="1" applyAlignment="1">
      <alignment horizontal="center"/>
    </xf>
    <xf numFmtId="4" fontId="69" fillId="0" borderId="15" xfId="0" applyNumberFormat="1" applyFont="1" applyBorder="1" applyAlignment="1">
      <alignment horizontal="right"/>
    </xf>
    <xf numFmtId="0" fontId="7" fillId="34" borderId="23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65" fillId="0" borderId="18" xfId="0" applyNumberFormat="1" applyFont="1" applyBorder="1" applyAlignment="1">
      <alignment/>
    </xf>
    <xf numFmtId="2" fontId="8" fillId="0" borderId="18" xfId="0" applyNumberFormat="1" applyFont="1" applyBorder="1" applyAlignment="1">
      <alignment horizontal="center"/>
    </xf>
    <xf numFmtId="167" fontId="66" fillId="0" borderId="19" xfId="0" applyNumberFormat="1" applyFont="1" applyBorder="1" applyAlignment="1">
      <alignment/>
    </xf>
    <xf numFmtId="167" fontId="8" fillId="0" borderId="22" xfId="0" applyNumberFormat="1" applyFont="1" applyBorder="1" applyAlignment="1">
      <alignment horizontal="center"/>
    </xf>
    <xf numFmtId="166" fontId="8" fillId="0" borderId="22" xfId="0" applyNumberFormat="1" applyFont="1" applyBorder="1" applyAlignment="1">
      <alignment/>
    </xf>
    <xf numFmtId="0" fontId="0" fillId="0" borderId="36" xfId="0" applyBorder="1" applyAlignment="1">
      <alignment horizontal="center" vertical="center"/>
    </xf>
    <xf numFmtId="1" fontId="8" fillId="0" borderId="26" xfId="0" applyNumberFormat="1" applyFont="1" applyFill="1" applyBorder="1" applyAlignment="1">
      <alignment horizontal="center"/>
    </xf>
    <xf numFmtId="0" fontId="0" fillId="0" borderId="26" xfId="0" applyBorder="1" applyAlignment="1">
      <alignment/>
    </xf>
    <xf numFmtId="2" fontId="8" fillId="0" borderId="18" xfId="0" applyNumberFormat="1" applyFont="1" applyBorder="1" applyAlignment="1">
      <alignment/>
    </xf>
    <xf numFmtId="166" fontId="8" fillId="0" borderId="18" xfId="0" applyNumberFormat="1" applyFont="1" applyBorder="1" applyAlignment="1">
      <alignment/>
    </xf>
    <xf numFmtId="166" fontId="8" fillId="0" borderId="22" xfId="0" applyNumberFormat="1" applyFont="1" applyFill="1" applyBorder="1" applyAlignment="1">
      <alignment/>
    </xf>
    <xf numFmtId="1" fontId="0" fillId="0" borderId="22" xfId="0" applyNumberFormat="1" applyFont="1" applyBorder="1" applyAlignment="1">
      <alignment/>
    </xf>
    <xf numFmtId="4" fontId="8" fillId="0" borderId="15" xfId="0" applyNumberFormat="1" applyFont="1" applyBorder="1" applyAlignment="1">
      <alignment horizontal="center"/>
    </xf>
    <xf numFmtId="0" fontId="70" fillId="0" borderId="0" xfId="0" applyFont="1" applyAlignment="1">
      <alignment horizontal="left"/>
    </xf>
    <xf numFmtId="166" fontId="8" fillId="0" borderId="18" xfId="0" applyNumberFormat="1" applyFont="1" applyBorder="1" applyAlignment="1">
      <alignment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0" xfId="0" applyFont="1" applyAlignment="1">
      <alignment horizontal="right" vertical="center"/>
    </xf>
    <xf numFmtId="0" fontId="17" fillId="0" borderId="0" xfId="0" applyFont="1" applyAlignment="1">
      <alignment/>
    </xf>
    <xf numFmtId="9" fontId="0" fillId="0" borderId="11" xfId="54" applyFont="1" applyBorder="1" applyAlignment="1">
      <alignment/>
    </xf>
    <xf numFmtId="0" fontId="71" fillId="0" borderId="0" xfId="0" applyFont="1" applyFill="1" applyAlignment="1">
      <alignment/>
    </xf>
    <xf numFmtId="0" fontId="10" fillId="0" borderId="36" xfId="0" applyFont="1" applyBorder="1" applyAlignment="1">
      <alignment horizontal="center" vertical="center" wrapText="1"/>
    </xf>
    <xf numFmtId="166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2" fontId="10" fillId="0" borderId="31" xfId="0" applyNumberFormat="1" applyFont="1" applyBorder="1" applyAlignment="1">
      <alignment horizontal="center"/>
    </xf>
    <xf numFmtId="4" fontId="66" fillId="0" borderId="11" xfId="0" applyNumberFormat="1" applyFont="1" applyBorder="1" applyAlignment="1">
      <alignment horizontal="center"/>
    </xf>
    <xf numFmtId="167" fontId="72" fillId="0" borderId="15" xfId="0" applyNumberFormat="1" applyFont="1" applyBorder="1" applyAlignment="1">
      <alignment horizontal="center"/>
    </xf>
    <xf numFmtId="167" fontId="66" fillId="0" borderId="11" xfId="0" applyNumberFormat="1" applyFont="1" applyBorder="1" applyAlignment="1">
      <alignment horizontal="left"/>
    </xf>
    <xf numFmtId="9" fontId="0" fillId="0" borderId="15" xfId="54" applyFont="1" applyFill="1" applyBorder="1" applyAlignment="1">
      <alignment/>
    </xf>
    <xf numFmtId="171" fontId="67" fillId="0" borderId="11" xfId="0" applyNumberFormat="1" applyFont="1" applyFill="1" applyBorder="1" applyAlignment="1">
      <alignment horizontal="center"/>
    </xf>
    <xf numFmtId="10" fontId="0" fillId="0" borderId="15" xfId="54" applyNumberFormat="1" applyFont="1" applyFill="1" applyBorder="1" applyAlignment="1">
      <alignment/>
    </xf>
    <xf numFmtId="9" fontId="0" fillId="0" borderId="15" xfId="54" applyNumberFormat="1" applyFont="1" applyFill="1" applyBorder="1" applyAlignment="1">
      <alignment vertical="center"/>
    </xf>
    <xf numFmtId="171" fontId="10" fillId="0" borderId="11" xfId="0" applyNumberFormat="1" applyFont="1" applyFill="1" applyBorder="1" applyAlignment="1">
      <alignment horizontal="center"/>
    </xf>
    <xf numFmtId="166" fontId="73" fillId="0" borderId="26" xfId="0" applyNumberFormat="1" applyFont="1" applyBorder="1" applyAlignment="1">
      <alignment horizontal="center"/>
    </xf>
    <xf numFmtId="167" fontId="73" fillId="0" borderId="26" xfId="0" applyNumberFormat="1" applyFont="1" applyBorder="1" applyAlignment="1">
      <alignment horizontal="center"/>
    </xf>
    <xf numFmtId="4" fontId="73" fillId="0" borderId="26" xfId="0" applyNumberFormat="1" applyFont="1" applyBorder="1" applyAlignment="1">
      <alignment horizontal="center"/>
    </xf>
    <xf numFmtId="0" fontId="74" fillId="0" borderId="11" xfId="0" applyFont="1" applyBorder="1" applyAlignment="1">
      <alignment horizontal="right"/>
    </xf>
    <xf numFmtId="4" fontId="74" fillId="0" borderId="24" xfId="0" applyNumberFormat="1" applyFont="1" applyBorder="1" applyAlignment="1">
      <alignment horizontal="center"/>
    </xf>
    <xf numFmtId="0" fontId="75" fillId="0" borderId="0" xfId="0" applyFont="1" applyAlignment="1">
      <alignment horizontal="left"/>
    </xf>
    <xf numFmtId="2" fontId="66" fillId="0" borderId="19" xfId="0" applyNumberFormat="1" applyFont="1" applyBorder="1" applyAlignment="1">
      <alignment/>
    </xf>
    <xf numFmtId="0" fontId="0" fillId="0" borderId="18" xfId="0" applyBorder="1" applyAlignment="1">
      <alignment/>
    </xf>
    <xf numFmtId="2" fontId="66" fillId="0" borderId="26" xfId="0" applyNumberFormat="1" applyFont="1" applyFill="1" applyBorder="1" applyAlignment="1">
      <alignment/>
    </xf>
    <xf numFmtId="0" fontId="10" fillId="0" borderId="29" xfId="0" applyFont="1" applyBorder="1" applyAlignment="1">
      <alignment horizontal="center" vertical="center" wrapText="1"/>
    </xf>
    <xf numFmtId="4" fontId="72" fillId="0" borderId="19" xfId="0" applyNumberFormat="1" applyFont="1" applyBorder="1" applyAlignment="1">
      <alignment horizontal="center"/>
    </xf>
    <xf numFmtId="166" fontId="72" fillId="0" borderId="28" xfId="0" applyNumberFormat="1" applyFont="1" applyFill="1" applyBorder="1" applyAlignment="1">
      <alignment horizontal="center"/>
    </xf>
    <xf numFmtId="0" fontId="76" fillId="0" borderId="15" xfId="0" applyFont="1" applyBorder="1" applyAlignment="1">
      <alignment horizontal="center"/>
    </xf>
    <xf numFmtId="4" fontId="72" fillId="0" borderId="15" xfId="0" applyNumberFormat="1" applyFont="1" applyBorder="1" applyAlignment="1">
      <alignment horizontal="center"/>
    </xf>
    <xf numFmtId="166" fontId="72" fillId="0" borderId="15" xfId="0" applyNumberFormat="1" applyFont="1" applyFill="1" applyBorder="1" applyAlignment="1">
      <alignment horizontal="center"/>
    </xf>
    <xf numFmtId="167" fontId="66" fillId="0" borderId="11" xfId="0" applyNumberFormat="1" applyFont="1" applyBorder="1" applyAlignment="1">
      <alignment horizontal="center"/>
    </xf>
    <xf numFmtId="167" fontId="66" fillId="0" borderId="23" xfId="0" applyNumberFormat="1" applyFont="1" applyBorder="1" applyAlignment="1">
      <alignment horizontal="center"/>
    </xf>
    <xf numFmtId="0" fontId="11" fillId="0" borderId="0" xfId="44" applyAlignment="1" applyProtection="1">
      <alignment horizontal="left"/>
      <protection/>
    </xf>
    <xf numFmtId="2" fontId="66" fillId="0" borderId="15" xfId="0" applyNumberFormat="1" applyFont="1" applyBorder="1" applyAlignment="1">
      <alignment/>
    </xf>
    <xf numFmtId="0" fontId="69" fillId="0" borderId="0" xfId="0" applyFont="1" applyAlignment="1">
      <alignment/>
    </xf>
    <xf numFmtId="167" fontId="8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166" fontId="68" fillId="0" borderId="28" xfId="0" applyNumberFormat="1" applyFont="1" applyFill="1" applyBorder="1" applyAlignment="1">
      <alignment horizontal="center"/>
    </xf>
    <xf numFmtId="4" fontId="68" fillId="0" borderId="19" xfId="0" applyNumberFormat="1" applyFont="1" applyBorder="1" applyAlignment="1">
      <alignment horizontal="center"/>
    </xf>
    <xf numFmtId="166" fontId="68" fillId="0" borderId="19" xfId="0" applyNumberFormat="1" applyFont="1" applyFill="1" applyBorder="1" applyAlignment="1">
      <alignment horizontal="center"/>
    </xf>
    <xf numFmtId="167" fontId="68" fillId="0" borderId="23" xfId="0" applyNumberFormat="1" applyFont="1" applyBorder="1" applyAlignment="1">
      <alignment horizontal="center"/>
    </xf>
    <xf numFmtId="166" fontId="68" fillId="0" borderId="15" xfId="0" applyNumberFormat="1" applyFont="1" applyFill="1" applyBorder="1" applyAlignment="1">
      <alignment horizontal="center"/>
    </xf>
    <xf numFmtId="2" fontId="68" fillId="0" borderId="23" xfId="0" applyNumberFormat="1" applyFont="1" applyFill="1" applyBorder="1" applyAlignment="1">
      <alignment horizontal="center"/>
    </xf>
    <xf numFmtId="4" fontId="68" fillId="0" borderId="15" xfId="0" applyNumberFormat="1" applyFont="1" applyFill="1" applyBorder="1" applyAlignment="1">
      <alignment horizontal="center"/>
    </xf>
    <xf numFmtId="0" fontId="69" fillId="0" borderId="0" xfId="0" applyFont="1" applyFill="1" applyAlignment="1">
      <alignment/>
    </xf>
    <xf numFmtId="0" fontId="0" fillId="0" borderId="0" xfId="0" applyFont="1" applyFill="1" applyAlignment="1">
      <alignment/>
    </xf>
    <xf numFmtId="167" fontId="68" fillId="0" borderId="23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/>
    </xf>
    <xf numFmtId="0" fontId="69" fillId="0" borderId="11" xfId="0" applyFont="1" applyBorder="1" applyAlignment="1">
      <alignment horizontal="right"/>
    </xf>
    <xf numFmtId="166" fontId="77" fillId="0" borderId="26" xfId="0" applyNumberFormat="1" applyFont="1" applyBorder="1" applyAlignment="1">
      <alignment horizontal="center"/>
    </xf>
    <xf numFmtId="166" fontId="10" fillId="0" borderId="15" xfId="0" applyNumberFormat="1" applyFont="1" applyFill="1" applyBorder="1" applyAlignment="1">
      <alignment horizontal="center"/>
    </xf>
    <xf numFmtId="4" fontId="77" fillId="0" borderId="26" xfId="0" applyNumberFormat="1" applyFont="1" applyBorder="1" applyAlignment="1">
      <alignment horizontal="center"/>
    </xf>
    <xf numFmtId="166" fontId="65" fillId="0" borderId="37" xfId="0" applyNumberFormat="1" applyFont="1" applyBorder="1" applyAlignment="1">
      <alignment/>
    </xf>
    <xf numFmtId="0" fontId="65" fillId="0" borderId="37" xfId="0" applyFont="1" applyBorder="1" applyAlignment="1">
      <alignment/>
    </xf>
    <xf numFmtId="4" fontId="72" fillId="0" borderId="11" xfId="0" applyNumberFormat="1" applyFont="1" applyBorder="1" applyAlignment="1">
      <alignment horizontal="center"/>
    </xf>
    <xf numFmtId="167" fontId="72" fillId="0" borderId="11" xfId="0" applyNumberFormat="1" applyFont="1" applyBorder="1" applyAlignment="1">
      <alignment horizontal="center"/>
    </xf>
    <xf numFmtId="167" fontId="72" fillId="0" borderId="11" xfId="0" applyNumberFormat="1" applyFont="1" applyBorder="1" applyAlignment="1">
      <alignment horizontal="left"/>
    </xf>
    <xf numFmtId="1" fontId="66" fillId="0" borderId="19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66" fillId="0" borderId="15" xfId="0" applyNumberFormat="1" applyFont="1" applyBorder="1" applyAlignment="1">
      <alignment/>
    </xf>
    <xf numFmtId="166" fontId="66" fillId="0" borderId="18" xfId="0" applyNumberFormat="1" applyFont="1" applyBorder="1" applyAlignment="1">
      <alignment/>
    </xf>
    <xf numFmtId="166" fontId="0" fillId="0" borderId="15" xfId="0" applyNumberFormat="1" applyFont="1" applyFill="1" applyBorder="1" applyAlignment="1">
      <alignment horizontal="center"/>
    </xf>
    <xf numFmtId="4" fontId="65" fillId="0" borderId="22" xfId="0" applyNumberFormat="1" applyFont="1" applyBorder="1" applyAlignment="1">
      <alignment/>
    </xf>
    <xf numFmtId="2" fontId="66" fillId="0" borderId="38" xfId="0" applyNumberFormat="1" applyFont="1" applyFill="1" applyBorder="1" applyAlignment="1">
      <alignment horizontal="center"/>
    </xf>
    <xf numFmtId="0" fontId="65" fillId="0" borderId="38" xfId="0" applyFont="1" applyBorder="1" applyAlignment="1">
      <alignment/>
    </xf>
    <xf numFmtId="1" fontId="65" fillId="34" borderId="22" xfId="0" applyNumberFormat="1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8" fillId="0" borderId="32" xfId="0" applyFont="1" applyFill="1" applyBorder="1" applyAlignment="1">
      <alignment/>
    </xf>
    <xf numFmtId="0" fontId="7" fillId="0" borderId="39" xfId="0" applyFont="1" applyFill="1" applyBorder="1" applyAlignment="1">
      <alignment horizontal="center"/>
    </xf>
    <xf numFmtId="167" fontId="8" fillId="0" borderId="32" xfId="0" applyNumberFormat="1" applyFont="1" applyBorder="1" applyAlignment="1">
      <alignment/>
    </xf>
    <xf numFmtId="167" fontId="8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67" fontId="8" fillId="0" borderId="26" xfId="0" applyNumberFormat="1" applyFont="1" applyFill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8" xfId="0" applyFont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9" xfId="0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D198"/>
  <sheetViews>
    <sheetView tabSelected="1" zoomScale="80" zoomScaleNormal="80" zoomScalePageLayoutView="0" workbookViewId="0" topLeftCell="A1">
      <selection activeCell="AG188" sqref="AG188"/>
    </sheetView>
  </sheetViews>
  <sheetFormatPr defaultColWidth="9.00390625" defaultRowHeight="12.75"/>
  <cols>
    <col min="1" max="1" width="3.875" style="0" customWidth="1"/>
    <col min="2" max="2" width="15.00390625" style="0" customWidth="1"/>
    <col min="3" max="3" width="9.25390625" style="0" customWidth="1"/>
    <col min="4" max="4" width="8.25390625" style="0" customWidth="1"/>
    <col min="5" max="6" width="9.00390625" style="0" customWidth="1"/>
    <col min="7" max="7" width="7.875" style="0" customWidth="1"/>
    <col min="8" max="8" width="10.125" style="0" customWidth="1"/>
    <col min="9" max="9" width="8.875" style="0" customWidth="1"/>
    <col min="10" max="10" width="9.625" style="0" customWidth="1"/>
    <col min="11" max="11" width="7.875" style="0" customWidth="1"/>
    <col min="12" max="12" width="9.00390625" style="0" customWidth="1"/>
    <col min="13" max="14" width="7.875" style="0" customWidth="1"/>
    <col min="15" max="20" width="8.875" style="0" customWidth="1"/>
    <col min="21" max="21" width="9.25390625" style="0" customWidth="1"/>
    <col min="22" max="22" width="11.25390625" style="0" customWidth="1"/>
    <col min="23" max="23" width="9.375" style="0" customWidth="1"/>
    <col min="24" max="24" width="9.00390625" style="0" customWidth="1"/>
    <col min="25" max="25" width="10.625" style="0" customWidth="1"/>
    <col min="26" max="26" width="11.00390625" style="0" customWidth="1"/>
    <col min="27" max="27" width="11.125" style="0" customWidth="1"/>
    <col min="28" max="29" width="12.75390625" style="0" customWidth="1"/>
    <col min="30" max="30" width="10.375" style="0" customWidth="1"/>
  </cols>
  <sheetData>
    <row r="1" spans="1:25" ht="15">
      <c r="A1" s="252" t="s">
        <v>177</v>
      </c>
      <c r="B1" s="252"/>
      <c r="C1" s="252"/>
      <c r="D1" s="252"/>
      <c r="E1" s="252"/>
      <c r="F1" s="252"/>
      <c r="G1" s="252"/>
      <c r="H1" s="252"/>
      <c r="I1" s="25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07"/>
      <c r="Y1" s="107"/>
    </row>
    <row r="2" spans="1:25" ht="15">
      <c r="A2" s="81"/>
      <c r="B2" s="164" t="s">
        <v>92</v>
      </c>
      <c r="C2" s="165" t="s">
        <v>79</v>
      </c>
      <c r="D2" s="81"/>
      <c r="E2" s="81"/>
      <c r="F2" s="81"/>
      <c r="G2" s="81"/>
      <c r="H2" s="166" t="s">
        <v>93</v>
      </c>
      <c r="I2" s="165" t="s">
        <v>94</v>
      </c>
      <c r="J2" s="167" t="s">
        <v>105</v>
      </c>
      <c r="K2" s="81"/>
      <c r="L2" s="81"/>
      <c r="M2" s="81"/>
      <c r="N2" s="164" t="s">
        <v>95</v>
      </c>
      <c r="O2" s="173" t="s">
        <v>106</v>
      </c>
      <c r="P2" s="81"/>
      <c r="Q2" s="81"/>
      <c r="R2" s="81"/>
      <c r="S2" s="81"/>
      <c r="T2" s="81"/>
      <c r="U2" s="164" t="s">
        <v>96</v>
      </c>
      <c r="V2" s="173" t="s">
        <v>104</v>
      </c>
      <c r="W2" s="81"/>
      <c r="X2" s="107"/>
      <c r="Y2" s="107"/>
    </row>
    <row r="3" spans="1:25" ht="15.75">
      <c r="A3" s="81"/>
      <c r="C3" s="166" t="s">
        <v>97</v>
      </c>
      <c r="D3" s="169" t="s">
        <v>109</v>
      </c>
      <c r="E3" s="81"/>
      <c r="F3" s="81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2" t="s">
        <v>88</v>
      </c>
      <c r="Y3" s="107"/>
    </row>
    <row r="4" spans="1:30" ht="15" customHeight="1">
      <c r="A4" s="261" t="s">
        <v>82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</row>
    <row r="5" spans="1:30" s="3" customFormat="1" ht="15" customHeight="1">
      <c r="A5" s="252" t="s">
        <v>249</v>
      </c>
      <c r="B5" s="252"/>
      <c r="C5" s="252"/>
      <c r="D5" s="252"/>
      <c r="E5" s="252"/>
      <c r="F5" s="1" t="s">
        <v>108</v>
      </c>
      <c r="H5" s="170" t="s">
        <v>98</v>
      </c>
      <c r="I5" s="171" t="s">
        <v>107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B5" s="2"/>
      <c r="AC5" s="2"/>
      <c r="AD5" s="2"/>
    </row>
    <row r="6" spans="1:30" s="3" customFormat="1" ht="14.25">
      <c r="A6" s="252" t="s">
        <v>248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</row>
    <row r="7" spans="1:30" s="3" customFormat="1" ht="14.25">
      <c r="A7" s="257" t="s">
        <v>216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</row>
    <row r="8" spans="1:30" s="3" customFormat="1" ht="14.25">
      <c r="A8" s="252" t="s">
        <v>185</v>
      </c>
      <c r="B8" s="252"/>
      <c r="C8" s="252"/>
      <c r="D8" s="108"/>
      <c r="E8" s="5"/>
      <c r="F8" s="5"/>
      <c r="G8" s="4" t="s">
        <v>0</v>
      </c>
      <c r="H8" s="6" t="s">
        <v>2</v>
      </c>
      <c r="I8" s="4" t="s">
        <v>1</v>
      </c>
      <c r="J8" s="6" t="s">
        <v>2</v>
      </c>
      <c r="K8" s="1"/>
      <c r="L8" s="2"/>
      <c r="M8" s="1"/>
      <c r="N8" s="67"/>
      <c r="O8" s="91" t="s">
        <v>78</v>
      </c>
      <c r="P8" s="91"/>
      <c r="Q8" s="91"/>
      <c r="R8" s="1"/>
      <c r="S8" s="1"/>
      <c r="T8" s="4" t="s">
        <v>100</v>
      </c>
      <c r="U8" s="162" t="s">
        <v>186</v>
      </c>
      <c r="W8" s="1"/>
      <c r="X8" s="1"/>
      <c r="Y8" s="1"/>
      <c r="Z8" s="2"/>
      <c r="AA8" s="1"/>
      <c r="AD8" s="1"/>
    </row>
    <row r="9" spans="2:30" s="3" customFormat="1" ht="14.25">
      <c r="B9" s="2" t="s">
        <v>3</v>
      </c>
      <c r="C9" s="7"/>
      <c r="D9" s="7"/>
      <c r="E9" s="7"/>
      <c r="F9" s="7"/>
      <c r="G9" s="7"/>
      <c r="H9" s="7"/>
      <c r="I9" s="44" t="s">
        <v>116</v>
      </c>
      <c r="J9" s="2" t="s">
        <v>4</v>
      </c>
      <c r="L9" s="4" t="s">
        <v>5</v>
      </c>
      <c r="M9" s="8" t="s">
        <v>6</v>
      </c>
      <c r="N9" s="2" t="s">
        <v>7</v>
      </c>
      <c r="R9" s="7"/>
      <c r="S9" s="7"/>
      <c r="T9" s="7"/>
      <c r="U9" s="7"/>
      <c r="V9" s="7"/>
      <c r="W9" s="7"/>
      <c r="X9" s="7"/>
      <c r="Y9" s="7"/>
      <c r="Z9" s="191"/>
      <c r="AA9" s="7"/>
      <c r="AB9" s="191"/>
      <c r="AD9" s="7"/>
    </row>
    <row r="10" spans="1:30" s="3" customFormat="1" ht="14.25">
      <c r="A10" s="2"/>
      <c r="B10" s="4" t="s">
        <v>8</v>
      </c>
      <c r="C10" s="100">
        <v>1.20016</v>
      </c>
      <c r="D10" s="2" t="s">
        <v>9</v>
      </c>
      <c r="E10" s="7"/>
      <c r="F10" s="7"/>
      <c r="H10" s="4" t="s">
        <v>10</v>
      </c>
      <c r="I10" s="98">
        <v>3.41876</v>
      </c>
      <c r="J10" s="2" t="s">
        <v>9</v>
      </c>
      <c r="N10" s="4" t="s">
        <v>11</v>
      </c>
      <c r="O10" s="8" t="s">
        <v>6</v>
      </c>
      <c r="P10" s="8"/>
      <c r="Q10" s="8"/>
      <c r="R10" s="2" t="s">
        <v>9</v>
      </c>
      <c r="S10" s="2"/>
      <c r="T10" s="2"/>
      <c r="V10" s="4" t="s">
        <v>12</v>
      </c>
      <c r="W10" s="8" t="s">
        <v>6</v>
      </c>
      <c r="X10" s="2" t="s">
        <v>9</v>
      </c>
      <c r="Y10" s="7"/>
      <c r="Z10" s="203"/>
      <c r="AA10" s="7"/>
      <c r="AB10"/>
      <c r="AC10" s="7"/>
      <c r="AD10" s="7"/>
    </row>
    <row r="11" spans="1:30" s="3" customFormat="1" ht="15" thickBot="1">
      <c r="A11" s="3" t="s">
        <v>13</v>
      </c>
      <c r="B11" s="4" t="s">
        <v>14</v>
      </c>
      <c r="C11" s="8" t="s">
        <v>6</v>
      </c>
      <c r="D11" s="2" t="s">
        <v>9</v>
      </c>
      <c r="G11" s="9" t="s">
        <v>13</v>
      </c>
      <c r="H11" s="4" t="s">
        <v>15</v>
      </c>
      <c r="I11" s="8" t="s">
        <v>6</v>
      </c>
      <c r="J11" s="2" t="s">
        <v>9</v>
      </c>
      <c r="N11" s="4" t="s">
        <v>16</v>
      </c>
      <c r="O11" s="8" t="s">
        <v>6</v>
      </c>
      <c r="P11" s="8"/>
      <c r="Q11" s="8"/>
      <c r="R11" s="2" t="s">
        <v>9</v>
      </c>
      <c r="S11" s="2"/>
      <c r="T11" s="2"/>
      <c r="U11" s="10"/>
      <c r="V11" s="11"/>
      <c r="W11" s="11"/>
      <c r="X11" s="11" t="s">
        <v>76</v>
      </c>
      <c r="Y11" s="11">
        <v>20</v>
      </c>
      <c r="Z11" s="11"/>
      <c r="AA11" s="11"/>
      <c r="AB11" s="12"/>
      <c r="AC11" s="12"/>
      <c r="AD11" s="10"/>
    </row>
    <row r="12" spans="1:30" ht="12.75" customHeight="1">
      <c r="A12" s="262" t="s">
        <v>17</v>
      </c>
      <c r="B12" s="13"/>
      <c r="C12" s="275" t="s">
        <v>18</v>
      </c>
      <c r="D12" s="13"/>
      <c r="E12" s="258" t="s">
        <v>19</v>
      </c>
      <c r="F12" s="259"/>
      <c r="G12" s="259"/>
      <c r="H12" s="260"/>
      <c r="I12" s="258" t="s">
        <v>20</v>
      </c>
      <c r="J12" s="259"/>
      <c r="K12" s="259"/>
      <c r="L12" s="259"/>
      <c r="M12" s="259"/>
      <c r="N12" s="260"/>
      <c r="O12" s="13"/>
      <c r="P12" s="258" t="s">
        <v>83</v>
      </c>
      <c r="Q12" s="259"/>
      <c r="R12" s="259"/>
      <c r="S12" s="259"/>
      <c r="T12" s="260"/>
      <c r="U12" s="14" t="s">
        <v>21</v>
      </c>
      <c r="V12" s="15" t="s">
        <v>22</v>
      </c>
      <c r="W12" s="16"/>
      <c r="X12" s="16"/>
      <c r="Y12" s="17"/>
      <c r="Z12" s="18"/>
      <c r="AA12" s="18"/>
      <c r="AB12" s="19" t="s">
        <v>23</v>
      </c>
      <c r="AC12" s="19"/>
      <c r="AD12" s="265" t="s">
        <v>87</v>
      </c>
    </row>
    <row r="13" spans="1:30" ht="12.75" customHeight="1">
      <c r="A13" s="263"/>
      <c r="B13" s="20"/>
      <c r="C13" s="276"/>
      <c r="D13" s="20"/>
      <c r="E13" s="22"/>
      <c r="F13" s="22"/>
      <c r="G13" s="22"/>
      <c r="H13" s="22"/>
      <c r="I13" s="270" t="s">
        <v>24</v>
      </c>
      <c r="J13" s="271"/>
      <c r="K13" s="272" t="s">
        <v>25</v>
      </c>
      <c r="L13" s="273"/>
      <c r="M13" s="273"/>
      <c r="N13" s="274"/>
      <c r="O13" s="20"/>
      <c r="P13" s="23"/>
      <c r="Q13" s="23"/>
      <c r="R13" s="133"/>
      <c r="S13" s="111"/>
      <c r="T13" s="133"/>
      <c r="U13" s="24" t="s">
        <v>26</v>
      </c>
      <c r="V13" s="24" t="s">
        <v>27</v>
      </c>
      <c r="W13" s="19" t="s">
        <v>28</v>
      </c>
      <c r="X13" s="268" t="s">
        <v>29</v>
      </c>
      <c r="Y13" s="269"/>
      <c r="Z13" s="24" t="s">
        <v>30</v>
      </c>
      <c r="AA13" s="24" t="s">
        <v>30</v>
      </c>
      <c r="AB13" s="23" t="s">
        <v>31</v>
      </c>
      <c r="AC13" s="23"/>
      <c r="AD13" s="266"/>
    </row>
    <row r="14" spans="1:30" ht="12.75">
      <c r="A14" s="263"/>
      <c r="B14" s="103" t="s">
        <v>80</v>
      </c>
      <c r="C14" s="276"/>
      <c r="D14" s="20"/>
      <c r="E14" s="20"/>
      <c r="F14" s="20"/>
      <c r="G14" s="20"/>
      <c r="H14" s="20"/>
      <c r="I14" s="253"/>
      <c r="J14" s="254"/>
      <c r="K14" s="253" t="s">
        <v>32</v>
      </c>
      <c r="L14" s="254"/>
      <c r="M14" s="253" t="s">
        <v>33</v>
      </c>
      <c r="N14" s="254"/>
      <c r="O14" s="24" t="s">
        <v>21</v>
      </c>
      <c r="P14" s="24"/>
      <c r="Q14" s="24"/>
      <c r="R14" s="134" t="s">
        <v>41</v>
      </c>
      <c r="T14" s="134" t="s">
        <v>21</v>
      </c>
      <c r="U14" s="25" t="s">
        <v>34</v>
      </c>
      <c r="V14" s="20" t="s">
        <v>168</v>
      </c>
      <c r="W14" s="23" t="s">
        <v>35</v>
      </c>
      <c r="X14" s="26"/>
      <c r="Y14" s="27"/>
      <c r="Z14" s="20" t="s">
        <v>36</v>
      </c>
      <c r="AA14" s="20" t="s">
        <v>37</v>
      </c>
      <c r="AB14" s="19" t="s">
        <v>77</v>
      </c>
      <c r="AC14" s="28" t="s">
        <v>38</v>
      </c>
      <c r="AD14" s="266"/>
    </row>
    <row r="15" spans="1:30" ht="12.75" customHeight="1">
      <c r="A15" s="263" t="s">
        <v>17</v>
      </c>
      <c r="B15" s="20" t="s">
        <v>39</v>
      </c>
      <c r="C15" s="276"/>
      <c r="D15" s="20" t="s">
        <v>40</v>
      </c>
      <c r="E15" s="24" t="s">
        <v>41</v>
      </c>
      <c r="F15" s="24" t="s">
        <v>41</v>
      </c>
      <c r="G15" s="24" t="s">
        <v>42</v>
      </c>
      <c r="H15" s="24" t="s">
        <v>43</v>
      </c>
      <c r="I15" s="253"/>
      <c r="J15" s="254"/>
      <c r="K15" s="253"/>
      <c r="L15" s="254"/>
      <c r="M15" s="253"/>
      <c r="N15" s="254"/>
      <c r="O15" s="20" t="s">
        <v>44</v>
      </c>
      <c r="P15" s="24" t="s">
        <v>89</v>
      </c>
      <c r="Q15" s="24" t="s">
        <v>89</v>
      </c>
      <c r="R15" s="113" t="s">
        <v>84</v>
      </c>
      <c r="S15" s="111" t="s">
        <v>61</v>
      </c>
      <c r="T15" s="111" t="s">
        <v>45</v>
      </c>
      <c r="U15" s="20" t="s">
        <v>46</v>
      </c>
      <c r="V15" s="61" t="s">
        <v>103</v>
      </c>
      <c r="W15" s="23" t="s">
        <v>47</v>
      </c>
      <c r="X15" s="23"/>
      <c r="Y15" s="23"/>
      <c r="Z15" s="19" t="s">
        <v>48</v>
      </c>
      <c r="AA15" s="19" t="s">
        <v>49</v>
      </c>
      <c r="AB15" s="19" t="s">
        <v>50</v>
      </c>
      <c r="AC15" s="28" t="s">
        <v>51</v>
      </c>
      <c r="AD15" s="266"/>
    </row>
    <row r="16" spans="1:30" ht="12.75">
      <c r="A16" s="263"/>
      <c r="B16" s="20" t="s">
        <v>52</v>
      </c>
      <c r="C16" s="276"/>
      <c r="D16" s="20" t="s">
        <v>53</v>
      </c>
      <c r="E16" s="20" t="s">
        <v>103</v>
      </c>
      <c r="F16" s="20" t="s">
        <v>64</v>
      </c>
      <c r="G16" s="20"/>
      <c r="H16" s="20"/>
      <c r="I16" s="255"/>
      <c r="J16" s="256"/>
      <c r="K16" s="255"/>
      <c r="L16" s="256"/>
      <c r="M16" s="255"/>
      <c r="N16" s="256"/>
      <c r="O16" s="20" t="s">
        <v>86</v>
      </c>
      <c r="P16" s="20" t="s">
        <v>90</v>
      </c>
      <c r="Q16" s="20" t="s">
        <v>91</v>
      </c>
      <c r="R16" s="111" t="s">
        <v>85</v>
      </c>
      <c r="S16" s="111" t="s">
        <v>114</v>
      </c>
      <c r="T16" s="111" t="s">
        <v>54</v>
      </c>
      <c r="U16" s="20" t="s">
        <v>55</v>
      </c>
      <c r="V16" s="20" t="s">
        <v>169</v>
      </c>
      <c r="W16" s="23" t="s">
        <v>110</v>
      </c>
      <c r="X16" s="23"/>
      <c r="Y16" s="19" t="s">
        <v>43</v>
      </c>
      <c r="Z16" s="19" t="s">
        <v>56</v>
      </c>
      <c r="AA16" s="19" t="s">
        <v>57</v>
      </c>
      <c r="AB16" s="19" t="s">
        <v>58</v>
      </c>
      <c r="AC16" s="28"/>
      <c r="AD16" s="266"/>
    </row>
    <row r="17" spans="1:30" ht="12.75">
      <c r="A17" s="263"/>
      <c r="B17" s="20" t="s">
        <v>59</v>
      </c>
      <c r="C17" s="276"/>
      <c r="D17" s="20"/>
      <c r="E17" s="20"/>
      <c r="F17" s="20"/>
      <c r="G17" s="20"/>
      <c r="H17" s="20"/>
      <c r="I17" s="20" t="s">
        <v>60</v>
      </c>
      <c r="J17" s="20" t="s">
        <v>61</v>
      </c>
      <c r="K17" s="20" t="s">
        <v>60</v>
      </c>
      <c r="L17" s="20" t="s">
        <v>61</v>
      </c>
      <c r="M17" s="20" t="s">
        <v>60</v>
      </c>
      <c r="N17" s="20" t="s">
        <v>61</v>
      </c>
      <c r="O17" s="20" t="s">
        <v>81</v>
      </c>
      <c r="P17" s="104"/>
      <c r="Q17" s="104"/>
      <c r="R17" s="111"/>
      <c r="S17" s="198"/>
      <c r="T17" s="111" t="s">
        <v>62</v>
      </c>
      <c r="U17" s="20" t="s">
        <v>63</v>
      </c>
      <c r="V17" s="29" t="s">
        <v>170</v>
      </c>
      <c r="W17" s="23" t="s">
        <v>111</v>
      </c>
      <c r="X17" s="19" t="s">
        <v>41</v>
      </c>
      <c r="Y17" s="19"/>
      <c r="Z17" s="19" t="s">
        <v>57</v>
      </c>
      <c r="AA17" s="30" t="s">
        <v>64</v>
      </c>
      <c r="AB17" s="30" t="s">
        <v>65</v>
      </c>
      <c r="AC17" s="31"/>
      <c r="AD17" s="266"/>
    </row>
    <row r="18" spans="1:30" ht="12.75">
      <c r="A18" s="263"/>
      <c r="B18" s="20"/>
      <c r="C18" s="276"/>
      <c r="D18" s="20" t="s">
        <v>66</v>
      </c>
      <c r="E18" s="20" t="s">
        <v>66</v>
      </c>
      <c r="F18" s="20" t="s">
        <v>66</v>
      </c>
      <c r="G18" s="20"/>
      <c r="H18" s="20"/>
      <c r="I18" s="25" t="s">
        <v>67</v>
      </c>
      <c r="J18" s="20"/>
      <c r="K18" s="20"/>
      <c r="L18" s="20"/>
      <c r="M18" s="20"/>
      <c r="N18" s="20"/>
      <c r="O18" s="111" t="s">
        <v>115</v>
      </c>
      <c r="P18" s="147" t="s">
        <v>66</v>
      </c>
      <c r="Q18" s="147" t="s">
        <v>66</v>
      </c>
      <c r="R18" s="111" t="s">
        <v>66</v>
      </c>
      <c r="S18" s="111"/>
      <c r="T18" s="111"/>
      <c r="U18" s="32"/>
      <c r="V18" s="29" t="s">
        <v>171</v>
      </c>
      <c r="W18" s="33"/>
      <c r="X18" s="23"/>
      <c r="Y18" s="19" t="s">
        <v>112</v>
      </c>
      <c r="Z18" s="30" t="s">
        <v>68</v>
      </c>
      <c r="AA18" s="30" t="s">
        <v>69</v>
      </c>
      <c r="AB18" s="30" t="s">
        <v>70</v>
      </c>
      <c r="AC18" s="31"/>
      <c r="AD18" s="266"/>
    </row>
    <row r="19" spans="1:30" ht="12.75">
      <c r="A19" s="264"/>
      <c r="B19" s="34"/>
      <c r="C19" s="277"/>
      <c r="D19" s="34" t="s">
        <v>71</v>
      </c>
      <c r="E19" s="34" t="s">
        <v>71</v>
      </c>
      <c r="F19" s="34" t="s">
        <v>71</v>
      </c>
      <c r="G19" s="34" t="s">
        <v>72</v>
      </c>
      <c r="H19" s="34" t="s">
        <v>73</v>
      </c>
      <c r="I19" s="34" t="s">
        <v>74</v>
      </c>
      <c r="J19" s="34" t="s">
        <v>73</v>
      </c>
      <c r="K19" s="34" t="s">
        <v>72</v>
      </c>
      <c r="L19" s="34" t="s">
        <v>73</v>
      </c>
      <c r="M19" s="34" t="s">
        <v>72</v>
      </c>
      <c r="N19" s="34" t="s">
        <v>73</v>
      </c>
      <c r="O19" s="34" t="s">
        <v>73</v>
      </c>
      <c r="P19" s="148" t="s">
        <v>113</v>
      </c>
      <c r="Q19" s="148" t="s">
        <v>113</v>
      </c>
      <c r="R19" s="135" t="s">
        <v>113</v>
      </c>
      <c r="S19" s="135"/>
      <c r="T19" s="135" t="s">
        <v>73</v>
      </c>
      <c r="U19" s="34" t="s">
        <v>73</v>
      </c>
      <c r="V19" s="34" t="s">
        <v>73</v>
      </c>
      <c r="W19" s="34" t="s">
        <v>72</v>
      </c>
      <c r="X19" s="35" t="s">
        <v>7</v>
      </c>
      <c r="Y19" s="35" t="s">
        <v>73</v>
      </c>
      <c r="Z19" s="35" t="s">
        <v>75</v>
      </c>
      <c r="AA19" s="35" t="s">
        <v>75</v>
      </c>
      <c r="AB19" s="35" t="s">
        <v>75</v>
      </c>
      <c r="AC19" s="35"/>
      <c r="AD19" s="267"/>
    </row>
    <row r="20" spans="1:30" ht="13.5" thickBot="1">
      <c r="A20" s="36">
        <v>1</v>
      </c>
      <c r="B20" s="37">
        <v>2</v>
      </c>
      <c r="C20" s="37">
        <v>3</v>
      </c>
      <c r="D20" s="37">
        <v>4</v>
      </c>
      <c r="E20" s="37">
        <v>5</v>
      </c>
      <c r="F20" s="37">
        <v>6</v>
      </c>
      <c r="G20" s="37">
        <v>7</v>
      </c>
      <c r="H20" s="37">
        <v>8</v>
      </c>
      <c r="I20" s="37">
        <v>9</v>
      </c>
      <c r="J20" s="37">
        <v>10</v>
      </c>
      <c r="K20" s="37">
        <v>11</v>
      </c>
      <c r="L20" s="37">
        <v>12</v>
      </c>
      <c r="M20" s="37">
        <v>13</v>
      </c>
      <c r="N20" s="37">
        <v>14</v>
      </c>
      <c r="O20" s="37">
        <v>15</v>
      </c>
      <c r="P20" s="37">
        <v>16</v>
      </c>
      <c r="Q20" s="37">
        <v>17</v>
      </c>
      <c r="R20" s="37">
        <v>18</v>
      </c>
      <c r="S20" s="37">
        <v>19</v>
      </c>
      <c r="T20" s="37">
        <v>20</v>
      </c>
      <c r="U20" s="37">
        <v>21</v>
      </c>
      <c r="V20" s="37">
        <v>22</v>
      </c>
      <c r="W20" s="37">
        <v>23</v>
      </c>
      <c r="X20" s="37">
        <v>24</v>
      </c>
      <c r="Y20" s="37">
        <v>25</v>
      </c>
      <c r="Z20" s="37">
        <v>26</v>
      </c>
      <c r="AA20" s="37">
        <v>27</v>
      </c>
      <c r="AB20" s="37">
        <v>28</v>
      </c>
      <c r="AC20" s="37">
        <v>29</v>
      </c>
      <c r="AD20" s="121">
        <v>30</v>
      </c>
    </row>
    <row r="21" spans="1:30" ht="12.75" hidden="1">
      <c r="A21" s="174"/>
      <c r="B21" s="140"/>
      <c r="C21" s="175"/>
      <c r="D21" s="175"/>
      <c r="E21" s="175"/>
      <c r="F21" s="175"/>
      <c r="H21" s="47"/>
      <c r="I21" s="47"/>
      <c r="J21" s="41"/>
      <c r="K21" s="82"/>
      <c r="L21" s="47"/>
      <c r="M21" s="66"/>
      <c r="N21" s="47"/>
      <c r="O21" s="83"/>
      <c r="P21" s="153">
        <v>0.02106</v>
      </c>
      <c r="Q21" s="153">
        <v>0.02161</v>
      </c>
      <c r="R21" s="143">
        <f aca="true" t="shared" si="0" ref="R21:R29">(Q21-P21)*20</f>
        <v>0.011000000000000038</v>
      </c>
      <c r="S21" s="106">
        <f>R21/E22</f>
        <v>0.006081379920389224</v>
      </c>
      <c r="T21" s="127"/>
      <c r="U21" s="47"/>
      <c r="V21" s="161"/>
      <c r="W21" s="152"/>
      <c r="X21" s="110"/>
      <c r="Y21" s="110"/>
      <c r="Z21" s="110"/>
      <c r="AA21" s="48"/>
      <c r="AB21" s="176"/>
      <c r="AC21" s="176"/>
      <c r="AD21" s="177"/>
    </row>
    <row r="22" spans="1:30" ht="12.75" hidden="1">
      <c r="A22" s="244">
        <v>1</v>
      </c>
      <c r="B22" s="146" t="s">
        <v>118</v>
      </c>
      <c r="D22" s="100">
        <v>1.2906</v>
      </c>
      <c r="E22" s="56">
        <f>(D22-C10)*Y$11</f>
        <v>1.8088000000000015</v>
      </c>
      <c r="F22" s="57"/>
      <c r="G22" s="179" t="s">
        <v>120</v>
      </c>
      <c r="H22" s="42"/>
      <c r="I22" s="47">
        <f>0.85*1.23</f>
        <v>1.0454999999999999</v>
      </c>
      <c r="J22" s="41"/>
      <c r="K22" s="77">
        <f>(0.1786+0.0129)*1.23</f>
        <v>0.235545</v>
      </c>
      <c r="L22" s="42">
        <f>(E22)*K22*1000</f>
        <v>426.0537960000004</v>
      </c>
      <c r="M22" s="78"/>
      <c r="N22" s="42"/>
      <c r="O22" s="83">
        <f>2.54*1.23</f>
        <v>3.1242</v>
      </c>
      <c r="P22" s="153">
        <v>0.21408</v>
      </c>
      <c r="Q22" s="153">
        <v>0.21738</v>
      </c>
      <c r="R22" s="153">
        <f t="shared" si="0"/>
        <v>0.06599999999999995</v>
      </c>
      <c r="S22" s="106">
        <f>R22/E23</f>
        <v>0.016927417286483667</v>
      </c>
      <c r="T22" s="127"/>
      <c r="U22" s="24"/>
      <c r="V22" s="145"/>
      <c r="W22" s="43"/>
      <c r="X22" s="43"/>
      <c r="Z22" s="21"/>
      <c r="AA22" s="74"/>
      <c r="AB22" s="74"/>
      <c r="AC22" s="74"/>
      <c r="AD22" s="97"/>
    </row>
    <row r="23" spans="1:30" ht="12.75" hidden="1">
      <c r="A23" s="245"/>
      <c r="B23" s="92">
        <v>221016818766</v>
      </c>
      <c r="C23" s="44" t="s">
        <v>119</v>
      </c>
      <c r="D23" s="98">
        <v>3.61371</v>
      </c>
      <c r="E23" s="55">
        <f>(D23-I10)*Y$11</f>
        <v>3.899000000000008</v>
      </c>
      <c r="F23" s="197">
        <v>5.708</v>
      </c>
      <c r="G23" s="58">
        <f>0.221*1.23</f>
        <v>0.27183</v>
      </c>
      <c r="H23" s="196">
        <f>F23*G23*1000</f>
        <v>1551.6056400000002</v>
      </c>
      <c r="I23" s="45">
        <f>3.94*1.23</f>
        <v>4.8462</v>
      </c>
      <c r="J23" s="45">
        <f>AA23*(I22+I23)</f>
        <v>235.66799999999998</v>
      </c>
      <c r="K23" s="58">
        <f>(0.0951+0.0129)*1.23</f>
        <v>0.13283999999999999</v>
      </c>
      <c r="L23" s="64">
        <f>(E23)*K23*1000</f>
        <v>517.943160000001</v>
      </c>
      <c r="M23" s="63"/>
      <c r="N23" s="64"/>
      <c r="O23" s="192">
        <f>(E22+E23)*2.51*1.23</f>
        <v>17.62169094000003</v>
      </c>
      <c r="P23" s="158">
        <v>0.53147</v>
      </c>
      <c r="Q23" s="158">
        <v>0.54565</v>
      </c>
      <c r="R23" s="163">
        <f t="shared" si="0"/>
        <v>0.2835999999999994</v>
      </c>
      <c r="S23" s="157"/>
      <c r="T23" s="118">
        <v>171.43</v>
      </c>
      <c r="U23" s="45"/>
      <c r="V23" s="105">
        <f>J23+L22+L23+N22+N23+O22+O23+T21+T22+T23+U23</f>
        <v>1371.8408469400015</v>
      </c>
      <c r="W23" s="63">
        <f>(H23+V23)/(E22+E23)/1000</f>
        <v>0.5121844645817998</v>
      </c>
      <c r="X23" s="39"/>
      <c r="Y23" s="39"/>
      <c r="Z23" s="40">
        <v>40</v>
      </c>
      <c r="AA23" s="46">
        <v>40</v>
      </c>
      <c r="AB23" s="73">
        <v>40</v>
      </c>
      <c r="AC23" s="73"/>
      <c r="AD23" s="96">
        <f>V23/1.23</f>
        <v>1115.3177617398387</v>
      </c>
    </row>
    <row r="24" spans="1:30" ht="12.75" hidden="1">
      <c r="A24" s="174"/>
      <c r="B24" s="140"/>
      <c r="C24" s="175"/>
      <c r="D24" s="175"/>
      <c r="E24" s="175"/>
      <c r="F24" s="175"/>
      <c r="H24" s="47"/>
      <c r="I24" s="47"/>
      <c r="J24" s="41"/>
      <c r="K24" s="82"/>
      <c r="L24" s="47"/>
      <c r="M24" s="66"/>
      <c r="N24" s="47"/>
      <c r="O24" s="83"/>
      <c r="P24" s="153">
        <v>0.02161</v>
      </c>
      <c r="Q24" s="153">
        <v>0.02211</v>
      </c>
      <c r="R24" s="143">
        <f t="shared" si="0"/>
        <v>0.010000000000000009</v>
      </c>
      <c r="S24" s="106">
        <f>R24/E25</f>
        <v>0.004938759383642834</v>
      </c>
      <c r="T24" s="127"/>
      <c r="U24" s="72"/>
      <c r="V24" s="161"/>
      <c r="W24" s="152"/>
      <c r="X24" s="110"/>
      <c r="Y24" s="110"/>
      <c r="Z24" s="110"/>
      <c r="AA24" s="48"/>
      <c r="AB24" s="176"/>
      <c r="AC24" s="176"/>
      <c r="AD24" s="177"/>
    </row>
    <row r="25" spans="1:30" ht="12.75" hidden="1">
      <c r="A25" s="244">
        <v>2</v>
      </c>
      <c r="B25" s="146" t="s">
        <v>121</v>
      </c>
      <c r="D25" s="100">
        <v>1.39184</v>
      </c>
      <c r="E25" s="56">
        <f>(D25-D22)*Y$11</f>
        <v>2.0248</v>
      </c>
      <c r="F25" s="57"/>
      <c r="G25" s="179" t="s">
        <v>123</v>
      </c>
      <c r="H25" s="42"/>
      <c r="I25" s="47">
        <f>1.65*1.23</f>
        <v>2.0295</v>
      </c>
      <c r="J25" s="41"/>
      <c r="K25" s="77">
        <f>(0.1786+0.0127)*1.23</f>
        <v>0.23529899999999998</v>
      </c>
      <c r="L25" s="42">
        <f>(E25)*K25*1000</f>
        <v>476.43341519999996</v>
      </c>
      <c r="M25" s="78"/>
      <c r="N25" s="42"/>
      <c r="O25" s="83">
        <f>2.54*1.23</f>
        <v>3.1242</v>
      </c>
      <c r="P25" s="153">
        <v>0.21738</v>
      </c>
      <c r="Q25" s="153">
        <v>0.21987</v>
      </c>
      <c r="R25" s="153">
        <f t="shared" si="0"/>
        <v>0.0498000000000004</v>
      </c>
      <c r="S25" s="106">
        <f>R25/E26</f>
        <v>0.011050459326321505</v>
      </c>
      <c r="T25" s="127"/>
      <c r="U25" s="71"/>
      <c r="V25" s="145"/>
      <c r="W25" s="43"/>
      <c r="X25" s="43"/>
      <c r="Z25" s="21"/>
      <c r="AA25" s="74"/>
      <c r="AB25" s="74"/>
      <c r="AC25" s="74"/>
      <c r="AD25" s="97"/>
    </row>
    <row r="26" spans="1:30" ht="12.75" hidden="1">
      <c r="A26" s="245"/>
      <c r="B26" s="92">
        <v>221016951557</v>
      </c>
      <c r="C26" s="44" t="s">
        <v>122</v>
      </c>
      <c r="D26" s="98">
        <v>3.83904</v>
      </c>
      <c r="E26" s="55">
        <f>(D26-D23)*Y$11</f>
        <v>4.506599999999992</v>
      </c>
      <c r="F26" s="197">
        <v>6.531</v>
      </c>
      <c r="G26" s="58">
        <f>0.221*1.23</f>
        <v>0.27183</v>
      </c>
      <c r="H26" s="196">
        <f>F26*G26*1000</f>
        <v>1775.32173</v>
      </c>
      <c r="I26" s="45">
        <f>3.94*1.23</f>
        <v>4.8462</v>
      </c>
      <c r="J26" s="45">
        <f>AA26*(I25+I26)</f>
        <v>275.028</v>
      </c>
      <c r="K26" s="58">
        <f>(0.0951+0.0127)*1.23</f>
        <v>0.13259400000000002</v>
      </c>
      <c r="L26" s="64">
        <f>(E26)*K26*1000</f>
        <v>597.548120399999</v>
      </c>
      <c r="M26" s="63"/>
      <c r="N26" s="64"/>
      <c r="O26" s="192">
        <f>(E25+E26)*3.7*1.23</f>
        <v>29.724401399999962</v>
      </c>
      <c r="P26" s="158">
        <v>0.54565</v>
      </c>
      <c r="Q26" s="158">
        <v>0.55957</v>
      </c>
      <c r="R26" s="163">
        <f t="shared" si="0"/>
        <v>0.27840000000000087</v>
      </c>
      <c r="S26" s="157"/>
      <c r="T26" s="118">
        <v>167.81</v>
      </c>
      <c r="U26" s="59"/>
      <c r="V26" s="105">
        <f>J26+L25+L26+N25+N26+O25+O26+T24+T25+T26+U26</f>
        <v>1549.6681369999988</v>
      </c>
      <c r="W26" s="63">
        <f>(H26+V26)/(E25+E26)/1000</f>
        <v>0.5090776658909273</v>
      </c>
      <c r="X26" s="39"/>
      <c r="Y26" s="39"/>
      <c r="Z26" s="40"/>
      <c r="AA26" s="46">
        <v>40</v>
      </c>
      <c r="AB26" s="73"/>
      <c r="AC26" s="73"/>
      <c r="AD26" s="96">
        <f>V26/1.23</f>
        <v>1259.892794308942</v>
      </c>
    </row>
    <row r="27" spans="1:30" ht="12.75" hidden="1">
      <c r="A27" s="154"/>
      <c r="B27" s="160"/>
      <c r="C27" s="79"/>
      <c r="D27" s="100"/>
      <c r="E27" s="84"/>
      <c r="F27" s="200"/>
      <c r="G27" s="206"/>
      <c r="H27" s="199"/>
      <c r="I27" s="47"/>
      <c r="J27" s="41"/>
      <c r="K27" s="82"/>
      <c r="L27" s="47"/>
      <c r="M27" s="66"/>
      <c r="N27" s="47"/>
      <c r="O27" s="204"/>
      <c r="P27" s="153">
        <v>0.02211</v>
      </c>
      <c r="Q27" s="153">
        <v>0.02233</v>
      </c>
      <c r="R27" s="143">
        <f t="shared" si="0"/>
        <v>0.0043999999999999595</v>
      </c>
      <c r="S27" s="106">
        <f>R27/E29</f>
        <v>0.0060175054704594754</v>
      </c>
      <c r="T27" s="127"/>
      <c r="U27" s="72"/>
      <c r="V27" s="161"/>
      <c r="W27" s="152"/>
      <c r="X27" s="109"/>
      <c r="Y27" s="109"/>
      <c r="Z27" s="110"/>
      <c r="AA27" s="48"/>
      <c r="AB27" s="74"/>
      <c r="AC27" s="74"/>
      <c r="AD27" s="97"/>
    </row>
    <row r="28" spans="1:30" ht="12.75" hidden="1">
      <c r="A28" s="154"/>
      <c r="B28" s="160"/>
      <c r="C28" s="79"/>
      <c r="D28" s="100"/>
      <c r="E28" s="84"/>
      <c r="F28" s="200"/>
      <c r="G28" s="206"/>
      <c r="H28" s="199"/>
      <c r="I28" s="47"/>
      <c r="J28" s="41"/>
      <c r="K28" s="82"/>
      <c r="L28" s="47"/>
      <c r="M28" s="66"/>
      <c r="N28" s="47"/>
      <c r="O28" s="204"/>
      <c r="P28" s="153">
        <v>0.21987</v>
      </c>
      <c r="Q28" s="153">
        <v>0.22091</v>
      </c>
      <c r="R28" s="153">
        <f t="shared" si="0"/>
        <v>0.020799999999999708</v>
      </c>
      <c r="S28" s="106">
        <f>R28/E30</f>
        <v>0.012809459293016152</v>
      </c>
      <c r="T28" s="127"/>
      <c r="U28" s="72"/>
      <c r="V28" s="161"/>
      <c r="W28" s="152"/>
      <c r="X28" s="109"/>
      <c r="Y28" s="109"/>
      <c r="Z28" s="110"/>
      <c r="AA28" s="48"/>
      <c r="AB28" s="74"/>
      <c r="AC28" s="74"/>
      <c r="AD28" s="97"/>
    </row>
    <row r="29" spans="1:30" ht="12.75" hidden="1">
      <c r="A29" s="154"/>
      <c r="B29" s="160"/>
      <c r="D29" s="100">
        <v>1.4284</v>
      </c>
      <c r="E29" s="56">
        <f>(D29-D25)*Y$11</f>
        <v>0.7311999999999985</v>
      </c>
      <c r="F29" s="200"/>
      <c r="G29" s="206"/>
      <c r="H29" s="199"/>
      <c r="I29" s="47"/>
      <c r="J29" s="41"/>
      <c r="K29" s="77">
        <f>(0.1786+0.0127)*1.23</f>
        <v>0.23529899999999998</v>
      </c>
      <c r="L29" s="42">
        <f>(E29)*K29*1000</f>
        <v>172.05062879999963</v>
      </c>
      <c r="M29" s="66"/>
      <c r="N29" s="47"/>
      <c r="O29" s="204"/>
      <c r="P29" s="158">
        <v>0.55957</v>
      </c>
      <c r="Q29" s="158">
        <v>0.5642</v>
      </c>
      <c r="R29" s="163">
        <f t="shared" si="0"/>
        <v>0.09260000000000046</v>
      </c>
      <c r="S29" s="157"/>
      <c r="T29" s="118">
        <v>56.14</v>
      </c>
      <c r="U29" s="72"/>
      <c r="V29" s="161"/>
      <c r="W29" s="152"/>
      <c r="X29" s="109"/>
      <c r="Y29" s="109"/>
      <c r="Z29" s="110"/>
      <c r="AA29" s="48"/>
      <c r="AB29" s="74"/>
      <c r="AC29" s="74"/>
      <c r="AD29" s="97"/>
    </row>
    <row r="30" spans="1:30" ht="12.75" hidden="1">
      <c r="A30" s="174"/>
      <c r="B30" s="140"/>
      <c r="C30" s="44" t="s">
        <v>126</v>
      </c>
      <c r="D30" s="98">
        <v>3.92023</v>
      </c>
      <c r="E30" s="55">
        <f>(D30-D26)*Y$11</f>
        <v>1.6238000000000063</v>
      </c>
      <c r="F30" s="175"/>
      <c r="H30" s="47"/>
      <c r="I30" s="47">
        <f>1.65*1.23</f>
        <v>2.0295</v>
      </c>
      <c r="J30" s="41"/>
      <c r="K30" s="58">
        <f>(0.0951+0.0127)*1.23</f>
        <v>0.13259400000000002</v>
      </c>
      <c r="L30" s="64">
        <f>(E30)*K30*1000</f>
        <v>215.30613720000085</v>
      </c>
      <c r="M30" s="66"/>
      <c r="N30" s="47"/>
      <c r="O30" s="83"/>
      <c r="P30" s="153">
        <v>0.02233</v>
      </c>
      <c r="Q30" s="153">
        <v>0.02284</v>
      </c>
      <c r="R30" s="143">
        <f aca="true" t="shared" si="1" ref="R30:R35">(Q30-P30)*20</f>
        <v>0.0102</v>
      </c>
      <c r="S30" s="106">
        <f>R30/E31</f>
        <v>0.01131824234354192</v>
      </c>
      <c r="T30" s="127"/>
      <c r="U30" s="72"/>
      <c r="V30" s="161"/>
      <c r="W30" s="152"/>
      <c r="X30" s="110"/>
      <c r="Y30" s="110"/>
      <c r="Z30" s="110"/>
      <c r="AA30" s="48"/>
      <c r="AB30" s="176"/>
      <c r="AC30" s="176"/>
      <c r="AD30" s="177"/>
    </row>
    <row r="31" spans="1:30" ht="12.75" hidden="1">
      <c r="A31" s="244">
        <v>3</v>
      </c>
      <c r="B31" s="146" t="s">
        <v>124</v>
      </c>
      <c r="D31" s="100">
        <v>1.47346</v>
      </c>
      <c r="E31" s="56">
        <f>(D31-D29)*Y$11</f>
        <v>0.901200000000002</v>
      </c>
      <c r="F31" s="57"/>
      <c r="G31" s="179" t="s">
        <v>127</v>
      </c>
      <c r="H31" s="42"/>
      <c r="I31" s="47">
        <f>3.94*1.23</f>
        <v>4.8462</v>
      </c>
      <c r="J31" s="41"/>
      <c r="K31" s="77">
        <f>(0.175+0.0127)*1.23</f>
        <v>0.23087099999999997</v>
      </c>
      <c r="L31" s="42">
        <f>(E31)*K31*1000</f>
        <v>208.06094520000042</v>
      </c>
      <c r="M31" s="78"/>
      <c r="N31" s="42"/>
      <c r="O31" s="83">
        <f>2.54*1.23</f>
        <v>3.1242</v>
      </c>
      <c r="P31" s="153">
        <v>0.22091</v>
      </c>
      <c r="Q31" s="153">
        <v>0.22273</v>
      </c>
      <c r="R31" s="153">
        <f t="shared" si="1"/>
        <v>0.03640000000000032</v>
      </c>
      <c r="S31" s="106">
        <f>R31/E32</f>
        <v>0.018060930832589257</v>
      </c>
      <c r="T31" s="127"/>
      <c r="U31" s="71"/>
      <c r="V31" s="145"/>
      <c r="W31" s="43"/>
      <c r="X31" s="43"/>
      <c r="Z31" s="21"/>
      <c r="AA31" s="74"/>
      <c r="AB31" s="74"/>
      <c r="AC31" s="74"/>
      <c r="AD31" s="97"/>
    </row>
    <row r="32" spans="1:30" ht="12.75" hidden="1">
      <c r="A32" s="245"/>
      <c r="B32" s="92">
        <v>221017067787</v>
      </c>
      <c r="C32" s="44" t="s">
        <v>125</v>
      </c>
      <c r="D32" s="98">
        <v>4.021</v>
      </c>
      <c r="E32" s="55">
        <f>(D32-D30)*Y$11</f>
        <v>2.015399999999996</v>
      </c>
      <c r="F32" s="197">
        <v>5.272</v>
      </c>
      <c r="G32" s="58">
        <f>0.221*1.23</f>
        <v>0.27183</v>
      </c>
      <c r="H32" s="196">
        <f>F32*G32*1000</f>
        <v>1433.0877600000001</v>
      </c>
      <c r="I32" s="45">
        <f>3.91*1.23</f>
        <v>4.8093</v>
      </c>
      <c r="J32" s="45">
        <f>AA32*(I30+I31*0.3929+I32*0.6071)</f>
        <v>274.1319204</v>
      </c>
      <c r="K32" s="58">
        <f>(0.0932+0.0127)*1.23</f>
        <v>0.130257</v>
      </c>
      <c r="L32" s="64">
        <f>(E32)*K32*1000</f>
        <v>262.51995779999953</v>
      </c>
      <c r="M32" s="63"/>
      <c r="N32" s="64"/>
      <c r="O32" s="192">
        <f>(E29+E30+E31+E32)*3.7*1.23</f>
        <v>23.991051600000016</v>
      </c>
      <c r="P32" s="158">
        <v>0.5642</v>
      </c>
      <c r="Q32" s="158">
        <v>0.57123</v>
      </c>
      <c r="R32" s="163">
        <f t="shared" si="1"/>
        <v>0.14059999999999961</v>
      </c>
      <c r="S32" s="157"/>
      <c r="T32" s="118">
        <v>88.45</v>
      </c>
      <c r="U32" s="59"/>
      <c r="V32" s="105">
        <f>J32+L29+L30+L31+L32+N31+N32+O31+O32+T29+T30+T31+T32+U32</f>
        <v>1303.7748410000006</v>
      </c>
      <c r="W32" s="63">
        <f>(H32+V32)/(E29+E30+E31+E32)/1000</f>
        <v>0.5191711436755443</v>
      </c>
      <c r="X32" s="39"/>
      <c r="Y32" s="39"/>
      <c r="Z32" s="40"/>
      <c r="AA32" s="46">
        <v>40</v>
      </c>
      <c r="AB32" s="73"/>
      <c r="AC32" s="73"/>
      <c r="AD32" s="96">
        <f>V32/1.23</f>
        <v>1059.979545528456</v>
      </c>
    </row>
    <row r="33" spans="1:30" ht="12.75" hidden="1">
      <c r="A33" s="174"/>
      <c r="B33" s="140"/>
      <c r="C33" s="175"/>
      <c r="D33" s="175"/>
      <c r="E33" s="175"/>
      <c r="F33" s="175"/>
      <c r="H33" s="47"/>
      <c r="I33" s="47"/>
      <c r="J33" s="41"/>
      <c r="K33" s="66"/>
      <c r="L33" s="66"/>
      <c r="M33" s="66"/>
      <c r="N33" s="47"/>
      <c r="O33" s="83"/>
      <c r="P33" s="153">
        <v>0.02284</v>
      </c>
      <c r="Q33" s="153">
        <v>0.02315</v>
      </c>
      <c r="R33" s="143">
        <f t="shared" si="1"/>
        <v>0.006200000000000025</v>
      </c>
      <c r="S33" s="106">
        <f>R33/E34</f>
        <v>0.004303762321255048</v>
      </c>
      <c r="T33" s="127"/>
      <c r="U33" s="72"/>
      <c r="V33" s="161"/>
      <c r="W33" s="152"/>
      <c r="X33" s="110"/>
      <c r="Y33" s="110"/>
      <c r="Z33" s="110"/>
      <c r="AA33" s="48"/>
      <c r="AB33" s="176"/>
      <c r="AC33" s="176"/>
      <c r="AD33" s="177"/>
    </row>
    <row r="34" spans="1:30" ht="12.75" hidden="1">
      <c r="A34" s="244">
        <v>4</v>
      </c>
      <c r="B34" s="146" t="s">
        <v>129</v>
      </c>
      <c r="D34" s="100">
        <v>1.54549</v>
      </c>
      <c r="E34" s="56">
        <f>(D34-D31)*Y$11</f>
        <v>1.4406000000000008</v>
      </c>
      <c r="F34" s="57"/>
      <c r="G34" s="179" t="s">
        <v>130</v>
      </c>
      <c r="H34" s="42"/>
      <c r="I34" s="47">
        <f>1.65*1.23</f>
        <v>2.0295</v>
      </c>
      <c r="J34" s="41"/>
      <c r="K34" s="77">
        <f>(0.175+0.0127)*1.23</f>
        <v>0.23087099999999997</v>
      </c>
      <c r="L34" s="42">
        <f>(E34)*K34*1000</f>
        <v>332.5927626000001</v>
      </c>
      <c r="M34" s="78"/>
      <c r="N34" s="42"/>
      <c r="O34" s="83">
        <f>2.54*1.23</f>
        <v>3.1242</v>
      </c>
      <c r="P34" s="153">
        <v>0.22273</v>
      </c>
      <c r="Q34" s="153">
        <v>0.22471</v>
      </c>
      <c r="R34" s="153">
        <f t="shared" si="1"/>
        <v>0.039599999999999635</v>
      </c>
      <c r="S34" s="106">
        <f>R34/E35</f>
        <v>0.013099569963612155</v>
      </c>
      <c r="T34" s="127"/>
      <c r="U34" s="71"/>
      <c r="V34" s="145"/>
      <c r="W34" s="43"/>
      <c r="X34" s="43"/>
      <c r="Z34" s="21"/>
      <c r="AA34" s="74"/>
      <c r="AB34" s="74"/>
      <c r="AC34" s="74"/>
      <c r="AD34" s="97"/>
    </row>
    <row r="35" spans="1:30" ht="12.75" hidden="1">
      <c r="A35" s="245"/>
      <c r="B35" s="92">
        <v>221017192440</v>
      </c>
      <c r="C35" s="44" t="s">
        <v>128</v>
      </c>
      <c r="D35" s="98">
        <v>4.17215</v>
      </c>
      <c r="E35" s="55">
        <f>(D35-D32)*Y$11</f>
        <v>3.023000000000007</v>
      </c>
      <c r="F35" s="197">
        <v>4.463</v>
      </c>
      <c r="G35" s="58">
        <f>0.221*1.23</f>
        <v>0.27183</v>
      </c>
      <c r="H35" s="196">
        <f>F35*G35*1000</f>
        <v>1213.17729</v>
      </c>
      <c r="I35" s="45">
        <f>3.91*1.23</f>
        <v>4.8093</v>
      </c>
      <c r="J35" s="45">
        <f>AA35*(I34+I35)</f>
        <v>273.552</v>
      </c>
      <c r="K35" s="58">
        <f>(0.0932+0.0127)*1.23</f>
        <v>0.130257</v>
      </c>
      <c r="L35" s="64">
        <f>(E35)*K35*1000</f>
        <v>393.76691100000096</v>
      </c>
      <c r="M35" s="63"/>
      <c r="N35" s="64"/>
      <c r="O35" s="192">
        <f>(E34+E35)*3.7*1.23</f>
        <v>20.313843600000034</v>
      </c>
      <c r="P35" s="158">
        <v>0.57123</v>
      </c>
      <c r="Q35" s="158">
        <v>0.59045</v>
      </c>
      <c r="R35" s="163">
        <f t="shared" si="1"/>
        <v>0.3844000000000003</v>
      </c>
      <c r="S35" s="157"/>
      <c r="T35" s="118">
        <v>240.87</v>
      </c>
      <c r="U35" s="59"/>
      <c r="V35" s="105">
        <f>J35+L34+L35+N34+N35+O34+O35+T33+T34+T35+U35</f>
        <v>1264.219717200001</v>
      </c>
      <c r="W35" s="63">
        <f>(H35+V35)/(E34+E35)/1000</f>
        <v>0.5550221810198039</v>
      </c>
      <c r="X35" s="39"/>
      <c r="Y35" s="39"/>
      <c r="Z35" s="40"/>
      <c r="AA35" s="46">
        <v>40</v>
      </c>
      <c r="AB35" s="73"/>
      <c r="AC35" s="73"/>
      <c r="AD35" s="96">
        <f>V35/1.23</f>
        <v>1027.8209082926837</v>
      </c>
    </row>
    <row r="36" spans="1:30" ht="12.75" hidden="1">
      <c r="A36" s="174"/>
      <c r="B36" s="140"/>
      <c r="C36" s="175"/>
      <c r="D36" s="175"/>
      <c r="E36" s="175"/>
      <c r="F36" s="175"/>
      <c r="H36" s="47"/>
      <c r="I36" s="47"/>
      <c r="J36" s="41"/>
      <c r="K36" s="66"/>
      <c r="L36" s="66"/>
      <c r="M36" s="66"/>
      <c r="N36" s="47"/>
      <c r="O36" s="83"/>
      <c r="P36" s="153">
        <v>0.02315</v>
      </c>
      <c r="Q36" s="153">
        <v>0.0234</v>
      </c>
      <c r="R36" s="143">
        <f aca="true" t="shared" si="2" ref="R36:R41">(Q36-P36)*20</f>
        <v>0.0050000000000000044</v>
      </c>
      <c r="S36" s="106">
        <f>R36/E37</f>
        <v>0.010229132569558104</v>
      </c>
      <c r="T36" s="127"/>
      <c r="U36" s="72"/>
      <c r="V36" s="161"/>
      <c r="W36" s="152"/>
      <c r="X36" s="110"/>
      <c r="Y36" s="110"/>
      <c r="Z36" s="110"/>
      <c r="AA36" s="48"/>
      <c r="AB36" s="176"/>
      <c r="AC36" s="176"/>
      <c r="AD36" s="177"/>
    </row>
    <row r="37" spans="1:30" ht="12.75" hidden="1">
      <c r="A37" s="244">
        <v>5</v>
      </c>
      <c r="B37" s="146" t="s">
        <v>131</v>
      </c>
      <c r="D37" s="100">
        <v>1.56993</v>
      </c>
      <c r="E37" s="56">
        <f>(D37-D34)*Y$11</f>
        <v>0.48880000000000035</v>
      </c>
      <c r="F37" s="57"/>
      <c r="G37" s="179" t="s">
        <v>133</v>
      </c>
      <c r="H37" s="42"/>
      <c r="I37" s="47">
        <f>1.65*1.23</f>
        <v>2.0295</v>
      </c>
      <c r="J37" s="41"/>
      <c r="K37" s="77">
        <f>(0.175+0.0127)*1.23</f>
        <v>0.23087099999999997</v>
      </c>
      <c r="L37" s="42">
        <f>(E37)*K37*1000</f>
        <v>112.84974480000007</v>
      </c>
      <c r="M37" s="78"/>
      <c r="N37" s="42"/>
      <c r="O37" s="83">
        <f>2.54*1.23</f>
        <v>3.1242</v>
      </c>
      <c r="P37" s="153">
        <v>0.22471</v>
      </c>
      <c r="Q37" s="153">
        <v>0.22704</v>
      </c>
      <c r="R37" s="153">
        <f t="shared" si="2"/>
        <v>0.046599999999999975</v>
      </c>
      <c r="S37" s="106">
        <f>R37/E38</f>
        <v>0.02087065567896819</v>
      </c>
      <c r="T37" s="127"/>
      <c r="U37" s="71"/>
      <c r="V37" s="145"/>
      <c r="W37" s="43"/>
      <c r="X37" s="43"/>
      <c r="Z37" s="21"/>
      <c r="AA37" s="74"/>
      <c r="AB37" s="74"/>
      <c r="AC37" s="74"/>
      <c r="AD37" s="97"/>
    </row>
    <row r="38" spans="1:30" ht="12.75" hidden="1">
      <c r="A38" s="245"/>
      <c r="B38" s="92">
        <v>221017333915</v>
      </c>
      <c r="C38" s="44" t="s">
        <v>132</v>
      </c>
      <c r="D38" s="98">
        <v>4.28379</v>
      </c>
      <c r="E38" s="55">
        <f>(D38-D35)*Y$11</f>
        <v>2.2327999999999903</v>
      </c>
      <c r="F38" s="197">
        <v>2.722</v>
      </c>
      <c r="G38" s="58">
        <f>0.221*1.23</f>
        <v>0.27183</v>
      </c>
      <c r="H38" s="196">
        <f>F38*G38*1000</f>
        <v>739.9212600000001</v>
      </c>
      <c r="I38" s="45">
        <f>3.91*1.23</f>
        <v>4.8093</v>
      </c>
      <c r="J38" s="45">
        <f>AA38*(I37+I38)</f>
        <v>273.552</v>
      </c>
      <c r="K38" s="58">
        <f>(0.0932+0.0127)*1.23</f>
        <v>0.130257</v>
      </c>
      <c r="L38" s="64">
        <f>(E38)*K38*1000</f>
        <v>290.83782959999877</v>
      </c>
      <c r="M38" s="63"/>
      <c r="N38" s="64"/>
      <c r="O38" s="192">
        <f>(E37+E38)*3.7*1.23</f>
        <v>12.386001599999958</v>
      </c>
      <c r="P38" s="158">
        <v>0.59045</v>
      </c>
      <c r="Q38" s="158">
        <v>0.61111</v>
      </c>
      <c r="R38" s="163">
        <f t="shared" si="2"/>
        <v>0.41320000000000023</v>
      </c>
      <c r="S38" s="157"/>
      <c r="T38" s="118">
        <v>259.06</v>
      </c>
      <c r="U38" s="59"/>
      <c r="V38" s="105">
        <f>J38+L37+L38+N37+N38+O37+O38+T36+T37+T38+U38</f>
        <v>951.8097759999989</v>
      </c>
      <c r="W38" s="63">
        <f>(H38+V38)/(E37+E38)/1000</f>
        <v>0.6215942960023533</v>
      </c>
      <c r="X38" s="39"/>
      <c r="Y38" s="39"/>
      <c r="Z38" s="40"/>
      <c r="AA38" s="46">
        <v>40</v>
      </c>
      <c r="AB38" s="73"/>
      <c r="AC38" s="73"/>
      <c r="AD38" s="96">
        <f>V38/1.23</f>
        <v>773.829086178861</v>
      </c>
    </row>
    <row r="39" spans="1:30" ht="12.75" hidden="1">
      <c r="A39" s="174"/>
      <c r="B39" s="140"/>
      <c r="C39" s="175"/>
      <c r="D39" s="175"/>
      <c r="E39" s="175"/>
      <c r="F39" s="175"/>
      <c r="H39" s="47"/>
      <c r="I39" s="47"/>
      <c r="J39" s="41"/>
      <c r="K39" s="66"/>
      <c r="L39" s="66"/>
      <c r="M39" s="66"/>
      <c r="N39" s="47"/>
      <c r="O39" s="83"/>
      <c r="P39" s="153">
        <v>0.0234</v>
      </c>
      <c r="Q39" s="153">
        <v>0.02367</v>
      </c>
      <c r="R39" s="143">
        <f t="shared" si="2"/>
        <v>0.005399999999999988</v>
      </c>
      <c r="S39" s="106">
        <f>R39/E40</f>
        <v>0.013087736306349993</v>
      </c>
      <c r="T39" s="127"/>
      <c r="U39" s="72"/>
      <c r="V39" s="161"/>
      <c r="W39" s="152"/>
      <c r="X39" s="110"/>
      <c r="Y39" s="110"/>
      <c r="Z39" s="110"/>
      <c r="AA39" s="48"/>
      <c r="AB39" s="176"/>
      <c r="AC39" s="176"/>
      <c r="AD39" s="177"/>
    </row>
    <row r="40" spans="1:30" ht="12.75" hidden="1">
      <c r="A40" s="244">
        <v>6</v>
      </c>
      <c r="B40" s="146" t="s">
        <v>134</v>
      </c>
      <c r="D40" s="100">
        <v>1.59056</v>
      </c>
      <c r="E40" s="56">
        <f>(D40-D37)*Y$11</f>
        <v>0.4125999999999985</v>
      </c>
      <c r="F40" s="57"/>
      <c r="G40" s="179" t="s">
        <v>136</v>
      </c>
      <c r="H40" s="42"/>
      <c r="I40" s="47">
        <f>1.65*1.23</f>
        <v>2.0295</v>
      </c>
      <c r="J40" s="41"/>
      <c r="K40" s="77">
        <f>(0.175+0.0127)*1.23</f>
        <v>0.23087099999999997</v>
      </c>
      <c r="L40" s="42">
        <f>(E40)*K40*1000</f>
        <v>95.25737459999964</v>
      </c>
      <c r="M40" s="78"/>
      <c r="N40" s="42"/>
      <c r="O40" s="83">
        <f>2.54*1.23</f>
        <v>3.1242</v>
      </c>
      <c r="P40" s="153">
        <v>0.22704</v>
      </c>
      <c r="Q40" s="153">
        <v>0.22817</v>
      </c>
      <c r="R40" s="153">
        <f t="shared" si="2"/>
        <v>0.022600000000000398</v>
      </c>
      <c r="S40" s="106">
        <f>R40/E41</f>
        <v>0.01186102655610389</v>
      </c>
      <c r="T40" s="127"/>
      <c r="U40" s="71"/>
      <c r="V40" s="145"/>
      <c r="W40" s="43"/>
      <c r="X40" s="43"/>
      <c r="Z40" s="21"/>
      <c r="AA40" s="74"/>
      <c r="AB40" s="74"/>
      <c r="AC40" s="74"/>
      <c r="AD40" s="97"/>
    </row>
    <row r="41" spans="1:30" ht="12.75" hidden="1">
      <c r="A41" s="245"/>
      <c r="B41" s="92">
        <v>221017472575</v>
      </c>
      <c r="C41" s="44" t="s">
        <v>135</v>
      </c>
      <c r="D41" s="98">
        <v>4.37906</v>
      </c>
      <c r="E41" s="55">
        <f>(D41-D38)*Y$11</f>
        <v>1.9054000000000038</v>
      </c>
      <c r="F41" s="197">
        <v>2.318</v>
      </c>
      <c r="G41" s="58">
        <f>0.221*1.23</f>
        <v>0.27183</v>
      </c>
      <c r="H41" s="196">
        <f>F41*G41*1000</f>
        <v>630.1019400000001</v>
      </c>
      <c r="I41" s="45">
        <f>3.91*1.23</f>
        <v>4.8093</v>
      </c>
      <c r="J41" s="45">
        <f>AA41*(I40+I41)</f>
        <v>273.552</v>
      </c>
      <c r="K41" s="58">
        <f>(0.0932+0.0127)*1.23</f>
        <v>0.130257</v>
      </c>
      <c r="L41" s="64">
        <f>(E41)*K41*1000</f>
        <v>248.1916878000005</v>
      </c>
      <c r="M41" s="63"/>
      <c r="N41" s="64"/>
      <c r="O41" s="192">
        <f>(E40+E41)*3.7*1.23</f>
        <v>10.54921800000001</v>
      </c>
      <c r="P41" s="158">
        <v>0.61111</v>
      </c>
      <c r="Q41" s="158">
        <v>0.63276</v>
      </c>
      <c r="R41" s="163">
        <f t="shared" si="2"/>
        <v>0.43299999999999894</v>
      </c>
      <c r="S41" s="157"/>
      <c r="T41" s="118">
        <v>271.61</v>
      </c>
      <c r="U41" s="59"/>
      <c r="V41" s="105">
        <f>J41+L40+L41+N40+N41+O40+O41+T39+T40+T41+U41</f>
        <v>902.2844804000001</v>
      </c>
      <c r="W41" s="63">
        <f>(H41+V41)/(E40+E41)/1000</f>
        <v>0.6610812857635886</v>
      </c>
      <c r="X41" s="39"/>
      <c r="Y41" s="39"/>
      <c r="Z41" s="40"/>
      <c r="AA41" s="46">
        <v>40</v>
      </c>
      <c r="AB41" s="73"/>
      <c r="AC41" s="73"/>
      <c r="AD41" s="96">
        <f>V41/1.23</f>
        <v>733.5646182113823</v>
      </c>
    </row>
    <row r="42" spans="1:30" ht="12.75" hidden="1">
      <c r="A42" s="174"/>
      <c r="B42" s="140"/>
      <c r="C42" s="175"/>
      <c r="D42" s="175"/>
      <c r="E42" s="175"/>
      <c r="F42" s="175"/>
      <c r="H42" s="47"/>
      <c r="I42" s="47"/>
      <c r="J42" s="41"/>
      <c r="K42" s="66"/>
      <c r="L42" s="66"/>
      <c r="M42" s="66"/>
      <c r="N42" s="47"/>
      <c r="O42" s="83"/>
      <c r="P42" s="153">
        <v>0.02367</v>
      </c>
      <c r="Q42" s="153">
        <v>0.02375</v>
      </c>
      <c r="R42" s="143">
        <f aca="true" t="shared" si="3" ref="R42:R47">(Q42-P42)*20</f>
        <v>0.0016000000000000042</v>
      </c>
      <c r="S42" s="106">
        <f>R42/E43</f>
        <v>0.004491858506457032</v>
      </c>
      <c r="T42" s="127"/>
      <c r="U42" s="72"/>
      <c r="V42" s="161"/>
      <c r="W42" s="152"/>
      <c r="X42" s="110"/>
      <c r="Y42" s="110"/>
      <c r="Z42" s="110"/>
      <c r="AA42" s="48"/>
      <c r="AB42" s="176"/>
      <c r="AC42" s="176"/>
      <c r="AD42" s="177"/>
    </row>
    <row r="43" spans="1:30" ht="12.75" hidden="1">
      <c r="A43" s="244">
        <v>7</v>
      </c>
      <c r="B43" s="146" t="s">
        <v>139</v>
      </c>
      <c r="D43" s="100">
        <v>1.60837</v>
      </c>
      <c r="E43" s="56">
        <f>(D43-D40)*Y$11</f>
        <v>0.35620000000000207</v>
      </c>
      <c r="F43" s="57"/>
      <c r="G43" s="179" t="s">
        <v>138</v>
      </c>
      <c r="H43" s="42"/>
      <c r="I43" s="47">
        <f>1.65*1.23</f>
        <v>2.0295</v>
      </c>
      <c r="J43" s="41"/>
      <c r="K43" s="77">
        <f>(0.175+0.0127)*1.23</f>
        <v>0.23087099999999997</v>
      </c>
      <c r="L43" s="42">
        <f>(E43)*K43*1000</f>
        <v>82.23625020000047</v>
      </c>
      <c r="M43" s="78"/>
      <c r="N43" s="42"/>
      <c r="O43" s="83">
        <f>2.54*1.23</f>
        <v>3.1242</v>
      </c>
      <c r="P43" s="153">
        <v>0.22817</v>
      </c>
      <c r="Q43" s="153">
        <v>0.22971</v>
      </c>
      <c r="R43" s="153">
        <f t="shared" si="3"/>
        <v>0.030799999999999716</v>
      </c>
      <c r="S43" s="106">
        <f>R43/E44</f>
        <v>0.017684887459806856</v>
      </c>
      <c r="T43" s="127"/>
      <c r="U43" s="71"/>
      <c r="V43" s="145"/>
      <c r="W43" s="43"/>
      <c r="X43" s="43"/>
      <c r="Z43" s="21"/>
      <c r="AA43" s="74"/>
      <c r="AB43" s="74"/>
      <c r="AC43" s="74"/>
      <c r="AD43" s="97"/>
    </row>
    <row r="44" spans="1:30" ht="12.75" hidden="1">
      <c r="A44" s="245"/>
      <c r="B44" s="92">
        <v>221017620193</v>
      </c>
      <c r="C44" s="44" t="s">
        <v>137</v>
      </c>
      <c r="D44" s="98">
        <v>4.46614</v>
      </c>
      <c r="E44" s="55">
        <f>(D44-D41)*Y$11</f>
        <v>1.7416000000000054</v>
      </c>
      <c r="F44" s="197">
        <v>2.097</v>
      </c>
      <c r="G44" s="58">
        <f>0.221*1.23</f>
        <v>0.27183</v>
      </c>
      <c r="H44" s="196">
        <f>F44*G44*1000</f>
        <v>570.0275100000001</v>
      </c>
      <c r="I44" s="45">
        <f>3.91*1.23</f>
        <v>4.8093</v>
      </c>
      <c r="J44" s="45">
        <f>AA44*(I43+I44)</f>
        <v>273.552</v>
      </c>
      <c r="K44" s="58">
        <f>(0.0932+0.0127)*1.23</f>
        <v>0.130257</v>
      </c>
      <c r="L44" s="64">
        <f>(E44)*K44*1000</f>
        <v>226.8555912000007</v>
      </c>
      <c r="M44" s="63"/>
      <c r="N44" s="64"/>
      <c r="O44" s="192">
        <f>(E43+E44)*3.7*1.23</f>
        <v>9.547087800000034</v>
      </c>
      <c r="P44" s="158">
        <v>0.63276</v>
      </c>
      <c r="Q44" s="158">
        <v>0.65187</v>
      </c>
      <c r="R44" s="163">
        <f t="shared" si="3"/>
        <v>0.3821999999999992</v>
      </c>
      <c r="S44" s="157"/>
      <c r="T44" s="118">
        <v>239.62</v>
      </c>
      <c r="U44" s="59"/>
      <c r="V44" s="105">
        <f>J44+L43+L44+N43+N44+O43+O44+T42+T43+T44+U44</f>
        <v>834.9351292000011</v>
      </c>
      <c r="W44" s="63">
        <f>(H44+V44)/(E43+E44)/1000</f>
        <v>0.6697314516159769</v>
      </c>
      <c r="X44" s="39"/>
      <c r="Y44" s="39"/>
      <c r="Z44" s="40"/>
      <c r="AA44" s="46">
        <v>40</v>
      </c>
      <c r="AB44" s="73"/>
      <c r="AC44" s="73"/>
      <c r="AD44" s="96">
        <f>V44/1.23</f>
        <v>678.8090481300823</v>
      </c>
    </row>
    <row r="45" spans="1:30" ht="12.75" hidden="1">
      <c r="A45" s="174"/>
      <c r="B45" s="140"/>
      <c r="C45" s="175"/>
      <c r="D45" s="175"/>
      <c r="E45" s="175"/>
      <c r="F45" s="175"/>
      <c r="H45" s="47"/>
      <c r="I45" s="47"/>
      <c r="J45" s="41"/>
      <c r="K45" s="66"/>
      <c r="L45" s="66"/>
      <c r="M45" s="66"/>
      <c r="N45" s="47"/>
      <c r="O45" s="83"/>
      <c r="P45" s="153">
        <v>0.02375</v>
      </c>
      <c r="Q45" s="153">
        <v>0.02391</v>
      </c>
      <c r="R45" s="143">
        <f t="shared" si="3"/>
        <v>0.0032000000000000084</v>
      </c>
      <c r="S45" s="106">
        <f>R45/E46</f>
        <v>0.010666666666666763</v>
      </c>
      <c r="T45" s="124"/>
      <c r="U45" s="72"/>
      <c r="V45" s="161"/>
      <c r="W45" s="152"/>
      <c r="X45" s="110"/>
      <c r="Y45" s="110"/>
      <c r="Z45" s="110"/>
      <c r="AA45" s="48"/>
      <c r="AB45" s="176"/>
      <c r="AC45" s="176"/>
      <c r="AD45" s="177"/>
    </row>
    <row r="46" spans="1:30" ht="12.75" hidden="1">
      <c r="A46" s="244">
        <v>8</v>
      </c>
      <c r="B46" s="146" t="s">
        <v>140</v>
      </c>
      <c r="D46" s="100">
        <v>1.62337</v>
      </c>
      <c r="E46" s="56">
        <f>(D46-D43)*Y$11</f>
        <v>0.29999999999999805</v>
      </c>
      <c r="F46" s="57"/>
      <c r="G46" s="179" t="s">
        <v>142</v>
      </c>
      <c r="H46" s="42"/>
      <c r="I46" s="47">
        <f>1.65*1.23</f>
        <v>2.0295</v>
      </c>
      <c r="J46" s="41"/>
      <c r="K46" s="77">
        <f>(0.175+0.0127)*1.23</f>
        <v>0.23087099999999997</v>
      </c>
      <c r="L46" s="42">
        <f>(E46)*K46*1000</f>
        <v>69.26129999999954</v>
      </c>
      <c r="M46" s="78"/>
      <c r="N46" s="42"/>
      <c r="O46" s="83">
        <f>2.54*1.23</f>
        <v>3.1242</v>
      </c>
      <c r="P46" s="153">
        <v>0.22971</v>
      </c>
      <c r="Q46" s="153">
        <v>0.2319</v>
      </c>
      <c r="R46" s="153">
        <f t="shared" si="3"/>
        <v>0.04379999999999995</v>
      </c>
      <c r="S46" s="106">
        <f>R46/E47</f>
        <v>0.02566807313642772</v>
      </c>
      <c r="T46" s="124"/>
      <c r="U46" s="71"/>
      <c r="V46" s="145"/>
      <c r="W46" s="43"/>
      <c r="X46" s="43"/>
      <c r="Z46" s="21"/>
      <c r="AA46" s="74"/>
      <c r="AB46" s="74"/>
      <c r="AC46" s="74"/>
      <c r="AD46" s="97"/>
    </row>
    <row r="47" spans="1:30" ht="12.75" hidden="1">
      <c r="A47" s="245"/>
      <c r="B47" s="92">
        <v>221017749022</v>
      </c>
      <c r="C47" s="44" t="s">
        <v>141</v>
      </c>
      <c r="D47" s="98">
        <v>4.55146</v>
      </c>
      <c r="E47" s="55">
        <f>(D47-D44)*Y$11</f>
        <v>1.706399999999988</v>
      </c>
      <c r="F47" s="197">
        <v>2.006</v>
      </c>
      <c r="G47" s="58">
        <f>0.221*1.23</f>
        <v>0.27183</v>
      </c>
      <c r="H47" s="196">
        <f>F47*G47*1000</f>
        <v>545.29098</v>
      </c>
      <c r="I47" s="45">
        <f>3.91*1.23</f>
        <v>4.8093</v>
      </c>
      <c r="J47" s="45">
        <f>AA47*(I46+I47)</f>
        <v>273.552</v>
      </c>
      <c r="K47" s="58">
        <f>(0.0932+0.0127)*1.23</f>
        <v>0.130257</v>
      </c>
      <c r="L47" s="64">
        <f>(E47)*K47*1000</f>
        <v>222.27054479999845</v>
      </c>
      <c r="M47" s="63"/>
      <c r="N47" s="64"/>
      <c r="O47" s="192">
        <f>(E46+E47)*3.7*1.23</f>
        <v>9.131126399999937</v>
      </c>
      <c r="P47" s="158">
        <v>0.65187</v>
      </c>
      <c r="Q47" s="158">
        <v>0.66849</v>
      </c>
      <c r="R47" s="163">
        <f t="shared" si="3"/>
        <v>0.3324000000000016</v>
      </c>
      <c r="S47" s="157"/>
      <c r="T47" s="112">
        <v>208.25</v>
      </c>
      <c r="U47" s="59"/>
      <c r="V47" s="105">
        <f>J47+L46+L47+N46+N47+O46+O47+T45+T46+T47+U47</f>
        <v>785.589171199998</v>
      </c>
      <c r="W47" s="63">
        <f>(H47+V47)/(E46+E47)/1000</f>
        <v>0.6633174597288712</v>
      </c>
      <c r="X47" s="39"/>
      <c r="Y47" s="39"/>
      <c r="Z47" s="40"/>
      <c r="AA47" s="46">
        <v>40</v>
      </c>
      <c r="AB47" s="73"/>
      <c r="AC47" s="73"/>
      <c r="AD47" s="96">
        <f>V47/1.23</f>
        <v>638.6903830894292</v>
      </c>
    </row>
    <row r="48" spans="1:30" ht="12.75" hidden="1">
      <c r="A48" s="174"/>
      <c r="B48" s="140"/>
      <c r="C48" s="175"/>
      <c r="D48" s="175"/>
      <c r="E48" s="175"/>
      <c r="F48" s="175"/>
      <c r="H48" s="47"/>
      <c r="I48" s="47"/>
      <c r="J48" s="41"/>
      <c r="K48" s="66"/>
      <c r="L48" s="66"/>
      <c r="M48" s="66"/>
      <c r="N48" s="47"/>
      <c r="O48" s="83"/>
      <c r="P48" s="153">
        <v>0.02391</v>
      </c>
      <c r="Q48" s="153">
        <v>0.02441</v>
      </c>
      <c r="R48" s="143">
        <f aca="true" t="shared" si="4" ref="R48:R53">(Q48-P48)*20</f>
        <v>0.010000000000000009</v>
      </c>
      <c r="S48" s="106">
        <f>R48/E49</f>
        <v>0.024425989252564766</v>
      </c>
      <c r="T48" s="124"/>
      <c r="U48" s="72"/>
      <c r="V48" s="161"/>
      <c r="W48" s="152"/>
      <c r="X48" s="110"/>
      <c r="Y48" s="110"/>
      <c r="Z48" s="110"/>
      <c r="AA48" s="48"/>
      <c r="AB48" s="176"/>
      <c r="AC48" s="176"/>
      <c r="AD48" s="177"/>
    </row>
    <row r="49" spans="1:30" ht="12.75" hidden="1">
      <c r="A49" s="244">
        <v>9</v>
      </c>
      <c r="B49" s="146" t="s">
        <v>145</v>
      </c>
      <c r="D49" s="100">
        <v>1.64384</v>
      </c>
      <c r="E49" s="56">
        <f>(D49-D46)*Y$11</f>
        <v>0.40939999999999976</v>
      </c>
      <c r="F49" s="57"/>
      <c r="G49" s="179" t="s">
        <v>144</v>
      </c>
      <c r="H49" s="42"/>
      <c r="I49" s="47">
        <f>1.65*1.23</f>
        <v>2.0295</v>
      </c>
      <c r="J49" s="41"/>
      <c r="K49" s="77">
        <f>(0.175+0.0127)*1.23</f>
        <v>0.23087099999999997</v>
      </c>
      <c r="L49" s="42">
        <f>(E49)*K49*1000</f>
        <v>94.51858739999993</v>
      </c>
      <c r="M49" s="78"/>
      <c r="N49" s="42"/>
      <c r="O49" s="83">
        <f>2.54*1.23</f>
        <v>3.1242</v>
      </c>
      <c r="P49" s="153">
        <v>0.2319</v>
      </c>
      <c r="Q49" s="153">
        <v>0.23567</v>
      </c>
      <c r="R49" s="153">
        <f t="shared" si="4"/>
        <v>0.07539999999999991</v>
      </c>
      <c r="S49" s="106">
        <f>R49/E50</f>
        <v>0.037730184147317804</v>
      </c>
      <c r="T49" s="124"/>
      <c r="U49" s="71"/>
      <c r="V49" s="145"/>
      <c r="W49" s="43"/>
      <c r="X49" s="43"/>
      <c r="Z49" s="21"/>
      <c r="AA49" s="74"/>
      <c r="AB49" s="74"/>
      <c r="AC49" s="74"/>
      <c r="AD49" s="97"/>
    </row>
    <row r="50" spans="1:30" ht="12.75" hidden="1">
      <c r="A50" s="245"/>
      <c r="B50" s="92">
        <v>222012205645</v>
      </c>
      <c r="C50" s="44" t="s">
        <v>143</v>
      </c>
      <c r="D50" s="98">
        <v>4.65138</v>
      </c>
      <c r="E50" s="55">
        <f>(D50-D47)*Y$11</f>
        <v>1.9984000000000002</v>
      </c>
      <c r="F50" s="197">
        <v>2.408</v>
      </c>
      <c r="G50" s="58">
        <f>0.221*1.23</f>
        <v>0.27183</v>
      </c>
      <c r="H50" s="196">
        <f>F50*G50*1000</f>
        <v>654.56664</v>
      </c>
      <c r="I50" s="45">
        <f>3.91*1.23</f>
        <v>4.8093</v>
      </c>
      <c r="J50" s="45">
        <f>AA50*(I49+I50)</f>
        <v>273.552</v>
      </c>
      <c r="K50" s="58">
        <f>(0.0932+0.0127)*1.23</f>
        <v>0.130257</v>
      </c>
      <c r="L50" s="64">
        <f>(E50)*K50*1000</f>
        <v>260.30558880000007</v>
      </c>
      <c r="M50" s="63"/>
      <c r="N50" s="64"/>
      <c r="O50" s="192">
        <f>(E49+E50)*3.7*1.23</f>
        <v>10.957897800000001</v>
      </c>
      <c r="P50" s="158">
        <v>0.66849</v>
      </c>
      <c r="Q50" s="158">
        <v>0.68399</v>
      </c>
      <c r="R50" s="163">
        <f t="shared" si="4"/>
        <v>0.30999999999999917</v>
      </c>
      <c r="S50" s="157"/>
      <c r="T50" s="112">
        <v>194.45</v>
      </c>
      <c r="U50" s="59"/>
      <c r="V50" s="105">
        <f>J50+L49+L50+N49+N50+O49+O50+T48+T49+T50+U50</f>
        <v>836.9082739999999</v>
      </c>
      <c r="W50" s="63">
        <f>(H50+V50)/(E49+E50)/1000</f>
        <v>0.6194347179998339</v>
      </c>
      <c r="X50" s="39"/>
      <c r="Y50" s="39"/>
      <c r="Z50" s="40"/>
      <c r="AA50" s="46">
        <v>40</v>
      </c>
      <c r="AB50" s="73"/>
      <c r="AC50" s="73"/>
      <c r="AD50" s="96">
        <f>V50/1.23</f>
        <v>680.4132308943089</v>
      </c>
    </row>
    <row r="51" spans="1:30" ht="12.75" hidden="1">
      <c r="A51" s="174"/>
      <c r="B51" s="140"/>
      <c r="C51" s="175"/>
      <c r="D51" s="175"/>
      <c r="E51" s="175"/>
      <c r="F51" s="175"/>
      <c r="H51" s="47"/>
      <c r="I51" s="47"/>
      <c r="J51" s="41"/>
      <c r="K51" s="66"/>
      <c r="L51" s="66"/>
      <c r="M51" s="66"/>
      <c r="N51" s="47"/>
      <c r="O51" s="83"/>
      <c r="P51" s="153">
        <v>0.02441</v>
      </c>
      <c r="Q51" s="153">
        <v>0.02455</v>
      </c>
      <c r="R51" s="143">
        <f t="shared" si="4"/>
        <v>0.0027999999999999553</v>
      </c>
      <c r="S51" s="106">
        <f>R51/E52</f>
        <v>0.00837821663674433</v>
      </c>
      <c r="T51" s="124"/>
      <c r="U51" s="72"/>
      <c r="V51" s="161"/>
      <c r="W51" s="152"/>
      <c r="X51" s="110"/>
      <c r="Y51" s="110"/>
      <c r="Z51" s="110"/>
      <c r="AA51" s="48"/>
      <c r="AB51" s="176"/>
      <c r="AC51" s="176"/>
      <c r="AD51" s="177"/>
    </row>
    <row r="52" spans="1:30" ht="12.75" hidden="1">
      <c r="A52" s="244">
        <v>10</v>
      </c>
      <c r="B52" s="146" t="s">
        <v>146</v>
      </c>
      <c r="D52" s="100">
        <v>1.66055</v>
      </c>
      <c r="E52" s="56">
        <f>(D52-D49)*Y$11</f>
        <v>0.33420000000000005</v>
      </c>
      <c r="F52" s="57"/>
      <c r="G52" s="179" t="s">
        <v>148</v>
      </c>
      <c r="H52" s="42"/>
      <c r="I52" s="47">
        <f>1.65*1.23</f>
        <v>2.0295</v>
      </c>
      <c r="J52" s="41"/>
      <c r="K52" s="77">
        <f>(0.175+0.0127)*1.23</f>
        <v>0.23087099999999997</v>
      </c>
      <c r="L52" s="42">
        <f>(E52)*K52*1000</f>
        <v>77.1570882</v>
      </c>
      <c r="M52" s="78"/>
      <c r="N52" s="42"/>
      <c r="O52" s="83">
        <f>2.54*1.23</f>
        <v>3.1242</v>
      </c>
      <c r="P52" s="153">
        <v>0.23567</v>
      </c>
      <c r="Q52" s="153">
        <v>0.23721</v>
      </c>
      <c r="R52" s="153">
        <f t="shared" si="4"/>
        <v>0.03080000000000027</v>
      </c>
      <c r="S52" s="106">
        <f>R52/E53</f>
        <v>0.0173403895957663</v>
      </c>
      <c r="T52" s="124"/>
      <c r="U52" s="71"/>
      <c r="V52" s="145"/>
      <c r="W52" s="43"/>
      <c r="X52" s="43"/>
      <c r="Z52" s="21"/>
      <c r="AA52" s="74"/>
      <c r="AB52" s="74"/>
      <c r="AC52" s="74"/>
      <c r="AD52" s="97"/>
    </row>
    <row r="53" spans="1:30" ht="12.75" hidden="1">
      <c r="A53" s="245"/>
      <c r="B53" s="92">
        <v>222012254578</v>
      </c>
      <c r="C53" s="44" t="s">
        <v>147</v>
      </c>
      <c r="D53" s="98">
        <v>4.74019</v>
      </c>
      <c r="E53" s="55">
        <f>(D53-D50)*Y$11</f>
        <v>1.77620000000001</v>
      </c>
      <c r="F53" s="197">
        <v>2.111</v>
      </c>
      <c r="G53" s="58">
        <f>0.221*1.23</f>
        <v>0.27183</v>
      </c>
      <c r="H53" s="196">
        <f>F53*G53*1000</f>
        <v>573.8331300000001</v>
      </c>
      <c r="I53" s="45">
        <f>3.91*1.23</f>
        <v>4.8093</v>
      </c>
      <c r="J53" s="45">
        <f>AA53*(I52+I53)</f>
        <v>273.552</v>
      </c>
      <c r="K53" s="58">
        <f>(0.0932+0.0127)*1.23</f>
        <v>0.130257</v>
      </c>
      <c r="L53" s="64">
        <f>(E53)*K53*1000</f>
        <v>231.3624834000013</v>
      </c>
      <c r="M53" s="63"/>
      <c r="N53" s="64"/>
      <c r="O53" s="192">
        <f>(E52+E53)*3.7*1.23</f>
        <v>9.604430400000046</v>
      </c>
      <c r="P53" s="158">
        <v>0.68399</v>
      </c>
      <c r="Q53" s="158">
        <v>0.70324</v>
      </c>
      <c r="R53" s="163">
        <f t="shared" si="4"/>
        <v>0.3849999999999998</v>
      </c>
      <c r="S53" s="157"/>
      <c r="T53" s="112">
        <v>241.5</v>
      </c>
      <c r="U53" s="59"/>
      <c r="V53" s="105">
        <f>J53+L52+L53+N52+N53+O52+O53+T51+T52+T53+U53</f>
        <v>836.3002020000014</v>
      </c>
      <c r="W53" s="63">
        <f>(H53+V53)/(E52+E53)/1000</f>
        <v>0.6681829662623174</v>
      </c>
      <c r="X53" s="39"/>
      <c r="Y53" s="39"/>
      <c r="Z53" s="40"/>
      <c r="AA53" s="46">
        <v>40</v>
      </c>
      <c r="AB53" s="73"/>
      <c r="AC53" s="73"/>
      <c r="AD53" s="96">
        <f>V53/1.23</f>
        <v>679.9188634146353</v>
      </c>
    </row>
    <row r="54" spans="1:30" ht="12.75" hidden="1">
      <c r="A54" s="174"/>
      <c r="B54" s="140"/>
      <c r="C54" s="175"/>
      <c r="D54" s="175"/>
      <c r="E54" s="175"/>
      <c r="F54" s="175"/>
      <c r="H54" s="47"/>
      <c r="I54" s="47"/>
      <c r="J54" s="41"/>
      <c r="K54" s="66"/>
      <c r="L54" s="66"/>
      <c r="M54" s="66"/>
      <c r="N54" s="47"/>
      <c r="O54" s="83"/>
      <c r="P54" s="153">
        <v>0.02455</v>
      </c>
      <c r="Q54" s="153">
        <v>0.02467</v>
      </c>
      <c r="R54" s="143">
        <f aca="true" t="shared" si="5" ref="R54:R59">(Q54-P54)*20</f>
        <v>0.002400000000000041</v>
      </c>
      <c r="S54" s="106">
        <f>R54/E55</f>
        <v>0.002262443438914067</v>
      </c>
      <c r="T54" s="124"/>
      <c r="U54" s="72"/>
      <c r="V54" s="161"/>
      <c r="W54" s="152"/>
      <c r="X54" s="110"/>
      <c r="Y54" s="110"/>
      <c r="Z54" s="110"/>
      <c r="AA54" s="48"/>
      <c r="AB54" s="176"/>
      <c r="AC54" s="176"/>
      <c r="AD54" s="177"/>
    </row>
    <row r="55" spans="1:30" ht="12.75" hidden="1">
      <c r="A55" s="244">
        <v>11</v>
      </c>
      <c r="B55" s="146" t="s">
        <v>149</v>
      </c>
      <c r="D55" s="100">
        <v>1.71359</v>
      </c>
      <c r="E55" s="56">
        <f>(D55-D52)*Y$11</f>
        <v>1.0607999999999995</v>
      </c>
      <c r="F55" s="57"/>
      <c r="G55" s="179" t="s">
        <v>151</v>
      </c>
      <c r="H55" s="42"/>
      <c r="I55" s="47">
        <f>1.65*1.23</f>
        <v>2.0295</v>
      </c>
      <c r="J55" s="41"/>
      <c r="K55" s="77">
        <f>(0.175+0.0127)*1.23</f>
        <v>0.23087099999999997</v>
      </c>
      <c r="L55" s="42">
        <f>(E55)*K55*1000</f>
        <v>244.90795679999985</v>
      </c>
      <c r="M55" s="78"/>
      <c r="N55" s="42"/>
      <c r="O55" s="83">
        <f>2.54*1.23</f>
        <v>3.1242</v>
      </c>
      <c r="P55" s="153">
        <v>0.23721</v>
      </c>
      <c r="Q55" s="153">
        <v>0.23784</v>
      </c>
      <c r="R55" s="153">
        <f t="shared" si="5"/>
        <v>0.012599999999999834</v>
      </c>
      <c r="S55" s="106">
        <f>R55/E56</f>
        <v>0.005785655248415771</v>
      </c>
      <c r="T55" s="124"/>
      <c r="U55" s="71"/>
      <c r="V55" s="145"/>
      <c r="W55" s="43"/>
      <c r="X55" s="43"/>
      <c r="Z55" s="21"/>
      <c r="AA55" s="74"/>
      <c r="AB55" s="74"/>
      <c r="AC55" s="74"/>
      <c r="AD55" s="97"/>
    </row>
    <row r="56" spans="1:30" ht="12.75" hidden="1">
      <c r="A56" s="245"/>
      <c r="B56" s="92">
        <v>222012390302</v>
      </c>
      <c r="C56" s="142" t="s">
        <v>150</v>
      </c>
      <c r="D56" s="98">
        <v>4.84908</v>
      </c>
      <c r="E56" s="55">
        <f>(D56-D53)*Y$11</f>
        <v>2.177799999999994</v>
      </c>
      <c r="F56" s="197">
        <v>3.239</v>
      </c>
      <c r="G56" s="58">
        <f>0.221*1.23</f>
        <v>0.27183</v>
      </c>
      <c r="H56" s="196">
        <f>F56*G56*1000</f>
        <v>880.45737</v>
      </c>
      <c r="I56" s="45">
        <f>3.91*1.23</f>
        <v>4.8093</v>
      </c>
      <c r="J56" s="45">
        <f>AA56*(I55+I56)</f>
        <v>273.552</v>
      </c>
      <c r="K56" s="58">
        <f>(0.0932+0.0127)*1.23</f>
        <v>0.130257</v>
      </c>
      <c r="L56" s="64">
        <f>(E56)*K56*1000</f>
        <v>283.67369459999924</v>
      </c>
      <c r="M56" s="63"/>
      <c r="N56" s="64"/>
      <c r="O56" s="192">
        <f>(E55+E56)*3.7*1.23</f>
        <v>14.738868599999972</v>
      </c>
      <c r="P56" s="158">
        <v>0.70324</v>
      </c>
      <c r="Q56" s="158">
        <v>0.72303</v>
      </c>
      <c r="R56" s="163">
        <f t="shared" si="5"/>
        <v>0.3957999999999995</v>
      </c>
      <c r="S56" s="157"/>
      <c r="T56" s="112">
        <v>248.4</v>
      </c>
      <c r="U56" s="59"/>
      <c r="V56" s="105">
        <f>J56+L55+L56+N55+N56+O55+O56+T54+T55+T56+U56</f>
        <v>1068.396719999999</v>
      </c>
      <c r="W56" s="63">
        <f>(H56+V56)/(E55+E56)/1000</f>
        <v>0.6017581948990313</v>
      </c>
      <c r="X56" s="39"/>
      <c r="Y56" s="39"/>
      <c r="Z56" s="40"/>
      <c r="AA56" s="46">
        <v>40</v>
      </c>
      <c r="AB56" s="73"/>
      <c r="AC56" s="73"/>
      <c r="AD56" s="96">
        <f>V56/1.23</f>
        <v>868.6152195121944</v>
      </c>
    </row>
    <row r="57" spans="1:30" ht="12.75" hidden="1">
      <c r="A57" s="68"/>
      <c r="B57" s="140"/>
      <c r="C57" s="175"/>
      <c r="D57" s="175"/>
      <c r="E57" s="175"/>
      <c r="F57" s="175"/>
      <c r="H57" s="47"/>
      <c r="I57" s="47"/>
      <c r="J57" s="41"/>
      <c r="K57" s="66"/>
      <c r="L57" s="66"/>
      <c r="M57" s="66"/>
      <c r="N57" s="47"/>
      <c r="O57" s="83"/>
      <c r="P57" s="153">
        <v>0.02467</v>
      </c>
      <c r="Q57" s="153">
        <v>0.02469</v>
      </c>
      <c r="R57" s="143">
        <f t="shared" si="5"/>
        <v>0.0003999999999999837</v>
      </c>
      <c r="S57" s="106">
        <f>R57/E58</f>
        <v>0.00025154068670606454</v>
      </c>
      <c r="T57" s="124"/>
      <c r="U57" s="72"/>
      <c r="V57" s="161"/>
      <c r="W57" s="152"/>
      <c r="X57" s="109"/>
      <c r="Y57" s="109"/>
      <c r="Z57" s="110"/>
      <c r="AA57" s="48"/>
      <c r="AB57" s="74"/>
      <c r="AC57" s="74"/>
      <c r="AD57" s="97"/>
    </row>
    <row r="58" spans="1:30" ht="12.75" hidden="1">
      <c r="A58" s="244">
        <v>12</v>
      </c>
      <c r="B58" s="146" t="s">
        <v>152</v>
      </c>
      <c r="D58" s="100">
        <v>1.7931</v>
      </c>
      <c r="E58" s="56">
        <f>(D58-D55)*Y$11</f>
        <v>1.5901999999999994</v>
      </c>
      <c r="F58" s="57"/>
      <c r="G58" s="211" t="s">
        <v>154</v>
      </c>
      <c r="H58" s="42"/>
      <c r="I58" s="47">
        <f>1.65*1.23</f>
        <v>2.0295</v>
      </c>
      <c r="J58" s="41"/>
      <c r="K58" s="77">
        <f>(0.175+0.0127)*1.23</f>
        <v>0.23087099999999997</v>
      </c>
      <c r="L58" s="42">
        <f>(E58)*K58*1000</f>
        <v>367.1310641999998</v>
      </c>
      <c r="M58" s="78"/>
      <c r="N58" s="42"/>
      <c r="O58" s="83">
        <f>2.54*1.23</f>
        <v>3.1242</v>
      </c>
      <c r="P58" s="153">
        <v>0.23784</v>
      </c>
      <c r="Q58" s="153">
        <v>0.23804</v>
      </c>
      <c r="R58" s="153">
        <f t="shared" si="5"/>
        <v>0.004000000000000115</v>
      </c>
      <c r="S58" s="106">
        <f>R58/E59</f>
        <v>0.001176055509820095</v>
      </c>
      <c r="T58" s="124"/>
      <c r="U58" s="71"/>
      <c r="V58" s="145"/>
      <c r="W58" s="43"/>
      <c r="X58" s="33"/>
      <c r="Y58" s="33"/>
      <c r="Z58" s="33"/>
      <c r="AA58" s="74"/>
      <c r="AB58" s="74"/>
      <c r="AC58" s="74"/>
      <c r="AD58" s="97"/>
    </row>
    <row r="59" spans="1:30" ht="13.5" hidden="1" thickBot="1">
      <c r="A59" s="245"/>
      <c r="B59" s="92">
        <v>229750014050</v>
      </c>
      <c r="C59" s="44" t="s">
        <v>153</v>
      </c>
      <c r="D59" s="98">
        <v>5.01914</v>
      </c>
      <c r="E59" s="55">
        <f>(D59-D56)*Y$11</f>
        <v>3.4012000000000064</v>
      </c>
      <c r="F59" s="126">
        <v>0</v>
      </c>
      <c r="G59" s="58">
        <f>0.2169*1.23</f>
        <v>0.266787</v>
      </c>
      <c r="H59" s="209">
        <f>F59*G59*1000</f>
        <v>0</v>
      </c>
      <c r="I59" s="45">
        <f>3.91*1.23</f>
        <v>4.8093</v>
      </c>
      <c r="J59" s="45">
        <f>AA59*(I58+I59)</f>
        <v>273.552</v>
      </c>
      <c r="K59" s="58">
        <f>(0.0932+0.0127)*1.23</f>
        <v>0.130257</v>
      </c>
      <c r="L59" s="64">
        <f>(E59)*K59*1000</f>
        <v>443.0301084000009</v>
      </c>
      <c r="M59" s="63"/>
      <c r="N59" s="64"/>
      <c r="O59" s="192">
        <f>(E58+E59)*3.7*1.23</f>
        <v>22.715861400000026</v>
      </c>
      <c r="P59" s="158">
        <v>0.72303</v>
      </c>
      <c r="Q59" s="158">
        <v>0.74565</v>
      </c>
      <c r="R59" s="163">
        <f t="shared" si="5"/>
        <v>0.4524000000000017</v>
      </c>
      <c r="S59" s="157"/>
      <c r="T59" s="194">
        <v>283.53</v>
      </c>
      <c r="U59" s="132"/>
      <c r="V59" s="105">
        <f>J59+L58+L59+N58+N59+O58+O59+T57+T58+T59+U59</f>
        <v>1393.0832340000006</v>
      </c>
      <c r="W59" s="63">
        <f>(H59+V59)/(E58+E59)/1000</f>
        <v>0.2790966931121527</v>
      </c>
      <c r="X59" s="39"/>
      <c r="Y59" s="39"/>
      <c r="Z59" s="40"/>
      <c r="AA59" s="46">
        <v>40</v>
      </c>
      <c r="AB59" s="155"/>
      <c r="AC59" s="73"/>
      <c r="AD59" s="96">
        <f>V59-V58</f>
        <v>1393.0832340000006</v>
      </c>
    </row>
    <row r="60" spans="1:30" ht="12.75">
      <c r="A60" s="246" t="s">
        <v>117</v>
      </c>
      <c r="B60" s="247"/>
      <c r="C60" s="247"/>
      <c r="D60" s="248"/>
      <c r="E60" s="49" t="s">
        <v>102</v>
      </c>
      <c r="F60" s="189" t="s">
        <v>99</v>
      </c>
      <c r="G60" s="189"/>
      <c r="H60" s="190"/>
      <c r="I60" s="13"/>
      <c r="J60" s="13"/>
      <c r="K60" s="49"/>
      <c r="L60" s="49"/>
      <c r="M60" s="49"/>
      <c r="N60" s="49"/>
      <c r="O60" s="129">
        <f>O23+O26+O32+O35+O41+O38+O44+O47+O50+O53+O56+O59</f>
        <v>191.28147954000002</v>
      </c>
      <c r="P60" s="38"/>
      <c r="Q60" s="172">
        <f>R60/E61</f>
        <v>0.11023015337479257</v>
      </c>
      <c r="R60" s="182">
        <f>SUM(R21:R59)</f>
        <v>4.835400000000001</v>
      </c>
      <c r="S60" s="125"/>
      <c r="T60" s="183"/>
      <c r="U60" s="181"/>
      <c r="V60" s="178"/>
      <c r="W60" s="201"/>
      <c r="X60" s="180" t="s">
        <v>102</v>
      </c>
      <c r="Y60" s="50"/>
      <c r="Z60" s="51"/>
      <c r="AA60" s="51"/>
      <c r="AB60" s="184">
        <f>AB61/AA61</f>
        <v>1</v>
      </c>
      <c r="AC60" s="51"/>
      <c r="AD60" s="120"/>
    </row>
    <row r="61" spans="1:30" ht="13.5" thickBot="1">
      <c r="A61" s="249"/>
      <c r="B61" s="250"/>
      <c r="C61" s="250"/>
      <c r="D61" s="251"/>
      <c r="E61" s="60">
        <f>SUM(E21:E59)</f>
        <v>43.8664</v>
      </c>
      <c r="F61" s="186">
        <f>SUM(F21:F59)</f>
        <v>38.875</v>
      </c>
      <c r="G61" s="187"/>
      <c r="H61" s="188"/>
      <c r="I61" s="90"/>
      <c r="J61" s="90"/>
      <c r="K61" s="90"/>
      <c r="L61" s="90">
        <f>SUM(L21:L59)</f>
        <v>6952.122729000001</v>
      </c>
      <c r="M61" s="90"/>
      <c r="N61" s="90">
        <f>SUM(N21:N59)</f>
        <v>0</v>
      </c>
      <c r="O61" s="90">
        <f>SUM(O21:O59)</f>
        <v>228.77187954000004</v>
      </c>
      <c r="P61" s="90"/>
      <c r="Q61" s="90"/>
      <c r="R61" s="156"/>
      <c r="S61" s="90"/>
      <c r="T61" s="119"/>
      <c r="U61" s="90"/>
      <c r="V61" s="90"/>
      <c r="W61" s="52"/>
      <c r="X61" s="90">
        <f>SUM(X22:X59)</f>
        <v>0</v>
      </c>
      <c r="Y61" s="90">
        <f>SUM(Y22:Y59)</f>
        <v>0</v>
      </c>
      <c r="Z61" s="53">
        <f>Z23</f>
        <v>40</v>
      </c>
      <c r="AA61" s="53">
        <f>AA23</f>
        <v>40</v>
      </c>
      <c r="AB61" s="53">
        <f>SUM(AB23)</f>
        <v>40</v>
      </c>
      <c r="AC61" s="53"/>
      <c r="AD61" s="54"/>
    </row>
    <row r="62" spans="6:9" ht="13.5" thickBot="1">
      <c r="F62" s="223">
        <f>F61-E61</f>
        <v>-4.991399999999999</v>
      </c>
      <c r="G62" s="224"/>
      <c r="I62" s="113" t="s">
        <v>155</v>
      </c>
    </row>
    <row r="63" spans="2:9" ht="12.75" hidden="1">
      <c r="B63" s="146" t="s">
        <v>161</v>
      </c>
      <c r="F63" s="57"/>
      <c r="G63" s="202"/>
      <c r="H63" s="42"/>
      <c r="I63" s="113"/>
    </row>
    <row r="64" spans="2:9" ht="12.75" hidden="1">
      <c r="B64" s="102"/>
      <c r="C64" s="44" t="s">
        <v>153</v>
      </c>
      <c r="D64" s="102"/>
      <c r="E64" s="193"/>
      <c r="F64" s="126">
        <v>4.991</v>
      </c>
      <c r="G64" s="58"/>
      <c r="H64" s="115"/>
      <c r="I64" s="113"/>
    </row>
    <row r="65" spans="1:30" ht="12.75" hidden="1">
      <c r="A65" s="174"/>
      <c r="B65" s="140"/>
      <c r="C65" s="175"/>
      <c r="D65" s="175"/>
      <c r="E65" s="175"/>
      <c r="F65" s="175"/>
      <c r="H65" s="47"/>
      <c r="I65" s="47"/>
      <c r="J65" s="41"/>
      <c r="K65" s="66"/>
      <c r="L65" s="66"/>
      <c r="M65" s="66"/>
      <c r="N65" s="47"/>
      <c r="O65" s="83"/>
      <c r="P65" s="153">
        <v>0.02469</v>
      </c>
      <c r="Q65" s="153">
        <v>0.02481</v>
      </c>
      <c r="R65" s="143">
        <f aca="true" t="shared" si="6" ref="R65:R70">(Q65-P65)*20</f>
        <v>0.0023999999999999716</v>
      </c>
      <c r="S65" s="106"/>
      <c r="T65" s="124"/>
      <c r="U65" s="47"/>
      <c r="V65" s="161"/>
      <c r="W65" s="152"/>
      <c r="X65" s="110"/>
      <c r="Y65" s="110"/>
      <c r="Z65" s="110"/>
      <c r="AA65" s="48"/>
      <c r="AB65" s="176"/>
      <c r="AC65" s="176"/>
      <c r="AD65" s="177"/>
    </row>
    <row r="66" spans="1:30" ht="12.75" hidden="1">
      <c r="A66" s="244">
        <v>1</v>
      </c>
      <c r="B66" s="103" t="s">
        <v>157</v>
      </c>
      <c r="D66" s="100">
        <v>1.87919</v>
      </c>
      <c r="E66" s="56">
        <f>(D66-D58)*Y$11</f>
        <v>1.7218</v>
      </c>
      <c r="F66" s="57"/>
      <c r="G66" s="211"/>
      <c r="H66" s="42"/>
      <c r="I66" s="47">
        <f>1.65*1.23</f>
        <v>2.0295</v>
      </c>
      <c r="J66" s="41"/>
      <c r="K66" s="77"/>
      <c r="L66" s="42">
        <f>(E66)*K66*1000</f>
        <v>0</v>
      </c>
      <c r="M66" s="78"/>
      <c r="N66" s="42"/>
      <c r="O66" s="83">
        <f>2.54*1.23</f>
        <v>3.1242</v>
      </c>
      <c r="P66" s="153">
        <v>0.23804</v>
      </c>
      <c r="Q66" s="153">
        <v>0.23828</v>
      </c>
      <c r="R66" s="153">
        <f t="shared" si="6"/>
        <v>0.004799999999999804</v>
      </c>
      <c r="S66" s="106"/>
      <c r="T66" s="124"/>
      <c r="U66" s="24"/>
      <c r="V66" s="145"/>
      <c r="W66" s="43"/>
      <c r="X66" s="43"/>
      <c r="Z66" s="21"/>
      <c r="AA66" s="74"/>
      <c r="AB66" s="74"/>
      <c r="AC66" s="74"/>
      <c r="AD66" s="97"/>
    </row>
    <row r="67" spans="1:30" ht="12.75" hidden="1">
      <c r="A67" s="245"/>
      <c r="B67" s="92">
        <v>249750044157</v>
      </c>
      <c r="C67" s="44" t="s">
        <v>158</v>
      </c>
      <c r="D67" s="98">
        <v>5.20339</v>
      </c>
      <c r="E67" s="55">
        <f>(D67-D59)*Y$11</f>
        <v>3.6849999999999916</v>
      </c>
      <c r="F67" s="208">
        <v>5.407</v>
      </c>
      <c r="G67" s="58"/>
      <c r="H67" s="209"/>
      <c r="I67" s="45">
        <f>3.91*1.23</f>
        <v>4.8093</v>
      </c>
      <c r="J67" s="45"/>
      <c r="K67" s="58"/>
      <c r="L67" s="64">
        <f>(E67)*K67*1000</f>
        <v>0</v>
      </c>
      <c r="M67" s="63"/>
      <c r="N67" s="64"/>
      <c r="O67" s="192">
        <f>(E66+E67)*3.7*1.23</f>
        <v>24.606346799999965</v>
      </c>
      <c r="P67" s="158">
        <v>0.74565</v>
      </c>
      <c r="Q67" s="158">
        <v>0.76842</v>
      </c>
      <c r="R67" s="163">
        <f t="shared" si="6"/>
        <v>0.45539999999999914</v>
      </c>
      <c r="S67" s="157"/>
      <c r="T67" s="112"/>
      <c r="U67" s="45"/>
      <c r="V67" s="105"/>
      <c r="W67" s="63"/>
      <c r="X67" s="39"/>
      <c r="Y67" s="39"/>
      <c r="Z67" s="40">
        <v>40</v>
      </c>
      <c r="AA67" s="46">
        <v>40</v>
      </c>
      <c r="AB67" s="73">
        <v>40</v>
      </c>
      <c r="AC67" s="73"/>
      <c r="AD67" s="96"/>
    </row>
    <row r="68" spans="1:30" ht="12.75" hidden="1">
      <c r="A68" s="174"/>
      <c r="B68" s="140"/>
      <c r="C68" s="221"/>
      <c r="D68" s="175"/>
      <c r="E68" s="175"/>
      <c r="F68" s="175"/>
      <c r="H68" s="47"/>
      <c r="I68" s="47"/>
      <c r="J68" s="41"/>
      <c r="K68" s="66"/>
      <c r="L68" s="66"/>
      <c r="M68" s="66"/>
      <c r="N68" s="47"/>
      <c r="O68" s="83"/>
      <c r="P68" s="153">
        <v>0.02481</v>
      </c>
      <c r="Q68" s="153">
        <v>0.02487</v>
      </c>
      <c r="R68" s="143">
        <f t="shared" si="6"/>
        <v>0.0012000000000000205</v>
      </c>
      <c r="S68" s="106"/>
      <c r="T68" s="124"/>
      <c r="U68" s="72"/>
      <c r="V68" s="161"/>
      <c r="W68" s="152"/>
      <c r="X68" s="110"/>
      <c r="Y68" s="110"/>
      <c r="Z68" s="110"/>
      <c r="AA68" s="48"/>
      <c r="AB68" s="176"/>
      <c r="AC68" s="176"/>
      <c r="AD68" s="177"/>
    </row>
    <row r="69" spans="1:30" ht="12.75" hidden="1">
      <c r="A69" s="244">
        <v>2</v>
      </c>
      <c r="B69" s="103" t="s">
        <v>159</v>
      </c>
      <c r="D69" s="100">
        <v>1.96624</v>
      </c>
      <c r="E69" s="56">
        <f>(D69-D66)*Y$11</f>
        <v>1.7410000000000014</v>
      </c>
      <c r="F69" s="57"/>
      <c r="G69" s="211"/>
      <c r="H69" s="42"/>
      <c r="I69" s="47">
        <f>1.65*1.23</f>
        <v>2.0295</v>
      </c>
      <c r="J69" s="41"/>
      <c r="K69" s="77"/>
      <c r="L69" s="42">
        <f>(E69)*K69*1000</f>
        <v>0</v>
      </c>
      <c r="M69" s="78"/>
      <c r="N69" s="42"/>
      <c r="O69" s="83">
        <f>2.54*1.23</f>
        <v>3.1242</v>
      </c>
      <c r="P69" s="153">
        <v>0.23828</v>
      </c>
      <c r="Q69" s="153">
        <v>0.23841</v>
      </c>
      <c r="R69" s="153">
        <f t="shared" si="6"/>
        <v>0.00260000000000038</v>
      </c>
      <c r="S69" s="106"/>
      <c r="T69" s="124"/>
      <c r="U69" s="71"/>
      <c r="V69" s="145"/>
      <c r="W69" s="43"/>
      <c r="X69" s="43"/>
      <c r="Z69" s="21"/>
      <c r="AA69" s="74"/>
      <c r="AB69" s="74"/>
      <c r="AC69" s="74"/>
      <c r="AD69" s="97"/>
    </row>
    <row r="70" spans="1:30" ht="12.75" hidden="1">
      <c r="A70" s="245"/>
      <c r="B70" s="92">
        <v>229750133616</v>
      </c>
      <c r="C70" s="44" t="s">
        <v>160</v>
      </c>
      <c r="D70" s="98">
        <v>5.39765</v>
      </c>
      <c r="E70" s="55">
        <f>(D70-D67)*Y$11</f>
        <v>3.8851999999999975</v>
      </c>
      <c r="F70" s="208">
        <v>5.626</v>
      </c>
      <c r="G70" s="58"/>
      <c r="H70" s="209"/>
      <c r="I70" s="45">
        <f>3.9*1.23</f>
        <v>4.797</v>
      </c>
      <c r="J70" s="45"/>
      <c r="K70" s="58"/>
      <c r="L70" s="64">
        <f>(E70)*K70*1000</f>
        <v>0</v>
      </c>
      <c r="M70" s="63"/>
      <c r="N70" s="64"/>
      <c r="O70" s="192">
        <f>(E69+E70)*0*1.23</f>
        <v>0</v>
      </c>
      <c r="P70" s="158">
        <v>0.76842</v>
      </c>
      <c r="Q70" s="158">
        <v>0.79045</v>
      </c>
      <c r="R70" s="163">
        <f t="shared" si="6"/>
        <v>0.4405999999999999</v>
      </c>
      <c r="S70" s="157"/>
      <c r="T70" s="112"/>
      <c r="U70" s="59"/>
      <c r="V70" s="105"/>
      <c r="W70" s="63"/>
      <c r="X70" s="39"/>
      <c r="Y70" s="39"/>
      <c r="Z70" s="40"/>
      <c r="AA70" s="46">
        <v>40</v>
      </c>
      <c r="AB70" s="73"/>
      <c r="AC70" s="73"/>
      <c r="AD70" s="96"/>
    </row>
    <row r="71" spans="1:30" ht="12.75" hidden="1">
      <c r="A71" s="174"/>
      <c r="B71" s="140"/>
      <c r="C71" s="221"/>
      <c r="D71" s="175"/>
      <c r="E71" s="175"/>
      <c r="F71" s="175"/>
      <c r="H71" s="47"/>
      <c r="I71" s="47"/>
      <c r="J71" s="41"/>
      <c r="K71" s="66"/>
      <c r="L71" s="66"/>
      <c r="M71" s="66"/>
      <c r="N71" s="47"/>
      <c r="O71" s="83"/>
      <c r="P71" s="153">
        <v>0.02487</v>
      </c>
      <c r="Q71" s="153">
        <v>0.02492</v>
      </c>
      <c r="R71" s="143">
        <f aca="true" t="shared" si="7" ref="R71:R76">(Q71-P71)*20</f>
        <v>0.0010000000000000286</v>
      </c>
      <c r="S71" s="106"/>
      <c r="T71" s="124"/>
      <c r="U71" s="72"/>
      <c r="V71" s="161"/>
      <c r="W71" s="152"/>
      <c r="X71" s="110"/>
      <c r="Y71" s="110"/>
      <c r="Z71" s="110"/>
      <c r="AA71" s="48"/>
      <c r="AB71" s="176"/>
      <c r="AC71" s="176"/>
      <c r="AD71" s="177"/>
    </row>
    <row r="72" spans="1:30" ht="12.75" hidden="1">
      <c r="A72" s="244">
        <v>3</v>
      </c>
      <c r="B72" s="103" t="s">
        <v>162</v>
      </c>
      <c r="D72" s="100">
        <v>2.04364</v>
      </c>
      <c r="E72" s="56">
        <f>(D72-D69)*Y$11</f>
        <v>1.5479999999999983</v>
      </c>
      <c r="F72" s="57"/>
      <c r="G72" s="211"/>
      <c r="H72" s="42"/>
      <c r="I72" s="47">
        <f>1.65*1.23</f>
        <v>2.0295</v>
      </c>
      <c r="J72" s="41"/>
      <c r="K72" s="77"/>
      <c r="L72" s="42">
        <f>(E72)*K72*1000</f>
        <v>0</v>
      </c>
      <c r="M72" s="78"/>
      <c r="N72" s="42"/>
      <c r="O72" s="83">
        <f>2.54*1.23</f>
        <v>3.1242</v>
      </c>
      <c r="P72" s="153">
        <v>0.23841</v>
      </c>
      <c r="Q72" s="153">
        <v>0.23856</v>
      </c>
      <c r="R72" s="153">
        <f t="shared" si="7"/>
        <v>0.0029999999999996696</v>
      </c>
      <c r="S72" s="106"/>
      <c r="T72" s="124"/>
      <c r="U72" s="71"/>
      <c r="V72" s="145"/>
      <c r="W72" s="43"/>
      <c r="X72" s="43"/>
      <c r="Z72" s="21"/>
      <c r="AA72" s="74"/>
      <c r="AB72" s="74"/>
      <c r="AC72" s="74"/>
      <c r="AD72" s="97"/>
    </row>
    <row r="73" spans="1:30" ht="12.75" hidden="1">
      <c r="A73" s="245"/>
      <c r="B73" s="92">
        <v>222012532507</v>
      </c>
      <c r="C73" s="44" t="s">
        <v>163</v>
      </c>
      <c r="D73" s="98">
        <v>5.5665</v>
      </c>
      <c r="E73" s="55">
        <f>(D73-D70)*Y$11</f>
        <v>3.376999999999999</v>
      </c>
      <c r="F73" s="126">
        <v>5.126</v>
      </c>
      <c r="G73" s="58"/>
      <c r="H73" s="209"/>
      <c r="I73" s="45">
        <f>3.9*1.23</f>
        <v>4.797</v>
      </c>
      <c r="J73" s="45"/>
      <c r="K73" s="58"/>
      <c r="L73" s="64">
        <f>(E73)*K73*1000</f>
        <v>0</v>
      </c>
      <c r="M73" s="63"/>
      <c r="N73" s="64"/>
      <c r="O73" s="192"/>
      <c r="P73" s="158">
        <v>0.79045</v>
      </c>
      <c r="Q73" s="158">
        <v>0.81065</v>
      </c>
      <c r="R73" s="163">
        <f t="shared" si="7"/>
        <v>0.4039999999999999</v>
      </c>
      <c r="S73" s="157"/>
      <c r="T73" s="112"/>
      <c r="U73" s="59"/>
      <c r="V73" s="105"/>
      <c r="W73" s="63"/>
      <c r="X73" s="39"/>
      <c r="Y73" s="39"/>
      <c r="Z73" s="40"/>
      <c r="AA73" s="46">
        <v>40</v>
      </c>
      <c r="AB73" s="73"/>
      <c r="AC73" s="73"/>
      <c r="AD73" s="96"/>
    </row>
    <row r="74" spans="1:30" ht="12.75" hidden="1">
      <c r="A74" s="174"/>
      <c r="B74" s="140"/>
      <c r="C74" s="221"/>
      <c r="D74" s="175"/>
      <c r="E74" s="175"/>
      <c r="F74" s="175"/>
      <c r="H74" s="47"/>
      <c r="I74" s="47"/>
      <c r="J74" s="41"/>
      <c r="K74" s="66"/>
      <c r="L74" s="66"/>
      <c r="M74" s="66"/>
      <c r="N74" s="47"/>
      <c r="O74" s="83"/>
      <c r="P74" s="153">
        <v>0.02492</v>
      </c>
      <c r="Q74" s="153">
        <v>0.02499</v>
      </c>
      <c r="R74" s="143">
        <f t="shared" si="7"/>
        <v>0.001399999999999943</v>
      </c>
      <c r="S74" s="106"/>
      <c r="T74" s="124"/>
      <c r="U74" s="72"/>
      <c r="V74" s="161"/>
      <c r="W74" s="152"/>
      <c r="X74" s="110"/>
      <c r="Y74" s="110"/>
      <c r="Z74" s="110"/>
      <c r="AA74" s="48"/>
      <c r="AB74" s="176"/>
      <c r="AC74" s="176"/>
      <c r="AD74" s="177"/>
    </row>
    <row r="75" spans="1:30" ht="12.75" hidden="1">
      <c r="A75" s="244">
        <v>4</v>
      </c>
      <c r="B75" s="103" t="s">
        <v>164</v>
      </c>
      <c r="D75" s="100">
        <v>2.13145</v>
      </c>
      <c r="E75" s="56">
        <f>(D75-D72)*Y$11</f>
        <v>1.7562000000000033</v>
      </c>
      <c r="F75" s="57"/>
      <c r="G75" s="211"/>
      <c r="H75" s="42"/>
      <c r="I75" s="47">
        <f>1.65*1.23</f>
        <v>2.0295</v>
      </c>
      <c r="J75" s="41"/>
      <c r="K75" s="77"/>
      <c r="L75" s="42">
        <f>(E75)*K75*1000</f>
        <v>0</v>
      </c>
      <c r="M75" s="78"/>
      <c r="N75" s="42"/>
      <c r="O75" s="83">
        <f>2.54*1.23</f>
        <v>3.1242</v>
      </c>
      <c r="P75" s="153">
        <v>0.23856</v>
      </c>
      <c r="Q75" s="153">
        <v>0.23866</v>
      </c>
      <c r="R75" s="153">
        <f t="shared" si="7"/>
        <v>0.002000000000000335</v>
      </c>
      <c r="S75" s="106"/>
      <c r="T75" s="124"/>
      <c r="U75" s="71"/>
      <c r="V75" s="145"/>
      <c r="W75" s="43"/>
      <c r="X75" s="43"/>
      <c r="Z75" s="21"/>
      <c r="AA75" s="74"/>
      <c r="AB75" s="74"/>
      <c r="AC75" s="74"/>
      <c r="AD75" s="97"/>
    </row>
    <row r="76" spans="1:30" ht="12.75" hidden="1">
      <c r="A76" s="245"/>
      <c r="B76" s="92">
        <v>229750214153</v>
      </c>
      <c r="C76" s="44" t="s">
        <v>165</v>
      </c>
      <c r="D76" s="98">
        <v>5.75828</v>
      </c>
      <c r="E76" s="55">
        <f>(D76-D73)*Y$11</f>
        <v>3.83560000000001</v>
      </c>
      <c r="F76" s="126">
        <v>5.39</v>
      </c>
      <c r="G76" s="58"/>
      <c r="H76" s="209"/>
      <c r="I76" s="45">
        <f>3.9*1.23</f>
        <v>4.797</v>
      </c>
      <c r="J76" s="45"/>
      <c r="K76" s="58"/>
      <c r="L76" s="64">
        <f>(E76)*K76*1000</f>
        <v>0</v>
      </c>
      <c r="M76" s="63"/>
      <c r="N76" s="64"/>
      <c r="O76" s="192"/>
      <c r="P76" s="158">
        <v>0.81065</v>
      </c>
      <c r="Q76" s="158">
        <v>0.83418</v>
      </c>
      <c r="R76" s="163">
        <f t="shared" si="7"/>
        <v>0.470600000000001</v>
      </c>
      <c r="S76" s="157"/>
      <c r="T76" s="112"/>
      <c r="U76" s="59"/>
      <c r="V76" s="105"/>
      <c r="W76" s="63"/>
      <c r="X76" s="39"/>
      <c r="Y76" s="39"/>
      <c r="Z76" s="40"/>
      <c r="AA76" s="46">
        <v>40</v>
      </c>
      <c r="AB76" s="73"/>
      <c r="AC76" s="73"/>
      <c r="AD76" s="96"/>
    </row>
    <row r="77" spans="1:30" ht="12.75" hidden="1">
      <c r="A77" s="174"/>
      <c r="B77" s="140"/>
      <c r="C77" s="221"/>
      <c r="D77" s="175"/>
      <c r="E77" s="175"/>
      <c r="F77" s="175"/>
      <c r="H77" s="47"/>
      <c r="I77" s="47"/>
      <c r="J77" s="41"/>
      <c r="K77" s="66"/>
      <c r="L77" s="66"/>
      <c r="M77" s="66"/>
      <c r="N77" s="47"/>
      <c r="O77" s="83"/>
      <c r="P77" s="153">
        <v>0.02499</v>
      </c>
      <c r="Q77" s="153">
        <v>0.02518</v>
      </c>
      <c r="R77" s="143">
        <f aca="true" t="shared" si="8" ref="R77:R82">(Q77-P77)*20</f>
        <v>0.0038000000000000533</v>
      </c>
      <c r="S77" s="106"/>
      <c r="T77" s="124"/>
      <c r="U77" s="72"/>
      <c r="V77" s="161"/>
      <c r="W77" s="152"/>
      <c r="X77" s="110"/>
      <c r="Y77" s="110"/>
      <c r="Z77" s="110"/>
      <c r="AA77" s="48"/>
      <c r="AB77" s="176"/>
      <c r="AC77" s="176"/>
      <c r="AD77" s="177"/>
    </row>
    <row r="78" spans="1:30" ht="12.75" hidden="1">
      <c r="A78" s="244">
        <v>5</v>
      </c>
      <c r="B78" s="103" t="s">
        <v>167</v>
      </c>
      <c r="C78" s="81"/>
      <c r="D78" s="100">
        <v>2.15281</v>
      </c>
      <c r="E78" s="56">
        <f>(D78-D75)*Y$11</f>
        <v>0.4272000000000009</v>
      </c>
      <c r="F78" s="57"/>
      <c r="G78" s="211"/>
      <c r="H78" s="42"/>
      <c r="I78" s="47">
        <f>1.65*1.23</f>
        <v>2.0295</v>
      </c>
      <c r="J78" s="41"/>
      <c r="K78" s="77"/>
      <c r="L78" s="42">
        <f>(E78)*K78*1000</f>
        <v>0</v>
      </c>
      <c r="M78" s="78"/>
      <c r="N78" s="42"/>
      <c r="O78" s="83">
        <f>2.54*1.23</f>
        <v>3.1242</v>
      </c>
      <c r="P78" s="153">
        <v>0.23866</v>
      </c>
      <c r="Q78" s="153">
        <v>0.23988</v>
      </c>
      <c r="R78" s="153">
        <f t="shared" si="8"/>
        <v>0.024399999999999977</v>
      </c>
      <c r="S78" s="106"/>
      <c r="T78" s="124"/>
      <c r="U78" s="71"/>
      <c r="V78" s="145"/>
      <c r="W78" s="43"/>
      <c r="X78" s="43"/>
      <c r="Z78" s="21"/>
      <c r="AA78" s="74"/>
      <c r="AB78" s="74"/>
      <c r="AC78" s="74"/>
      <c r="AD78" s="97"/>
    </row>
    <row r="79" spans="1:30" ht="12.75" hidden="1">
      <c r="A79" s="245"/>
      <c r="B79" s="92">
        <v>249750133483</v>
      </c>
      <c r="C79" s="62" t="s">
        <v>166</v>
      </c>
      <c r="D79" s="98">
        <v>5.86341</v>
      </c>
      <c r="E79" s="55">
        <f>(D79-D76)*Y$11</f>
        <v>2.102599999999999</v>
      </c>
      <c r="F79" s="208">
        <v>2.53</v>
      </c>
      <c r="G79" s="58"/>
      <c r="H79" s="209"/>
      <c r="I79" s="45">
        <f>3.9*1.23</f>
        <v>4.797</v>
      </c>
      <c r="J79" s="45"/>
      <c r="K79" s="58"/>
      <c r="L79" s="64">
        <f>(E79)*K79*1000</f>
        <v>0</v>
      </c>
      <c r="M79" s="63"/>
      <c r="N79" s="64"/>
      <c r="O79" s="192"/>
      <c r="P79" s="158">
        <v>0.83418</v>
      </c>
      <c r="Q79" s="158">
        <v>0.85518</v>
      </c>
      <c r="R79" s="163">
        <f t="shared" si="8"/>
        <v>0.4200000000000004</v>
      </c>
      <c r="S79" s="157"/>
      <c r="T79" s="112"/>
      <c r="U79" s="59"/>
      <c r="V79" s="105"/>
      <c r="W79" s="63"/>
      <c r="X79" s="39"/>
      <c r="Y79" s="39"/>
      <c r="Z79" s="40"/>
      <c r="AA79" s="46">
        <v>40</v>
      </c>
      <c r="AB79" s="73"/>
      <c r="AC79" s="73"/>
      <c r="AD79" s="96"/>
    </row>
    <row r="80" spans="1:30" ht="12.75" hidden="1">
      <c r="A80" s="174"/>
      <c r="B80" s="140"/>
      <c r="C80" s="221"/>
      <c r="D80" s="175"/>
      <c r="E80" s="175"/>
      <c r="F80" s="175"/>
      <c r="H80" s="47"/>
      <c r="I80" s="47"/>
      <c r="J80" s="41"/>
      <c r="K80" s="66"/>
      <c r="L80" s="66"/>
      <c r="M80" s="66"/>
      <c r="N80" s="47"/>
      <c r="O80" s="83"/>
      <c r="P80" s="153">
        <v>0.02518</v>
      </c>
      <c r="Q80" s="153">
        <v>0.0254</v>
      </c>
      <c r="R80" s="143">
        <f t="shared" si="8"/>
        <v>0.0043999999999999595</v>
      </c>
      <c r="S80" s="106"/>
      <c r="T80" s="124"/>
      <c r="U80" s="72"/>
      <c r="V80" s="161"/>
      <c r="W80" s="152"/>
      <c r="X80" s="110"/>
      <c r="Y80" s="110"/>
      <c r="Z80" s="110"/>
      <c r="AA80" s="48"/>
      <c r="AB80" s="176"/>
      <c r="AC80" s="176"/>
      <c r="AD80" s="177"/>
    </row>
    <row r="81" spans="1:30" ht="12.75" hidden="1">
      <c r="A81" s="244">
        <v>6</v>
      </c>
      <c r="B81" s="103" t="s">
        <v>172</v>
      </c>
      <c r="C81" s="81"/>
      <c r="D81" s="100">
        <v>2.17598</v>
      </c>
      <c r="E81" s="56">
        <f>(D81-D78)*Y$11</f>
        <v>0.46339999999999826</v>
      </c>
      <c r="F81" s="57"/>
      <c r="G81" s="211"/>
      <c r="H81" s="42"/>
      <c r="I81" s="47">
        <f>1.65*1.23</f>
        <v>2.0295</v>
      </c>
      <c r="J81" s="41"/>
      <c r="K81" s="77"/>
      <c r="L81" s="42">
        <f>(E81)*K81*1000</f>
        <v>0</v>
      </c>
      <c r="M81" s="78"/>
      <c r="N81" s="42"/>
      <c r="O81" s="83">
        <f>2.54*1.23</f>
        <v>3.1242</v>
      </c>
      <c r="P81" s="153">
        <v>0.23988</v>
      </c>
      <c r="Q81" s="153">
        <v>0.24106</v>
      </c>
      <c r="R81" s="153">
        <f t="shared" si="8"/>
        <v>0.023599999999999732</v>
      </c>
      <c r="S81" s="106"/>
      <c r="T81" s="124"/>
      <c r="U81" s="71"/>
      <c r="V81" s="145"/>
      <c r="W81" s="43"/>
      <c r="X81" s="43"/>
      <c r="Z81" s="21"/>
      <c r="AA81" s="74"/>
      <c r="AB81" s="74"/>
      <c r="AC81" s="74"/>
      <c r="AD81" s="97"/>
    </row>
    <row r="82" spans="1:30" ht="12.75" hidden="1">
      <c r="A82" s="245"/>
      <c r="B82" s="92">
        <v>229750316573</v>
      </c>
      <c r="C82" s="62" t="s">
        <v>173</v>
      </c>
      <c r="D82" s="98">
        <v>5.97211</v>
      </c>
      <c r="E82" s="55">
        <f>(D82-D79)*Y$11</f>
        <v>2.173999999999996</v>
      </c>
      <c r="F82" s="208">
        <v>2.637</v>
      </c>
      <c r="G82" s="58"/>
      <c r="H82" s="209"/>
      <c r="I82" s="45">
        <f>3.9*1.23</f>
        <v>4.797</v>
      </c>
      <c r="J82" s="45"/>
      <c r="K82" s="58"/>
      <c r="L82" s="64">
        <f>(E82)*K82*1000</f>
        <v>0</v>
      </c>
      <c r="M82" s="63"/>
      <c r="N82" s="64"/>
      <c r="O82" s="192"/>
      <c r="P82" s="158">
        <v>0.85518</v>
      </c>
      <c r="Q82" s="158">
        <v>0.87667</v>
      </c>
      <c r="R82" s="163">
        <f t="shared" si="8"/>
        <v>0.42979999999999796</v>
      </c>
      <c r="S82" s="157"/>
      <c r="T82" s="112"/>
      <c r="U82" s="59"/>
      <c r="V82" s="105"/>
      <c r="W82" s="63"/>
      <c r="X82" s="39"/>
      <c r="Y82" s="39"/>
      <c r="Z82" s="40"/>
      <c r="AA82" s="46">
        <v>40</v>
      </c>
      <c r="AB82" s="73"/>
      <c r="AC82" s="73"/>
      <c r="AD82" s="96"/>
    </row>
    <row r="83" spans="1:30" ht="12.75" hidden="1">
      <c r="A83" s="174"/>
      <c r="B83" s="140"/>
      <c r="C83" s="221"/>
      <c r="D83" s="175"/>
      <c r="E83" s="175"/>
      <c r="F83" s="175"/>
      <c r="H83" s="47"/>
      <c r="I83" s="47"/>
      <c r="J83" s="41"/>
      <c r="K83" s="66"/>
      <c r="L83" s="66"/>
      <c r="M83" s="66"/>
      <c r="N83" s="47"/>
      <c r="O83" s="83"/>
      <c r="P83" s="153">
        <v>0.0254</v>
      </c>
      <c r="Q83" s="153">
        <v>0.02546</v>
      </c>
      <c r="R83" s="143">
        <f aca="true" t="shared" si="9" ref="R83:R88">(Q83-P83)*20</f>
        <v>0.0012000000000000205</v>
      </c>
      <c r="S83" s="106"/>
      <c r="T83" s="124"/>
      <c r="U83" s="72"/>
      <c r="V83" s="161"/>
      <c r="W83" s="152"/>
      <c r="X83" s="110"/>
      <c r="Y83" s="110"/>
      <c r="Z83" s="110"/>
      <c r="AA83" s="48"/>
      <c r="AB83" s="176"/>
      <c r="AC83" s="176"/>
      <c r="AD83" s="177"/>
    </row>
    <row r="84" spans="1:30" ht="12.75" hidden="1">
      <c r="A84" s="244">
        <v>7</v>
      </c>
      <c r="B84" s="103" t="s">
        <v>174</v>
      </c>
      <c r="C84" s="81"/>
      <c r="D84" s="100">
        <v>2.19674</v>
      </c>
      <c r="E84" s="56">
        <f>(D84-D81)*Y$11</f>
        <v>0.41520000000000223</v>
      </c>
      <c r="F84" s="57"/>
      <c r="G84" s="211"/>
      <c r="H84" s="42"/>
      <c r="I84" s="47">
        <f>1.65*1.23</f>
        <v>2.0295</v>
      </c>
      <c r="J84" s="41"/>
      <c r="K84" s="77"/>
      <c r="L84" s="42">
        <f>(E84)*K84*1000</f>
        <v>0</v>
      </c>
      <c r="M84" s="78"/>
      <c r="N84" s="42"/>
      <c r="O84" s="83">
        <f>2.54*1.23</f>
        <v>3.1242</v>
      </c>
      <c r="P84" s="153">
        <v>0.24106</v>
      </c>
      <c r="Q84" s="153">
        <v>0.24224</v>
      </c>
      <c r="R84" s="153">
        <f t="shared" si="9"/>
        <v>0.023600000000000287</v>
      </c>
      <c r="S84" s="106"/>
      <c r="T84" s="124"/>
      <c r="U84" s="71"/>
      <c r="V84" s="145"/>
      <c r="W84" s="43"/>
      <c r="X84" s="43"/>
      <c r="Z84" s="21"/>
      <c r="AA84" s="74"/>
      <c r="AB84" s="74"/>
      <c r="AC84" s="74"/>
      <c r="AD84" s="97"/>
    </row>
    <row r="85" spans="1:30" ht="12.75" hidden="1">
      <c r="A85" s="245"/>
      <c r="B85" s="92">
        <v>229750374930</v>
      </c>
      <c r="C85" s="62" t="s">
        <v>175</v>
      </c>
      <c r="D85" s="98">
        <v>6.08021</v>
      </c>
      <c r="E85" s="55">
        <f>(D85-D82)*Y$11</f>
        <v>2.162000000000006</v>
      </c>
      <c r="F85" s="208">
        <v>2.577</v>
      </c>
      <c r="G85" s="58"/>
      <c r="H85" s="209"/>
      <c r="I85" s="45">
        <f>3.9*1.23</f>
        <v>4.797</v>
      </c>
      <c r="J85" s="45"/>
      <c r="K85" s="58"/>
      <c r="L85" s="64">
        <f>(E85)*K85*1000</f>
        <v>0</v>
      </c>
      <c r="M85" s="63"/>
      <c r="N85" s="64"/>
      <c r="O85" s="192"/>
      <c r="P85" s="158">
        <v>0.87667</v>
      </c>
      <c r="Q85" s="158">
        <v>0.89659</v>
      </c>
      <c r="R85" s="163">
        <f t="shared" si="9"/>
        <v>0.398400000000001</v>
      </c>
      <c r="S85" s="157"/>
      <c r="T85" s="112"/>
      <c r="U85" s="59"/>
      <c r="V85" s="105"/>
      <c r="W85" s="63"/>
      <c r="X85" s="39"/>
      <c r="Y85" s="39"/>
      <c r="Z85" s="40"/>
      <c r="AA85" s="46">
        <v>40</v>
      </c>
      <c r="AB85" s="73"/>
      <c r="AC85" s="73"/>
      <c r="AD85" s="96"/>
    </row>
    <row r="86" spans="1:30" ht="12.75" hidden="1">
      <c r="A86" s="174"/>
      <c r="B86" s="140"/>
      <c r="C86" s="221"/>
      <c r="D86" s="175"/>
      <c r="E86" s="175"/>
      <c r="F86" s="175"/>
      <c r="H86" s="47"/>
      <c r="I86" s="47"/>
      <c r="J86" s="41"/>
      <c r="K86" s="66"/>
      <c r="L86" s="66"/>
      <c r="M86" s="66"/>
      <c r="N86" s="47"/>
      <c r="O86" s="83"/>
      <c r="P86" s="153">
        <v>0.02546</v>
      </c>
      <c r="Q86" s="153">
        <v>0.02557</v>
      </c>
      <c r="R86" s="143">
        <f t="shared" si="9"/>
        <v>0.0021999999999999797</v>
      </c>
      <c r="S86" s="106"/>
      <c r="T86" s="124"/>
      <c r="U86" s="72"/>
      <c r="V86" s="72"/>
      <c r="W86" s="152"/>
      <c r="X86" s="110"/>
      <c r="Y86" s="110"/>
      <c r="Z86" s="110"/>
      <c r="AA86" s="48"/>
      <c r="AB86" s="176"/>
      <c r="AC86" s="176"/>
      <c r="AD86" s="177"/>
    </row>
    <row r="87" spans="1:30" ht="12.75" hidden="1">
      <c r="A87" s="244">
        <v>8</v>
      </c>
      <c r="B87" s="103" t="s">
        <v>178</v>
      </c>
      <c r="C87" s="81"/>
      <c r="D87" s="100">
        <v>2.21271</v>
      </c>
      <c r="E87" s="56">
        <f>(D87-D84)*Y$11</f>
        <v>0.31939999999999635</v>
      </c>
      <c r="F87" s="57"/>
      <c r="G87" s="211"/>
      <c r="H87" s="42"/>
      <c r="I87" s="47">
        <f>1.65*1.23</f>
        <v>2.0295</v>
      </c>
      <c r="J87" s="41"/>
      <c r="K87" s="77"/>
      <c r="L87" s="42">
        <f>(E87)*K87*1000</f>
        <v>0</v>
      </c>
      <c r="M87" s="78"/>
      <c r="N87" s="42"/>
      <c r="O87" s="83">
        <f>2.54*1.23</f>
        <v>3.1242</v>
      </c>
      <c r="P87" s="153">
        <v>0.24224</v>
      </c>
      <c r="Q87" s="153">
        <v>0.24335</v>
      </c>
      <c r="R87" s="153">
        <f t="shared" si="9"/>
        <v>0.022199999999999998</v>
      </c>
      <c r="S87" s="106"/>
      <c r="T87" s="124"/>
      <c r="U87" s="71"/>
      <c r="V87" s="145"/>
      <c r="W87" s="43"/>
      <c r="X87" s="43"/>
      <c r="Z87" s="21"/>
      <c r="AA87" s="74"/>
      <c r="AB87" s="74"/>
      <c r="AC87" s="74"/>
      <c r="AD87" s="97"/>
    </row>
    <row r="88" spans="1:30" ht="12.75" hidden="1">
      <c r="A88" s="245"/>
      <c r="B88" s="92">
        <v>229750438354</v>
      </c>
      <c r="C88" s="62" t="s">
        <v>176</v>
      </c>
      <c r="D88" s="98">
        <v>6.1715</v>
      </c>
      <c r="E88" s="55">
        <f>(D88-D85)*Y$11</f>
        <v>1.8257999999999974</v>
      </c>
      <c r="F88" s="208">
        <v>2.145</v>
      </c>
      <c r="G88" s="58"/>
      <c r="H88" s="209"/>
      <c r="I88" s="45">
        <f>3.9*1.23</f>
        <v>4.797</v>
      </c>
      <c r="J88" s="45"/>
      <c r="K88" s="58"/>
      <c r="L88" s="64">
        <f>(E88)*K88*1000</f>
        <v>0</v>
      </c>
      <c r="M88" s="63"/>
      <c r="N88" s="64"/>
      <c r="O88" s="192"/>
      <c r="P88" s="158">
        <v>0.89659</v>
      </c>
      <c r="Q88" s="158">
        <v>0.91399</v>
      </c>
      <c r="R88" s="163">
        <f t="shared" si="9"/>
        <v>0.3479999999999994</v>
      </c>
      <c r="S88" s="157"/>
      <c r="T88" s="112"/>
      <c r="U88" s="59"/>
      <c r="V88" s="105"/>
      <c r="W88" s="63"/>
      <c r="X88" s="39"/>
      <c r="Y88" s="39"/>
      <c r="Z88" s="40"/>
      <c r="AA88" s="46">
        <v>40</v>
      </c>
      <c r="AB88" s="73"/>
      <c r="AC88" s="73"/>
      <c r="AD88" s="96"/>
    </row>
    <row r="89" spans="1:30" ht="12.75" hidden="1">
      <c r="A89" s="174"/>
      <c r="B89" s="140"/>
      <c r="C89" s="221"/>
      <c r="D89" s="175"/>
      <c r="E89" s="175"/>
      <c r="F89" s="175"/>
      <c r="H89" s="47"/>
      <c r="I89" s="47"/>
      <c r="J89" s="41"/>
      <c r="K89" s="66"/>
      <c r="L89" s="66"/>
      <c r="M89" s="66"/>
      <c r="N89" s="47"/>
      <c r="O89" s="83"/>
      <c r="P89" s="153">
        <v>0.02557</v>
      </c>
      <c r="Q89" s="153">
        <v>0.02592</v>
      </c>
      <c r="R89" s="143">
        <f aca="true" t="shared" si="10" ref="R89:R94">(Q89-P89)*20</f>
        <v>0.006999999999999992</v>
      </c>
      <c r="S89" s="106"/>
      <c r="T89" s="124"/>
      <c r="U89" s="72"/>
      <c r="V89" s="161"/>
      <c r="W89" s="152"/>
      <c r="X89" s="110"/>
      <c r="Y89" s="110"/>
      <c r="Z89" s="110"/>
      <c r="AA89" s="48"/>
      <c r="AB89" s="176"/>
      <c r="AC89" s="176"/>
      <c r="AD89" s="177"/>
    </row>
    <row r="90" spans="1:30" ht="12.75" hidden="1">
      <c r="A90" s="244">
        <v>9</v>
      </c>
      <c r="B90" s="103" t="s">
        <v>180</v>
      </c>
      <c r="C90" s="81"/>
      <c r="D90" s="100">
        <v>2.23719</v>
      </c>
      <c r="E90" s="56">
        <f>(D90-D87)*Y$11</f>
        <v>0.48960000000000115</v>
      </c>
      <c r="F90" s="57"/>
      <c r="G90" s="211"/>
      <c r="H90" s="42"/>
      <c r="I90" s="47">
        <f>1.65*1.23</f>
        <v>2.0295</v>
      </c>
      <c r="J90" s="41"/>
      <c r="K90" s="77"/>
      <c r="L90" s="42">
        <f>(E90)*K90*1000</f>
        <v>0</v>
      </c>
      <c r="M90" s="78"/>
      <c r="N90" s="42"/>
      <c r="O90" s="83">
        <f>2.54*1.23</f>
        <v>3.1242</v>
      </c>
      <c r="P90" s="153">
        <v>0.24335</v>
      </c>
      <c r="Q90" s="153">
        <v>0.24657</v>
      </c>
      <c r="R90" s="153">
        <f t="shared" si="10"/>
        <v>0.06440000000000001</v>
      </c>
      <c r="S90" s="106"/>
      <c r="T90" s="124"/>
      <c r="U90" s="71"/>
      <c r="V90" s="145"/>
      <c r="W90" s="43"/>
      <c r="X90" s="43"/>
      <c r="Z90" s="21"/>
      <c r="AA90" s="74"/>
      <c r="AB90" s="74"/>
      <c r="AC90" s="74"/>
      <c r="AD90" s="97"/>
    </row>
    <row r="91" spans="1:30" ht="12.75" hidden="1">
      <c r="A91" s="245"/>
      <c r="B91" s="92">
        <v>229750477844</v>
      </c>
      <c r="C91" s="62" t="s">
        <v>179</v>
      </c>
      <c r="D91" s="98">
        <v>6.29564</v>
      </c>
      <c r="E91" s="55">
        <f>(D91-D88)*Y$11</f>
        <v>2.482799999999994</v>
      </c>
      <c r="F91" s="208">
        <v>2.972</v>
      </c>
      <c r="G91" s="58"/>
      <c r="H91" s="209"/>
      <c r="I91" s="45">
        <f>3.9*1.23</f>
        <v>4.797</v>
      </c>
      <c r="J91" s="45"/>
      <c r="K91" s="58"/>
      <c r="L91" s="64">
        <f>(E91)*K91*1000</f>
        <v>0</v>
      </c>
      <c r="M91" s="63"/>
      <c r="N91" s="64"/>
      <c r="O91" s="192"/>
      <c r="P91" s="158">
        <v>0.91399</v>
      </c>
      <c r="Q91" s="158">
        <v>0.92942</v>
      </c>
      <c r="R91" s="163">
        <f t="shared" si="10"/>
        <v>0.3086000000000011</v>
      </c>
      <c r="S91" s="157"/>
      <c r="T91" s="112"/>
      <c r="U91" s="59"/>
      <c r="V91" s="105"/>
      <c r="W91" s="63"/>
      <c r="X91" s="39"/>
      <c r="Y91" s="39"/>
      <c r="Z91" s="40"/>
      <c r="AA91" s="46">
        <v>40</v>
      </c>
      <c r="AB91" s="73"/>
      <c r="AC91" s="73"/>
      <c r="AD91" s="96"/>
    </row>
    <row r="92" spans="1:30" ht="12.75" hidden="1">
      <c r="A92" s="174"/>
      <c r="B92" s="140"/>
      <c r="C92" s="221"/>
      <c r="D92" s="175"/>
      <c r="E92" s="175"/>
      <c r="F92" s="175"/>
      <c r="H92" s="47"/>
      <c r="I92" s="47"/>
      <c r="J92" s="41"/>
      <c r="K92" s="66"/>
      <c r="L92" s="66"/>
      <c r="M92" s="66"/>
      <c r="N92" s="47"/>
      <c r="O92" s="83"/>
      <c r="P92" s="153">
        <v>0.02592</v>
      </c>
      <c r="Q92" s="153">
        <v>0.02597</v>
      </c>
      <c r="R92" s="143">
        <f t="shared" si="10"/>
        <v>0.0010000000000000286</v>
      </c>
      <c r="S92" s="106"/>
      <c r="T92" s="124"/>
      <c r="U92" s="72"/>
      <c r="V92" s="161"/>
      <c r="W92" s="152"/>
      <c r="X92" s="110"/>
      <c r="Y92" s="110"/>
      <c r="Z92" s="110"/>
      <c r="AA92" s="48"/>
      <c r="AB92" s="176"/>
      <c r="AC92" s="176"/>
      <c r="AD92" s="177"/>
    </row>
    <row r="93" spans="1:30" ht="12.75" hidden="1">
      <c r="A93" s="244">
        <v>10</v>
      </c>
      <c r="B93" s="103" t="s">
        <v>181</v>
      </c>
      <c r="C93" s="81"/>
      <c r="D93" s="100">
        <v>2.25825</v>
      </c>
      <c r="E93" s="56">
        <f>(D93-D90)*Y$11</f>
        <v>0.42119999999999713</v>
      </c>
      <c r="F93" s="57"/>
      <c r="G93" s="211"/>
      <c r="H93" s="42"/>
      <c r="I93" s="47">
        <f>1.65*1.23</f>
        <v>2.0295</v>
      </c>
      <c r="J93" s="41"/>
      <c r="K93" s="77"/>
      <c r="L93" s="42">
        <f>(E93)*K93*1000</f>
        <v>0</v>
      </c>
      <c r="M93" s="78"/>
      <c r="N93" s="42"/>
      <c r="O93" s="83">
        <f>2.54*1.23</f>
        <v>3.1242</v>
      </c>
      <c r="P93" s="153">
        <v>0.24657</v>
      </c>
      <c r="Q93" s="153">
        <v>0.24683</v>
      </c>
      <c r="R93" s="153">
        <f t="shared" si="10"/>
        <v>0.005199999999999649</v>
      </c>
      <c r="S93" s="106"/>
      <c r="T93" s="124"/>
      <c r="U93" s="71"/>
      <c r="V93" s="145"/>
      <c r="W93" s="43"/>
      <c r="X93" s="43"/>
      <c r="Z93" s="21"/>
      <c r="AA93" s="74"/>
      <c r="AB93" s="74"/>
      <c r="AC93" s="74"/>
      <c r="AD93" s="97"/>
    </row>
    <row r="94" spans="1:30" ht="12.75" hidden="1">
      <c r="A94" s="245"/>
      <c r="B94" s="92">
        <v>229750513753</v>
      </c>
      <c r="C94" s="62" t="s">
        <v>182</v>
      </c>
      <c r="D94" s="98">
        <v>6.40669</v>
      </c>
      <c r="E94" s="55">
        <f>(D94-D91)*Y$11</f>
        <v>2.2210000000000107</v>
      </c>
      <c r="F94" s="208">
        <v>2.642</v>
      </c>
      <c r="G94" s="58"/>
      <c r="H94" s="209"/>
      <c r="I94" s="45">
        <f>3.9*1.23</f>
        <v>4.797</v>
      </c>
      <c r="J94" s="45"/>
      <c r="K94" s="58"/>
      <c r="L94" s="64">
        <f>(E94)*K94*1000</f>
        <v>0</v>
      </c>
      <c r="M94" s="63"/>
      <c r="N94" s="64"/>
      <c r="O94" s="192"/>
      <c r="P94" s="158">
        <v>0.92942</v>
      </c>
      <c r="Q94" s="158">
        <v>0.95228</v>
      </c>
      <c r="R94" s="163">
        <f t="shared" si="10"/>
        <v>0.45719999999999983</v>
      </c>
      <c r="S94" s="157"/>
      <c r="T94" s="112"/>
      <c r="U94" s="59"/>
      <c r="V94" s="105"/>
      <c r="W94" s="63"/>
      <c r="X94" s="39"/>
      <c r="Y94" s="39"/>
      <c r="Z94" s="40"/>
      <c r="AA94" s="46">
        <v>40</v>
      </c>
      <c r="AB94" s="73"/>
      <c r="AC94" s="73"/>
      <c r="AD94" s="96"/>
    </row>
    <row r="95" spans="1:30" ht="12.75" hidden="1">
      <c r="A95" s="174"/>
      <c r="B95" s="140"/>
      <c r="C95" s="221"/>
      <c r="D95" s="175"/>
      <c r="E95" s="175"/>
      <c r="F95" s="175"/>
      <c r="H95" s="47"/>
      <c r="I95" s="47"/>
      <c r="J95" s="41"/>
      <c r="K95" s="66"/>
      <c r="L95" s="66"/>
      <c r="M95" s="66"/>
      <c r="N95" s="47"/>
      <c r="O95" s="83"/>
      <c r="P95" s="153">
        <v>0.02597</v>
      </c>
      <c r="Q95" s="153">
        <v>0.02599</v>
      </c>
      <c r="R95" s="143">
        <f aca="true" t="shared" si="11" ref="R95:R100">(Q95-P95)*20</f>
        <v>0.0003999999999999837</v>
      </c>
      <c r="S95" s="106"/>
      <c r="T95" s="124"/>
      <c r="U95" s="72"/>
      <c r="V95" s="161"/>
      <c r="W95" s="152"/>
      <c r="X95" s="110"/>
      <c r="Y95" s="110"/>
      <c r="Z95" s="110"/>
      <c r="AA95" s="48"/>
      <c r="AB95" s="176"/>
      <c r="AC95" s="176"/>
      <c r="AD95" s="177"/>
    </row>
    <row r="96" spans="1:30" ht="12.75" hidden="1">
      <c r="A96" s="244">
        <v>11</v>
      </c>
      <c r="B96" s="103" t="s">
        <v>183</v>
      </c>
      <c r="C96" s="81"/>
      <c r="D96" s="100">
        <v>2.31229</v>
      </c>
      <c r="E96" s="56">
        <f>(D96-D93)*Y$11</f>
        <v>1.0808000000000018</v>
      </c>
      <c r="F96" s="57"/>
      <c r="G96" s="211"/>
      <c r="H96" s="42"/>
      <c r="I96" s="47">
        <f>1.65*1.23</f>
        <v>2.0295</v>
      </c>
      <c r="J96" s="41"/>
      <c r="K96" s="77"/>
      <c r="L96" s="42">
        <f>(E96)*K96*1000</f>
        <v>0</v>
      </c>
      <c r="M96" s="78"/>
      <c r="N96" s="42"/>
      <c r="O96" s="83">
        <f>2.54*1.23</f>
        <v>3.1242</v>
      </c>
      <c r="P96" s="153">
        <v>0.24683</v>
      </c>
      <c r="Q96" s="153">
        <v>0.24685</v>
      </c>
      <c r="R96" s="153">
        <f t="shared" si="11"/>
        <v>0.00040000000000040004</v>
      </c>
      <c r="S96" s="106"/>
      <c r="T96" s="124"/>
      <c r="U96" s="71"/>
      <c r="V96" s="145"/>
      <c r="W96" s="43"/>
      <c r="X96" s="43"/>
      <c r="Z96" s="21"/>
      <c r="AA96" s="74"/>
      <c r="AB96" s="74"/>
      <c r="AC96" s="74"/>
      <c r="AD96" s="97"/>
    </row>
    <row r="97" spans="1:30" ht="12.75" hidden="1">
      <c r="A97" s="245"/>
      <c r="B97" s="92">
        <v>229750561423</v>
      </c>
      <c r="C97" s="62" t="s">
        <v>184</v>
      </c>
      <c r="D97" s="98">
        <v>6.52119</v>
      </c>
      <c r="E97" s="55">
        <f>(D97-D94)*Y$11</f>
        <v>2.289999999999992</v>
      </c>
      <c r="F97" s="208">
        <f>1.081+2.29</f>
        <v>3.371</v>
      </c>
      <c r="G97" s="58"/>
      <c r="H97" s="209"/>
      <c r="I97" s="45">
        <f>3.9*1.23</f>
        <v>4.797</v>
      </c>
      <c r="J97" s="45"/>
      <c r="K97" s="58"/>
      <c r="L97" s="64">
        <f>(E97)*K97*1000</f>
        <v>0</v>
      </c>
      <c r="M97" s="63"/>
      <c r="N97" s="64"/>
      <c r="O97" s="192"/>
      <c r="P97" s="158">
        <v>0.95228</v>
      </c>
      <c r="Q97" s="158">
        <v>0.98335</v>
      </c>
      <c r="R97" s="163">
        <f t="shared" si="11"/>
        <v>0.6213999999999986</v>
      </c>
      <c r="S97" s="157"/>
      <c r="T97" s="112"/>
      <c r="U97" s="59"/>
      <c r="V97" s="105"/>
      <c r="W97" s="63"/>
      <c r="X97" s="39"/>
      <c r="Y97" s="39"/>
      <c r="Z97" s="40"/>
      <c r="AA97" s="46">
        <v>40</v>
      </c>
      <c r="AB97" s="73"/>
      <c r="AC97" s="73"/>
      <c r="AD97" s="96"/>
    </row>
    <row r="98" spans="1:30" ht="12.75" hidden="1">
      <c r="A98" s="68"/>
      <c r="B98" s="140"/>
      <c r="C98" s="221"/>
      <c r="D98" s="175"/>
      <c r="E98" s="175"/>
      <c r="F98" s="175"/>
      <c r="H98" s="47"/>
      <c r="I98" s="47"/>
      <c r="J98" s="41"/>
      <c r="K98" s="66"/>
      <c r="L98" s="66"/>
      <c r="M98" s="66"/>
      <c r="N98" s="47"/>
      <c r="O98" s="83"/>
      <c r="P98" s="153">
        <v>0.02599</v>
      </c>
      <c r="Q98" s="153">
        <v>0.026</v>
      </c>
      <c r="R98" s="143">
        <f t="shared" si="11"/>
        <v>0.00019999999999999185</v>
      </c>
      <c r="S98" s="106"/>
      <c r="T98" s="124"/>
      <c r="U98" s="72"/>
      <c r="V98" s="161"/>
      <c r="W98" s="152"/>
      <c r="X98" s="109"/>
      <c r="Y98" s="109"/>
      <c r="Z98" s="110"/>
      <c r="AA98" s="48"/>
      <c r="AB98" s="74"/>
      <c r="AC98" s="74"/>
      <c r="AD98" s="97"/>
    </row>
    <row r="99" spans="1:30" ht="12.75" hidden="1">
      <c r="A99" s="244">
        <v>12</v>
      </c>
      <c r="B99" s="103" t="s">
        <v>188</v>
      </c>
      <c r="C99" s="81"/>
      <c r="D99" s="100">
        <v>2.36646</v>
      </c>
      <c r="E99" s="56">
        <f>(D99-D96)*Y$11</f>
        <v>1.083400000000001</v>
      </c>
      <c r="F99" s="57"/>
      <c r="G99" s="211"/>
      <c r="H99" s="42"/>
      <c r="I99" s="47">
        <f>1.65*1.23</f>
        <v>2.0295</v>
      </c>
      <c r="J99" s="41"/>
      <c r="K99" s="77"/>
      <c r="L99" s="42">
        <f>(E99)*K99*1000</f>
        <v>0</v>
      </c>
      <c r="M99" s="78"/>
      <c r="N99" s="42"/>
      <c r="O99" s="83">
        <f>2.54*1.23</f>
        <v>3.1242</v>
      </c>
      <c r="P99" s="153">
        <v>0.24685</v>
      </c>
      <c r="Q99" s="153">
        <v>0.24692</v>
      </c>
      <c r="R99" s="153">
        <f t="shared" si="11"/>
        <v>0.0013999999999997348</v>
      </c>
      <c r="S99" s="106"/>
      <c r="T99" s="124"/>
      <c r="U99" s="71"/>
      <c r="V99" s="145"/>
      <c r="W99" s="43"/>
      <c r="X99" s="33"/>
      <c r="Y99" s="33"/>
      <c r="Z99" s="33"/>
      <c r="AA99" s="74"/>
      <c r="AB99" s="74"/>
      <c r="AC99" s="74"/>
      <c r="AD99" s="97"/>
    </row>
    <row r="100" spans="1:30" ht="13.5" hidden="1" thickBot="1">
      <c r="A100" s="245"/>
      <c r="B100" s="92">
        <v>229750637622</v>
      </c>
      <c r="C100" s="62" t="s">
        <v>187</v>
      </c>
      <c r="D100" s="98">
        <v>6.63476</v>
      </c>
      <c r="E100" s="55">
        <f>(D100-D97)*Y$11</f>
        <v>2.2714000000000034</v>
      </c>
      <c r="F100" s="208"/>
      <c r="G100" s="58"/>
      <c r="H100" s="209"/>
      <c r="I100" s="45">
        <f>3.9*1.23</f>
        <v>4.797</v>
      </c>
      <c r="J100" s="45"/>
      <c r="K100" s="58"/>
      <c r="L100" s="64">
        <f>(E100)*K100*1000</f>
        <v>0</v>
      </c>
      <c r="M100" s="63"/>
      <c r="N100" s="64"/>
      <c r="O100" s="192"/>
      <c r="P100" s="158">
        <v>0.98335</v>
      </c>
      <c r="Q100" s="158">
        <v>1.01393</v>
      </c>
      <c r="R100" s="163">
        <f t="shared" si="11"/>
        <v>0.611600000000001</v>
      </c>
      <c r="S100" s="157"/>
      <c r="T100" s="194"/>
      <c r="U100" s="132"/>
      <c r="V100" s="105"/>
      <c r="W100" s="63"/>
      <c r="X100" s="39"/>
      <c r="Y100" s="39"/>
      <c r="Z100" s="40"/>
      <c r="AA100" s="46">
        <v>40</v>
      </c>
      <c r="AB100" s="155"/>
      <c r="AC100" s="73"/>
      <c r="AD100" s="96"/>
    </row>
    <row r="101" spans="1:30" ht="12.75" customHeight="1">
      <c r="A101" s="246" t="s">
        <v>156</v>
      </c>
      <c r="B101" s="247"/>
      <c r="C101" s="247"/>
      <c r="D101" s="248"/>
      <c r="E101" s="49" t="s">
        <v>102</v>
      </c>
      <c r="F101" s="219" t="s">
        <v>99</v>
      </c>
      <c r="G101" s="189"/>
      <c r="H101" s="190"/>
      <c r="I101" s="13"/>
      <c r="J101" s="13"/>
      <c r="K101" s="49"/>
      <c r="L101" s="49"/>
      <c r="M101" s="49"/>
      <c r="N101" s="49"/>
      <c r="O101" s="129">
        <f>O67+O70+O73+O76+O82+O79+O85+O88+O91+O94+O97+O100</f>
        <v>24.606346799999965</v>
      </c>
      <c r="P101" s="38"/>
      <c r="Q101" s="172">
        <f>R101/E102</f>
        <v>0.12721450173139998</v>
      </c>
      <c r="R101" s="185">
        <f>SUM(R65:R100)</f>
        <v>5.569399999999997</v>
      </c>
      <c r="S101" s="125"/>
      <c r="T101" s="183"/>
      <c r="U101" s="181"/>
      <c r="V101" s="225"/>
      <c r="W101" s="226"/>
      <c r="X101" s="227" t="s">
        <v>102</v>
      </c>
      <c r="Y101" s="50"/>
      <c r="Z101" s="51"/>
      <c r="AA101" s="51"/>
      <c r="AB101" s="184">
        <f>AB102/AA102</f>
        <v>1</v>
      </c>
      <c r="AC101" s="51"/>
      <c r="AD101" s="120"/>
    </row>
    <row r="102" spans="1:30" ht="13.5" thickBot="1">
      <c r="A102" s="249"/>
      <c r="B102" s="250"/>
      <c r="C102" s="250"/>
      <c r="D102" s="251"/>
      <c r="E102" s="60">
        <f>SUM(E65:E100)</f>
        <v>43.77959999999999</v>
      </c>
      <c r="F102" s="220">
        <f>SUM(F63:F100)</f>
        <v>45.414000000000016</v>
      </c>
      <c r="G102" s="52"/>
      <c r="H102" s="222"/>
      <c r="I102" s="90"/>
      <c r="J102" s="90"/>
      <c r="K102" s="90"/>
      <c r="L102" s="90">
        <f>SUM(L65:L100)</f>
        <v>0</v>
      </c>
      <c r="M102" s="90"/>
      <c r="N102" s="90">
        <f>SUM(N65:N100)</f>
        <v>0</v>
      </c>
      <c r="O102" s="90">
        <f>SUM(O65:O100)</f>
        <v>62.096746799999984</v>
      </c>
      <c r="P102" s="90"/>
      <c r="Q102" s="90"/>
      <c r="R102" s="156"/>
      <c r="S102" s="90"/>
      <c r="T102" s="119"/>
      <c r="U102" s="90"/>
      <c r="V102" s="90"/>
      <c r="W102" s="52"/>
      <c r="X102" s="90">
        <f>SUM(X66:X100)</f>
        <v>0</v>
      </c>
      <c r="Y102" s="90">
        <f>SUM(Y66:Y100)</f>
        <v>0</v>
      </c>
      <c r="Z102" s="53">
        <f>Z67</f>
        <v>40</v>
      </c>
      <c r="AA102" s="53">
        <f>AA67</f>
        <v>40</v>
      </c>
      <c r="AB102" s="53">
        <f>SUM(AB67)</f>
        <v>40</v>
      </c>
      <c r="AC102" s="53"/>
      <c r="AD102" s="54"/>
    </row>
    <row r="103" spans="1:9" ht="13.5" thickBot="1">
      <c r="A103" t="s">
        <v>101</v>
      </c>
      <c r="F103" s="114">
        <f>F102-E102</f>
        <v>1.6344000000000278</v>
      </c>
      <c r="G103" s="113"/>
      <c r="I103" s="113" t="s">
        <v>155</v>
      </c>
    </row>
    <row r="104" spans="1:30" ht="12.75" customHeight="1" hidden="1">
      <c r="A104" s="244">
        <v>1</v>
      </c>
      <c r="B104" s="103" t="s">
        <v>188</v>
      </c>
      <c r="C104" s="205" t="s">
        <v>189</v>
      </c>
      <c r="D104" s="100"/>
      <c r="E104" s="56"/>
      <c r="F104" s="57"/>
      <c r="G104" s="211"/>
      <c r="H104" s="42"/>
      <c r="I104" s="47"/>
      <c r="J104" s="41"/>
      <c r="K104" s="77"/>
      <c r="L104" s="42"/>
      <c r="M104" s="78"/>
      <c r="N104" s="42"/>
      <c r="O104" s="83"/>
      <c r="P104" s="153"/>
      <c r="Q104" s="153"/>
      <c r="R104" s="153"/>
      <c r="S104" s="106"/>
      <c r="T104" s="124"/>
      <c r="U104" s="24"/>
      <c r="V104" s="145"/>
      <c r="W104" s="43"/>
      <c r="X104" s="43"/>
      <c r="Z104" s="21"/>
      <c r="AA104" s="74"/>
      <c r="AB104" s="74"/>
      <c r="AC104" s="74"/>
      <c r="AD104" s="97"/>
    </row>
    <row r="105" spans="1:30" ht="12.75" hidden="1">
      <c r="A105" s="245"/>
      <c r="B105" s="92"/>
      <c r="C105" s="44"/>
      <c r="D105" s="98"/>
      <c r="E105" s="55"/>
      <c r="F105" s="208">
        <v>3.354</v>
      </c>
      <c r="G105" s="58"/>
      <c r="H105" s="209"/>
      <c r="I105" s="45"/>
      <c r="J105" s="45"/>
      <c r="K105" s="58"/>
      <c r="L105" s="64"/>
      <c r="M105" s="63"/>
      <c r="N105" s="64"/>
      <c r="O105" s="192"/>
      <c r="P105" s="158"/>
      <c r="Q105" s="158"/>
      <c r="R105" s="163"/>
      <c r="S105" s="157"/>
      <c r="T105" s="112"/>
      <c r="U105" s="45"/>
      <c r="V105" s="105"/>
      <c r="W105" s="63"/>
      <c r="X105" s="39"/>
      <c r="Y105" s="39"/>
      <c r="Z105" s="40"/>
      <c r="AA105" s="46"/>
      <c r="AB105" s="73"/>
      <c r="AC105" s="73"/>
      <c r="AD105" s="96"/>
    </row>
    <row r="106" spans="1:30" ht="12.75" hidden="1">
      <c r="A106" s="174"/>
      <c r="B106" s="140"/>
      <c r="C106" s="175"/>
      <c r="D106" s="175"/>
      <c r="E106" s="175"/>
      <c r="F106" s="175"/>
      <c r="H106" s="47"/>
      <c r="I106" s="47"/>
      <c r="J106" s="41"/>
      <c r="K106" s="66"/>
      <c r="L106" s="66"/>
      <c r="M106" s="66"/>
      <c r="N106" s="47"/>
      <c r="O106" s="83"/>
      <c r="P106" s="153">
        <v>0.026</v>
      </c>
      <c r="Q106" s="153">
        <v>0.02601</v>
      </c>
      <c r="R106" s="143">
        <f aca="true" t="shared" si="12" ref="R106:R112">(Q106-P106)*20</f>
        <v>0.00019999999999999185</v>
      </c>
      <c r="S106" s="106"/>
      <c r="T106" s="124"/>
      <c r="U106" s="47"/>
      <c r="V106" s="161"/>
      <c r="W106" s="152"/>
      <c r="X106" s="110"/>
      <c r="Y106" s="110"/>
      <c r="Z106" s="110"/>
      <c r="AA106" s="48"/>
      <c r="AB106" s="176"/>
      <c r="AC106" s="176"/>
      <c r="AD106" s="177"/>
    </row>
    <row r="107" spans="1:30" ht="12.75" hidden="1">
      <c r="A107" s="244">
        <v>1</v>
      </c>
      <c r="B107" s="103" t="s">
        <v>191</v>
      </c>
      <c r="C107" s="215"/>
      <c r="D107" s="100">
        <v>2.45009</v>
      </c>
      <c r="E107" s="56">
        <f>(D107-D99)*Y$11</f>
        <v>1.6725999999999974</v>
      </c>
      <c r="F107" s="57"/>
      <c r="G107" s="211"/>
      <c r="H107" s="42"/>
      <c r="I107" s="47">
        <f>1.65*1.23</f>
        <v>2.0295</v>
      </c>
      <c r="J107" s="41"/>
      <c r="K107" s="77"/>
      <c r="L107" s="42">
        <f>(E107)*K107*1000</f>
        <v>0</v>
      </c>
      <c r="M107" s="78"/>
      <c r="N107" s="42"/>
      <c r="O107" s="83">
        <f>2.54*1.23</f>
        <v>3.1242</v>
      </c>
      <c r="P107" s="153">
        <v>0.24692</v>
      </c>
      <c r="Q107" s="153">
        <v>0.24699</v>
      </c>
      <c r="R107" s="153">
        <f t="shared" si="12"/>
        <v>0.0013999999999997348</v>
      </c>
      <c r="S107" s="106"/>
      <c r="T107" s="124"/>
      <c r="U107" s="24"/>
      <c r="V107" s="145"/>
      <c r="W107" s="43"/>
      <c r="X107" s="43"/>
      <c r="Z107" s="21"/>
      <c r="AA107" s="74"/>
      <c r="AB107" s="74"/>
      <c r="AC107" s="74"/>
      <c r="AD107" s="97"/>
    </row>
    <row r="108" spans="1:30" ht="12.75" hidden="1">
      <c r="A108" s="245"/>
      <c r="B108" s="92">
        <v>229750693608</v>
      </c>
      <c r="C108" s="62" t="s">
        <v>192</v>
      </c>
      <c r="D108" s="98">
        <v>6.81716</v>
      </c>
      <c r="E108" s="55">
        <f>(D108-D100)*Y$11</f>
        <v>3.648000000000007</v>
      </c>
      <c r="F108" s="208">
        <v>5.321</v>
      </c>
      <c r="G108" s="58"/>
      <c r="H108" s="209"/>
      <c r="I108" s="45">
        <f>3.9*1.23</f>
        <v>4.797</v>
      </c>
      <c r="J108" s="45"/>
      <c r="K108" s="58"/>
      <c r="L108" s="64">
        <f>(E108)*K108*1000</f>
        <v>0</v>
      </c>
      <c r="M108" s="63"/>
      <c r="N108" s="64"/>
      <c r="O108" s="228">
        <f>(E107+E108)*0*1.23</f>
        <v>0</v>
      </c>
      <c r="P108" s="158">
        <v>1.01393</v>
      </c>
      <c r="Q108" s="158">
        <v>1.0444</v>
      </c>
      <c r="R108" s="163">
        <f t="shared" si="12"/>
        <v>0.6093999999999999</v>
      </c>
      <c r="S108" s="157"/>
      <c r="T108" s="112"/>
      <c r="U108" s="45"/>
      <c r="V108" s="105"/>
      <c r="W108" s="63"/>
      <c r="X108" s="39"/>
      <c r="Y108" s="39"/>
      <c r="Z108" s="40">
        <v>40</v>
      </c>
      <c r="AA108" s="46">
        <v>40</v>
      </c>
      <c r="AB108" s="73">
        <v>40</v>
      </c>
      <c r="AC108" s="73"/>
      <c r="AD108" s="96"/>
    </row>
    <row r="109" spans="1:30" ht="12.75" hidden="1">
      <c r="A109" s="116"/>
      <c r="B109" s="160"/>
      <c r="C109" s="86"/>
      <c r="D109" s="100">
        <v>2.50916</v>
      </c>
      <c r="E109" s="84">
        <f>(D109-D107)*Y$11</f>
        <v>1.1814000000000036</v>
      </c>
      <c r="F109" s="212"/>
      <c r="G109" s="206"/>
      <c r="H109" s="144"/>
      <c r="I109" s="47"/>
      <c r="J109" s="41"/>
      <c r="K109" s="82"/>
      <c r="L109" s="47"/>
      <c r="M109" s="66"/>
      <c r="N109" s="47"/>
      <c r="O109" s="230"/>
      <c r="P109" s="153"/>
      <c r="Q109" s="153"/>
      <c r="R109" s="143"/>
      <c r="S109" s="89"/>
      <c r="T109" s="128"/>
      <c r="U109" s="47"/>
      <c r="V109" s="161"/>
      <c r="W109" s="152"/>
      <c r="X109" s="109"/>
      <c r="Y109" s="109"/>
      <c r="Z109" s="110"/>
      <c r="AA109" s="48"/>
      <c r="AB109" s="74"/>
      <c r="AC109" s="74"/>
      <c r="AD109" s="97"/>
    </row>
    <row r="110" spans="1:30" ht="12.75" hidden="1">
      <c r="A110" s="174"/>
      <c r="B110" s="140"/>
      <c r="C110" s="62" t="s">
        <v>195</v>
      </c>
      <c r="D110" s="98">
        <v>6.94745</v>
      </c>
      <c r="E110" s="55">
        <f>(D110-D108)*Y$11</f>
        <v>2.6057999999999915</v>
      </c>
      <c r="F110" s="175"/>
      <c r="H110" s="47"/>
      <c r="I110" s="47"/>
      <c r="J110" s="41"/>
      <c r="K110" s="66"/>
      <c r="L110" s="66"/>
      <c r="M110" s="66"/>
      <c r="N110" s="47"/>
      <c r="O110" s="83"/>
      <c r="P110" s="153">
        <v>0.02601</v>
      </c>
      <c r="Q110" s="153">
        <v>0.02602</v>
      </c>
      <c r="R110" s="143">
        <f t="shared" si="12"/>
        <v>0.00020000000000006124</v>
      </c>
      <c r="S110" s="106"/>
      <c r="T110" s="124"/>
      <c r="U110" s="72"/>
      <c r="V110" s="161"/>
      <c r="W110" s="152"/>
      <c r="X110" s="110"/>
      <c r="Y110" s="110"/>
      <c r="Z110" s="110"/>
      <c r="AA110" s="48"/>
      <c r="AB110" s="176"/>
      <c r="AC110" s="176"/>
      <c r="AD110" s="177"/>
    </row>
    <row r="111" spans="1:30" ht="12.75" hidden="1">
      <c r="A111" s="244">
        <v>2</v>
      </c>
      <c r="B111" s="103" t="s">
        <v>193</v>
      </c>
      <c r="C111" s="215"/>
      <c r="D111" s="100">
        <v>2.52639</v>
      </c>
      <c r="E111" s="56">
        <f>(D111-D109)*Y$11</f>
        <v>0.34460000000000157</v>
      </c>
      <c r="F111" s="57"/>
      <c r="G111" s="211"/>
      <c r="H111" s="42"/>
      <c r="I111" s="47">
        <f>0.08*1.23</f>
        <v>0.0984</v>
      </c>
      <c r="J111" s="41"/>
      <c r="K111" s="77"/>
      <c r="L111" s="42">
        <f>(E109+E111)*K111*1000</f>
        <v>0</v>
      </c>
      <c r="M111" s="78"/>
      <c r="N111" s="42"/>
      <c r="O111" s="83">
        <f>2.54*1.23</f>
        <v>3.1242</v>
      </c>
      <c r="P111" s="153">
        <v>0.24699</v>
      </c>
      <c r="Q111" s="153">
        <v>0.2471</v>
      </c>
      <c r="R111" s="153">
        <f t="shared" si="12"/>
        <v>0.0021999999999999797</v>
      </c>
      <c r="S111" s="106"/>
      <c r="T111" s="124"/>
      <c r="U111" s="71"/>
      <c r="V111" s="145"/>
      <c r="W111" s="43"/>
      <c r="X111" s="43"/>
      <c r="Z111" s="21"/>
      <c r="AA111" s="74"/>
      <c r="AB111" s="74"/>
      <c r="AC111" s="74"/>
      <c r="AD111" s="97"/>
    </row>
    <row r="112" spans="1:30" ht="12.75" hidden="1">
      <c r="A112" s="245"/>
      <c r="B112" s="92">
        <v>222012711534</v>
      </c>
      <c r="C112" s="62" t="s">
        <v>194</v>
      </c>
      <c r="D112" s="98">
        <v>6.98546</v>
      </c>
      <c r="E112" s="55">
        <f>(D112-D110)*Y$11</f>
        <v>0.7601999999999975</v>
      </c>
      <c r="F112" s="208">
        <v>4.892</v>
      </c>
      <c r="G112" s="58"/>
      <c r="H112" s="209"/>
      <c r="I112" s="45">
        <f>3.9*1.23</f>
        <v>4.797</v>
      </c>
      <c r="J112" s="45"/>
      <c r="K112" s="58"/>
      <c r="L112" s="64">
        <f>(E110+E112)*K112*1000</f>
        <v>0</v>
      </c>
      <c r="M112" s="63"/>
      <c r="N112" s="64"/>
      <c r="O112" s="192">
        <f>(E111+E112)*1.58*1.23</f>
        <v>2.1470683199999985</v>
      </c>
      <c r="P112" s="158">
        <v>1.0444</v>
      </c>
      <c r="Q112" s="158">
        <v>1.07464</v>
      </c>
      <c r="R112" s="231">
        <f t="shared" si="12"/>
        <v>0.6048000000000009</v>
      </c>
      <c r="S112" s="157"/>
      <c r="T112" s="112"/>
      <c r="U112" s="59"/>
      <c r="V112" s="105"/>
      <c r="W112" s="63"/>
      <c r="X112" s="39"/>
      <c r="Y112" s="39"/>
      <c r="Z112" s="40"/>
      <c r="AA112" s="46">
        <v>40</v>
      </c>
      <c r="AB112" s="73"/>
      <c r="AC112" s="73"/>
      <c r="AD112" s="96"/>
    </row>
    <row r="113" spans="1:30" ht="12.75" hidden="1">
      <c r="A113" s="116"/>
      <c r="B113" s="236" t="s">
        <v>209</v>
      </c>
      <c r="C113" s="229" t="s">
        <v>208</v>
      </c>
      <c r="D113" s="100"/>
      <c r="E113" s="85"/>
      <c r="F113" s="57"/>
      <c r="G113" s="202"/>
      <c r="H113" s="213"/>
      <c r="I113" s="47"/>
      <c r="J113" s="41"/>
      <c r="K113" s="82"/>
      <c r="L113" s="47"/>
      <c r="M113" s="66"/>
      <c r="N113" s="47"/>
      <c r="O113" s="204"/>
      <c r="P113" s="153"/>
      <c r="Q113" s="153"/>
      <c r="R113" s="139"/>
      <c r="S113" s="89"/>
      <c r="T113" s="128"/>
      <c r="U113" s="72"/>
      <c r="V113" s="161"/>
      <c r="W113" s="152"/>
      <c r="X113" s="109"/>
      <c r="Y113" s="109"/>
      <c r="Z113" s="110"/>
      <c r="AA113" s="48"/>
      <c r="AB113" s="74"/>
      <c r="AC113" s="74"/>
      <c r="AD113" s="97"/>
    </row>
    <row r="114" spans="1:30" ht="12.75" hidden="1">
      <c r="A114" s="68"/>
      <c r="B114" s="92"/>
      <c r="C114" s="238"/>
      <c r="D114" s="98"/>
      <c r="E114" s="131"/>
      <c r="F114" s="210"/>
      <c r="G114" s="151"/>
      <c r="H114" s="115"/>
      <c r="I114" s="47"/>
      <c r="J114" s="41"/>
      <c r="K114" s="82"/>
      <c r="L114" s="47"/>
      <c r="M114" s="66"/>
      <c r="N114" s="47"/>
      <c r="O114" s="204"/>
      <c r="P114" s="153"/>
      <c r="Q114" s="153"/>
      <c r="R114" s="139"/>
      <c r="S114" s="89"/>
      <c r="T114" s="128"/>
      <c r="U114" s="72"/>
      <c r="V114" s="161"/>
      <c r="W114" s="152"/>
      <c r="X114" s="109"/>
      <c r="Y114" s="109"/>
      <c r="Z114" s="110"/>
      <c r="AA114" s="48"/>
      <c r="AB114" s="74"/>
      <c r="AC114" s="74"/>
      <c r="AD114" s="97"/>
    </row>
    <row r="115" spans="1:30" ht="12.75" hidden="1">
      <c r="A115" s="174"/>
      <c r="B115" s="140"/>
      <c r="C115" s="221"/>
      <c r="D115" s="221"/>
      <c r="E115" s="221"/>
      <c r="F115" s="221"/>
      <c r="H115" s="47"/>
      <c r="I115" s="47"/>
      <c r="J115" s="41"/>
      <c r="K115" s="66"/>
      <c r="L115" s="66"/>
      <c r="M115" s="66"/>
      <c r="N115" s="47"/>
      <c r="O115" s="83"/>
      <c r="P115" s="153">
        <v>0.02602</v>
      </c>
      <c r="Q115" s="153">
        <v>0.02603</v>
      </c>
      <c r="R115" s="143">
        <f aca="true" t="shared" si="13" ref="R115:R122">(Q115-P115)*20</f>
        <v>0.00019999999999999185</v>
      </c>
      <c r="S115" s="106"/>
      <c r="T115" s="124"/>
      <c r="U115" s="72"/>
      <c r="V115" s="161"/>
      <c r="W115" s="152"/>
      <c r="X115" s="110"/>
      <c r="Y115" s="110"/>
      <c r="Z115" s="110"/>
      <c r="AA115" s="48"/>
      <c r="AB115" s="176"/>
      <c r="AC115" s="176"/>
      <c r="AD115" s="177"/>
    </row>
    <row r="116" spans="1:30" ht="12.75" hidden="1">
      <c r="A116" s="244">
        <v>3</v>
      </c>
      <c r="B116" s="103" t="s">
        <v>198</v>
      </c>
      <c r="C116" s="215"/>
      <c r="D116" s="100">
        <v>2.58378</v>
      </c>
      <c r="E116" s="56">
        <f>(D116-D111)*Y$11</f>
        <v>1.1477999999999966</v>
      </c>
      <c r="F116" s="57"/>
      <c r="G116" s="211"/>
      <c r="H116" s="42"/>
      <c r="I116" s="47">
        <f>0.08*1.23</f>
        <v>0.0984</v>
      </c>
      <c r="J116" s="41"/>
      <c r="K116" s="77"/>
      <c r="L116" s="42">
        <f>(E116)*K116*1000</f>
        <v>0</v>
      </c>
      <c r="M116" s="78"/>
      <c r="N116" s="42"/>
      <c r="O116" s="83">
        <f>2.54*1.23</f>
        <v>3.1242</v>
      </c>
      <c r="P116" s="153">
        <v>0.2471</v>
      </c>
      <c r="Q116" s="153">
        <v>0.24714</v>
      </c>
      <c r="R116" s="153">
        <f t="shared" si="13"/>
        <v>0.000800000000000245</v>
      </c>
      <c r="S116" s="106"/>
      <c r="T116" s="124"/>
      <c r="U116" s="71"/>
      <c r="V116" s="145"/>
      <c r="W116" s="43"/>
      <c r="X116" s="43"/>
      <c r="Z116" s="21"/>
      <c r="AA116" s="74"/>
      <c r="AB116" s="74"/>
      <c r="AC116" s="74"/>
      <c r="AD116" s="97"/>
    </row>
    <row r="117" spans="1:30" ht="12.75" hidden="1">
      <c r="A117" s="245"/>
      <c r="B117" s="92">
        <v>229750804018</v>
      </c>
      <c r="C117" s="62" t="s">
        <v>196</v>
      </c>
      <c r="D117" s="98">
        <v>7.10558</v>
      </c>
      <c r="E117" s="55">
        <f>(D117-D112)*Y$11</f>
        <v>2.4024</v>
      </c>
      <c r="F117" s="208">
        <v>3.55</v>
      </c>
      <c r="G117" s="58"/>
      <c r="H117" s="209"/>
      <c r="I117" s="45">
        <f>3.9*1.23</f>
        <v>4.797</v>
      </c>
      <c r="J117" s="45"/>
      <c r="K117" s="58"/>
      <c r="L117" s="64">
        <f>(E117)*K117*1000</f>
        <v>0</v>
      </c>
      <c r="M117" s="63"/>
      <c r="N117" s="64"/>
      <c r="O117" s="192">
        <f>(E116+E117)*1.58*1.23</f>
        <v>6.899458679999994</v>
      </c>
      <c r="P117" s="158">
        <v>1.07464</v>
      </c>
      <c r="Q117" s="158">
        <v>1.10506</v>
      </c>
      <c r="R117" s="231">
        <f t="shared" si="13"/>
        <v>0.6083999999999978</v>
      </c>
      <c r="S117" s="157"/>
      <c r="T117" s="112"/>
      <c r="U117" s="59"/>
      <c r="V117" s="105"/>
      <c r="W117" s="63"/>
      <c r="X117" s="39"/>
      <c r="Y117" s="39"/>
      <c r="Z117" s="40"/>
      <c r="AA117" s="46">
        <v>40</v>
      </c>
      <c r="AB117" s="73"/>
      <c r="AC117" s="73"/>
      <c r="AD117" s="96"/>
    </row>
    <row r="118" spans="1:30" ht="12.75" hidden="1">
      <c r="A118" s="116"/>
      <c r="B118" s="236" t="s">
        <v>209</v>
      </c>
      <c r="C118" s="229"/>
      <c r="D118" s="100"/>
      <c r="E118" s="85"/>
      <c r="F118" s="57"/>
      <c r="G118" s="202"/>
      <c r="H118" s="213"/>
      <c r="I118" s="47"/>
      <c r="J118" s="41"/>
      <c r="K118" s="82"/>
      <c r="L118" s="47"/>
      <c r="M118" s="66"/>
      <c r="N118" s="47"/>
      <c r="O118" s="204"/>
      <c r="P118" s="153"/>
      <c r="Q118" s="153"/>
      <c r="R118" s="139"/>
      <c r="S118" s="89"/>
      <c r="T118" s="128"/>
      <c r="U118" s="72"/>
      <c r="V118" s="161"/>
      <c r="W118" s="152"/>
      <c r="X118" s="109"/>
      <c r="Y118" s="109"/>
      <c r="Z118" s="110"/>
      <c r="AA118" s="48"/>
      <c r="AB118" s="74"/>
      <c r="AC118" s="74"/>
      <c r="AD118" s="97"/>
    </row>
    <row r="119" spans="1:30" ht="12.75" hidden="1">
      <c r="A119" s="68"/>
      <c r="B119" s="92"/>
      <c r="C119" s="238"/>
      <c r="D119" s="98"/>
      <c r="E119" s="131"/>
      <c r="F119" s="210"/>
      <c r="G119" s="151"/>
      <c r="H119" s="115"/>
      <c r="I119" s="47"/>
      <c r="J119" s="41"/>
      <c r="K119" s="82"/>
      <c r="L119" s="47"/>
      <c r="M119" s="66"/>
      <c r="N119" s="47"/>
      <c r="O119" s="204"/>
      <c r="P119" s="153"/>
      <c r="Q119" s="153"/>
      <c r="R119" s="139"/>
      <c r="S119" s="89"/>
      <c r="T119" s="128"/>
      <c r="U119" s="72"/>
      <c r="V119" s="161"/>
      <c r="W119" s="152"/>
      <c r="X119" s="109"/>
      <c r="Y119" s="109"/>
      <c r="Z119" s="110"/>
      <c r="AA119" s="48"/>
      <c r="AB119" s="74"/>
      <c r="AC119" s="74"/>
      <c r="AD119" s="97"/>
    </row>
    <row r="120" spans="1:30" ht="12.75" hidden="1">
      <c r="A120" s="174"/>
      <c r="B120" s="140"/>
      <c r="C120" s="221"/>
      <c r="D120" s="221"/>
      <c r="E120" s="221"/>
      <c r="F120" s="221"/>
      <c r="H120" s="47"/>
      <c r="I120" s="47"/>
      <c r="J120" s="41"/>
      <c r="K120" s="66"/>
      <c r="L120" s="66"/>
      <c r="M120" s="66"/>
      <c r="N120" s="47"/>
      <c r="O120" s="83"/>
      <c r="P120" s="153">
        <v>0.02603</v>
      </c>
      <c r="Q120" s="153">
        <v>0.02604</v>
      </c>
      <c r="R120" s="143">
        <f t="shared" si="13"/>
        <v>0.00019999999999999185</v>
      </c>
      <c r="S120" s="106"/>
      <c r="T120" s="124"/>
      <c r="U120" s="72"/>
      <c r="V120" s="161"/>
      <c r="W120" s="152"/>
      <c r="X120" s="110"/>
      <c r="Y120" s="110"/>
      <c r="Z120" s="110"/>
      <c r="AA120" s="48"/>
      <c r="AB120" s="176"/>
      <c r="AC120" s="176"/>
      <c r="AD120" s="177"/>
    </row>
    <row r="121" spans="1:30" ht="12.75" hidden="1">
      <c r="A121" s="244">
        <v>4</v>
      </c>
      <c r="B121" s="103" t="s">
        <v>199</v>
      </c>
      <c r="C121" s="215"/>
      <c r="D121" s="100">
        <v>2.64153</v>
      </c>
      <c r="E121" s="56">
        <f>(D121-D116)*Y$11</f>
        <v>1.1549999999999994</v>
      </c>
      <c r="F121" s="57"/>
      <c r="G121" s="211"/>
      <c r="H121" s="42"/>
      <c r="I121" s="47">
        <f>0.08*1.23</f>
        <v>0.0984</v>
      </c>
      <c r="J121" s="41"/>
      <c r="K121" s="77"/>
      <c r="L121" s="42">
        <f aca="true" t="shared" si="14" ref="L121:L128">(E121)*K121*1000</f>
        <v>0</v>
      </c>
      <c r="M121" s="78"/>
      <c r="N121" s="42"/>
      <c r="O121" s="83">
        <f>2.54*1.23</f>
        <v>3.1242</v>
      </c>
      <c r="P121" s="153">
        <v>0.24714</v>
      </c>
      <c r="Q121" s="153">
        <v>0.24716</v>
      </c>
      <c r="R121" s="153">
        <f t="shared" si="13"/>
        <v>0.0003999999999998449</v>
      </c>
      <c r="S121" s="106"/>
      <c r="T121" s="124"/>
      <c r="U121" s="71"/>
      <c r="V121" s="145"/>
      <c r="W121" s="43"/>
      <c r="X121" s="43"/>
      <c r="Z121" s="21"/>
      <c r="AA121" s="74"/>
      <c r="AB121" s="74"/>
      <c r="AC121" s="74"/>
      <c r="AD121" s="97"/>
    </row>
    <row r="122" spans="1:30" ht="12.75" hidden="1">
      <c r="A122" s="245"/>
      <c r="B122" s="92">
        <v>229750855836</v>
      </c>
      <c r="C122" s="62" t="s">
        <v>197</v>
      </c>
      <c r="D122" s="98">
        <v>7.22018</v>
      </c>
      <c r="E122" s="55">
        <f>(D122-D117)*Y$11</f>
        <v>2.292000000000005</v>
      </c>
      <c r="F122" s="208">
        <v>3.447</v>
      </c>
      <c r="G122" s="58"/>
      <c r="H122" s="209"/>
      <c r="I122" s="45">
        <f>3.9*1.23</f>
        <v>4.797</v>
      </c>
      <c r="J122" s="45"/>
      <c r="K122" s="58"/>
      <c r="L122" s="64">
        <f t="shared" si="14"/>
        <v>0</v>
      </c>
      <c r="M122" s="63"/>
      <c r="N122" s="64"/>
      <c r="O122" s="192">
        <f>(E121+E122)*1.58*1.23</f>
        <v>6.698899800000009</v>
      </c>
      <c r="P122" s="158">
        <v>1.10506</v>
      </c>
      <c r="Q122" s="158">
        <v>1.14142</v>
      </c>
      <c r="R122" s="231">
        <f t="shared" si="13"/>
        <v>0.7272000000000034</v>
      </c>
      <c r="S122" s="157"/>
      <c r="T122" s="112"/>
      <c r="U122" s="59"/>
      <c r="V122" s="105"/>
      <c r="W122" s="63"/>
      <c r="X122" s="39"/>
      <c r="Y122" s="39"/>
      <c r="Z122" s="40"/>
      <c r="AA122" s="46">
        <v>40</v>
      </c>
      <c r="AB122" s="73"/>
      <c r="AC122" s="73"/>
      <c r="AD122" s="96"/>
    </row>
    <row r="123" spans="1:30" ht="12.75" hidden="1">
      <c r="A123" s="116"/>
      <c r="B123" s="236" t="s">
        <v>210</v>
      </c>
      <c r="C123" s="229"/>
      <c r="D123" s="100"/>
      <c r="E123" s="85"/>
      <c r="F123" s="57"/>
      <c r="G123" s="202"/>
      <c r="H123" s="213"/>
      <c r="I123" s="47"/>
      <c r="J123" s="41"/>
      <c r="K123" s="82"/>
      <c r="L123" s="47"/>
      <c r="M123" s="66"/>
      <c r="N123" s="47"/>
      <c r="O123" s="204"/>
      <c r="P123" s="153"/>
      <c r="Q123" s="153"/>
      <c r="R123" s="139"/>
      <c r="S123" s="89"/>
      <c r="T123" s="128"/>
      <c r="U123" s="72"/>
      <c r="V123" s="161"/>
      <c r="W123" s="152"/>
      <c r="X123" s="109"/>
      <c r="Y123" s="109"/>
      <c r="Z123" s="110"/>
      <c r="AA123" s="48"/>
      <c r="AB123" s="74"/>
      <c r="AC123" s="74"/>
      <c r="AD123" s="97"/>
    </row>
    <row r="124" spans="1:30" ht="12.75" hidden="1">
      <c r="A124" s="68"/>
      <c r="B124" s="92"/>
      <c r="C124" s="238"/>
      <c r="D124" s="98"/>
      <c r="E124" s="131"/>
      <c r="F124" s="210"/>
      <c r="G124" s="151"/>
      <c r="H124" s="115"/>
      <c r="I124" s="47"/>
      <c r="J124" s="41"/>
      <c r="K124" s="82"/>
      <c r="L124" s="47"/>
      <c r="M124" s="66"/>
      <c r="N124" s="47"/>
      <c r="O124" s="204"/>
      <c r="P124" s="153"/>
      <c r="Q124" s="153"/>
      <c r="R124" s="139"/>
      <c r="S124" s="89"/>
      <c r="T124" s="128"/>
      <c r="U124" s="72"/>
      <c r="V124" s="161"/>
      <c r="W124" s="152"/>
      <c r="X124" s="109"/>
      <c r="Y124" s="109"/>
      <c r="Z124" s="110"/>
      <c r="AA124" s="48"/>
      <c r="AB124" s="74"/>
      <c r="AC124" s="74"/>
      <c r="AD124" s="97"/>
    </row>
    <row r="125" spans="1:30" ht="12.75" hidden="1">
      <c r="A125" s="68"/>
      <c r="B125" s="160"/>
      <c r="C125" s="86"/>
      <c r="D125" s="100">
        <v>2.64509</v>
      </c>
      <c r="E125" s="84">
        <f>(D125-D121)*Y$11</f>
        <v>0.07120000000000459</v>
      </c>
      <c r="F125" s="141"/>
      <c r="G125" s="206"/>
      <c r="H125" s="123"/>
      <c r="I125" s="47"/>
      <c r="J125" s="41"/>
      <c r="K125" s="82"/>
      <c r="L125" s="47">
        <f t="shared" si="14"/>
        <v>0</v>
      </c>
      <c r="M125" s="66"/>
      <c r="N125" s="47"/>
      <c r="O125" s="204"/>
      <c r="P125" s="153"/>
      <c r="Q125" s="153"/>
      <c r="R125" s="139"/>
      <c r="S125" s="89"/>
      <c r="T125" s="128"/>
      <c r="U125" s="72"/>
      <c r="V125" s="161"/>
      <c r="W125" s="152"/>
      <c r="X125" s="109"/>
      <c r="Y125" s="109"/>
      <c r="Z125" s="110"/>
      <c r="AA125" s="48"/>
      <c r="AB125" s="74"/>
      <c r="AC125" s="74"/>
      <c r="AD125" s="97"/>
    </row>
    <row r="126" spans="1:30" ht="12.75" hidden="1">
      <c r="A126" s="174"/>
      <c r="B126" s="140"/>
      <c r="C126" s="232" t="s">
        <v>201</v>
      </c>
      <c r="D126" s="232">
        <v>7.23638</v>
      </c>
      <c r="E126" s="232">
        <f>(D126-D122)*Y$11</f>
        <v>0.32399999999999096</v>
      </c>
      <c r="F126" s="221"/>
      <c r="H126" s="47"/>
      <c r="I126" s="47">
        <f>0.08*1.23</f>
        <v>0.0984</v>
      </c>
      <c r="J126" s="69"/>
      <c r="K126" s="66"/>
      <c r="L126" s="47">
        <f t="shared" si="14"/>
        <v>0</v>
      </c>
      <c r="M126" s="87"/>
      <c r="N126" s="72"/>
      <c r="O126" s="95"/>
      <c r="P126" s="153">
        <v>0.02604</v>
      </c>
      <c r="Q126" s="153">
        <v>0.02605</v>
      </c>
      <c r="R126" s="143">
        <f aca="true" t="shared" si="15" ref="R126:R135">(Q126-P126)*20</f>
        <v>0.00019999999999999185</v>
      </c>
      <c r="S126" s="106"/>
      <c r="T126" s="124"/>
      <c r="U126" s="72"/>
      <c r="V126" s="161"/>
      <c r="W126" s="152"/>
      <c r="X126" s="110"/>
      <c r="Y126" s="110"/>
      <c r="Z126" s="110"/>
      <c r="AA126" s="48"/>
      <c r="AB126" s="176"/>
      <c r="AC126" s="176"/>
      <c r="AD126" s="177"/>
    </row>
    <row r="127" spans="1:30" ht="12.75" hidden="1">
      <c r="A127" s="244">
        <v>5</v>
      </c>
      <c r="B127" s="103" t="s">
        <v>202</v>
      </c>
      <c r="C127" s="215"/>
      <c r="D127" s="100">
        <v>2.66292</v>
      </c>
      <c r="E127" s="56">
        <f>(D127-D125)*Y$11</f>
        <v>0.35660000000000025</v>
      </c>
      <c r="F127" s="57"/>
      <c r="G127" s="211"/>
      <c r="H127" s="42"/>
      <c r="I127" s="47">
        <f>3.9*1.23</f>
        <v>4.797</v>
      </c>
      <c r="J127" s="69"/>
      <c r="K127" s="77"/>
      <c r="L127" s="42">
        <f t="shared" si="14"/>
        <v>0</v>
      </c>
      <c r="M127" s="76"/>
      <c r="N127" s="70"/>
      <c r="O127" s="83">
        <f>(0.42*1.23)+(2.21*1.23)</f>
        <v>3.2348999999999997</v>
      </c>
      <c r="P127" s="153">
        <v>0.24716</v>
      </c>
      <c r="Q127" s="153">
        <v>0.24721</v>
      </c>
      <c r="R127" s="153">
        <f t="shared" si="15"/>
        <v>0.001000000000000445</v>
      </c>
      <c r="S127" s="106"/>
      <c r="T127" s="124"/>
      <c r="U127" s="71"/>
      <c r="V127" s="145"/>
      <c r="W127" s="233"/>
      <c r="X127" s="43"/>
      <c r="Z127" s="21"/>
      <c r="AA127" s="74"/>
      <c r="AB127" s="74"/>
      <c r="AC127" s="74"/>
      <c r="AD127" s="97"/>
    </row>
    <row r="128" spans="1:30" ht="12.75" hidden="1">
      <c r="A128" s="245"/>
      <c r="B128" s="92">
        <v>229750913777</v>
      </c>
      <c r="C128" s="62" t="s">
        <v>200</v>
      </c>
      <c r="D128" s="98">
        <v>7.31742</v>
      </c>
      <c r="E128" s="55">
        <f>(D128-D126)*Y$11</f>
        <v>1.6208000000000133</v>
      </c>
      <c r="F128" s="208">
        <v>2.372</v>
      </c>
      <c r="G128" s="58"/>
      <c r="H128" s="209"/>
      <c r="I128" s="45">
        <f>4.19*1.23</f>
        <v>5.153700000000001</v>
      </c>
      <c r="J128" s="105"/>
      <c r="K128" s="58"/>
      <c r="L128" s="64">
        <f t="shared" si="14"/>
        <v>0</v>
      </c>
      <c r="M128" s="136"/>
      <c r="N128" s="137"/>
      <c r="O128" s="192">
        <f>(E125+E126+E127+E128)*1.58*1.23</f>
        <v>4.6109108400000185</v>
      </c>
      <c r="P128" s="158">
        <v>1.14142</v>
      </c>
      <c r="Q128" s="158">
        <v>1.17564</v>
      </c>
      <c r="R128" s="231">
        <f t="shared" si="15"/>
        <v>0.6843999999999983</v>
      </c>
      <c r="S128" s="157"/>
      <c r="T128" s="112"/>
      <c r="U128" s="59"/>
      <c r="V128" s="105"/>
      <c r="W128" s="63"/>
      <c r="X128" s="39"/>
      <c r="Y128" s="39"/>
      <c r="Z128" s="40"/>
      <c r="AA128" s="46">
        <v>40</v>
      </c>
      <c r="AB128" s="73">
        <v>8</v>
      </c>
      <c r="AC128" s="73"/>
      <c r="AD128" s="96"/>
    </row>
    <row r="129" spans="1:30" ht="12.75" hidden="1">
      <c r="A129" s="116"/>
      <c r="B129" s="236" t="s">
        <v>210</v>
      </c>
      <c r="C129" s="229"/>
      <c r="D129" s="100"/>
      <c r="E129" s="85"/>
      <c r="F129" s="57"/>
      <c r="G129" s="202"/>
      <c r="H129" s="213"/>
      <c r="I129" s="47"/>
      <c r="J129" s="130"/>
      <c r="K129" s="82"/>
      <c r="L129" s="47"/>
      <c r="M129" s="87"/>
      <c r="N129" s="72"/>
      <c r="O129" s="204"/>
      <c r="P129" s="153"/>
      <c r="Q129" s="153"/>
      <c r="R129" s="139"/>
      <c r="S129" s="89"/>
      <c r="T129" s="128"/>
      <c r="U129" s="72"/>
      <c r="V129" s="161"/>
      <c r="W129" s="152"/>
      <c r="X129" s="207"/>
      <c r="Y129" s="207"/>
      <c r="Z129" s="110"/>
      <c r="AA129" s="48"/>
      <c r="AB129" s="74"/>
      <c r="AC129" s="74"/>
      <c r="AD129" s="97"/>
    </row>
    <row r="130" spans="1:30" ht="12.75" hidden="1">
      <c r="A130" s="68"/>
      <c r="B130" s="92"/>
      <c r="C130" s="238"/>
      <c r="D130" s="98"/>
      <c r="E130" s="131"/>
      <c r="F130" s="210"/>
      <c r="G130" s="151"/>
      <c r="H130" s="115"/>
      <c r="I130" s="47"/>
      <c r="J130" s="130"/>
      <c r="K130" s="82"/>
      <c r="L130" s="47"/>
      <c r="M130" s="87"/>
      <c r="N130" s="72"/>
      <c r="O130" s="204"/>
      <c r="P130" s="153"/>
      <c r="Q130" s="153"/>
      <c r="R130" s="139"/>
      <c r="S130" s="89"/>
      <c r="T130" s="128"/>
      <c r="U130" s="72"/>
      <c r="V130" s="161"/>
      <c r="W130" s="152"/>
      <c r="X130" s="207"/>
      <c r="Y130" s="207"/>
      <c r="Z130" s="110"/>
      <c r="AA130" s="48"/>
      <c r="AB130" s="74"/>
      <c r="AC130" s="74"/>
      <c r="AD130" s="97"/>
    </row>
    <row r="131" spans="1:30" ht="12.75" hidden="1">
      <c r="A131" s="68"/>
      <c r="B131" s="237" t="s">
        <v>207</v>
      </c>
      <c r="C131" s="216"/>
      <c r="D131" s="100">
        <v>2.66292</v>
      </c>
      <c r="E131" s="56"/>
      <c r="F131" s="57"/>
      <c r="G131" s="211"/>
      <c r="H131" s="42"/>
      <c r="I131" s="47"/>
      <c r="J131" s="69"/>
      <c r="K131" s="77"/>
      <c r="L131" s="42"/>
      <c r="M131" s="76"/>
      <c r="N131" s="70"/>
      <c r="O131" s="83"/>
      <c r="P131" s="153">
        <v>0.24716</v>
      </c>
      <c r="Q131" s="153">
        <v>0.24721</v>
      </c>
      <c r="R131" s="153"/>
      <c r="S131" s="106"/>
      <c r="T131" s="124"/>
      <c r="U131" s="71"/>
      <c r="V131" s="145"/>
      <c r="W131" s="233"/>
      <c r="X131" s="43"/>
      <c r="Z131" s="21"/>
      <c r="AA131" s="74"/>
      <c r="AB131" s="74"/>
      <c r="AC131" s="74"/>
      <c r="AD131" s="97"/>
    </row>
    <row r="132" spans="1:30" ht="12.75" hidden="1">
      <c r="A132" s="68"/>
      <c r="B132" s="149">
        <v>229751047523</v>
      </c>
      <c r="C132" s="62" t="s">
        <v>200</v>
      </c>
      <c r="D132" s="98">
        <v>7.31742</v>
      </c>
      <c r="E132" s="55"/>
      <c r="F132" s="208"/>
      <c r="G132" s="58"/>
      <c r="H132" s="209"/>
      <c r="I132" s="45"/>
      <c r="J132" s="105"/>
      <c r="K132" s="58"/>
      <c r="L132" s="64"/>
      <c r="M132" s="136"/>
      <c r="N132" s="137"/>
      <c r="O132" s="192"/>
      <c r="P132" s="158">
        <v>1.14142</v>
      </c>
      <c r="Q132" s="158">
        <v>1.17564</v>
      </c>
      <c r="R132" s="231"/>
      <c r="S132" s="157"/>
      <c r="T132" s="112"/>
      <c r="U132" s="59"/>
      <c r="V132" s="115"/>
      <c r="W132" s="63"/>
      <c r="X132" s="39"/>
      <c r="Y132" s="39"/>
      <c r="Z132" s="40"/>
      <c r="AA132" s="46"/>
      <c r="AB132" s="73"/>
      <c r="AC132" s="73"/>
      <c r="AD132" s="122"/>
    </row>
    <row r="133" spans="1:30" ht="12.75" hidden="1">
      <c r="A133" s="195"/>
      <c r="B133" s="239"/>
      <c r="C133" s="232"/>
      <c r="D133" s="232"/>
      <c r="E133" s="232"/>
      <c r="F133" s="221"/>
      <c r="H133" s="47"/>
      <c r="I133" s="47"/>
      <c r="J133" s="69"/>
      <c r="K133" s="66"/>
      <c r="L133" s="47"/>
      <c r="M133" s="87"/>
      <c r="N133" s="72"/>
      <c r="O133" s="95"/>
      <c r="P133" s="153">
        <v>0.02605</v>
      </c>
      <c r="Q133" s="153">
        <v>0.02611</v>
      </c>
      <c r="R133" s="143">
        <f t="shared" si="15"/>
        <v>0.0012000000000000205</v>
      </c>
      <c r="S133" s="106"/>
      <c r="T133" s="124"/>
      <c r="U133" s="72"/>
      <c r="V133" s="161"/>
      <c r="W133" s="152"/>
      <c r="X133" s="110"/>
      <c r="Y133" s="110"/>
      <c r="Z133" s="110"/>
      <c r="AA133" s="48"/>
      <c r="AB133" s="176"/>
      <c r="AC133" s="176"/>
      <c r="AD133" s="177"/>
    </row>
    <row r="134" spans="1:30" ht="12.75" hidden="1">
      <c r="A134" s="244">
        <v>6</v>
      </c>
      <c r="B134" s="237" t="s">
        <v>204</v>
      </c>
      <c r="C134" s="215"/>
      <c r="D134" s="100">
        <v>2.68152</v>
      </c>
      <c r="E134" s="56">
        <f>(D134-D127)*Y$11</f>
        <v>0.37199999999999456</v>
      </c>
      <c r="F134" s="57"/>
      <c r="G134" s="211"/>
      <c r="H134" s="42"/>
      <c r="I134" s="47">
        <f>0.08*1.23</f>
        <v>0.0984</v>
      </c>
      <c r="J134" s="69"/>
      <c r="K134" s="77"/>
      <c r="L134" s="42">
        <f>(E134)*K134*1000</f>
        <v>0</v>
      </c>
      <c r="M134" s="76"/>
      <c r="N134" s="70"/>
      <c r="O134" s="83">
        <f>2.65*1.23</f>
        <v>3.2595</v>
      </c>
      <c r="P134" s="153">
        <v>0.24721</v>
      </c>
      <c r="Q134" s="153">
        <v>0.24724</v>
      </c>
      <c r="R134" s="153">
        <f t="shared" si="15"/>
        <v>0.0005999999999994898</v>
      </c>
      <c r="S134" s="106"/>
      <c r="T134" s="124"/>
      <c r="U134" s="71"/>
      <c r="V134" s="145"/>
      <c r="W134" s="43"/>
      <c r="X134" s="43"/>
      <c r="Z134" s="21"/>
      <c r="AA134" s="74"/>
      <c r="AB134" s="74"/>
      <c r="AC134" s="74"/>
      <c r="AD134" s="97"/>
    </row>
    <row r="135" spans="1:30" ht="12.75" hidden="1">
      <c r="A135" s="245"/>
      <c r="B135" s="92">
        <v>229750979955</v>
      </c>
      <c r="C135" s="62" t="s">
        <v>203</v>
      </c>
      <c r="D135" s="98">
        <v>7.40837</v>
      </c>
      <c r="E135" s="55">
        <f>(D135-D128)*Y$11</f>
        <v>1.8189999999999884</v>
      </c>
      <c r="F135" s="208">
        <v>2.191</v>
      </c>
      <c r="G135" s="151"/>
      <c r="H135" s="209"/>
      <c r="I135" s="45">
        <f>4.19*1.23</f>
        <v>5.153700000000001</v>
      </c>
      <c r="J135" s="45"/>
      <c r="K135" s="58"/>
      <c r="L135" s="64">
        <f>(E135)*K135*1000</f>
        <v>0</v>
      </c>
      <c r="M135" s="136"/>
      <c r="N135" s="137"/>
      <c r="O135" s="192">
        <f>(E134+E135)*1.58*1.23</f>
        <v>4.257989399999968</v>
      </c>
      <c r="P135" s="158">
        <v>1.17564</v>
      </c>
      <c r="Q135" s="158">
        <v>1.20965</v>
      </c>
      <c r="R135" s="231">
        <f t="shared" si="15"/>
        <v>0.6801999999999975</v>
      </c>
      <c r="S135" s="157"/>
      <c r="T135" s="112"/>
      <c r="U135" s="59"/>
      <c r="V135" s="105"/>
      <c r="W135" s="63"/>
      <c r="X135" s="39"/>
      <c r="Y135" s="39"/>
      <c r="Z135" s="40"/>
      <c r="AA135" s="46">
        <v>40</v>
      </c>
      <c r="AB135" s="73">
        <v>8</v>
      </c>
      <c r="AC135" s="73"/>
      <c r="AD135" s="96"/>
    </row>
    <row r="136" spans="1:30" ht="12.75" hidden="1">
      <c r="A136" s="68"/>
      <c r="B136" s="237" t="s">
        <v>207</v>
      </c>
      <c r="C136" s="215"/>
      <c r="D136" s="100">
        <v>2.68152</v>
      </c>
      <c r="E136" s="84"/>
      <c r="F136" s="212"/>
      <c r="G136" s="206"/>
      <c r="H136" s="144"/>
      <c r="I136" s="47"/>
      <c r="J136" s="41"/>
      <c r="K136" s="82"/>
      <c r="L136" s="47"/>
      <c r="M136" s="87"/>
      <c r="N136" s="72"/>
      <c r="O136" s="204"/>
      <c r="P136" s="153">
        <v>0.24721</v>
      </c>
      <c r="Q136" s="153">
        <v>0.24724</v>
      </c>
      <c r="R136" s="139"/>
      <c r="S136" s="89"/>
      <c r="T136" s="124"/>
      <c r="U136" s="72"/>
      <c r="V136" s="145"/>
      <c r="W136" s="43"/>
      <c r="X136" s="109"/>
      <c r="Y136" s="109"/>
      <c r="Z136" s="110"/>
      <c r="AA136" s="48"/>
      <c r="AB136" s="74"/>
      <c r="AC136" s="74"/>
      <c r="AD136" s="97"/>
    </row>
    <row r="137" spans="1:30" ht="12.75" hidden="1">
      <c r="A137" s="68"/>
      <c r="B137" s="149">
        <v>249750495905</v>
      </c>
      <c r="C137" s="62" t="s">
        <v>203</v>
      </c>
      <c r="D137" s="98">
        <v>7.40837</v>
      </c>
      <c r="E137" s="80"/>
      <c r="F137" s="210"/>
      <c r="G137" s="240"/>
      <c r="H137" s="209"/>
      <c r="I137" s="45"/>
      <c r="J137" s="150"/>
      <c r="K137" s="58"/>
      <c r="L137" s="45"/>
      <c r="M137" s="136"/>
      <c r="N137" s="59"/>
      <c r="O137" s="192"/>
      <c r="P137" s="158">
        <v>1.17564</v>
      </c>
      <c r="Q137" s="158">
        <v>1.20965</v>
      </c>
      <c r="R137" s="231"/>
      <c r="S137" s="157"/>
      <c r="T137" s="112"/>
      <c r="U137" s="59"/>
      <c r="V137" s="115"/>
      <c r="W137" s="63"/>
      <c r="X137" s="39"/>
      <c r="Y137" s="39"/>
      <c r="Z137" s="40"/>
      <c r="AA137" s="46"/>
      <c r="AB137" s="65"/>
      <c r="AC137" s="73"/>
      <c r="AD137" s="122"/>
    </row>
    <row r="138" spans="1:30" ht="12.75" hidden="1">
      <c r="A138" s="174"/>
      <c r="B138" s="140"/>
      <c r="C138" s="232"/>
      <c r="D138" s="232"/>
      <c r="E138" s="232"/>
      <c r="F138" s="221"/>
      <c r="H138" s="47"/>
      <c r="I138" s="47"/>
      <c r="J138" s="69"/>
      <c r="K138" s="66"/>
      <c r="L138" s="47"/>
      <c r="M138" s="87"/>
      <c r="N138" s="72"/>
      <c r="O138" s="95"/>
      <c r="P138" s="153">
        <v>0.02611</v>
      </c>
      <c r="Q138" s="153">
        <v>0.02616</v>
      </c>
      <c r="R138" s="143">
        <f aca="true" t="shared" si="16" ref="R138:R143">(Q138-P138)*20</f>
        <v>0.0009999999999999593</v>
      </c>
      <c r="S138" s="106"/>
      <c r="T138" s="124"/>
      <c r="U138" s="72"/>
      <c r="V138" s="161"/>
      <c r="W138" s="152"/>
      <c r="X138" s="110"/>
      <c r="Y138" s="110"/>
      <c r="Z138" s="110"/>
      <c r="AA138" s="48"/>
      <c r="AB138" s="176"/>
      <c r="AC138" s="176"/>
      <c r="AD138" s="177"/>
    </row>
    <row r="139" spans="1:30" ht="12.75" hidden="1">
      <c r="A139" s="244">
        <v>7</v>
      </c>
      <c r="B139" s="103" t="s">
        <v>205</v>
      </c>
      <c r="C139" s="216"/>
      <c r="D139" s="100">
        <v>2.70193</v>
      </c>
      <c r="E139" s="56">
        <f>(D139-D134)*Y$11</f>
        <v>0.4082000000000008</v>
      </c>
      <c r="F139" s="57"/>
      <c r="G139" s="211"/>
      <c r="H139" s="42"/>
      <c r="I139" s="47">
        <f>0.08*1.23</f>
        <v>0.0984</v>
      </c>
      <c r="J139" s="69"/>
      <c r="K139" s="77"/>
      <c r="L139" s="42">
        <f>(E139)*K139*1000</f>
        <v>0</v>
      </c>
      <c r="M139" s="76"/>
      <c r="N139" s="70"/>
      <c r="O139" s="83">
        <f>2.65*1.23</f>
        <v>3.2595</v>
      </c>
      <c r="P139" s="153">
        <v>0.24724</v>
      </c>
      <c r="Q139" s="153">
        <v>0.24929</v>
      </c>
      <c r="R139" s="153">
        <f t="shared" si="16"/>
        <v>0.04100000000000048</v>
      </c>
      <c r="S139" s="106"/>
      <c r="T139" s="124"/>
      <c r="U139" s="71"/>
      <c r="V139" s="145"/>
      <c r="W139" s="43"/>
      <c r="X139" s="43"/>
      <c r="Z139" s="21"/>
      <c r="AA139" s="74"/>
      <c r="AB139" s="74"/>
      <c r="AC139" s="74"/>
      <c r="AD139" s="97"/>
    </row>
    <row r="140" spans="1:30" ht="12.75" hidden="1">
      <c r="A140" s="245"/>
      <c r="B140" s="92">
        <v>229751063143</v>
      </c>
      <c r="C140" s="62" t="s">
        <v>206</v>
      </c>
      <c r="D140" s="98">
        <v>7.5331</v>
      </c>
      <c r="E140" s="55">
        <f>(D140-D135)*Y$11</f>
        <v>2.494600000000009</v>
      </c>
      <c r="F140" s="208">
        <v>2.903</v>
      </c>
      <c r="G140" s="58"/>
      <c r="H140" s="209"/>
      <c r="I140" s="45">
        <f>4.19*1.23</f>
        <v>5.153700000000001</v>
      </c>
      <c r="J140" s="45"/>
      <c r="K140" s="58"/>
      <c r="L140" s="64">
        <f>(E140)*K140*1000</f>
        <v>0</v>
      </c>
      <c r="M140" s="136"/>
      <c r="N140" s="137"/>
      <c r="O140" s="192">
        <f>(E139+E140)*1.58*1.23</f>
        <v>5.641301520000019</v>
      </c>
      <c r="P140" s="158">
        <v>1.20965</v>
      </c>
      <c r="Q140" s="158">
        <v>1.22938</v>
      </c>
      <c r="R140" s="231">
        <f t="shared" si="16"/>
        <v>0.3946000000000005</v>
      </c>
      <c r="S140" s="157"/>
      <c r="T140" s="112"/>
      <c r="U140" s="59"/>
      <c r="V140" s="105"/>
      <c r="W140" s="63"/>
      <c r="X140" s="39"/>
      <c r="Y140" s="39"/>
      <c r="Z140" s="40"/>
      <c r="AA140" s="46">
        <v>40</v>
      </c>
      <c r="AB140" s="73">
        <v>10</v>
      </c>
      <c r="AC140" s="73"/>
      <c r="AD140" s="96"/>
    </row>
    <row r="141" spans="1:30" ht="12.75" hidden="1">
      <c r="A141" s="174"/>
      <c r="B141" s="140"/>
      <c r="C141" s="232"/>
      <c r="D141" s="232"/>
      <c r="E141" s="232"/>
      <c r="F141" s="221"/>
      <c r="H141" s="47"/>
      <c r="I141" s="47"/>
      <c r="J141" s="69"/>
      <c r="K141" s="66"/>
      <c r="L141" s="47"/>
      <c r="M141" s="87"/>
      <c r="N141" s="72"/>
      <c r="O141" s="95"/>
      <c r="P141" s="153">
        <v>0.02616</v>
      </c>
      <c r="Q141" s="153">
        <v>0.02627</v>
      </c>
      <c r="R141" s="143">
        <f t="shared" si="16"/>
        <v>0.002200000000000049</v>
      </c>
      <c r="S141" s="106"/>
      <c r="T141" s="124"/>
      <c r="U141" s="72"/>
      <c r="V141" s="72"/>
      <c r="W141" s="152"/>
      <c r="X141" s="110"/>
      <c r="Y141" s="110"/>
      <c r="Z141" s="110"/>
      <c r="AA141" s="48"/>
      <c r="AB141" s="176"/>
      <c r="AC141" s="176"/>
      <c r="AD141" s="177"/>
    </row>
    <row r="142" spans="1:30" ht="12.75" hidden="1">
      <c r="A142" s="244">
        <v>8</v>
      </c>
      <c r="B142" s="103" t="s">
        <v>212</v>
      </c>
      <c r="C142" s="216"/>
      <c r="D142" s="100">
        <v>2.71527</v>
      </c>
      <c r="E142" s="56">
        <f>(D142-D139)*Y$11</f>
        <v>0.26679999999999815</v>
      </c>
      <c r="F142" s="57"/>
      <c r="G142" s="211"/>
      <c r="H142" s="42"/>
      <c r="I142" s="47">
        <f>0.08*1.23</f>
        <v>0.0984</v>
      </c>
      <c r="J142" s="69"/>
      <c r="K142" s="77"/>
      <c r="L142" s="42">
        <f>(E142)*K142*1000</f>
        <v>0</v>
      </c>
      <c r="M142" s="76"/>
      <c r="N142" s="70"/>
      <c r="O142" s="83">
        <f>2.65*1.23</f>
        <v>3.2595</v>
      </c>
      <c r="P142" s="153">
        <v>0.24929</v>
      </c>
      <c r="Q142" s="153">
        <v>0.24988</v>
      </c>
      <c r="R142" s="153">
        <f t="shared" si="16"/>
        <v>0.011799999999999589</v>
      </c>
      <c r="S142" s="106"/>
      <c r="T142" s="124"/>
      <c r="U142" s="71"/>
      <c r="V142" s="145"/>
      <c r="W142" s="43"/>
      <c r="X142" s="43"/>
      <c r="Z142" s="21"/>
      <c r="AA142" s="74"/>
      <c r="AB142" s="74"/>
      <c r="AC142" s="74"/>
      <c r="AD142" s="97"/>
    </row>
    <row r="143" spans="1:30" ht="12.75" hidden="1">
      <c r="A143" s="245"/>
      <c r="B143" s="92">
        <v>229751111696</v>
      </c>
      <c r="C143" s="62" t="s">
        <v>211</v>
      </c>
      <c r="D143" s="98">
        <v>7.61682</v>
      </c>
      <c r="E143" s="55">
        <f>(D143-D140)*Y$11</f>
        <v>1.6743999999999915</v>
      </c>
      <c r="F143" s="208">
        <v>1.941</v>
      </c>
      <c r="G143" s="58"/>
      <c r="H143" s="209"/>
      <c r="I143" s="45">
        <f>4.19*1.23</f>
        <v>5.153700000000001</v>
      </c>
      <c r="J143" s="45"/>
      <c r="K143" s="58"/>
      <c r="L143" s="64">
        <f>(E143)*K143*1000</f>
        <v>0</v>
      </c>
      <c r="M143" s="136"/>
      <c r="N143" s="137"/>
      <c r="O143" s="192">
        <f>(E142+E143)*1.58*1.23</f>
        <v>3.77252807999998</v>
      </c>
      <c r="P143" s="158">
        <v>1.22938</v>
      </c>
      <c r="Q143" s="158">
        <v>1.25619</v>
      </c>
      <c r="R143" s="231">
        <f t="shared" si="16"/>
        <v>0.5362</v>
      </c>
      <c r="S143" s="157"/>
      <c r="T143" s="112"/>
      <c r="U143" s="59"/>
      <c r="V143" s="105"/>
      <c r="W143" s="63"/>
      <c r="X143" s="39"/>
      <c r="Y143" s="39"/>
      <c r="Z143" s="40"/>
      <c r="AA143" s="46">
        <v>40</v>
      </c>
      <c r="AB143" s="73">
        <v>8</v>
      </c>
      <c r="AC143" s="73"/>
      <c r="AD143" s="96"/>
    </row>
    <row r="144" spans="1:30" ht="12.75" hidden="1">
      <c r="A144" s="174"/>
      <c r="B144" s="140"/>
      <c r="C144" s="221"/>
      <c r="D144" s="232"/>
      <c r="E144" s="232"/>
      <c r="F144" s="221"/>
      <c r="H144" s="47"/>
      <c r="I144" s="47"/>
      <c r="J144" s="69"/>
      <c r="K144" s="66"/>
      <c r="L144" s="47"/>
      <c r="M144" s="87"/>
      <c r="N144" s="72"/>
      <c r="O144" s="95"/>
      <c r="P144" s="153">
        <v>0.02627</v>
      </c>
      <c r="Q144" s="153">
        <v>0.0263</v>
      </c>
      <c r="R144" s="143">
        <f aca="true" t="shared" si="17" ref="R144:R149">(Q144-P144)*20</f>
        <v>0.0005999999999999756</v>
      </c>
      <c r="S144" s="106"/>
      <c r="T144" s="124"/>
      <c r="U144" s="72"/>
      <c r="V144" s="161"/>
      <c r="W144" s="152"/>
      <c r="X144" s="110"/>
      <c r="Y144" s="110"/>
      <c r="Z144" s="110"/>
      <c r="AA144" s="48"/>
      <c r="AB144" s="176"/>
      <c r="AC144" s="176"/>
      <c r="AD144" s="177"/>
    </row>
    <row r="145" spans="1:30" ht="12.75" hidden="1">
      <c r="A145" s="244">
        <v>9</v>
      </c>
      <c r="B145" s="103" t="s">
        <v>213</v>
      </c>
      <c r="C145" s="216"/>
      <c r="D145" s="100">
        <v>2.73351</v>
      </c>
      <c r="E145" s="56">
        <f>(D145-D142)*Y$11</f>
        <v>0.3648000000000007</v>
      </c>
      <c r="F145" s="57"/>
      <c r="G145" s="211"/>
      <c r="H145" s="42"/>
      <c r="I145" s="47">
        <f>0.08*1.23</f>
        <v>0.0984</v>
      </c>
      <c r="J145" s="69"/>
      <c r="K145" s="77"/>
      <c r="L145" s="42">
        <f>(E145)*K145*1000</f>
        <v>0</v>
      </c>
      <c r="M145" s="76"/>
      <c r="N145" s="70"/>
      <c r="O145" s="83">
        <f>2.65*1.23</f>
        <v>3.2595</v>
      </c>
      <c r="P145" s="153">
        <v>0.24988</v>
      </c>
      <c r="Q145" s="153">
        <v>0.25105</v>
      </c>
      <c r="R145" s="153">
        <f t="shared" si="17"/>
        <v>0.023400000000000087</v>
      </c>
      <c r="S145" s="106"/>
      <c r="T145" s="124"/>
      <c r="U145" s="71"/>
      <c r="V145" s="145"/>
      <c r="W145" s="43"/>
      <c r="X145" s="43"/>
      <c r="Z145" s="21"/>
      <c r="AA145" s="74"/>
      <c r="AB145" s="74"/>
      <c r="AC145" s="74"/>
      <c r="AD145" s="97"/>
    </row>
    <row r="146" spans="1:30" ht="12.75" hidden="1">
      <c r="A146" s="245"/>
      <c r="B146" s="92">
        <v>229751168640</v>
      </c>
      <c r="C146" s="62" t="s">
        <v>214</v>
      </c>
      <c r="D146" s="98">
        <v>7.72134</v>
      </c>
      <c r="E146" s="55">
        <f>(D146-D143)*Y$11</f>
        <v>2.090399999999999</v>
      </c>
      <c r="F146" s="126">
        <v>2.456</v>
      </c>
      <c r="G146" s="58"/>
      <c r="H146" s="209"/>
      <c r="I146" s="45">
        <f>4.19*1.23</f>
        <v>5.153700000000001</v>
      </c>
      <c r="J146" s="45"/>
      <c r="K146" s="58"/>
      <c r="L146" s="64">
        <f>(E146)*K146*1000</f>
        <v>0</v>
      </c>
      <c r="M146" s="136"/>
      <c r="N146" s="137"/>
      <c r="O146" s="192">
        <f>(E145+E146)*1.58*1.23</f>
        <v>4.77143568</v>
      </c>
      <c r="P146" s="158">
        <v>1.25619</v>
      </c>
      <c r="Q146" s="158">
        <v>1.27982</v>
      </c>
      <c r="R146" s="231">
        <f t="shared" si="17"/>
        <v>0.4726000000000008</v>
      </c>
      <c r="S146" s="157"/>
      <c r="T146" s="112"/>
      <c r="U146" s="59"/>
      <c r="V146" s="105"/>
      <c r="W146" s="63"/>
      <c r="X146" s="39"/>
      <c r="Y146" s="39"/>
      <c r="Z146" s="40"/>
      <c r="AA146" s="46">
        <v>40</v>
      </c>
      <c r="AB146" s="73">
        <v>10</v>
      </c>
      <c r="AC146" s="73"/>
      <c r="AD146" s="96"/>
    </row>
    <row r="147" spans="1:30" ht="12.75" hidden="1">
      <c r="A147" s="174"/>
      <c r="B147" s="140"/>
      <c r="C147" s="221"/>
      <c r="D147" s="232"/>
      <c r="E147" s="232"/>
      <c r="F147" s="221"/>
      <c r="H147" s="47"/>
      <c r="I147" s="47"/>
      <c r="J147" s="69"/>
      <c r="K147" s="66"/>
      <c r="L147" s="47"/>
      <c r="M147" s="87"/>
      <c r="N147" s="72"/>
      <c r="O147" s="95"/>
      <c r="P147" s="153">
        <v>0.0263</v>
      </c>
      <c r="Q147" s="153">
        <v>0.02631</v>
      </c>
      <c r="R147" s="143">
        <f t="shared" si="17"/>
        <v>0.00019999999999999185</v>
      </c>
      <c r="S147" s="106"/>
      <c r="T147" s="124"/>
      <c r="U147" s="72"/>
      <c r="V147" s="161"/>
      <c r="W147" s="152"/>
      <c r="X147" s="110"/>
      <c r="Y147" s="110"/>
      <c r="Z147" s="110"/>
      <c r="AA147" s="48"/>
      <c r="AB147" s="176"/>
      <c r="AC147" s="176"/>
      <c r="AD147" s="177"/>
    </row>
    <row r="148" spans="1:30" ht="12.75" hidden="1">
      <c r="A148" s="244">
        <v>10</v>
      </c>
      <c r="B148" s="103" t="s">
        <v>217</v>
      </c>
      <c r="C148" s="216"/>
      <c r="D148" s="100">
        <v>2.75554</v>
      </c>
      <c r="E148" s="56">
        <f>(D148-D145)*Y$11</f>
        <v>0.4405999999999999</v>
      </c>
      <c r="F148" s="57"/>
      <c r="G148" s="211"/>
      <c r="H148" s="42"/>
      <c r="I148" s="47">
        <f>0.08*1.23</f>
        <v>0.0984</v>
      </c>
      <c r="J148" s="69"/>
      <c r="K148" s="77"/>
      <c r="L148" s="42">
        <f>(E148)*K148*1000</f>
        <v>0</v>
      </c>
      <c r="M148" s="76"/>
      <c r="N148" s="70"/>
      <c r="O148" s="83">
        <f>2.65*1.23</f>
        <v>3.2595</v>
      </c>
      <c r="P148" s="153">
        <v>0.25105</v>
      </c>
      <c r="Q148" s="153">
        <v>0.25127</v>
      </c>
      <c r="R148" s="153">
        <f t="shared" si="17"/>
        <v>0.0043999999999999595</v>
      </c>
      <c r="S148" s="106"/>
      <c r="T148" s="124"/>
      <c r="U148" s="71"/>
      <c r="V148" s="145"/>
      <c r="W148" s="43"/>
      <c r="X148" s="43"/>
      <c r="Z148" s="21"/>
      <c r="AA148" s="74"/>
      <c r="AB148" s="74"/>
      <c r="AC148" s="74"/>
      <c r="AD148" s="97"/>
    </row>
    <row r="149" spans="1:30" ht="12.75" hidden="1">
      <c r="A149" s="245"/>
      <c r="B149" s="92">
        <v>229751231023</v>
      </c>
      <c r="C149" s="62" t="s">
        <v>215</v>
      </c>
      <c r="D149" s="98">
        <v>7.8236</v>
      </c>
      <c r="E149" s="55">
        <f>(D149-D146)*Y$11</f>
        <v>2.045200000000005</v>
      </c>
      <c r="F149" s="208">
        <v>2.486</v>
      </c>
      <c r="G149" s="58"/>
      <c r="H149" s="209"/>
      <c r="I149" s="45">
        <f>4.19*1.23</f>
        <v>5.153700000000001</v>
      </c>
      <c r="J149" s="45"/>
      <c r="K149" s="58"/>
      <c r="L149" s="64">
        <f>(E149)*K149*1000</f>
        <v>0</v>
      </c>
      <c r="M149" s="136"/>
      <c r="N149" s="137"/>
      <c r="O149" s="192">
        <f>(E148+E149)*1.58*1.23</f>
        <v>4.830903720000009</v>
      </c>
      <c r="P149" s="158">
        <v>1.27982</v>
      </c>
      <c r="Q149" s="158">
        <v>1.30976</v>
      </c>
      <c r="R149" s="231">
        <f t="shared" si="17"/>
        <v>0.5988000000000016</v>
      </c>
      <c r="S149" s="157"/>
      <c r="T149" s="112"/>
      <c r="U149" s="59"/>
      <c r="V149" s="105"/>
      <c r="W149" s="63"/>
      <c r="X149" s="39"/>
      <c r="Y149" s="39"/>
      <c r="Z149" s="40"/>
      <c r="AA149" s="46">
        <v>40</v>
      </c>
      <c r="AB149" s="73">
        <v>10</v>
      </c>
      <c r="AC149" s="73"/>
      <c r="AD149" s="96"/>
    </row>
    <row r="150" spans="1:30" ht="12.75" hidden="1">
      <c r="A150" s="174"/>
      <c r="B150" s="140"/>
      <c r="C150" s="221"/>
      <c r="D150" s="232"/>
      <c r="E150" s="232"/>
      <c r="F150" s="221"/>
      <c r="H150" s="47"/>
      <c r="I150" s="47"/>
      <c r="J150" s="69"/>
      <c r="K150" s="66"/>
      <c r="L150" s="47"/>
      <c r="M150" s="87"/>
      <c r="N150" s="72"/>
      <c r="O150" s="95"/>
      <c r="P150" s="153">
        <v>0.02631</v>
      </c>
      <c r="Q150" s="153">
        <v>0.02632</v>
      </c>
      <c r="R150" s="143">
        <f aca="true" t="shared" si="18" ref="R150:R155">(Q150-P150)*20</f>
        <v>0.00019999999999999185</v>
      </c>
      <c r="S150" s="106"/>
      <c r="T150" s="124"/>
      <c r="U150" s="72"/>
      <c r="V150" s="161"/>
      <c r="W150" s="152"/>
      <c r="X150" s="110"/>
      <c r="Y150" s="110"/>
      <c r="Z150" s="110"/>
      <c r="AA150" s="48"/>
      <c r="AB150" s="176"/>
      <c r="AC150" s="176"/>
      <c r="AD150" s="177"/>
    </row>
    <row r="151" spans="1:30" ht="12.75" hidden="1">
      <c r="A151" s="244">
        <v>11</v>
      </c>
      <c r="B151" s="103" t="s">
        <v>219</v>
      </c>
      <c r="C151" s="216"/>
      <c r="D151" s="100">
        <v>2.80436</v>
      </c>
      <c r="E151" s="56">
        <f>(D151-D148)*Y$11</f>
        <v>0.9764000000000017</v>
      </c>
      <c r="F151" s="57"/>
      <c r="G151" s="211"/>
      <c r="H151" s="42"/>
      <c r="I151" s="47">
        <f>0.08*1.23</f>
        <v>0.0984</v>
      </c>
      <c r="J151" s="69"/>
      <c r="K151" s="77"/>
      <c r="L151" s="42">
        <f>(E151)*K151*1000</f>
        <v>0</v>
      </c>
      <c r="M151" s="76"/>
      <c r="N151" s="70"/>
      <c r="O151" s="83">
        <f>2.65*1.23</f>
        <v>3.2595</v>
      </c>
      <c r="P151" s="153">
        <v>0.25127</v>
      </c>
      <c r="Q151" s="153">
        <v>0.25129</v>
      </c>
      <c r="R151" s="153">
        <f t="shared" si="18"/>
        <v>0.00040000000000040004</v>
      </c>
      <c r="S151" s="106"/>
      <c r="T151" s="124"/>
      <c r="U151" s="71"/>
      <c r="V151" s="145"/>
      <c r="W151" s="43"/>
      <c r="X151" s="43"/>
      <c r="Z151" s="21"/>
      <c r="AA151" s="74"/>
      <c r="AB151" s="74"/>
      <c r="AC151" s="74"/>
      <c r="AD151" s="97"/>
    </row>
    <row r="152" spans="1:30" ht="12.75" hidden="1">
      <c r="A152" s="245"/>
      <c r="B152" s="92">
        <v>229751290955</v>
      </c>
      <c r="C152" s="62" t="s">
        <v>218</v>
      </c>
      <c r="D152" s="98">
        <v>7.92442</v>
      </c>
      <c r="E152" s="55">
        <f>(D152-D149)*Y$11</f>
        <v>2.0163999999999938</v>
      </c>
      <c r="F152" s="208">
        <v>2.993</v>
      </c>
      <c r="G152" s="58"/>
      <c r="H152" s="209"/>
      <c r="I152" s="45">
        <f>4.19*1.23</f>
        <v>5.153700000000001</v>
      </c>
      <c r="J152" s="45"/>
      <c r="K152" s="58"/>
      <c r="L152" s="64">
        <f>(E152)*K152*1000</f>
        <v>0</v>
      </c>
      <c r="M152" s="136"/>
      <c r="N152" s="137"/>
      <c r="O152" s="192">
        <f>(E151+E152)*1.58*1.23</f>
        <v>5.816207519999991</v>
      </c>
      <c r="P152" s="158">
        <v>1.30976</v>
      </c>
      <c r="Q152" s="158">
        <v>1.34589</v>
      </c>
      <c r="R152" s="231">
        <f t="shared" si="18"/>
        <v>0.7225999999999999</v>
      </c>
      <c r="S152" s="157"/>
      <c r="T152" s="112"/>
      <c r="U152" s="59"/>
      <c r="V152" s="105"/>
      <c r="W152" s="63"/>
      <c r="X152" s="39"/>
      <c r="Y152" s="39"/>
      <c r="Z152" s="40"/>
      <c r="AA152" s="46">
        <v>40</v>
      </c>
      <c r="AB152" s="73">
        <v>10</v>
      </c>
      <c r="AC152" s="73"/>
      <c r="AD152" s="96"/>
    </row>
    <row r="153" spans="1:30" ht="12.75" hidden="1">
      <c r="A153" s="68"/>
      <c r="B153" s="140"/>
      <c r="C153" s="221"/>
      <c r="D153" s="232"/>
      <c r="E153" s="232"/>
      <c r="F153" s="221"/>
      <c r="H153" s="47"/>
      <c r="I153" s="47"/>
      <c r="J153" s="69"/>
      <c r="K153" s="66"/>
      <c r="L153" s="47"/>
      <c r="M153" s="87"/>
      <c r="N153" s="72"/>
      <c r="O153" s="95"/>
      <c r="P153" s="153">
        <v>0.02632</v>
      </c>
      <c r="Q153" s="153">
        <v>0.02632</v>
      </c>
      <c r="R153" s="143">
        <f t="shared" si="18"/>
        <v>0</v>
      </c>
      <c r="S153" s="106"/>
      <c r="T153" s="124"/>
      <c r="U153" s="72"/>
      <c r="V153" s="161"/>
      <c r="W153" s="152"/>
      <c r="X153" s="109"/>
      <c r="Y153" s="109"/>
      <c r="Z153" s="110"/>
      <c r="AA153" s="48"/>
      <c r="AB153" s="74"/>
      <c r="AC153" s="74"/>
      <c r="AD153" s="97"/>
    </row>
    <row r="154" spans="1:30" ht="12.75" hidden="1">
      <c r="A154" s="244">
        <v>12</v>
      </c>
      <c r="B154" s="103" t="s">
        <v>220</v>
      </c>
      <c r="C154" s="216"/>
      <c r="D154" s="100">
        <v>2.86759</v>
      </c>
      <c r="E154" s="56">
        <f>(D154-D151)*Y$11</f>
        <v>1.264599999999998</v>
      </c>
      <c r="F154" s="57"/>
      <c r="G154" s="211"/>
      <c r="H154" s="42"/>
      <c r="I154" s="47">
        <f>0.08*1.23</f>
        <v>0.0984</v>
      </c>
      <c r="J154" s="69"/>
      <c r="K154" s="77"/>
      <c r="L154" s="42">
        <f>(E154)*K154*1000</f>
        <v>0</v>
      </c>
      <c r="M154" s="76"/>
      <c r="N154" s="70"/>
      <c r="O154" s="83">
        <f>2.65*1.23</f>
        <v>3.2595</v>
      </c>
      <c r="P154" s="153">
        <v>0.25129</v>
      </c>
      <c r="Q154" s="153">
        <v>0.25134</v>
      </c>
      <c r="R154" s="153">
        <f t="shared" si="18"/>
        <v>0.0009999999999998899</v>
      </c>
      <c r="S154" s="106"/>
      <c r="T154" s="124"/>
      <c r="U154" s="71"/>
      <c r="V154" s="145"/>
      <c r="W154" s="43"/>
      <c r="X154" s="33"/>
      <c r="Y154" s="33"/>
      <c r="Z154" s="33"/>
      <c r="AA154" s="74"/>
      <c r="AB154" s="74"/>
      <c r="AC154" s="74"/>
      <c r="AD154" s="97"/>
    </row>
    <row r="155" spans="1:30" ht="13.5" hidden="1" thickBot="1">
      <c r="A155" s="245"/>
      <c r="B155" s="92">
        <v>222012917597</v>
      </c>
      <c r="C155" s="62" t="s">
        <v>221</v>
      </c>
      <c r="D155" s="98">
        <v>8.05889</v>
      </c>
      <c r="E155" s="55">
        <f>(D155-D152)*Y$11</f>
        <v>2.6894000000000062</v>
      </c>
      <c r="F155" s="208"/>
      <c r="G155" s="58"/>
      <c r="H155" s="209"/>
      <c r="I155" s="45">
        <f>4.19*1.23</f>
        <v>5.153700000000001</v>
      </c>
      <c r="J155" s="45"/>
      <c r="K155" s="58"/>
      <c r="L155" s="64">
        <f>(E155)*K155*1000</f>
        <v>0</v>
      </c>
      <c r="M155" s="136"/>
      <c r="N155" s="137"/>
      <c r="O155" s="192">
        <f>(E154+E155)*1.58*1.23</f>
        <v>7.684203600000009</v>
      </c>
      <c r="P155" s="158">
        <v>1.34589</v>
      </c>
      <c r="Q155" s="158">
        <v>1.38265</v>
      </c>
      <c r="R155" s="231">
        <f t="shared" si="18"/>
        <v>0.7351999999999981</v>
      </c>
      <c r="S155" s="157"/>
      <c r="T155" s="194"/>
      <c r="U155" s="132"/>
      <c r="V155" s="105"/>
      <c r="W155" s="63"/>
      <c r="X155" s="39"/>
      <c r="Y155" s="39"/>
      <c r="Z155" s="40"/>
      <c r="AA155" s="46">
        <v>40</v>
      </c>
      <c r="AB155" s="155">
        <v>11</v>
      </c>
      <c r="AC155" s="73"/>
      <c r="AD155" s="96"/>
    </row>
    <row r="156" spans="1:30" ht="12.75">
      <c r="A156" s="246" t="s">
        <v>190</v>
      </c>
      <c r="B156" s="247"/>
      <c r="C156" s="247"/>
      <c r="D156" s="248"/>
      <c r="E156" s="49" t="s">
        <v>102</v>
      </c>
      <c r="F156" s="219" t="s">
        <v>99</v>
      </c>
      <c r="G156" s="189"/>
      <c r="H156" s="190"/>
      <c r="I156" s="13"/>
      <c r="J156" s="13"/>
      <c r="K156" s="49"/>
      <c r="L156" s="49"/>
      <c r="M156" s="49"/>
      <c r="N156" s="49"/>
      <c r="O156" s="129">
        <f>O105+O112+O117+O122+O135+O128+O140+O143+O146+O149+O152+O155</f>
        <v>57.13090716</v>
      </c>
      <c r="P156" s="38"/>
      <c r="Q156" s="172">
        <f>R156/E157</f>
        <v>0.1939789950448251</v>
      </c>
      <c r="R156" s="185">
        <f>SUM(R104:R155)</f>
        <v>7.4692</v>
      </c>
      <c r="S156" s="125"/>
      <c r="T156" s="183"/>
      <c r="U156" s="181"/>
      <c r="V156" s="225"/>
      <c r="W156" s="226"/>
      <c r="X156" s="227" t="s">
        <v>102</v>
      </c>
      <c r="Y156" s="50"/>
      <c r="Z156" s="51"/>
      <c r="AA156" s="51"/>
      <c r="AB156" s="184">
        <f>AB157/AA157</f>
        <v>0.359375</v>
      </c>
      <c r="AC156" s="51"/>
      <c r="AD156" s="120"/>
    </row>
    <row r="157" spans="1:30" ht="13.5" thickBot="1">
      <c r="A157" s="249"/>
      <c r="B157" s="250"/>
      <c r="C157" s="250"/>
      <c r="D157" s="251"/>
      <c r="E157" s="60">
        <f>SUM(E104:E155)</f>
        <v>38.5052</v>
      </c>
      <c r="F157" s="220">
        <f>SUM(F104:F155)</f>
        <v>37.906</v>
      </c>
      <c r="G157" s="52"/>
      <c r="H157" s="222"/>
      <c r="I157" s="90"/>
      <c r="J157" s="90"/>
      <c r="K157" s="90"/>
      <c r="L157" s="90">
        <f>SUM(L104:L155)</f>
        <v>0</v>
      </c>
      <c r="M157" s="90"/>
      <c r="N157" s="90">
        <f>SUM(N104:N155)</f>
        <v>0</v>
      </c>
      <c r="O157" s="90">
        <f>SUM(O104:O155)</f>
        <v>95.67910716</v>
      </c>
      <c r="P157" s="90"/>
      <c r="Q157" s="90"/>
      <c r="R157" s="156"/>
      <c r="S157" s="90"/>
      <c r="T157" s="119"/>
      <c r="U157" s="90"/>
      <c r="V157" s="90"/>
      <c r="W157" s="52"/>
      <c r="X157" s="90">
        <f>SUM(X104:X155)</f>
        <v>0</v>
      </c>
      <c r="Y157" s="90">
        <f>SUM(Y104:Y155)</f>
        <v>0</v>
      </c>
      <c r="Z157" s="53">
        <f>Z105</f>
        <v>0</v>
      </c>
      <c r="AA157" s="53">
        <f>AA108</f>
        <v>40</v>
      </c>
      <c r="AB157" s="53">
        <f>SUM(AB108:AB155)/8</f>
        <v>14.375</v>
      </c>
      <c r="AC157" s="53"/>
      <c r="AD157" s="54"/>
    </row>
    <row r="158" spans="1:10" ht="12.75">
      <c r="A158" t="s">
        <v>101</v>
      </c>
      <c r="F158" s="114">
        <f>F157-E157</f>
        <v>-0.5992000000000033</v>
      </c>
      <c r="G158" s="113"/>
      <c r="I158" s="234">
        <f>J135-J122</f>
        <v>0</v>
      </c>
      <c r="J158" s="235"/>
    </row>
    <row r="159" spans="1:30" ht="12.75">
      <c r="A159" s="174"/>
      <c r="B159" s="140"/>
      <c r="C159" s="221"/>
      <c r="D159" s="232"/>
      <c r="E159" s="232"/>
      <c r="F159" s="221"/>
      <c r="H159" s="47"/>
      <c r="I159" s="47"/>
      <c r="J159" s="69"/>
      <c r="K159" s="66"/>
      <c r="L159" s="47"/>
      <c r="M159" s="87"/>
      <c r="N159" s="72"/>
      <c r="O159" s="95"/>
      <c r="P159" s="153">
        <v>0.02632</v>
      </c>
      <c r="Q159" s="153">
        <v>0.02633</v>
      </c>
      <c r="R159" s="143">
        <f aca="true" t="shared" si="19" ref="R159:R164">(Q159-P159)*20</f>
        <v>0.00019999999999999185</v>
      </c>
      <c r="S159" s="106"/>
      <c r="T159" s="124"/>
      <c r="U159" s="47"/>
      <c r="V159" s="161"/>
      <c r="W159" s="152"/>
      <c r="X159" s="110"/>
      <c r="Y159" s="110"/>
      <c r="Z159" s="110"/>
      <c r="AA159" s="48"/>
      <c r="AB159" s="176"/>
      <c r="AC159" s="176"/>
      <c r="AD159" s="177"/>
    </row>
    <row r="160" spans="1:30" ht="12.75">
      <c r="A160" s="244">
        <v>1</v>
      </c>
      <c r="B160" s="103" t="s">
        <v>224</v>
      </c>
      <c r="C160" s="215" t="s">
        <v>221</v>
      </c>
      <c r="D160" s="100">
        <v>2.94062</v>
      </c>
      <c r="E160" s="56">
        <f>(D160-D154)*Y$11</f>
        <v>1.460600000000003</v>
      </c>
      <c r="F160" s="210">
        <v>3.954</v>
      </c>
      <c r="G160" s="58"/>
      <c r="H160" s="209"/>
      <c r="I160" s="47">
        <f>0.08*1.23</f>
        <v>0.0984</v>
      </c>
      <c r="J160" s="69"/>
      <c r="K160" s="77"/>
      <c r="L160" s="42">
        <f>(E160)*K160*1000</f>
        <v>0</v>
      </c>
      <c r="M160" s="76"/>
      <c r="N160" s="70"/>
      <c r="O160" s="83">
        <f>2.65*1.23</f>
        <v>3.2595</v>
      </c>
      <c r="P160" s="153">
        <v>0.25134</v>
      </c>
      <c r="Q160" s="153">
        <v>0.25141</v>
      </c>
      <c r="R160" s="153">
        <f t="shared" si="19"/>
        <v>0.00140000000000029</v>
      </c>
      <c r="S160" s="106"/>
      <c r="T160" s="124"/>
      <c r="U160" s="24"/>
      <c r="V160" s="145"/>
      <c r="W160" s="43"/>
      <c r="X160" s="43"/>
      <c r="Z160" s="21"/>
      <c r="AA160" s="74"/>
      <c r="AB160" s="74"/>
      <c r="AC160" s="74"/>
      <c r="AD160" s="97"/>
    </row>
    <row r="161" spans="1:30" ht="12.75">
      <c r="A161" s="245"/>
      <c r="B161" s="92">
        <v>229751475691</v>
      </c>
      <c r="C161" s="62" t="s">
        <v>223</v>
      </c>
      <c r="D161" s="98">
        <v>8.21244</v>
      </c>
      <c r="E161" s="55">
        <f>(D161-D155)*Y$11</f>
        <v>3.0710000000000193</v>
      </c>
      <c r="F161" s="208">
        <v>4.532</v>
      </c>
      <c r="G161" s="58"/>
      <c r="H161" s="209"/>
      <c r="I161" s="45">
        <f>4.19*1.23</f>
        <v>5.153700000000001</v>
      </c>
      <c r="J161" s="45"/>
      <c r="K161" s="58"/>
      <c r="L161" s="64">
        <f>(E161)*K161*1000</f>
        <v>0</v>
      </c>
      <c r="M161" s="136"/>
      <c r="N161" s="137"/>
      <c r="O161" s="192">
        <f>(E160+E161)*1.58*1.23</f>
        <v>8.806711440000043</v>
      </c>
      <c r="P161" s="158">
        <v>1.38265</v>
      </c>
      <c r="Q161" s="158">
        <v>1.41851</v>
      </c>
      <c r="R161" s="231">
        <f t="shared" si="19"/>
        <v>0.7172000000000001</v>
      </c>
      <c r="S161" s="157"/>
      <c r="T161" s="112"/>
      <c r="U161" s="45"/>
      <c r="V161" s="105"/>
      <c r="W161" s="63"/>
      <c r="X161" s="39"/>
      <c r="Y161" s="39"/>
      <c r="Z161" s="40">
        <v>40</v>
      </c>
      <c r="AA161" s="46">
        <v>40</v>
      </c>
      <c r="AB161" s="73">
        <v>12</v>
      </c>
      <c r="AC161" s="73"/>
      <c r="AD161" s="96"/>
    </row>
    <row r="162" spans="1:30" ht="12.75">
      <c r="A162" s="116"/>
      <c r="B162" s="140"/>
      <c r="C162" s="221"/>
      <c r="D162" s="232"/>
      <c r="E162" s="232"/>
      <c r="F162" s="212"/>
      <c r="G162" s="241"/>
      <c r="H162" s="214"/>
      <c r="I162" s="47"/>
      <c r="J162" s="69"/>
      <c r="K162" s="66"/>
      <c r="L162" s="47"/>
      <c r="M162" s="87"/>
      <c r="N162" s="72"/>
      <c r="O162" s="95"/>
      <c r="P162" s="153">
        <v>0.02633</v>
      </c>
      <c r="Q162" s="153">
        <v>0.02634</v>
      </c>
      <c r="R162" s="143">
        <f t="shared" si="19"/>
        <v>0.00019999999999999185</v>
      </c>
      <c r="S162" s="106"/>
      <c r="T162" s="128"/>
      <c r="U162" s="72"/>
      <c r="V162" s="161"/>
      <c r="W162" s="152"/>
      <c r="X162" s="109"/>
      <c r="Y162" s="109"/>
      <c r="Z162" s="110"/>
      <c r="AA162" s="48"/>
      <c r="AB162" s="74"/>
      <c r="AC162" s="74"/>
      <c r="AD162" s="97"/>
    </row>
    <row r="163" spans="1:30" ht="12.75">
      <c r="A163" s="244">
        <v>2</v>
      </c>
      <c r="B163" s="103" t="s">
        <v>226</v>
      </c>
      <c r="C163" s="215" t="s">
        <v>221</v>
      </c>
      <c r="D163" s="100">
        <v>3.01362</v>
      </c>
      <c r="E163" s="56">
        <f>(D163-D160)*Y$11</f>
        <v>1.459999999999999</v>
      </c>
      <c r="F163" s="57"/>
      <c r="G163" s="217"/>
      <c r="H163" s="70"/>
      <c r="I163" s="47">
        <f>0.08*1.23</f>
        <v>0.0984</v>
      </c>
      <c r="J163" s="69"/>
      <c r="K163" s="77"/>
      <c r="L163" s="42">
        <f>(E163)*K163*1000</f>
        <v>0</v>
      </c>
      <c r="M163" s="76"/>
      <c r="N163" s="70"/>
      <c r="O163" s="83">
        <f>2.7*1.23</f>
        <v>3.321</v>
      </c>
      <c r="P163" s="153">
        <v>0.25141</v>
      </c>
      <c r="Q163" s="153">
        <v>0.25148</v>
      </c>
      <c r="R163" s="153">
        <f t="shared" si="19"/>
        <v>0.0013999999999991797</v>
      </c>
      <c r="S163" s="106"/>
      <c r="T163" s="124"/>
      <c r="U163" s="71"/>
      <c r="V163" s="145"/>
      <c r="W163" s="43"/>
      <c r="X163" s="43"/>
      <c r="Z163" s="21"/>
      <c r="AA163" s="74"/>
      <c r="AB163" s="74"/>
      <c r="AC163" s="74"/>
      <c r="AD163" s="97"/>
    </row>
    <row r="164" spans="1:30" ht="12.75">
      <c r="A164" s="245"/>
      <c r="B164" s="92">
        <v>229751618801</v>
      </c>
      <c r="C164" s="62" t="s">
        <v>227</v>
      </c>
      <c r="D164" s="98">
        <v>8.37221</v>
      </c>
      <c r="E164" s="55">
        <f>(D164-D161)*Y$11</f>
        <v>3.1953999999999994</v>
      </c>
      <c r="F164" s="208">
        <v>4.655</v>
      </c>
      <c r="G164" s="75"/>
      <c r="H164" s="138"/>
      <c r="I164" s="45">
        <f>4.31*1.23</f>
        <v>5.3012999999999995</v>
      </c>
      <c r="J164" s="45"/>
      <c r="K164" s="58"/>
      <c r="L164" s="64">
        <f>(E164)*K164*1000</f>
        <v>0</v>
      </c>
      <c r="M164" s="136"/>
      <c r="N164" s="137"/>
      <c r="O164" s="192">
        <f>(E163+E164)*1.39*1.23</f>
        <v>7.9593373799999965</v>
      </c>
      <c r="P164" s="158">
        <v>1.41851</v>
      </c>
      <c r="Q164" s="158">
        <v>1.45097</v>
      </c>
      <c r="R164" s="231">
        <f t="shared" si="19"/>
        <v>0.6492000000000031</v>
      </c>
      <c r="S164" s="157"/>
      <c r="T164" s="112"/>
      <c r="U164" s="59"/>
      <c r="V164" s="105"/>
      <c r="W164" s="63"/>
      <c r="X164" s="39"/>
      <c r="Y164" s="39"/>
      <c r="Z164" s="40"/>
      <c r="AA164" s="46">
        <v>40</v>
      </c>
      <c r="AB164" s="73">
        <v>12</v>
      </c>
      <c r="AC164" s="73"/>
      <c r="AD164" s="96"/>
    </row>
    <row r="165" spans="1:30" ht="12.75">
      <c r="A165" s="174"/>
      <c r="B165" s="140"/>
      <c r="C165" s="221"/>
      <c r="D165" s="232"/>
      <c r="E165" s="232"/>
      <c r="F165" s="212"/>
      <c r="G165" s="241"/>
      <c r="H165" s="214"/>
      <c r="I165" s="47"/>
      <c r="J165" s="69"/>
      <c r="K165" s="66"/>
      <c r="L165" s="47"/>
      <c r="M165" s="87"/>
      <c r="N165" s="72"/>
      <c r="O165" s="95"/>
      <c r="P165" s="153">
        <v>0.02634</v>
      </c>
      <c r="Q165" s="153">
        <v>0.02635</v>
      </c>
      <c r="R165" s="143">
        <f aca="true" t="shared" si="20" ref="R165:R170">(Q165-P165)*20</f>
        <v>0.00019999999999999185</v>
      </c>
      <c r="S165" s="106"/>
      <c r="T165" s="124"/>
      <c r="U165" s="72"/>
      <c r="V165" s="161"/>
      <c r="W165" s="152"/>
      <c r="X165" s="110"/>
      <c r="Y165" s="110"/>
      <c r="Z165" s="110"/>
      <c r="AA165" s="48"/>
      <c r="AB165" s="176"/>
      <c r="AC165" s="176"/>
      <c r="AD165" s="177"/>
    </row>
    <row r="166" spans="1:30" ht="12.75">
      <c r="A166" s="244">
        <v>3</v>
      </c>
      <c r="B166" s="103" t="s">
        <v>228</v>
      </c>
      <c r="C166" s="215"/>
      <c r="D166" s="100">
        <v>3.06821</v>
      </c>
      <c r="E166" s="56">
        <f>(D166-D163)*Y$11</f>
        <v>1.0918000000000028</v>
      </c>
      <c r="F166" s="57"/>
      <c r="G166" s="217"/>
      <c r="H166" s="70"/>
      <c r="I166" s="47">
        <f>0.08*1.23</f>
        <v>0.0984</v>
      </c>
      <c r="J166" s="69"/>
      <c r="K166" s="77"/>
      <c r="L166" s="42">
        <f>(E166)*K166*1000</f>
        <v>0</v>
      </c>
      <c r="M166" s="76"/>
      <c r="N166" s="70"/>
      <c r="O166" s="83">
        <f>2.7*1.23</f>
        <v>3.321</v>
      </c>
      <c r="P166" s="153">
        <v>0.25148</v>
      </c>
      <c r="Q166" s="153">
        <v>0.25152</v>
      </c>
      <c r="R166" s="153">
        <f t="shared" si="20"/>
        <v>0.0008000000000008001</v>
      </c>
      <c r="S166" s="106"/>
      <c r="T166" s="124"/>
      <c r="U166" s="71"/>
      <c r="V166" s="145"/>
      <c r="W166" s="43"/>
      <c r="X166" s="43"/>
      <c r="Z166" s="21"/>
      <c r="AA166" s="74"/>
      <c r="AB166" s="74"/>
      <c r="AC166" s="74"/>
      <c r="AD166" s="97"/>
    </row>
    <row r="167" spans="1:30" ht="12.75">
      <c r="A167" s="245"/>
      <c r="B167" s="92">
        <v>229751694684</v>
      </c>
      <c r="C167" s="62" t="s">
        <v>229</v>
      </c>
      <c r="D167" s="98">
        <v>8.48738</v>
      </c>
      <c r="E167" s="55">
        <f>(D167-D164)*Y$11</f>
        <v>2.303399999999982</v>
      </c>
      <c r="F167" s="208">
        <v>3.395</v>
      </c>
      <c r="G167" s="75"/>
      <c r="H167" s="138"/>
      <c r="I167" s="45">
        <f>4.31*1.23</f>
        <v>5.3012999999999995</v>
      </c>
      <c r="J167" s="45"/>
      <c r="K167" s="58"/>
      <c r="L167" s="64">
        <f>(E167)*K167*1000</f>
        <v>0</v>
      </c>
      <c r="M167" s="136"/>
      <c r="N167" s="137"/>
      <c r="O167" s="192">
        <f>(E166+E167)*1.39*1.23</f>
        <v>5.804773439999973</v>
      </c>
      <c r="P167" s="158">
        <v>1.45097</v>
      </c>
      <c r="Q167" s="158">
        <v>1.48002</v>
      </c>
      <c r="R167" s="231">
        <f t="shared" si="20"/>
        <v>0.580999999999996</v>
      </c>
      <c r="S167" s="157"/>
      <c r="T167" s="112"/>
      <c r="U167" s="59"/>
      <c r="V167" s="105"/>
      <c r="W167" s="63"/>
      <c r="X167" s="39"/>
      <c r="Y167" s="39"/>
      <c r="Z167" s="40"/>
      <c r="AA167" s="46">
        <v>40</v>
      </c>
      <c r="AB167" s="73">
        <v>10</v>
      </c>
      <c r="AC167" s="73"/>
      <c r="AD167" s="96"/>
    </row>
    <row r="168" spans="1:30" ht="12.75">
      <c r="A168" s="174"/>
      <c r="B168" s="140"/>
      <c r="C168" s="221"/>
      <c r="D168" s="232"/>
      <c r="E168" s="232"/>
      <c r="F168" s="212"/>
      <c r="G168" s="241"/>
      <c r="H168" s="214"/>
      <c r="I168" s="47"/>
      <c r="J168" s="69"/>
      <c r="K168" s="66"/>
      <c r="L168" s="47"/>
      <c r="M168" s="87"/>
      <c r="N168" s="72"/>
      <c r="O168" s="95"/>
      <c r="P168" s="153">
        <f aca="true" t="shared" si="21" ref="P168:P173">Q165</f>
        <v>0.02635</v>
      </c>
      <c r="Q168" s="153">
        <v>0.02637</v>
      </c>
      <c r="R168" s="143">
        <f t="shared" si="20"/>
        <v>0.0004000000000000531</v>
      </c>
      <c r="S168" s="106"/>
      <c r="T168" s="124"/>
      <c r="U168" s="72"/>
      <c r="V168" s="161"/>
      <c r="W168" s="152"/>
      <c r="X168" s="110"/>
      <c r="Y168" s="110"/>
      <c r="Z168" s="110"/>
      <c r="AA168" s="48"/>
      <c r="AB168" s="176"/>
      <c r="AC168" s="176"/>
      <c r="AD168" s="177"/>
    </row>
    <row r="169" spans="1:30" ht="12.75">
      <c r="A169" s="244">
        <v>4</v>
      </c>
      <c r="B169" s="140" t="s">
        <v>232</v>
      </c>
      <c r="C169" s="215"/>
      <c r="D169" s="100">
        <v>3.11561</v>
      </c>
      <c r="E169" s="56">
        <f>(D169-D166)*Y$11</f>
        <v>0.9480000000000022</v>
      </c>
      <c r="F169" s="57"/>
      <c r="G169" s="217"/>
      <c r="H169" s="70"/>
      <c r="I169" s="47">
        <f>0.08*1.23</f>
        <v>0.0984</v>
      </c>
      <c r="J169" s="69"/>
      <c r="K169" s="77"/>
      <c r="L169" s="42">
        <f>(E169)*K169*1000</f>
        <v>0</v>
      </c>
      <c r="M169" s="76"/>
      <c r="N169" s="70"/>
      <c r="O169" s="83">
        <f>2.7*1.23</f>
        <v>3.321</v>
      </c>
      <c r="P169" s="153">
        <f t="shared" si="21"/>
        <v>0.25152</v>
      </c>
      <c r="Q169" s="153">
        <v>0.25154</v>
      </c>
      <c r="R169" s="153">
        <f t="shared" si="20"/>
        <v>0.0003999999999992898</v>
      </c>
      <c r="S169" s="106"/>
      <c r="T169" s="124"/>
      <c r="U169" s="71"/>
      <c r="V169" s="145"/>
      <c r="W169" s="43"/>
      <c r="X169" s="43"/>
      <c r="Z169" s="21"/>
      <c r="AA169" s="74"/>
      <c r="AB169" s="74"/>
      <c r="AC169" s="74"/>
      <c r="AD169" s="97"/>
    </row>
    <row r="170" spans="1:30" ht="12.75">
      <c r="A170" s="245"/>
      <c r="B170" s="93">
        <v>229751751832</v>
      </c>
      <c r="C170" s="62" t="s">
        <v>230</v>
      </c>
      <c r="D170" s="98">
        <v>8.59046</v>
      </c>
      <c r="E170" s="55">
        <f>(D170-D167)*Y$11</f>
        <v>2.0616000000000057</v>
      </c>
      <c r="F170" s="208">
        <v>3.01</v>
      </c>
      <c r="G170" s="75"/>
      <c r="H170" s="138"/>
      <c r="I170" s="45">
        <f>4.31*1.23</f>
        <v>5.3012999999999995</v>
      </c>
      <c r="J170" s="45"/>
      <c r="K170" s="58"/>
      <c r="L170" s="64">
        <f>(E170)*K170*1000</f>
        <v>0</v>
      </c>
      <c r="M170" s="136"/>
      <c r="N170" s="137"/>
      <c r="O170" s="192">
        <f>(E169+E170)*1.39*1.23</f>
        <v>5.145513120000013</v>
      </c>
      <c r="P170" s="158">
        <f t="shared" si="21"/>
        <v>1.48002</v>
      </c>
      <c r="Q170" s="158">
        <v>1.51015</v>
      </c>
      <c r="R170" s="231">
        <f t="shared" si="20"/>
        <v>0.6026000000000042</v>
      </c>
      <c r="S170" s="157"/>
      <c r="T170" s="112"/>
      <c r="U170" s="59"/>
      <c r="V170" s="105"/>
      <c r="W170" s="63"/>
      <c r="X170" s="39"/>
      <c r="Y170" s="39"/>
      <c r="Z170" s="40"/>
      <c r="AA170" s="46">
        <v>40</v>
      </c>
      <c r="AB170" s="73">
        <v>9</v>
      </c>
      <c r="AC170" s="73"/>
      <c r="AD170" s="96"/>
    </row>
    <row r="171" spans="1:30" ht="12.75">
      <c r="A171" s="68"/>
      <c r="B171" s="218"/>
      <c r="C171" s="86"/>
      <c r="D171" s="88"/>
      <c r="E171" s="232"/>
      <c r="F171" s="212"/>
      <c r="G171" s="241"/>
      <c r="H171" s="214"/>
      <c r="I171" s="47"/>
      <c r="J171" s="69"/>
      <c r="K171" s="66"/>
      <c r="L171" s="47"/>
      <c r="M171" s="87"/>
      <c r="N171" s="72"/>
      <c r="O171" s="95"/>
      <c r="P171" s="153">
        <f t="shared" si="21"/>
        <v>0.02637</v>
      </c>
      <c r="Q171" s="153">
        <v>0.02638</v>
      </c>
      <c r="R171" s="143">
        <f aca="true" t="shared" si="22" ref="R171:R176">(Q171-P171)*20</f>
        <v>0.00019999999999999185</v>
      </c>
      <c r="S171" s="106"/>
      <c r="T171" s="124"/>
      <c r="U171" s="72"/>
      <c r="V171" s="161"/>
      <c r="W171" s="152"/>
      <c r="X171" s="110"/>
      <c r="Y171" s="110"/>
      <c r="Z171" s="110"/>
      <c r="AA171" s="48"/>
      <c r="AB171" s="176"/>
      <c r="AC171" s="176"/>
      <c r="AD171" s="177"/>
    </row>
    <row r="172" spans="1:30" ht="12.75">
      <c r="A172" s="244">
        <v>5</v>
      </c>
      <c r="B172" s="140" t="s">
        <v>233</v>
      </c>
      <c r="C172" s="215"/>
      <c r="D172" s="88">
        <v>3.13442</v>
      </c>
      <c r="E172" s="56">
        <f>(D172-D169)*Y$11</f>
        <v>0.3761999999999954</v>
      </c>
      <c r="F172" s="57"/>
      <c r="G172" s="217"/>
      <c r="H172" s="70"/>
      <c r="I172" s="47">
        <f>0.08*1.23</f>
        <v>0.0984</v>
      </c>
      <c r="J172" s="69"/>
      <c r="K172" s="77"/>
      <c r="L172" s="42">
        <f>(E172)*K172*1000</f>
        <v>0</v>
      </c>
      <c r="M172" s="76"/>
      <c r="N172" s="70"/>
      <c r="O172" s="83">
        <f>2.7*1.23</f>
        <v>3.321</v>
      </c>
      <c r="P172" s="153">
        <f t="shared" si="21"/>
        <v>0.25154</v>
      </c>
      <c r="Q172" s="153">
        <v>0.25161</v>
      </c>
      <c r="R172" s="153">
        <f t="shared" si="22"/>
        <v>0.00140000000000029</v>
      </c>
      <c r="S172" s="106"/>
      <c r="T172" s="124"/>
      <c r="U172" s="71"/>
      <c r="V172" s="145"/>
      <c r="W172" s="43"/>
      <c r="X172" s="43"/>
      <c r="Z172" s="21"/>
      <c r="AA172" s="74"/>
      <c r="AB172" s="74"/>
      <c r="AC172" s="74"/>
      <c r="AD172" s="97"/>
    </row>
    <row r="173" spans="1:30" ht="12.75">
      <c r="A173" s="245"/>
      <c r="B173" s="93">
        <v>223011981963</v>
      </c>
      <c r="C173" s="62" t="s">
        <v>231</v>
      </c>
      <c r="D173" s="99">
        <v>8.68059</v>
      </c>
      <c r="E173" s="55">
        <f>(D173-D170)*Y$11</f>
        <v>1.8026000000000053</v>
      </c>
      <c r="F173" s="208">
        <v>2.179</v>
      </c>
      <c r="G173" s="75"/>
      <c r="H173" s="138"/>
      <c r="I173" s="45">
        <f>4.31*1.23</f>
        <v>5.3012999999999995</v>
      </c>
      <c r="J173" s="45"/>
      <c r="K173" s="58"/>
      <c r="L173" s="64">
        <f>(E173)*K173*1000</f>
        <v>0</v>
      </c>
      <c r="M173" s="136"/>
      <c r="N173" s="137"/>
      <c r="O173" s="192">
        <f>(E172+E173)*1.39*1.23</f>
        <v>3.725094360000001</v>
      </c>
      <c r="P173" s="158">
        <f t="shared" si="21"/>
        <v>1.51015</v>
      </c>
      <c r="Q173" s="158">
        <v>1.53822</v>
      </c>
      <c r="R173" s="231">
        <f t="shared" si="22"/>
        <v>0.5613999999999963</v>
      </c>
      <c r="S173" s="157"/>
      <c r="T173" s="112"/>
      <c r="U173" s="59"/>
      <c r="V173" s="105"/>
      <c r="W173" s="63"/>
      <c r="X173" s="39"/>
      <c r="Y173" s="39"/>
      <c r="Z173" s="40"/>
      <c r="AA173" s="46">
        <v>40</v>
      </c>
      <c r="AB173" s="73">
        <v>6</v>
      </c>
      <c r="AC173" s="73"/>
      <c r="AD173" s="96"/>
    </row>
    <row r="174" spans="1:30" ht="12.75">
      <c r="A174" s="195"/>
      <c r="B174" s="239"/>
      <c r="C174" s="232"/>
      <c r="D174" s="232"/>
      <c r="E174" s="232"/>
      <c r="F174" s="212"/>
      <c r="G174" s="241"/>
      <c r="H174" s="214"/>
      <c r="I174" s="47"/>
      <c r="J174" s="69"/>
      <c r="K174" s="66"/>
      <c r="L174" s="47"/>
      <c r="M174" s="87"/>
      <c r="N174" s="72"/>
      <c r="O174" s="95"/>
      <c r="P174" s="153">
        <f aca="true" t="shared" si="23" ref="P174:P179">Q171</f>
        <v>0.02638</v>
      </c>
      <c r="Q174" s="153">
        <v>0.02644</v>
      </c>
      <c r="R174" s="143">
        <f t="shared" si="22"/>
        <v>0.0012000000000000205</v>
      </c>
      <c r="S174" s="106"/>
      <c r="T174" s="124"/>
      <c r="U174" s="72"/>
      <c r="V174" s="161"/>
      <c r="W174" s="152"/>
      <c r="X174" s="110"/>
      <c r="Y174" s="110"/>
      <c r="Z174" s="110"/>
      <c r="AA174" s="48"/>
      <c r="AB174" s="176"/>
      <c r="AC174" s="176"/>
      <c r="AD174" s="177"/>
    </row>
    <row r="175" spans="1:30" ht="12.75">
      <c r="A175" s="244">
        <v>6</v>
      </c>
      <c r="B175" s="239" t="s">
        <v>234</v>
      </c>
      <c r="C175" s="215"/>
      <c r="D175" s="88">
        <v>3.15187</v>
      </c>
      <c r="E175" s="56">
        <f>(D175-D172)*Y$11</f>
        <v>0.34900000000000375</v>
      </c>
      <c r="F175" s="57"/>
      <c r="G175" s="217"/>
      <c r="H175" s="70"/>
      <c r="I175" s="47">
        <f>0.08*1.23</f>
        <v>0.0984</v>
      </c>
      <c r="J175" s="69"/>
      <c r="K175" s="77"/>
      <c r="L175" s="42">
        <f>(E175)*K175*1000</f>
        <v>0</v>
      </c>
      <c r="M175" s="76"/>
      <c r="N175" s="70"/>
      <c r="O175" s="83">
        <f>2.7*1.23</f>
        <v>3.321</v>
      </c>
      <c r="P175" s="153">
        <f t="shared" si="23"/>
        <v>0.25161</v>
      </c>
      <c r="Q175" s="153">
        <v>0.25163</v>
      </c>
      <c r="R175" s="153">
        <f t="shared" si="22"/>
        <v>0.00040000000000040004</v>
      </c>
      <c r="S175" s="106"/>
      <c r="T175" s="124"/>
      <c r="U175" s="71"/>
      <c r="V175" s="145"/>
      <c r="W175" s="43"/>
      <c r="X175" s="43"/>
      <c r="Z175" s="21"/>
      <c r="AA175" s="74"/>
      <c r="AB175" s="74"/>
      <c r="AC175" s="74"/>
      <c r="AD175" s="97"/>
    </row>
    <row r="176" spans="1:30" ht="12.75">
      <c r="A176" s="245"/>
      <c r="B176" s="93">
        <v>249750919793</v>
      </c>
      <c r="C176" s="62" t="s">
        <v>235</v>
      </c>
      <c r="D176" s="99">
        <v>8.76558</v>
      </c>
      <c r="E176" s="55">
        <f>(D176-D173)*Y$11</f>
        <v>1.699799999999989</v>
      </c>
      <c r="F176" s="208">
        <v>2.049</v>
      </c>
      <c r="G176" s="75"/>
      <c r="H176" s="138"/>
      <c r="I176" s="45">
        <f>4.31*1.23</f>
        <v>5.3012999999999995</v>
      </c>
      <c r="J176" s="45"/>
      <c r="K176" s="58"/>
      <c r="L176" s="64">
        <f>(E176)*K176*1000</f>
        <v>0</v>
      </c>
      <c r="M176" s="136"/>
      <c r="N176" s="137"/>
      <c r="O176" s="192">
        <f>(E175+E176)*1.39*1.23</f>
        <v>3.5028333599999875</v>
      </c>
      <c r="P176" s="158">
        <f t="shared" si="23"/>
        <v>1.53822</v>
      </c>
      <c r="Q176" s="158">
        <v>1.57258</v>
      </c>
      <c r="R176" s="231">
        <f t="shared" si="22"/>
        <v>0.6872000000000034</v>
      </c>
      <c r="S176" s="157"/>
      <c r="T176" s="112"/>
      <c r="U176" s="59"/>
      <c r="V176" s="105"/>
      <c r="W176" s="63"/>
      <c r="X176" s="39"/>
      <c r="Y176" s="39"/>
      <c r="Z176" s="40"/>
      <c r="AA176" s="46">
        <v>40</v>
      </c>
      <c r="AB176" s="73">
        <v>7</v>
      </c>
      <c r="AC176" s="73"/>
      <c r="AD176" s="96"/>
    </row>
    <row r="177" spans="1:30" ht="12.75">
      <c r="A177" s="174"/>
      <c r="B177" s="140"/>
      <c r="C177" s="232"/>
      <c r="D177" s="232"/>
      <c r="E177" s="232"/>
      <c r="F177" s="212"/>
      <c r="G177" s="241"/>
      <c r="H177" s="214"/>
      <c r="I177" s="47"/>
      <c r="J177" s="69"/>
      <c r="K177" s="66"/>
      <c r="L177" s="47"/>
      <c r="M177" s="87"/>
      <c r="N177" s="72"/>
      <c r="O177" s="95"/>
      <c r="P177" s="153">
        <f t="shared" si="23"/>
        <v>0.02644</v>
      </c>
      <c r="Q177" s="153">
        <v>0.02651</v>
      </c>
      <c r="R177" s="143">
        <f aca="true" t="shared" si="24" ref="R177:R182">(Q177-P177)*20</f>
        <v>0.001399999999999943</v>
      </c>
      <c r="S177" s="106"/>
      <c r="T177" s="124"/>
      <c r="U177" s="72"/>
      <c r="V177" s="161"/>
      <c r="W177" s="152"/>
      <c r="X177" s="110"/>
      <c r="Y177" s="110"/>
      <c r="Z177" s="110"/>
      <c r="AA177" s="48"/>
      <c r="AB177" s="176"/>
      <c r="AC177" s="176"/>
      <c r="AD177" s="177"/>
    </row>
    <row r="178" spans="1:30" ht="12.75">
      <c r="A178" s="244">
        <v>7</v>
      </c>
      <c r="B178" s="140" t="s">
        <v>236</v>
      </c>
      <c r="C178" s="216"/>
      <c r="D178" s="88">
        <v>3.1682</v>
      </c>
      <c r="E178" s="56">
        <f>(D178-D175)*Y$11</f>
        <v>0.3265999999999991</v>
      </c>
      <c r="F178" s="57"/>
      <c r="G178" s="217"/>
      <c r="H178" s="70"/>
      <c r="I178" s="47">
        <f>0.08*1.23</f>
        <v>0.0984</v>
      </c>
      <c r="J178" s="69"/>
      <c r="K178" s="77"/>
      <c r="L178" s="42">
        <f>(E178)*K178*1000</f>
        <v>0</v>
      </c>
      <c r="M178" s="76"/>
      <c r="N178" s="70"/>
      <c r="O178" s="83">
        <f>2.7*1.23</f>
        <v>3.321</v>
      </c>
      <c r="P178" s="153">
        <f t="shared" si="23"/>
        <v>0.25163</v>
      </c>
      <c r="Q178" s="153">
        <v>0.2518</v>
      </c>
      <c r="R178" s="153">
        <f t="shared" si="24"/>
        <v>0.0034000000000000696</v>
      </c>
      <c r="S178" s="106"/>
      <c r="T178" s="124"/>
      <c r="U178" s="71"/>
      <c r="V178" s="145"/>
      <c r="W178" s="43"/>
      <c r="X178" s="43"/>
      <c r="Z178" s="21"/>
      <c r="AA178" s="74"/>
      <c r="AB178" s="74"/>
      <c r="AC178" s="74"/>
      <c r="AD178" s="97"/>
    </row>
    <row r="179" spans="1:30" ht="12.75">
      <c r="A179" s="245"/>
      <c r="B179" s="93">
        <v>229751974584</v>
      </c>
      <c r="C179" s="62" t="s">
        <v>237</v>
      </c>
      <c r="D179" s="99">
        <v>8.8516</v>
      </c>
      <c r="E179" s="55">
        <f>(D179-D176)*Y$11</f>
        <v>1.7203999999999908</v>
      </c>
      <c r="F179" s="208">
        <v>2.047</v>
      </c>
      <c r="G179" s="75"/>
      <c r="H179" s="138"/>
      <c r="I179" s="45">
        <f>4.31*1.23</f>
        <v>5.3012999999999995</v>
      </c>
      <c r="J179" s="45"/>
      <c r="K179" s="58"/>
      <c r="L179" s="64">
        <f>(E179)*K179*1000</f>
        <v>0</v>
      </c>
      <c r="M179" s="136"/>
      <c r="N179" s="137"/>
      <c r="O179" s="192">
        <f>(E178+E179)*1.39*1.23</f>
        <v>3.4997558999999825</v>
      </c>
      <c r="P179" s="158">
        <f t="shared" si="23"/>
        <v>1.57258</v>
      </c>
      <c r="Q179" s="158">
        <v>1.60288</v>
      </c>
      <c r="R179" s="231">
        <f t="shared" si="24"/>
        <v>0.6059999999999999</v>
      </c>
      <c r="S179" s="157"/>
      <c r="T179" s="112"/>
      <c r="U179" s="59"/>
      <c r="V179" s="105"/>
      <c r="W179" s="63"/>
      <c r="X179" s="39"/>
      <c r="Y179" s="39"/>
      <c r="Z179" s="40"/>
      <c r="AA179" s="46">
        <v>40</v>
      </c>
      <c r="AB179" s="73">
        <v>9</v>
      </c>
      <c r="AC179" s="73"/>
      <c r="AD179" s="96"/>
    </row>
    <row r="180" spans="1:30" ht="12.75">
      <c r="A180" s="174"/>
      <c r="B180" s="140"/>
      <c r="C180" s="232"/>
      <c r="D180" s="232"/>
      <c r="E180" s="232"/>
      <c r="F180" s="212"/>
      <c r="G180" s="241"/>
      <c r="H180" s="214"/>
      <c r="I180" s="47"/>
      <c r="J180" s="69"/>
      <c r="K180" s="66"/>
      <c r="L180" s="47"/>
      <c r="M180" s="87"/>
      <c r="N180" s="72"/>
      <c r="O180" s="95"/>
      <c r="P180" s="153">
        <f aca="true" t="shared" si="25" ref="P180:P185">Q177</f>
        <v>0.02651</v>
      </c>
      <c r="Q180" s="153">
        <v>0.02663</v>
      </c>
      <c r="R180" s="143">
        <f t="shared" si="24"/>
        <v>0.002400000000000041</v>
      </c>
      <c r="S180" s="106"/>
      <c r="T180" s="124"/>
      <c r="U180" s="72"/>
      <c r="V180" s="161"/>
      <c r="W180" s="152"/>
      <c r="X180" s="110"/>
      <c r="Y180" s="110"/>
      <c r="Z180" s="110"/>
      <c r="AA180" s="48"/>
      <c r="AB180" s="176"/>
      <c r="AC180" s="176"/>
      <c r="AD180" s="177"/>
    </row>
    <row r="181" spans="1:30" ht="12.75">
      <c r="A181" s="244">
        <v>8</v>
      </c>
      <c r="B181" s="140" t="s">
        <v>238</v>
      </c>
      <c r="C181" s="216"/>
      <c r="D181" s="88">
        <v>3.18412</v>
      </c>
      <c r="E181" s="56">
        <f>(D181-D178)*Y$11</f>
        <v>0.3183999999999987</v>
      </c>
      <c r="F181" s="57"/>
      <c r="G181" s="217"/>
      <c r="H181" s="70"/>
      <c r="I181" s="47">
        <f>0.08*1.23</f>
        <v>0.0984</v>
      </c>
      <c r="J181" s="69"/>
      <c r="K181" s="77"/>
      <c r="L181" s="42">
        <f>(E181)*K181*1000</f>
        <v>0</v>
      </c>
      <c r="M181" s="76"/>
      <c r="N181" s="70"/>
      <c r="O181" s="83">
        <f>2.7*1.23</f>
        <v>3.321</v>
      </c>
      <c r="P181" s="153">
        <f t="shared" si="25"/>
        <v>0.2518</v>
      </c>
      <c r="Q181" s="153">
        <v>0.25255</v>
      </c>
      <c r="R181" s="153">
        <f t="shared" si="24"/>
        <v>0.014999999999999458</v>
      </c>
      <c r="S181" s="106"/>
      <c r="T181" s="124"/>
      <c r="U181" s="71"/>
      <c r="V181" s="145"/>
      <c r="W181" s="43"/>
      <c r="X181" s="43"/>
      <c r="Z181" s="21"/>
      <c r="AA181" s="74"/>
      <c r="AB181" s="74"/>
      <c r="AC181" s="74"/>
      <c r="AD181" s="97"/>
    </row>
    <row r="182" spans="1:30" ht="12.75">
      <c r="A182" s="245"/>
      <c r="B182" s="93">
        <v>229752064339</v>
      </c>
      <c r="C182" s="62" t="s">
        <v>239</v>
      </c>
      <c r="D182" s="99">
        <v>8.9412</v>
      </c>
      <c r="E182" s="55">
        <f>(D182-D179)*Y$11</f>
        <v>1.7920000000000158</v>
      </c>
      <c r="F182" s="208">
        <v>2.11</v>
      </c>
      <c r="G182" s="75"/>
      <c r="H182" s="138"/>
      <c r="I182" s="45">
        <f>4.31*1.23</f>
        <v>5.3012999999999995</v>
      </c>
      <c r="J182" s="45"/>
      <c r="K182" s="58"/>
      <c r="L182" s="64">
        <f>(E182)*K182*1000</f>
        <v>0</v>
      </c>
      <c r="M182" s="136"/>
      <c r="N182" s="137"/>
      <c r="O182" s="192">
        <f>(E181+E182)*1.39*1.23</f>
        <v>3.6081508800000246</v>
      </c>
      <c r="P182" s="158">
        <f t="shared" si="25"/>
        <v>1.60288</v>
      </c>
      <c r="Q182" s="158">
        <v>1.62647</v>
      </c>
      <c r="R182" s="231">
        <f t="shared" si="24"/>
        <v>0.4718</v>
      </c>
      <c r="S182" s="157"/>
      <c r="T182" s="112"/>
      <c r="U182" s="59"/>
      <c r="V182" s="105"/>
      <c r="W182" s="63"/>
      <c r="X182" s="39"/>
      <c r="Y182" s="39"/>
      <c r="Z182" s="40"/>
      <c r="AA182" s="46">
        <v>40</v>
      </c>
      <c r="AB182" s="73">
        <v>10</v>
      </c>
      <c r="AC182" s="73"/>
      <c r="AD182" s="96"/>
    </row>
    <row r="183" spans="1:30" ht="12.75">
      <c r="A183" s="174"/>
      <c r="B183" s="140"/>
      <c r="C183" s="221"/>
      <c r="D183" s="232"/>
      <c r="E183" s="232"/>
      <c r="F183" s="212"/>
      <c r="G183" s="241"/>
      <c r="H183" s="214"/>
      <c r="I183" s="47"/>
      <c r="J183" s="69"/>
      <c r="K183" s="66"/>
      <c r="L183" s="47"/>
      <c r="M183" s="87"/>
      <c r="N183" s="72"/>
      <c r="O183" s="95"/>
      <c r="P183" s="153">
        <f t="shared" si="25"/>
        <v>0.02663</v>
      </c>
      <c r="Q183" s="153">
        <v>0.02688</v>
      </c>
      <c r="R183" s="143">
        <f aca="true" t="shared" si="26" ref="R183:R188">(Q183-P183)*20</f>
        <v>0.0050000000000000044</v>
      </c>
      <c r="S183" s="106"/>
      <c r="T183" s="124"/>
      <c r="U183" s="72"/>
      <c r="V183" s="161"/>
      <c r="W183" s="152"/>
      <c r="X183" s="110"/>
      <c r="Y183" s="110"/>
      <c r="Z183" s="110"/>
      <c r="AA183" s="48"/>
      <c r="AB183" s="176"/>
      <c r="AC183" s="176"/>
      <c r="AD183" s="177"/>
    </row>
    <row r="184" spans="1:30" ht="12.75">
      <c r="A184" s="244">
        <v>9</v>
      </c>
      <c r="B184" s="140" t="s">
        <v>240</v>
      </c>
      <c r="C184" s="216"/>
      <c r="D184" s="88">
        <v>3.20316</v>
      </c>
      <c r="E184" s="56">
        <f>(D184-D181)*Y$11</f>
        <v>0.3807999999999989</v>
      </c>
      <c r="F184" s="57"/>
      <c r="G184" s="217"/>
      <c r="H184" s="70"/>
      <c r="I184" s="47">
        <f>0.08*1.23</f>
        <v>0.0984</v>
      </c>
      <c r="J184" s="69"/>
      <c r="K184" s="77"/>
      <c r="L184" s="42">
        <f>(E184)*K184*1000</f>
        <v>0</v>
      </c>
      <c r="M184" s="76"/>
      <c r="N184" s="70"/>
      <c r="O184" s="83">
        <f>2.7*1.23</f>
        <v>3.321</v>
      </c>
      <c r="P184" s="153">
        <f t="shared" si="25"/>
        <v>0.25255</v>
      </c>
      <c r="Q184" s="153">
        <v>0.25438</v>
      </c>
      <c r="R184" s="153">
        <f t="shared" si="26"/>
        <v>0.036599999999999966</v>
      </c>
      <c r="S184" s="106"/>
      <c r="T184" s="124"/>
      <c r="U184" s="71"/>
      <c r="V184" s="145"/>
      <c r="W184" s="43"/>
      <c r="X184" s="43"/>
      <c r="Z184" s="21"/>
      <c r="AA184" s="74"/>
      <c r="AB184" s="74"/>
      <c r="AC184" s="74"/>
      <c r="AD184" s="97"/>
    </row>
    <row r="185" spans="1:30" ht="12.75">
      <c r="A185" s="245"/>
      <c r="B185" s="93">
        <v>229500301662</v>
      </c>
      <c r="C185" s="62" t="s">
        <v>241</v>
      </c>
      <c r="D185" s="99">
        <v>9.04614</v>
      </c>
      <c r="E185" s="55">
        <f>(D185-D182)*Y$11</f>
        <v>2.098799999999983</v>
      </c>
      <c r="F185" s="208">
        <v>2.48</v>
      </c>
      <c r="G185" s="75"/>
      <c r="H185" s="138"/>
      <c r="I185" s="45">
        <f>4.31*1.23</f>
        <v>5.3012999999999995</v>
      </c>
      <c r="J185" s="45"/>
      <c r="K185" s="58"/>
      <c r="L185" s="64">
        <f>(E185)*K185*1000</f>
        <v>0</v>
      </c>
      <c r="M185" s="136"/>
      <c r="N185" s="137"/>
      <c r="O185" s="192">
        <f>(E184+E185)*1.39*1.23</f>
        <v>4.2393721199999685</v>
      </c>
      <c r="P185" s="158">
        <f t="shared" si="25"/>
        <v>1.62647</v>
      </c>
      <c r="Q185" s="158">
        <v>1.64615</v>
      </c>
      <c r="R185" s="231">
        <f t="shared" si="26"/>
        <v>0.3935999999999984</v>
      </c>
      <c r="S185" s="157"/>
      <c r="T185" s="112"/>
      <c r="U185" s="59"/>
      <c r="V185" s="105"/>
      <c r="W185" s="63"/>
      <c r="X185" s="39"/>
      <c r="Y185" s="39"/>
      <c r="Z185" s="40"/>
      <c r="AA185" s="46">
        <v>40</v>
      </c>
      <c r="AB185" s="73">
        <v>12</v>
      </c>
      <c r="AC185" s="73"/>
      <c r="AD185" s="96"/>
    </row>
    <row r="186" spans="1:30" ht="12.75">
      <c r="A186" s="174"/>
      <c r="B186" s="140"/>
      <c r="C186" s="221"/>
      <c r="D186" s="232"/>
      <c r="E186" s="232"/>
      <c r="F186" s="212"/>
      <c r="G186" s="241"/>
      <c r="H186" s="214"/>
      <c r="I186" s="47"/>
      <c r="J186" s="69"/>
      <c r="K186" s="66"/>
      <c r="L186" s="47"/>
      <c r="M186" s="87"/>
      <c r="N186" s="72"/>
      <c r="O186" s="95"/>
      <c r="P186" s="153">
        <f aca="true" t="shared" si="27" ref="P186:P191">Q183</f>
        <v>0.02688</v>
      </c>
      <c r="Q186" s="153">
        <v>0.02698</v>
      </c>
      <c r="R186" s="143">
        <f t="shared" si="26"/>
        <v>0.001999999999999988</v>
      </c>
      <c r="S186" s="106"/>
      <c r="T186" s="124"/>
      <c r="U186" s="72"/>
      <c r="V186" s="161"/>
      <c r="W186" s="152"/>
      <c r="X186" s="110"/>
      <c r="Y186" s="110"/>
      <c r="Z186" s="110"/>
      <c r="AA186" s="48"/>
      <c r="AB186" s="176"/>
      <c r="AC186" s="176"/>
      <c r="AD186" s="177"/>
    </row>
    <row r="187" spans="1:30" ht="12.75">
      <c r="A187" s="244">
        <v>10</v>
      </c>
      <c r="B187" s="140" t="s">
        <v>242</v>
      </c>
      <c r="C187" s="216"/>
      <c r="D187" s="88">
        <v>3.22208</v>
      </c>
      <c r="E187" s="56">
        <f>(D187-D184)*Y$11</f>
        <v>0.37840000000000096</v>
      </c>
      <c r="F187" s="57"/>
      <c r="G187" s="217"/>
      <c r="H187" s="70"/>
      <c r="I187" s="47">
        <f>0.08*1.23</f>
        <v>0.0984</v>
      </c>
      <c r="J187" s="69"/>
      <c r="K187" s="77"/>
      <c r="L187" s="42">
        <f>(E187)*K187*1000</f>
        <v>0</v>
      </c>
      <c r="M187" s="76"/>
      <c r="N187" s="70"/>
      <c r="O187" s="83">
        <f>2.7*1.23</f>
        <v>3.321</v>
      </c>
      <c r="P187" s="153">
        <f t="shared" si="27"/>
        <v>0.25438</v>
      </c>
      <c r="Q187" s="153">
        <v>0.25536</v>
      </c>
      <c r="R187" s="153">
        <f t="shared" si="26"/>
        <v>0.019599999999999618</v>
      </c>
      <c r="S187" s="106"/>
      <c r="T187" s="124"/>
      <c r="U187" s="71"/>
      <c r="V187" s="145"/>
      <c r="W187" s="43"/>
      <c r="X187" s="43"/>
      <c r="Z187" s="21"/>
      <c r="AA187" s="74"/>
      <c r="AB187" s="74"/>
      <c r="AC187" s="74"/>
      <c r="AD187" s="97"/>
    </row>
    <row r="188" spans="1:30" ht="12.75">
      <c r="A188" s="245"/>
      <c r="B188" s="93">
        <v>229752181956</v>
      </c>
      <c r="C188" s="62" t="s">
        <v>243</v>
      </c>
      <c r="D188" s="99">
        <v>9.1442</v>
      </c>
      <c r="E188" s="55">
        <f>(D188-D185)*Y$11</f>
        <v>1.9612000000000052</v>
      </c>
      <c r="F188" s="208">
        <v>2.339</v>
      </c>
      <c r="G188" s="75"/>
      <c r="H188" s="138"/>
      <c r="I188" s="45">
        <f>4.31*1.23</f>
        <v>5.3012999999999995</v>
      </c>
      <c r="J188" s="45"/>
      <c r="K188" s="58"/>
      <c r="L188" s="64">
        <f>(E188)*K188*1000</f>
        <v>0</v>
      </c>
      <c r="M188" s="136"/>
      <c r="N188" s="137"/>
      <c r="O188" s="192">
        <f>(E187+E188)*1.39*1.23</f>
        <v>4.00001412000001</v>
      </c>
      <c r="P188" s="158">
        <f t="shared" si="27"/>
        <v>1.64615</v>
      </c>
      <c r="Q188" s="158">
        <v>1.66329</v>
      </c>
      <c r="R188" s="231">
        <f t="shared" si="26"/>
        <v>0.34279999999999866</v>
      </c>
      <c r="S188" s="157"/>
      <c r="T188" s="112"/>
      <c r="U188" s="59"/>
      <c r="V188" s="105"/>
      <c r="W188" s="63"/>
      <c r="X188" s="39"/>
      <c r="Y188" s="39"/>
      <c r="Z188" s="40"/>
      <c r="AA188" s="46">
        <v>40</v>
      </c>
      <c r="AB188" s="73">
        <v>12</v>
      </c>
      <c r="AC188" s="73"/>
      <c r="AD188" s="96"/>
    </row>
    <row r="189" spans="1:30" ht="12.75">
      <c r="A189" s="174"/>
      <c r="B189" s="140"/>
      <c r="C189" s="221"/>
      <c r="D189" s="232"/>
      <c r="E189" s="232"/>
      <c r="F189" s="212"/>
      <c r="G189" s="241"/>
      <c r="H189" s="214"/>
      <c r="I189" s="47"/>
      <c r="J189" s="69"/>
      <c r="K189" s="66"/>
      <c r="L189" s="47"/>
      <c r="M189" s="87"/>
      <c r="N189" s="72"/>
      <c r="O189" s="95"/>
      <c r="P189" s="153">
        <f t="shared" si="27"/>
        <v>0.02698</v>
      </c>
      <c r="Q189" s="153">
        <v>0.02705</v>
      </c>
      <c r="R189" s="143">
        <f aca="true" t="shared" si="28" ref="R189:R194">(Q189-P189)*20</f>
        <v>0.0014000000000000123</v>
      </c>
      <c r="S189" s="106"/>
      <c r="T189" s="124"/>
      <c r="U189" s="72"/>
      <c r="V189" s="161"/>
      <c r="W189" s="152"/>
      <c r="X189" s="110"/>
      <c r="Y189" s="110"/>
      <c r="Z189" s="110"/>
      <c r="AA189" s="48"/>
      <c r="AB189" s="176"/>
      <c r="AC189" s="176"/>
      <c r="AD189" s="177"/>
    </row>
    <row r="190" spans="1:30" ht="12.75">
      <c r="A190" s="244">
        <v>11</v>
      </c>
      <c r="B190" s="140" t="s">
        <v>244</v>
      </c>
      <c r="C190" s="216"/>
      <c r="D190" s="88">
        <v>3.26167</v>
      </c>
      <c r="E190" s="56">
        <f>(D190-D187)*Y$11</f>
        <v>0.7918000000000003</v>
      </c>
      <c r="F190" s="57"/>
      <c r="G190" s="217"/>
      <c r="H190" s="70"/>
      <c r="I190" s="47">
        <f>0.08*1.23</f>
        <v>0.0984</v>
      </c>
      <c r="J190" s="69"/>
      <c r="K190" s="77"/>
      <c r="L190" s="42">
        <f>(E190)*K190*1000</f>
        <v>0</v>
      </c>
      <c r="M190" s="76"/>
      <c r="N190" s="70"/>
      <c r="O190" s="83">
        <f>2.7*1.23</f>
        <v>3.321</v>
      </c>
      <c r="P190" s="153">
        <f t="shared" si="27"/>
        <v>0.25536</v>
      </c>
      <c r="Q190" s="153">
        <v>0.25552</v>
      </c>
      <c r="R190" s="153">
        <f t="shared" si="28"/>
        <v>0.00320000000000098</v>
      </c>
      <c r="S190" s="106"/>
      <c r="T190" s="124"/>
      <c r="U190" s="71"/>
      <c r="V190" s="145"/>
      <c r="W190" s="43"/>
      <c r="X190" s="43"/>
      <c r="Z190" s="21"/>
      <c r="AA190" s="74"/>
      <c r="AB190" s="74"/>
      <c r="AC190" s="74"/>
      <c r="AD190" s="97"/>
    </row>
    <row r="191" spans="1:30" ht="12.75">
      <c r="A191" s="245"/>
      <c r="B191" s="93">
        <v>229752254417</v>
      </c>
      <c r="C191" s="62" t="s">
        <v>245</v>
      </c>
      <c r="D191" s="99">
        <v>9.22551</v>
      </c>
      <c r="E191" s="55">
        <f>(D191-D188)*Y$11</f>
        <v>1.6262000000000043</v>
      </c>
      <c r="F191" s="208">
        <v>2.418</v>
      </c>
      <c r="G191" s="75"/>
      <c r="H191" s="138"/>
      <c r="I191" s="45">
        <f>4.31*1.23</f>
        <v>5.3012999999999995</v>
      </c>
      <c r="J191" s="45"/>
      <c r="K191" s="58"/>
      <c r="L191" s="64">
        <f>(E191)*K191*1000</f>
        <v>0</v>
      </c>
      <c r="M191" s="136"/>
      <c r="N191" s="137"/>
      <c r="O191" s="192">
        <f>(E190+E191)*1.39*1.23</f>
        <v>4.134054600000008</v>
      </c>
      <c r="P191" s="158">
        <f t="shared" si="27"/>
        <v>1.66329</v>
      </c>
      <c r="Q191" s="158">
        <v>1.68711</v>
      </c>
      <c r="R191" s="231">
        <f t="shared" si="28"/>
        <v>0.4764000000000035</v>
      </c>
      <c r="S191" s="157"/>
      <c r="T191" s="112"/>
      <c r="U191" s="59"/>
      <c r="V191" s="105"/>
      <c r="W191" s="63"/>
      <c r="X191" s="39"/>
      <c r="Y191" s="39"/>
      <c r="Z191" s="40"/>
      <c r="AA191" s="46">
        <v>40</v>
      </c>
      <c r="AB191" s="73">
        <v>8</v>
      </c>
      <c r="AC191" s="73"/>
      <c r="AD191" s="96"/>
    </row>
    <row r="192" spans="1:30" ht="12.75">
      <c r="A192" s="68"/>
      <c r="B192" s="140"/>
      <c r="C192" s="221"/>
      <c r="D192" s="232"/>
      <c r="E192" s="232"/>
      <c r="F192" s="212"/>
      <c r="G192" s="241"/>
      <c r="H192" s="214"/>
      <c r="I192" s="47"/>
      <c r="J192" s="69"/>
      <c r="K192" s="66"/>
      <c r="L192" s="47"/>
      <c r="M192" s="87"/>
      <c r="N192" s="72"/>
      <c r="O192" s="95"/>
      <c r="P192" s="153">
        <f>Q189</f>
        <v>0.02705</v>
      </c>
      <c r="Q192" s="153">
        <v>0.02705</v>
      </c>
      <c r="R192" s="143">
        <f t="shared" si="28"/>
        <v>0</v>
      </c>
      <c r="S192" s="106"/>
      <c r="T192" s="124"/>
      <c r="U192" s="72"/>
      <c r="V192" s="161"/>
      <c r="W192" s="152"/>
      <c r="X192" s="110"/>
      <c r="Y192" s="110"/>
      <c r="Z192" s="110"/>
      <c r="AA192" s="48"/>
      <c r="AB192" s="176"/>
      <c r="AC192" s="176"/>
      <c r="AD192" s="177"/>
    </row>
    <row r="193" spans="1:30" ht="12.75">
      <c r="A193" s="244">
        <v>12</v>
      </c>
      <c r="B193" s="140" t="s">
        <v>246</v>
      </c>
      <c r="C193" s="216"/>
      <c r="D193" s="88">
        <v>3.30298</v>
      </c>
      <c r="E193" s="56">
        <f>(D193-D190)*Y$11</f>
        <v>0.8261999999999947</v>
      </c>
      <c r="F193" s="57"/>
      <c r="G193" s="217"/>
      <c r="H193" s="70"/>
      <c r="I193" s="47">
        <f>0.08*1.23</f>
        <v>0.0984</v>
      </c>
      <c r="J193" s="69"/>
      <c r="K193" s="77"/>
      <c r="L193" s="42">
        <f>(E193)*K193*1000</f>
        <v>0</v>
      </c>
      <c r="M193" s="76"/>
      <c r="N193" s="70"/>
      <c r="O193" s="83">
        <f>2.7*1.23</f>
        <v>3.321</v>
      </c>
      <c r="P193" s="153">
        <f>Q190</f>
        <v>0.25552</v>
      </c>
      <c r="Q193" s="153">
        <v>0.25559</v>
      </c>
      <c r="R193" s="153">
        <f t="shared" si="28"/>
        <v>0.0013999999999991797</v>
      </c>
      <c r="S193" s="106"/>
      <c r="T193" s="124"/>
      <c r="U193" s="71"/>
      <c r="V193" s="145"/>
      <c r="W193" s="43"/>
      <c r="X193" s="43"/>
      <c r="Z193" s="21"/>
      <c r="AA193" s="74"/>
      <c r="AB193" s="74"/>
      <c r="AC193" s="74"/>
      <c r="AD193" s="97"/>
    </row>
    <row r="194" spans="1:30" ht="13.5" thickBot="1">
      <c r="A194" s="245"/>
      <c r="B194" s="93">
        <v>229752326060</v>
      </c>
      <c r="C194" s="62" t="s">
        <v>247</v>
      </c>
      <c r="D194" s="99">
        <v>9.31165</v>
      </c>
      <c r="E194" s="55">
        <f>(D194-D191)*Y$11</f>
        <v>1.7228000000000065</v>
      </c>
      <c r="F194" s="208"/>
      <c r="G194" s="243"/>
      <c r="H194" s="138"/>
      <c r="I194" s="45">
        <f>4.31*1.23</f>
        <v>5.3012999999999995</v>
      </c>
      <c r="J194" s="45"/>
      <c r="K194" s="58"/>
      <c r="L194" s="64">
        <f>(E194)*K194*1000</f>
        <v>0</v>
      </c>
      <c r="M194" s="136"/>
      <c r="N194" s="137"/>
      <c r="O194" s="192">
        <f>(E193+E194)*1.39*1.23</f>
        <v>4.358025300000001</v>
      </c>
      <c r="P194" s="158">
        <f>Q191</f>
        <v>1.68711</v>
      </c>
      <c r="Q194" s="158">
        <v>1.71687</v>
      </c>
      <c r="R194" s="231">
        <f t="shared" si="28"/>
        <v>0.5951999999999957</v>
      </c>
      <c r="S194" s="157"/>
      <c r="T194" s="112"/>
      <c r="U194" s="59"/>
      <c r="V194" s="105"/>
      <c r="W194" s="63"/>
      <c r="X194" s="39"/>
      <c r="Y194" s="39"/>
      <c r="Z194" s="40"/>
      <c r="AA194" s="46">
        <v>40</v>
      </c>
      <c r="AB194" s="73">
        <v>8</v>
      </c>
      <c r="AC194" s="73"/>
      <c r="AD194" s="96"/>
    </row>
    <row r="195" spans="1:30" ht="13.5" thickBot="1">
      <c r="A195" s="154"/>
      <c r="B195" s="242"/>
      <c r="C195" s="229"/>
      <c r="D195" s="159"/>
      <c r="E195" s="84"/>
      <c r="F195" s="212"/>
      <c r="G195" s="94"/>
      <c r="H195" s="214"/>
      <c r="I195" s="47"/>
      <c r="J195" s="47"/>
      <c r="K195" s="82"/>
      <c r="L195" s="47"/>
      <c r="M195" s="87"/>
      <c r="N195" s="72"/>
      <c r="O195" s="204"/>
      <c r="P195" s="153"/>
      <c r="Q195" s="153"/>
      <c r="R195" s="139"/>
      <c r="S195" s="89"/>
      <c r="T195" s="117"/>
      <c r="U195" s="72"/>
      <c r="V195" s="161"/>
      <c r="W195" s="66"/>
      <c r="X195" s="109"/>
      <c r="Y195" s="109"/>
      <c r="Z195" s="110"/>
      <c r="AA195" s="48"/>
      <c r="AB195" s="101"/>
      <c r="AC195" s="74"/>
      <c r="AD195" s="97"/>
    </row>
    <row r="196" spans="1:30" ht="12.75">
      <c r="A196" s="246" t="s">
        <v>222</v>
      </c>
      <c r="B196" s="247"/>
      <c r="C196" s="247"/>
      <c r="D196" s="248"/>
      <c r="E196" s="49" t="s">
        <v>102</v>
      </c>
      <c r="F196" s="219" t="s">
        <v>99</v>
      </c>
      <c r="G196" s="189"/>
      <c r="H196" s="190"/>
      <c r="I196" s="13"/>
      <c r="J196" s="13"/>
      <c r="K196" s="49"/>
      <c r="L196" s="49"/>
      <c r="M196" s="49"/>
      <c r="N196" s="49"/>
      <c r="O196" s="129">
        <f>O164+O167+O170+O176+O173+O179+O182+O185+O188+O191+O194</f>
        <v>49.97692457999996</v>
      </c>
      <c r="P196" s="38"/>
      <c r="Q196" s="172">
        <f>R196/E197</f>
        <v>0.2009300121434706</v>
      </c>
      <c r="R196" s="185">
        <f>SUM(R159:R194)</f>
        <v>6.783999999999999</v>
      </c>
      <c r="S196" s="125"/>
      <c r="T196" s="183"/>
      <c r="U196" s="181"/>
      <c r="V196" s="225"/>
      <c r="W196" s="226"/>
      <c r="X196" s="227" t="s">
        <v>102</v>
      </c>
      <c r="Y196" s="50"/>
      <c r="Z196" s="51"/>
      <c r="AA196" s="51"/>
      <c r="AB196" s="184">
        <f>AB197/AA197</f>
        <v>0.359375</v>
      </c>
      <c r="AC196" s="51"/>
      <c r="AD196" s="120"/>
    </row>
    <row r="197" spans="1:30" ht="13.5" thickBot="1">
      <c r="A197" s="249"/>
      <c r="B197" s="250"/>
      <c r="C197" s="250"/>
      <c r="D197" s="251"/>
      <c r="E197" s="60">
        <f>SUM(E159:E194)</f>
        <v>33.763000000000005</v>
      </c>
      <c r="F197" s="220">
        <f>SUM(F159:F194)</f>
        <v>35.168</v>
      </c>
      <c r="G197" s="52"/>
      <c r="H197" s="222"/>
      <c r="I197" s="90"/>
      <c r="J197" s="90"/>
      <c r="K197" s="90"/>
      <c r="L197" s="90">
        <f>SUM(L159:L194)</f>
        <v>0</v>
      </c>
      <c r="M197" s="90"/>
      <c r="N197" s="90">
        <f>SUM(N159:N194)</f>
        <v>0</v>
      </c>
      <c r="O197" s="90">
        <f>SUM(O159:O194)</f>
        <v>98.57413602</v>
      </c>
      <c r="P197" s="90"/>
      <c r="Q197" s="90"/>
      <c r="R197" s="156"/>
      <c r="S197" s="90"/>
      <c r="T197" s="119"/>
      <c r="U197" s="90"/>
      <c r="V197" s="90"/>
      <c r="W197" s="52"/>
      <c r="X197" s="90">
        <f>SUM(X159:X194)</f>
        <v>0</v>
      </c>
      <c r="Y197" s="90">
        <f>SUM(Y159:Y194)</f>
        <v>0</v>
      </c>
      <c r="Z197" s="53" t="e">
        <f>#REF!</f>
        <v>#REF!</v>
      </c>
      <c r="AA197" s="53">
        <f>AA161</f>
        <v>40</v>
      </c>
      <c r="AB197" s="53">
        <f>SUM(AB161:AB194)/8</f>
        <v>14.375</v>
      </c>
      <c r="AC197" s="53"/>
      <c r="AD197" s="54"/>
    </row>
    <row r="198" spans="1:10" ht="12.75">
      <c r="A198" t="s">
        <v>225</v>
      </c>
      <c r="F198" s="114">
        <f>F197-E197</f>
        <v>1.404999999999994</v>
      </c>
      <c r="G198" s="113"/>
      <c r="I198" s="234">
        <f>J176-J170</f>
        <v>0</v>
      </c>
      <c r="J198" s="235"/>
    </row>
  </sheetData>
  <sheetProtection/>
  <mergeCells count="70">
    <mergeCell ref="A156:D157"/>
    <mergeCell ref="A107:A108"/>
    <mergeCell ref="A139:A140"/>
    <mergeCell ref="A142:A143"/>
    <mergeCell ref="A145:A146"/>
    <mergeCell ref="A148:A149"/>
    <mergeCell ref="A151:A152"/>
    <mergeCell ref="A154:A155"/>
    <mergeCell ref="A104:A105"/>
    <mergeCell ref="A111:A112"/>
    <mergeCell ref="A116:A117"/>
    <mergeCell ref="A121:A122"/>
    <mergeCell ref="A127:A128"/>
    <mergeCell ref="A134:A135"/>
    <mergeCell ref="A66:A67"/>
    <mergeCell ref="A101:D102"/>
    <mergeCell ref="A84:A85"/>
    <mergeCell ref="A87:A88"/>
    <mergeCell ref="A90:A91"/>
    <mergeCell ref="A93:A94"/>
    <mergeCell ref="A8:C8"/>
    <mergeCell ref="A69:A70"/>
    <mergeCell ref="A72:A73"/>
    <mergeCell ref="A96:A97"/>
    <mergeCell ref="K13:N13"/>
    <mergeCell ref="M14:N16"/>
    <mergeCell ref="C12:C19"/>
    <mergeCell ref="A43:A44"/>
    <mergeCell ref="A22:A23"/>
    <mergeCell ref="A46:A47"/>
    <mergeCell ref="A12:A19"/>
    <mergeCell ref="AD12:AD19"/>
    <mergeCell ref="X13:Y13"/>
    <mergeCell ref="E12:H12"/>
    <mergeCell ref="I13:J16"/>
    <mergeCell ref="I12:N12"/>
    <mergeCell ref="A1:I1"/>
    <mergeCell ref="A6:AD6"/>
    <mergeCell ref="K14:L16"/>
    <mergeCell ref="A7:AD7"/>
    <mergeCell ref="P12:T12"/>
    <mergeCell ref="A34:A35"/>
    <mergeCell ref="A31:A32"/>
    <mergeCell ref="A25:A26"/>
    <mergeCell ref="A4:AD4"/>
    <mergeCell ref="A5:E5"/>
    <mergeCell ref="A58:A59"/>
    <mergeCell ref="A55:A56"/>
    <mergeCell ref="A52:A53"/>
    <mergeCell ref="A49:A50"/>
    <mergeCell ref="A37:A38"/>
    <mergeCell ref="A40:A41"/>
    <mergeCell ref="A160:A161"/>
    <mergeCell ref="A163:A164"/>
    <mergeCell ref="A166:A167"/>
    <mergeCell ref="A169:A170"/>
    <mergeCell ref="A172:A173"/>
    <mergeCell ref="A60:D61"/>
    <mergeCell ref="A99:A100"/>
    <mergeCell ref="A75:A76"/>
    <mergeCell ref="A78:A79"/>
    <mergeCell ref="A81:A82"/>
    <mergeCell ref="A193:A194"/>
    <mergeCell ref="A196:D197"/>
    <mergeCell ref="A175:A176"/>
    <mergeCell ref="A178:A179"/>
    <mergeCell ref="A181:A182"/>
    <mergeCell ref="A184:A185"/>
    <mergeCell ref="A187:A188"/>
    <mergeCell ref="A190:A191"/>
  </mergeCells>
  <printOptions horizontalCentered="1"/>
  <pageMargins left="0.4330708661417323" right="0.3937007874015748" top="0.7480314960629921" bottom="0.7480314960629921" header="0.5118110236220472" footer="0.5118110236220472"/>
  <pageSetup fitToHeight="1" fitToWidth="1" horizontalDpi="600" verticalDpi="600" orientation="landscape" paperSize="9" scale="49" r:id="rId3"/>
  <headerFooter alignWithMargins="0">
    <oddFooter>&amp;L&amp;D&amp;R&amp;24 167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A.G</dc:creator>
  <cp:keywords/>
  <dc:description/>
  <cp:lastModifiedBy>Chłosta Jacek</cp:lastModifiedBy>
  <cp:lastPrinted>2021-03-03T12:15:34Z</cp:lastPrinted>
  <dcterms:created xsi:type="dcterms:W3CDTF">2005-01-13T06:46:13Z</dcterms:created>
  <dcterms:modified xsi:type="dcterms:W3CDTF">2021-05-19T06:17:21Z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yp dokumentu">
    <vt:lpwstr>2;#Inne|465d675b-a273-4d73-a3b6-017cad232cb7</vt:lpwstr>
  </property>
  <property fmtid="{D5CDD505-2E9C-101B-9397-08002B2CF9AE}" pid="3" name="ob9fa15bf20b40409dd68acf32bcc64b">
    <vt:lpwstr>Inne|465d675b-a273-4d73-a3b6-017cad232cb7</vt:lpwstr>
  </property>
  <property fmtid="{D5CDD505-2E9C-101B-9397-08002B2CF9AE}" pid="4" name="TaxCatchAll">
    <vt:lpwstr>2;#Inne|465d675b-a273-4d73-a3b6-017cad232cb7</vt:lpwstr>
  </property>
  <property fmtid="{D5CDD505-2E9C-101B-9397-08002B2CF9AE}" pid="5" name="docIndexRef">
    <vt:lpwstr>8dbac603-518c-4c41-a386-562ca1682710</vt:lpwstr>
  </property>
  <property fmtid="{D5CDD505-2E9C-101B-9397-08002B2CF9AE}" pid="6" name="bjSaver">
    <vt:lpwstr>RjLI/aLD5d0lKpwVf0GQz5hWqhwgEUG0</vt:lpwstr>
  </property>
  <property fmtid="{D5CDD505-2E9C-101B-9397-08002B2CF9AE}" pid="7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8" name="bjDocumentLabelXML-0">
    <vt:lpwstr>ames.com/2008/01/sie/internal/label"&gt;&lt;element uid="d7220eed-17a6-431d-810c-83a0ddfed893" value="" /&gt;&lt;/sisl&gt;</vt:lpwstr>
  </property>
  <property fmtid="{D5CDD505-2E9C-101B-9397-08002B2CF9AE}" pid="9" name="bjDocumentSecurityLabel">
    <vt:lpwstr>[d7220eed-17a6-431d-810c-83a0ddfed893]</vt:lpwstr>
  </property>
  <property fmtid="{D5CDD505-2E9C-101B-9397-08002B2CF9AE}" pid="10" name="bjPortionMark">
    <vt:lpwstr>[JAW]</vt:lpwstr>
  </property>
  <property fmtid="{D5CDD505-2E9C-101B-9397-08002B2CF9AE}" pid="11" name="bjClsUserRVM">
    <vt:lpwstr>[]</vt:lpwstr>
  </property>
</Properties>
</file>