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095" tabRatio="165" activeTab="0"/>
  </bookViews>
  <sheets>
    <sheet name="Arkusz1" sheetId="1" r:id="rId1"/>
  </sheets>
  <definedNames>
    <definedName name="_xlnm.Print_Area" localSheetId="0">'Arkusz1'!$CE$1:$CH$137,'Arkusz1'!$A$1:$N$137</definedName>
    <definedName name="Z_A529B02A_8D7F_463C_829A_EAE9BFBD5192_.wvu.Cols" localSheetId="0" hidden="1">'Arkusz1'!$U:$U</definedName>
    <definedName name="Z_A529B02A_8D7F_463C_829A_EAE9BFBD5192_.wvu.PrintArea" localSheetId="0" hidden="1">'Arkusz1'!$CE$1:$CG$137</definedName>
    <definedName name="Z_A529B02A_8D7F_463C_829A_EAE9BFBD5192_.wvu.Rows" localSheetId="0" hidden="1">'Arkusz1'!$73:$73,'Arkusz1'!$138:$141</definedName>
    <definedName name="Z_BC4B1EB3_7CB4_49EB_8258_6944E7B725A4_.wvu.Cols" localSheetId="0" hidden="1">'Arkusz1'!$U:$U</definedName>
    <definedName name="Z_BC4B1EB3_7CB4_49EB_8258_6944E7B725A4_.wvu.PrintArea" localSheetId="0" hidden="1">'Arkusz1'!$CE$1:$CG$137</definedName>
    <definedName name="Z_BC4B1EB3_7CB4_49EB_8258_6944E7B725A4_.wvu.Rows" localSheetId="0" hidden="1">'Arkusz1'!$73:$73,'Arkusz1'!$138:$141</definedName>
    <definedName name="Z_CCDD8289_A47D_4011_851A_E7C85414842C_.wvu.Cols" localSheetId="0" hidden="1">'Arkusz1'!$U:$U</definedName>
    <definedName name="Z_CCDD8289_A47D_4011_851A_E7C85414842C_.wvu.PrintArea" localSheetId="0" hidden="1">'Arkusz1'!$CE$1:$CG$137</definedName>
    <definedName name="Z_CCDD8289_A47D_4011_851A_E7C85414842C_.wvu.Rows" localSheetId="0" hidden="1">'Arkusz1'!$73:$73,'Arkusz1'!$138:$141</definedName>
  </definedNames>
  <calcPr fullCalcOnLoad="1"/>
</workbook>
</file>

<file path=xl/sharedStrings.xml><?xml version="1.0" encoding="utf-8"?>
<sst xmlns="http://schemas.openxmlformats.org/spreadsheetml/2006/main" count="719" uniqueCount="426">
  <si>
    <t>Lp</t>
  </si>
  <si>
    <t>Nazwa</t>
  </si>
  <si>
    <t>płytki PCW m2</t>
  </si>
  <si>
    <t>rulon PCW m2</t>
  </si>
  <si>
    <t>tarket m2</t>
  </si>
  <si>
    <t>terakota m2</t>
  </si>
  <si>
    <t>cementowa m2</t>
  </si>
  <si>
    <t>dywan chodn m2</t>
  </si>
  <si>
    <t>parkiet m2</t>
  </si>
  <si>
    <t>marmur m2</t>
  </si>
  <si>
    <t>lastriko m2</t>
  </si>
  <si>
    <t>ściany olej m2</t>
  </si>
  <si>
    <t>ściany glazur m2</t>
  </si>
  <si>
    <t>boazeria m2</t>
  </si>
  <si>
    <t>sufit emuls m2</t>
  </si>
  <si>
    <t>okna pcw m2</t>
  </si>
  <si>
    <t>wanny szt</t>
  </si>
  <si>
    <t>wanienki szt</t>
  </si>
  <si>
    <t>grzejnik favier mb</t>
  </si>
  <si>
    <t>grzejnik rurowy mb</t>
  </si>
  <si>
    <t>umywalka z baterią szt</t>
  </si>
  <si>
    <t>zlewozmywak z baterią szt</t>
  </si>
  <si>
    <t>zlew z bat szt</t>
  </si>
  <si>
    <t>neurologia + hol wewn</t>
  </si>
  <si>
    <t>chirurgia II + hol wind</t>
  </si>
  <si>
    <t>noworodki</t>
  </si>
  <si>
    <t>opieka paliatywna</t>
  </si>
  <si>
    <t>O I T</t>
  </si>
  <si>
    <t>stacja dializ</t>
  </si>
  <si>
    <t>blok operacyjny strefa zielona</t>
  </si>
  <si>
    <t>blok operacyjny strefa niebieska</t>
  </si>
  <si>
    <t>blok operacyjny strefa żółta</t>
  </si>
  <si>
    <t>razem blok</t>
  </si>
  <si>
    <t>apteka szpitalna</t>
  </si>
  <si>
    <t>pow drzwi drew m2</t>
  </si>
  <si>
    <t>parapet blaszany szt</t>
  </si>
  <si>
    <t>parapet PCW szt</t>
  </si>
  <si>
    <t>łóżko niemowl. Szt</t>
  </si>
  <si>
    <t>łóżko rehab ortop łamane szt</t>
  </si>
  <si>
    <t>stojak kropl mb</t>
  </si>
  <si>
    <t>lampa jarzen szt</t>
  </si>
  <si>
    <t>halogen compact szt</t>
  </si>
  <si>
    <t>miska ustęp szt</t>
  </si>
  <si>
    <t>spłuczka szt</t>
  </si>
  <si>
    <t>kabina sanitarna szt</t>
  </si>
  <si>
    <t>brodzik szt</t>
  </si>
  <si>
    <t>pisuar szt</t>
  </si>
  <si>
    <t>bidet szt</t>
  </si>
  <si>
    <t>zestaw nadłóżkowy szt</t>
  </si>
  <si>
    <t>krzesło tw szt</t>
  </si>
  <si>
    <t>krzesło tap szt</t>
  </si>
  <si>
    <t>taborety różne szt</t>
  </si>
  <si>
    <t>fotele tapic różne szt</t>
  </si>
  <si>
    <t>kozetka szt</t>
  </si>
  <si>
    <t>skrzynia na nosze szt</t>
  </si>
  <si>
    <t>parawan mb</t>
  </si>
  <si>
    <t>wiadro pedał szt</t>
  </si>
  <si>
    <t>stolik świetlic. Szt</t>
  </si>
  <si>
    <t>szyby balustrad m2</t>
  </si>
  <si>
    <t>żaluzje pionowe m2</t>
  </si>
  <si>
    <t>żaluzje poziome m2</t>
  </si>
  <si>
    <t xml:space="preserve"> </t>
  </si>
  <si>
    <t>pow metalowe m2</t>
  </si>
  <si>
    <t>suszarka do rąk szt</t>
  </si>
  <si>
    <t>gress anty m2</t>
  </si>
  <si>
    <t>parapet lastriko i mal szt</t>
  </si>
  <si>
    <t>balustrada mb</t>
  </si>
  <si>
    <t>biurko szt</t>
  </si>
  <si>
    <t>krata m2</t>
  </si>
  <si>
    <t>OGÓŁEM:</t>
  </si>
  <si>
    <t>ławki twarde</t>
  </si>
  <si>
    <t>ławki tapicer</t>
  </si>
  <si>
    <t>apteka ogólnodostępna</t>
  </si>
  <si>
    <t>pow pion.</t>
  </si>
  <si>
    <t>pow poziom</t>
  </si>
  <si>
    <t>I interna i gastroenter.+ hol wewn</t>
  </si>
  <si>
    <t>II interna i endokrynol.+ hol wind</t>
  </si>
  <si>
    <t>kardiologia + hol wewn</t>
  </si>
  <si>
    <t>położnictwo i trakt porodowy</t>
  </si>
  <si>
    <t>dziecięcy</t>
  </si>
  <si>
    <t>Zakład Diagnostyki Obrazowej</t>
  </si>
  <si>
    <t>Zakład Rehabilitacji</t>
  </si>
  <si>
    <t>Zakład Mikrobiologii Lekarskiej</t>
  </si>
  <si>
    <t>Centralne Laboratorium Analityczne</t>
  </si>
  <si>
    <t>Bank krwi</t>
  </si>
  <si>
    <t>Udział poszczególnych stref sanitarnych</t>
  </si>
  <si>
    <t>ginekologia</t>
  </si>
  <si>
    <t>sterylizacja - socjal</t>
  </si>
  <si>
    <t>okna i śc dr. szklone m2</t>
  </si>
  <si>
    <t>Konto kosztów</t>
  </si>
  <si>
    <t>501-01-00</t>
  </si>
  <si>
    <t>laryngologia + hol wewn</t>
  </si>
  <si>
    <t>501-02-00</t>
  </si>
  <si>
    <t>okulistyka + hol wind</t>
  </si>
  <si>
    <t>501-03-00</t>
  </si>
  <si>
    <t>urologia + hol wind</t>
  </si>
  <si>
    <t>501-04-00</t>
  </si>
  <si>
    <t>501-05-00</t>
  </si>
  <si>
    <t>501-06-00</t>
  </si>
  <si>
    <t>501-07-00</t>
  </si>
  <si>
    <t>ortopedia i chir urazowa + hol wind</t>
  </si>
  <si>
    <t>501-08-00</t>
  </si>
  <si>
    <t>I chirurgia + hol wewn</t>
  </si>
  <si>
    <t>501-09-00</t>
  </si>
  <si>
    <t>501-10-00</t>
  </si>
  <si>
    <t>501-11-00</t>
  </si>
  <si>
    <t>501-12-00</t>
  </si>
  <si>
    <t>501-13-00</t>
  </si>
  <si>
    <t>501-15-00</t>
  </si>
  <si>
    <t>501-16-00</t>
  </si>
  <si>
    <t>501-17-00</t>
  </si>
  <si>
    <t>oddział ratunkowy</t>
  </si>
  <si>
    <t>501-18-00</t>
  </si>
  <si>
    <t>501-19-00</t>
  </si>
  <si>
    <t>501-50-00</t>
  </si>
  <si>
    <t>obsługa szpitala</t>
  </si>
  <si>
    <t>501-50-04</t>
  </si>
  <si>
    <t>obsługa oddziały szpitala</t>
  </si>
  <si>
    <t>501-50-06</t>
  </si>
  <si>
    <t>komórka p-poż</t>
  </si>
  <si>
    <t>502-01-00</t>
  </si>
  <si>
    <t>poradnia chorób płuc</t>
  </si>
  <si>
    <t>502-02-00</t>
  </si>
  <si>
    <t>por ginek-położnicza</t>
  </si>
  <si>
    <t>502-03-00</t>
  </si>
  <si>
    <t>por chirurgii dzieci</t>
  </si>
  <si>
    <t>502-04-00</t>
  </si>
  <si>
    <t>poradnia mchirurgiczna</t>
  </si>
  <si>
    <t>502-05-00</t>
  </si>
  <si>
    <t>poradnia onkologiczna</t>
  </si>
  <si>
    <t>502-06-00</t>
  </si>
  <si>
    <t>poradnia kardiologiczna</t>
  </si>
  <si>
    <t>502-07-00</t>
  </si>
  <si>
    <t>poradnia reumatologiczna</t>
  </si>
  <si>
    <t>502-08-00</t>
  </si>
  <si>
    <t>poradnia gastroenterologiczna</t>
  </si>
  <si>
    <t>502-09-00</t>
  </si>
  <si>
    <t>poradnia okulistyczna</t>
  </si>
  <si>
    <t>502-10-00</t>
  </si>
  <si>
    <t>por urazowo-ortopedyczna</t>
  </si>
  <si>
    <t>502-11-00</t>
  </si>
  <si>
    <t>poradnia zdrowia psychicz.</t>
  </si>
  <si>
    <t>502-12-00</t>
  </si>
  <si>
    <t>poradnia urologiczna</t>
  </si>
  <si>
    <t>502-13-00</t>
  </si>
  <si>
    <t>por chirurgii stomatolog</t>
  </si>
  <si>
    <t>502-14-00</t>
  </si>
  <si>
    <t>poradnia neurologiczna</t>
  </si>
  <si>
    <t>502-15-00</t>
  </si>
  <si>
    <t>poradnia nafrologiczna</t>
  </si>
  <si>
    <t>502-16-00</t>
  </si>
  <si>
    <t>por paliatywna i walki z bólem</t>
  </si>
  <si>
    <t>502-17-00</t>
  </si>
  <si>
    <t>poradnia cukrzycowa</t>
  </si>
  <si>
    <t>502-18-00</t>
  </si>
  <si>
    <t>poradnia neurochirurgiczna</t>
  </si>
  <si>
    <t>502-19-00</t>
  </si>
  <si>
    <t>poradnia rehabilitacyjna</t>
  </si>
  <si>
    <t>502-20-00</t>
  </si>
  <si>
    <t>por alergologiczna dla dzieci</t>
  </si>
  <si>
    <t>502-21-00</t>
  </si>
  <si>
    <t>por alergologiczna dla dorosłych</t>
  </si>
  <si>
    <t>502-22-00</t>
  </si>
  <si>
    <t>por anestezjologii i leczenia bólu</t>
  </si>
  <si>
    <t>502-23-00</t>
  </si>
  <si>
    <t>poradnia psychologiczna</t>
  </si>
  <si>
    <t>502-24-00</t>
  </si>
  <si>
    <t>poradnia endokrynologiczna</t>
  </si>
  <si>
    <t>502-25-00</t>
  </si>
  <si>
    <t>poradnia laktacyjna</t>
  </si>
  <si>
    <t>502-27-00</t>
  </si>
  <si>
    <t>poradnia laryngologiczna</t>
  </si>
  <si>
    <t>502-28-00</t>
  </si>
  <si>
    <t>poradnia dermatologiczna</t>
  </si>
  <si>
    <t>502-29-00</t>
  </si>
  <si>
    <t>poradnia neurologii dziecięcej</t>
  </si>
  <si>
    <t>502-30-00</t>
  </si>
  <si>
    <t>poradnia chirurgii naczyń</t>
  </si>
  <si>
    <t>502-31-00</t>
  </si>
  <si>
    <t>502-50-00</t>
  </si>
  <si>
    <t>obsługa (pom wspólne)</t>
  </si>
  <si>
    <t>rejestracja</t>
  </si>
  <si>
    <t>gabinet zabiegowy</t>
  </si>
  <si>
    <t>505-01-00</t>
  </si>
  <si>
    <t>poradnia ogólna MP</t>
  </si>
  <si>
    <t>510-01-00</t>
  </si>
  <si>
    <t>510-02-00</t>
  </si>
  <si>
    <t>izba przyj ginekol-połoznicza</t>
  </si>
  <si>
    <t>511-01-00</t>
  </si>
  <si>
    <t>511-02-00</t>
  </si>
  <si>
    <t>sala operacyjna laryngologiczna</t>
  </si>
  <si>
    <t>511-03-00</t>
  </si>
  <si>
    <t>511-04-00</t>
  </si>
  <si>
    <t>sala operacyjna okulistyczna</t>
  </si>
  <si>
    <t>sala operacyjna ginekologiczna</t>
  </si>
  <si>
    <t>511-05-00</t>
  </si>
  <si>
    <t>sala operacyjna endoskopowa</t>
  </si>
  <si>
    <t>511-06-00</t>
  </si>
  <si>
    <t>anestezjologia</t>
  </si>
  <si>
    <t>511-07-00</t>
  </si>
  <si>
    <t>chirurgia 1-dnia</t>
  </si>
  <si>
    <t>512-01-00</t>
  </si>
  <si>
    <t>512-02-00</t>
  </si>
  <si>
    <t>512-07-00</t>
  </si>
  <si>
    <t>512-10-00</t>
  </si>
  <si>
    <t>Pracownia Hemodynamiki</t>
  </si>
  <si>
    <t>512-11-00</t>
  </si>
  <si>
    <t>Pracownia EKG</t>
  </si>
  <si>
    <t>512-12-00</t>
  </si>
  <si>
    <t>Pracownia EEG</t>
  </si>
  <si>
    <t>512-13-00</t>
  </si>
  <si>
    <t>Pracownia Sekcyjna</t>
  </si>
  <si>
    <t>512-14-00</t>
  </si>
  <si>
    <t>Pracownia Histopatologiczna</t>
  </si>
  <si>
    <t>512-15-00</t>
  </si>
  <si>
    <t>512-17-00</t>
  </si>
  <si>
    <t>Prac endoskopii gastroenterolog.</t>
  </si>
  <si>
    <t>512-19-00</t>
  </si>
  <si>
    <t>Pracownia Echokardiograf.</t>
  </si>
  <si>
    <t>512-20-00</t>
  </si>
  <si>
    <t>Pracownia Serologii</t>
  </si>
  <si>
    <t>512-21-00</t>
  </si>
  <si>
    <t>zespół ds..żywienia pozajelit.</t>
  </si>
  <si>
    <t>512-22-00</t>
  </si>
  <si>
    <t>Pracownia USG poł-ginekol</t>
  </si>
  <si>
    <t>513-01-00</t>
  </si>
  <si>
    <t>513-02-00</t>
  </si>
  <si>
    <t>statystyka szpitalna</t>
  </si>
  <si>
    <t>520-01-00</t>
  </si>
  <si>
    <t>centralna sterylizacja</t>
  </si>
  <si>
    <t>520-04-00</t>
  </si>
  <si>
    <t>Przechowalnia zwłok</t>
  </si>
  <si>
    <t>520-05-00</t>
  </si>
  <si>
    <t>dział kons i napr sprzeętu med..</t>
  </si>
  <si>
    <t>520-05-01</t>
  </si>
  <si>
    <t>centrala telefoniczna</t>
  </si>
  <si>
    <t>520-07-00</t>
  </si>
  <si>
    <t>Dział Transportu</t>
  </si>
  <si>
    <t>520-10-00</t>
  </si>
  <si>
    <t>521-01-00</t>
  </si>
  <si>
    <t>Admin Działu Technicznego</t>
  </si>
  <si>
    <t>521-02-00</t>
  </si>
  <si>
    <t>Warsztaty</t>
  </si>
  <si>
    <t>521-03-00</t>
  </si>
  <si>
    <t>Sekcja URE i AKP</t>
  </si>
  <si>
    <t>521-04-00</t>
  </si>
  <si>
    <t>Wentylacja-klimatyzacja</t>
  </si>
  <si>
    <t>521-05-00</t>
  </si>
  <si>
    <t>Sekcja Ciepłowni</t>
  </si>
  <si>
    <t>521-06-00</t>
  </si>
  <si>
    <t>Gospodarka odpadami</t>
  </si>
  <si>
    <t>521-07-00</t>
  </si>
  <si>
    <t>Gazy medyczne</t>
  </si>
  <si>
    <t>521-08-00</t>
  </si>
  <si>
    <t>Sieci Wod-kan</t>
  </si>
  <si>
    <t>545-02-00</t>
  </si>
  <si>
    <t>Dział admin-Gospod</t>
  </si>
  <si>
    <t>545-03-00</t>
  </si>
  <si>
    <t>Dział ekenomiczno-finansowy</t>
  </si>
  <si>
    <t>545-04-00</t>
  </si>
  <si>
    <t>Dział Kadr</t>
  </si>
  <si>
    <t>545-05-00</t>
  </si>
  <si>
    <t>Dział zaopatrzenia</t>
  </si>
  <si>
    <t>545-06-00</t>
  </si>
  <si>
    <t>Marketing</t>
  </si>
  <si>
    <t>545-07-00</t>
  </si>
  <si>
    <t>Zamówienia Publiczne</t>
  </si>
  <si>
    <t>545-08-00</t>
  </si>
  <si>
    <t>Pracownicza Por Med. Pracy</t>
  </si>
  <si>
    <t>545-09-00</t>
  </si>
  <si>
    <t>Dział Zakaż Szpit i Monit Jakości</t>
  </si>
  <si>
    <t>545-10-00</t>
  </si>
  <si>
    <t>Dział Organizacyjno Prawny</t>
  </si>
  <si>
    <t>545-11-00</t>
  </si>
  <si>
    <t>Stanowisko ds. BHP</t>
  </si>
  <si>
    <t>545-12-00</t>
  </si>
  <si>
    <t>Stanowisko ds. Obrony Cywil</t>
  </si>
  <si>
    <t>550-01-00</t>
  </si>
  <si>
    <t>Dyrekcja</t>
  </si>
  <si>
    <t>503-01-00</t>
  </si>
  <si>
    <t>Ratownictwo Medyczne Zespół S</t>
  </si>
  <si>
    <t>503-02-00</t>
  </si>
  <si>
    <t>Ratownictwo Medyczne Zespół M</t>
  </si>
  <si>
    <t>503-05-00</t>
  </si>
  <si>
    <t>503-50-00</t>
  </si>
  <si>
    <t>Obsługa Pogotowia</t>
  </si>
  <si>
    <t>503-51-00</t>
  </si>
  <si>
    <t>Dyspozytornia</t>
  </si>
  <si>
    <t>545-50-00</t>
  </si>
  <si>
    <t>Obsługa</t>
  </si>
  <si>
    <t>520-08-00</t>
  </si>
  <si>
    <t>Transport - Dializy</t>
  </si>
  <si>
    <t>520-09-00</t>
  </si>
  <si>
    <t>Transport Sanitarny (T-1; T-2)</t>
  </si>
  <si>
    <t>poradnia okulistyczna z OCT</t>
  </si>
  <si>
    <t>502-51-00</t>
  </si>
  <si>
    <t>502-52-00</t>
  </si>
  <si>
    <t>izba przyjęć</t>
  </si>
  <si>
    <t>Dział kons i napr sprz med.-warsztat</t>
  </si>
  <si>
    <t>520-06-00</t>
  </si>
  <si>
    <t>sciany lateks m2</t>
  </si>
  <si>
    <t>sciany em/ak m2</t>
  </si>
  <si>
    <t>grzejnik Conv. Szt.</t>
  </si>
  <si>
    <t>stolik chorego szt</t>
  </si>
  <si>
    <t>scianki alu PCW drzwi szkl m2</t>
  </si>
  <si>
    <t>łóżko dziecięce/niemowl szt</t>
  </si>
  <si>
    <t>łóżko szpitalne/porod szt</t>
  </si>
  <si>
    <t>grzejnik radiat szt żeber</t>
  </si>
  <si>
    <t>stelaże inne mb</t>
  </si>
  <si>
    <t>pow drzwi alum PCV   m2</t>
  </si>
  <si>
    <t>poradnia chirurgiczna</t>
  </si>
  <si>
    <t>poradnia nefrologiczna</t>
  </si>
  <si>
    <t>roleta , roletki m2</t>
  </si>
  <si>
    <t>schody lastr gtrs, terkett szt</t>
  </si>
  <si>
    <t>obsługa oddziały szpit-kapl depoz bibl</t>
  </si>
  <si>
    <t>wersalki, kanapy szt</t>
  </si>
  <si>
    <t>lampa bakteriob szt</t>
  </si>
  <si>
    <t>okna alum/stal m2</t>
  </si>
  <si>
    <t>II B=100,0%</t>
  </si>
  <si>
    <t>IV = 100,0%</t>
  </si>
  <si>
    <t>I = 16%; II A = 47%; II B = 20%; IV = 17%</t>
  </si>
  <si>
    <t>II B= 93%; IV = 7%</t>
  </si>
  <si>
    <t>II A = 33%; II B = 53%; III B = 11%; IV = 3%</t>
  </si>
  <si>
    <t>II A = 83%; IV = 17%</t>
  </si>
  <si>
    <t>IIA = 50%; III B = 50%</t>
  </si>
  <si>
    <t>II A = 25%; III B = 75%</t>
  </si>
  <si>
    <t>II A = 100%</t>
  </si>
  <si>
    <t>II A = 100 %</t>
  </si>
  <si>
    <t>II A = 50=%; III B = 50%</t>
  </si>
  <si>
    <t>III B = 100 %</t>
  </si>
  <si>
    <t>II A - 100 %</t>
  </si>
  <si>
    <t>II A = 50%; III B = 50%</t>
  </si>
  <si>
    <t>II A = 67%; III B = 33%</t>
  </si>
  <si>
    <t>II A = 80%; III B = 20%</t>
  </si>
  <si>
    <t>II B = 100%</t>
  </si>
  <si>
    <t>II A = 28%; III A = 62%; IV = 10%</t>
  </si>
  <si>
    <t>II A = 19%; II B = 4% ; IV = 77%</t>
  </si>
  <si>
    <t>II A = 21%; III B = 75%; iv = 4%</t>
  </si>
  <si>
    <t>II A = 70%; II B = 13%; III B = 7%; IV = 10%</t>
  </si>
  <si>
    <t>II A = 66%; II B = 14%; III B = 9%; IV = 11%</t>
  </si>
  <si>
    <t>II A = 72%; II B = 9%; III B = 10%; IV = 9%</t>
  </si>
  <si>
    <t>II A = 73%; II B = 12%; III B = 4%; IV = 11%</t>
  </si>
  <si>
    <t>II A = 74%; II B = 9%; III B = 9%; IV = 8%</t>
  </si>
  <si>
    <t>II A = 73%; II B = 9%; III B = 10%; IV = 8%</t>
  </si>
  <si>
    <t>II A = 70%; II B = 9%; III B = 13%; IV = 8%</t>
  </si>
  <si>
    <t>II A = 71%; II B = 10%; III B = 10%; IV = 9%</t>
  </si>
  <si>
    <t>II A = 68%; II B = 2%; III A = 19%; III B = 4%; IV = 7%</t>
  </si>
  <si>
    <t>II A = 80%; III B = 17%; IV = 3%</t>
  </si>
  <si>
    <t>II A = 73%; II B = 14%; III B = 5%; IV = 8%</t>
  </si>
  <si>
    <t>II A = 87%; IIIB = 4%; IV = 9%</t>
  </si>
  <si>
    <t>I A = 6%; II A = 19%; III B = 72%; IV = 3%</t>
  </si>
  <si>
    <t>II A = 83%; III B = 9%; IV = 8%</t>
  </si>
  <si>
    <t>II A = 69%; III B = 31%</t>
  </si>
  <si>
    <t>II A = 58=%; III B = 42%</t>
  </si>
  <si>
    <t>I = 100%</t>
  </si>
  <si>
    <t>I = 2%; II A = 25%; III A = 38%; III B - 27%; IV = 8%</t>
  </si>
  <si>
    <t>II A = 19%; II B = 37%; III B = 35%; IV = 9</t>
  </si>
  <si>
    <t>I = 5%; III A = 85%; IV = 10%</t>
  </si>
  <si>
    <t>II A = 86%; IV = 14%</t>
  </si>
  <si>
    <t>II A = 27%; III B = 65%; IV = 8%</t>
  </si>
  <si>
    <t>I = 6%; II A = 34%; II B = 26%; III A = 30%; IV = 4 %</t>
  </si>
  <si>
    <t>II A = 88%; III A = 5%; III B = 2%; IV = 5%</t>
  </si>
  <si>
    <t>inne meble, steryliz, biurowe szt</t>
  </si>
  <si>
    <t>Wyposaż. Technol sterylizacji szt.</t>
  </si>
  <si>
    <t>Lampa kaseton szt</t>
  </si>
  <si>
    <t>nie bierze udziału w sprzątaniu</t>
  </si>
  <si>
    <t>I = 2%; II A = 26%; II B = 71%; IV = 1%</t>
  </si>
  <si>
    <t>I oddz. Chor. Wewn.+ hol wewn</t>
  </si>
  <si>
    <t>II oddz. Chor. Wewn..+ hol wind</t>
  </si>
  <si>
    <t>neonatologia</t>
  </si>
  <si>
    <t>511-08-00</t>
  </si>
  <si>
    <t>sala cięciowa</t>
  </si>
  <si>
    <t>ortopedia i chir urazowa</t>
  </si>
  <si>
    <t>510-03-00</t>
  </si>
  <si>
    <t>plafoniery</t>
  </si>
  <si>
    <t>dozowniki na płyny podj pap</t>
  </si>
  <si>
    <t>Opieka nocna i świąt - szpital</t>
  </si>
  <si>
    <t>kardiologia + hol wewn i wind</t>
  </si>
  <si>
    <t>tarket antys b-stat. m2</t>
  </si>
  <si>
    <t>512-23-00</t>
  </si>
  <si>
    <t>Pracownia Cytostatyki</t>
  </si>
  <si>
    <t>II A = 52%; III A = 42%; IV = 6%</t>
  </si>
  <si>
    <t>IIA=26%; II B=39,0%; III B=26%; IV=9,0%</t>
  </si>
  <si>
    <t>I = 19%; II A = 19%; III A = 62%</t>
  </si>
  <si>
    <t>II B Strefa czystości ogólnej  - 65 %; III Strefa czystości zmiennej B - 29 %; IV Strefa ciągłego skażenia - 6 %</t>
  </si>
  <si>
    <t>II A Strefa czystości ogólnej - 5 %; II B Strefa czystości ogólnej - 79 %; IV Strefa ciagłego skażenia - 16 %</t>
  </si>
  <si>
    <t>Pralnia - pomieszczenia nieprodukcyjne</t>
  </si>
  <si>
    <t>Rezonans magnetyczny</t>
  </si>
  <si>
    <t>II A Strefa czystości ogólnej - 88 %;   IV Strefa ciagłego skażenia - 12 %</t>
  </si>
  <si>
    <t>540-12-00</t>
  </si>
  <si>
    <t>Firma komputerowa</t>
  </si>
  <si>
    <t xml:space="preserve">II B Strefa czystości ogólnej  - 100 %; </t>
  </si>
  <si>
    <t>sprzątanie 2x w tygodniu</t>
  </si>
  <si>
    <t>Zespół Ratownictwa Med. Janikowo</t>
  </si>
  <si>
    <t>Zespół Ratownictwa Med. Gniewkowo</t>
  </si>
  <si>
    <t>Zespół Ratownictwa Med. Kruszwica</t>
  </si>
  <si>
    <t>II B Strefa czystości ogólnej  - 80 %;   IV Strefa ciągłego skażenia - 20 %</t>
  </si>
  <si>
    <t>Uwaga poz. 126-128 - sprzątanie 2x w tygodniu</t>
  </si>
  <si>
    <t>chirurgia ogólna, chirurgia onkologiczna i chemioterapii + hol wewn</t>
  </si>
  <si>
    <t>poradnia chirurgi onkologicznej</t>
  </si>
  <si>
    <t>poradnia diabetologiczna</t>
  </si>
  <si>
    <t>501-09-01</t>
  </si>
  <si>
    <t>oddział chirurgii ogólnej -chemioterapia</t>
  </si>
  <si>
    <t xml:space="preserve">położnictwo </t>
  </si>
  <si>
    <t>poradnia  prolaktacyjna</t>
  </si>
  <si>
    <t>obsługa przychodni przyszpitalnej (pom wspólne)</t>
  </si>
  <si>
    <t>Pracownia Rehabilitacji</t>
  </si>
  <si>
    <t>obsługa administracyjna</t>
  </si>
  <si>
    <t>poradnia chiururgi onkol., poradnia onkol., poradnia hematolog.</t>
  </si>
  <si>
    <t>502-32-00, 502-33-00, 502-34-00</t>
  </si>
  <si>
    <t>Specjalistyczny Zespół Ratownictwa Medycznego Zespół S</t>
  </si>
  <si>
    <t>Podstawowy Zespół Ratownictwa Medycznego Zespół P</t>
  </si>
  <si>
    <t>Nocna i Świąteczna Opieka Lekarska i Pielęgniarska, Transport</t>
  </si>
  <si>
    <t>Obsługa Zakładu Pomocy Doraźnej i Ratownictwa Medycznego</t>
  </si>
  <si>
    <t>Zespół Transportu Sanitarnego - Dializy</t>
  </si>
  <si>
    <t>Zespół Transportu Sanitarnego (T-1; T-2)</t>
  </si>
  <si>
    <t>Dział Spraw Pracowniczych</t>
  </si>
  <si>
    <t xml:space="preserve">Załącznik nr 6.  Wykaz powierzchni do utrzymania porządku i czystości  </t>
  </si>
  <si>
    <t>nieścisłość:</t>
  </si>
  <si>
    <t xml:space="preserve"> suma metrów posadzki</t>
  </si>
  <si>
    <t>II B = 36,0%; III B 64,0%</t>
  </si>
  <si>
    <t>IV = 100%</t>
  </si>
  <si>
    <t>I = 11%; II A = 20%; IIB=5%, III A = 27%; III B = 31%; IV = 6%</t>
  </si>
  <si>
    <t xml:space="preserve"> IV =100 %</t>
  </si>
  <si>
    <t>IIA=100,0%</t>
  </si>
  <si>
    <t>II=100,0%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</si>
</sst>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</numFmts>
  <fonts count="59">
    <font>
      <sz val="10"/>
      <name val="Arial CE"/>
      <family val="0"/>
    </font>
    <font>
      <b/>
      <sz val="12"/>
      <name val="Times New Roman CE"/>
      <family val="1"/>
    </font>
    <font>
      <sz val="9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color indexed="62"/>
      <name val="Arial CE"/>
      <family val="2"/>
    </font>
    <font>
      <sz val="8"/>
      <color indexed="57"/>
      <name val="Arial CE"/>
      <family val="2"/>
    </font>
    <font>
      <sz val="8"/>
      <color indexed="10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sz val="7"/>
      <color indexed="57"/>
      <name val="Arial CE"/>
      <family val="0"/>
    </font>
    <font>
      <sz val="6"/>
      <name val="Arial CE"/>
      <family val="0"/>
    </font>
    <font>
      <sz val="6"/>
      <color indexed="57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40"/>
      <name val="Arial CE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rgb="FF00B0F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6" fontId="2" fillId="0" borderId="0" xfId="0" applyNumberFormat="1" applyFont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166" fontId="3" fillId="35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66" fontId="55" fillId="0" borderId="0" xfId="0" applyNumberFormat="1" applyFont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 wrapText="1"/>
    </xf>
    <xf numFmtId="166" fontId="54" fillId="0" borderId="10" xfId="0" applyNumberFormat="1" applyFont="1" applyFill="1" applyBorder="1" applyAlignment="1">
      <alignment horizontal="center" vertical="center" wrapText="1"/>
    </xf>
    <xf numFmtId="166" fontId="54" fillId="33" borderId="10" xfId="0" applyNumberFormat="1" applyFont="1" applyFill="1" applyBorder="1" applyAlignment="1">
      <alignment horizontal="center" vertical="center" wrapText="1"/>
    </xf>
    <xf numFmtId="166" fontId="54" fillId="35" borderId="10" xfId="0" applyNumberFormat="1" applyFont="1" applyFill="1" applyBorder="1" applyAlignment="1">
      <alignment horizontal="center" vertical="center" wrapText="1"/>
    </xf>
    <xf numFmtId="166" fontId="56" fillId="0" borderId="10" xfId="0" applyNumberFormat="1" applyFont="1" applyBorder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66" fontId="54" fillId="0" borderId="0" xfId="0" applyNumberFormat="1" applyFont="1" applyFill="1" applyAlignment="1">
      <alignment horizontal="center" vertical="center" wrapText="1"/>
    </xf>
    <xf numFmtId="166" fontId="5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166" fontId="14" fillId="35" borderId="1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166" fontId="14" fillId="33" borderId="13" xfId="0" applyNumberFormat="1" applyFont="1" applyFill="1" applyBorder="1" applyAlignment="1">
      <alignment horizontal="center" vertical="center" wrapText="1"/>
    </xf>
    <xf numFmtId="166" fontId="14" fillId="33" borderId="0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166" fontId="54" fillId="36" borderId="10" xfId="0" applyNumberFormat="1" applyFont="1" applyFill="1" applyBorder="1" applyAlignment="1">
      <alignment horizontal="center" vertical="center" wrapText="1"/>
    </xf>
    <xf numFmtId="4" fontId="3" fillId="36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166" fontId="3" fillId="37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58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61"/>
  <sheetViews>
    <sheetView tabSelected="1" zoomScale="110" zoomScaleNormal="110" zoomScalePageLayoutView="0" workbookViewId="0" topLeftCell="A1">
      <pane xSplit="3" ySplit="2" topLeftCell="BY9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E73" sqref="CE73"/>
    </sheetView>
  </sheetViews>
  <sheetFormatPr defaultColWidth="9.00390625" defaultRowHeight="12.75"/>
  <cols>
    <col min="1" max="1" width="3.875" style="16" customWidth="1"/>
    <col min="2" max="2" width="9.375" style="4" customWidth="1"/>
    <col min="3" max="3" width="29.625" style="1" customWidth="1"/>
    <col min="4" max="20" width="9.125" style="1" customWidth="1"/>
    <col min="21" max="21" width="9.125" style="1" hidden="1" customWidth="1"/>
    <col min="22" max="76" width="9.125" style="1" customWidth="1"/>
    <col min="77" max="77" width="9.00390625" style="1" customWidth="1"/>
    <col min="78" max="78" width="9.25390625" style="1" customWidth="1"/>
    <col min="79" max="79" width="9.125" style="1" customWidth="1"/>
    <col min="80" max="80" width="9.00390625" style="1" customWidth="1"/>
    <col min="81" max="81" width="9.125" style="1" customWidth="1"/>
    <col min="82" max="82" width="9.00390625" style="1" customWidth="1"/>
    <col min="83" max="83" width="42.75390625" style="38" customWidth="1"/>
    <col min="84" max="84" width="3.625" style="48" hidden="1" customWidth="1"/>
    <col min="85" max="85" width="14.25390625" style="54" customWidth="1"/>
    <col min="86" max="86" width="12.00390625" style="1" customWidth="1"/>
    <col min="87" max="16384" width="9.125" style="1" customWidth="1"/>
  </cols>
  <sheetData>
    <row r="1" spans="3:82" ht="17.25" customHeight="1">
      <c r="C1" s="73" t="s">
        <v>417</v>
      </c>
      <c r="D1" s="73"/>
      <c r="E1" s="73"/>
      <c r="F1" s="73"/>
      <c r="G1" s="73"/>
      <c r="H1" s="73"/>
      <c r="I1" s="73"/>
      <c r="J1" s="8"/>
      <c r="BY1" s="9"/>
      <c r="BZ1" s="9"/>
      <c r="CA1" s="9"/>
      <c r="CB1" s="9"/>
      <c r="CC1" s="9"/>
      <c r="CD1" s="9"/>
    </row>
    <row r="2" spans="1:86" s="3" customFormat="1" ht="47.25" customHeight="1">
      <c r="A2" s="17" t="s">
        <v>0</v>
      </c>
      <c r="B2" s="5" t="s">
        <v>89</v>
      </c>
      <c r="C2" s="2" t="s">
        <v>1</v>
      </c>
      <c r="D2" s="68" t="s">
        <v>2</v>
      </c>
      <c r="E2" s="68" t="s">
        <v>3</v>
      </c>
      <c r="F2" s="68" t="s">
        <v>4</v>
      </c>
      <c r="G2" s="68" t="s">
        <v>378</v>
      </c>
      <c r="H2" s="68" t="s">
        <v>5</v>
      </c>
      <c r="I2" s="68" t="s">
        <v>6</v>
      </c>
      <c r="J2" s="68" t="s">
        <v>7</v>
      </c>
      <c r="K2" s="68" t="s">
        <v>8</v>
      </c>
      <c r="L2" s="68" t="s">
        <v>9</v>
      </c>
      <c r="M2" s="68" t="s">
        <v>10</v>
      </c>
      <c r="N2" s="68" t="s">
        <v>64</v>
      </c>
      <c r="O2" s="2" t="s">
        <v>301</v>
      </c>
      <c r="P2" s="2" t="s">
        <v>300</v>
      </c>
      <c r="Q2" s="2" t="s">
        <v>11</v>
      </c>
      <c r="R2" s="2" t="s">
        <v>12</v>
      </c>
      <c r="S2" s="2" t="s">
        <v>13</v>
      </c>
      <c r="T2" s="2" t="s">
        <v>88</v>
      </c>
      <c r="U2" s="2" t="s">
        <v>14</v>
      </c>
      <c r="V2" s="2" t="s">
        <v>15</v>
      </c>
      <c r="W2" s="2" t="s">
        <v>58</v>
      </c>
      <c r="X2" s="2" t="s">
        <v>317</v>
      </c>
      <c r="Y2" s="2" t="s">
        <v>304</v>
      </c>
      <c r="Z2" s="2" t="s">
        <v>16</v>
      </c>
      <c r="AA2" s="2" t="s">
        <v>17</v>
      </c>
      <c r="AB2" s="2" t="s">
        <v>307</v>
      </c>
      <c r="AC2" s="2" t="s">
        <v>18</v>
      </c>
      <c r="AD2" s="2" t="s">
        <v>19</v>
      </c>
      <c r="AE2" s="2" t="s">
        <v>302</v>
      </c>
      <c r="AF2" s="2" t="s">
        <v>20</v>
      </c>
      <c r="AG2" s="2" t="s">
        <v>21</v>
      </c>
      <c r="AH2" s="2" t="s">
        <v>22</v>
      </c>
      <c r="AI2" s="2" t="s">
        <v>34</v>
      </c>
      <c r="AJ2" s="2" t="s">
        <v>309</v>
      </c>
      <c r="AK2" s="2" t="s">
        <v>35</v>
      </c>
      <c r="AL2" s="2" t="s">
        <v>65</v>
      </c>
      <c r="AM2" s="2" t="s">
        <v>36</v>
      </c>
      <c r="AN2" s="2" t="s">
        <v>316</v>
      </c>
      <c r="AO2" s="2" t="s">
        <v>303</v>
      </c>
      <c r="AP2" s="2" t="s">
        <v>306</v>
      </c>
      <c r="AQ2" s="2" t="s">
        <v>305</v>
      </c>
      <c r="AR2" s="2" t="s">
        <v>37</v>
      </c>
      <c r="AS2" s="2" t="s">
        <v>38</v>
      </c>
      <c r="AT2" s="2" t="s">
        <v>39</v>
      </c>
      <c r="AU2" s="2" t="s">
        <v>40</v>
      </c>
      <c r="AV2" s="2" t="s">
        <v>374</v>
      </c>
      <c r="AW2" s="2" t="s">
        <v>41</v>
      </c>
      <c r="AX2" s="2" t="s">
        <v>364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363</v>
      </c>
      <c r="BG2" s="2" t="s">
        <v>308</v>
      </c>
      <c r="BH2" s="2" t="s">
        <v>49</v>
      </c>
      <c r="BI2" s="2" t="s">
        <v>50</v>
      </c>
      <c r="BJ2" s="2" t="s">
        <v>51</v>
      </c>
      <c r="BK2" s="2" t="s">
        <v>52</v>
      </c>
      <c r="BL2" s="2" t="s">
        <v>315</v>
      </c>
      <c r="BM2" s="2" t="s">
        <v>53</v>
      </c>
      <c r="BN2" s="2" t="s">
        <v>54</v>
      </c>
      <c r="BO2" s="2" t="s">
        <v>375</v>
      </c>
      <c r="BP2" s="2" t="s">
        <v>55</v>
      </c>
      <c r="BQ2" s="2" t="s">
        <v>56</v>
      </c>
      <c r="BR2" s="2" t="s">
        <v>57</v>
      </c>
      <c r="BS2" s="2" t="s">
        <v>313</v>
      </c>
      <c r="BT2" s="2" t="s">
        <v>59</v>
      </c>
      <c r="BU2" s="2" t="s">
        <v>60</v>
      </c>
      <c r="BV2" s="2" t="s">
        <v>62</v>
      </c>
      <c r="BW2" s="2" t="s">
        <v>312</v>
      </c>
      <c r="BX2" s="2" t="s">
        <v>63</v>
      </c>
      <c r="BY2" s="2" t="s">
        <v>66</v>
      </c>
      <c r="BZ2" s="2" t="s">
        <v>67</v>
      </c>
      <c r="CA2" s="2" t="s">
        <v>68</v>
      </c>
      <c r="CB2" s="2" t="s">
        <v>70</v>
      </c>
      <c r="CC2" s="2" t="s">
        <v>71</v>
      </c>
      <c r="CD2" s="2" t="s">
        <v>362</v>
      </c>
      <c r="CE2" s="46" t="s">
        <v>85</v>
      </c>
      <c r="CF2" s="49" t="s">
        <v>89</v>
      </c>
      <c r="CG2" s="55" t="s">
        <v>1</v>
      </c>
      <c r="CH2" s="37" t="s">
        <v>419</v>
      </c>
    </row>
    <row r="3" spans="1:86" s="3" customFormat="1" ht="15.75" customHeight="1">
      <c r="A3" s="17">
        <v>1</v>
      </c>
      <c r="B3" s="5" t="s">
        <v>90</v>
      </c>
      <c r="C3" s="2" t="s">
        <v>91</v>
      </c>
      <c r="D3" s="2">
        <v>72.5</v>
      </c>
      <c r="E3" s="2"/>
      <c r="F3" s="2">
        <v>317.9</v>
      </c>
      <c r="G3" s="2">
        <v>26.3</v>
      </c>
      <c r="H3" s="2">
        <v>145.7</v>
      </c>
      <c r="I3" s="2"/>
      <c r="J3" s="2"/>
      <c r="K3" s="2"/>
      <c r="L3" s="2"/>
      <c r="M3" s="2"/>
      <c r="N3" s="2"/>
      <c r="O3" s="2">
        <v>990.9</v>
      </c>
      <c r="P3" s="2">
        <v>176.8</v>
      </c>
      <c r="Q3" s="2">
        <v>54.2</v>
      </c>
      <c r="R3" s="2">
        <v>319.3</v>
      </c>
      <c r="S3" s="2">
        <v>64.2</v>
      </c>
      <c r="T3" s="2"/>
      <c r="U3" s="2"/>
      <c r="V3" s="2">
        <v>106.5</v>
      </c>
      <c r="W3" s="2"/>
      <c r="X3" s="2">
        <v>10.4</v>
      </c>
      <c r="Y3" s="2">
        <v>20.2</v>
      </c>
      <c r="Z3" s="2"/>
      <c r="AA3" s="2"/>
      <c r="AB3" s="2">
        <v>329</v>
      </c>
      <c r="AC3" s="2"/>
      <c r="AD3" s="2">
        <v>31.2</v>
      </c>
      <c r="AE3" s="2"/>
      <c r="AF3" s="2">
        <v>22</v>
      </c>
      <c r="AG3" s="2">
        <v>1</v>
      </c>
      <c r="AH3" s="2">
        <v>2</v>
      </c>
      <c r="AI3" s="2">
        <v>62.7</v>
      </c>
      <c r="AJ3" s="2"/>
      <c r="AK3" s="2">
        <v>23</v>
      </c>
      <c r="AL3" s="2"/>
      <c r="AM3" s="2"/>
      <c r="AN3" s="2">
        <v>5</v>
      </c>
      <c r="AO3" s="2">
        <v>30</v>
      </c>
      <c r="AP3" s="2">
        <v>30</v>
      </c>
      <c r="AQ3" s="2">
        <v>5</v>
      </c>
      <c r="AR3" s="2"/>
      <c r="AS3" s="2"/>
      <c r="AT3" s="2">
        <v>8</v>
      </c>
      <c r="AU3" s="2">
        <v>48</v>
      </c>
      <c r="AV3" s="2">
        <v>34</v>
      </c>
      <c r="AW3" s="2"/>
      <c r="AX3" s="2">
        <v>15</v>
      </c>
      <c r="AY3" s="2">
        <v>5</v>
      </c>
      <c r="AZ3" s="2">
        <v>5</v>
      </c>
      <c r="BA3" s="2">
        <v>1</v>
      </c>
      <c r="BB3" s="2">
        <v>1</v>
      </c>
      <c r="BC3" s="2">
        <v>1</v>
      </c>
      <c r="BD3" s="2"/>
      <c r="BE3" s="2">
        <v>27</v>
      </c>
      <c r="BF3" s="2"/>
      <c r="BG3" s="2"/>
      <c r="BH3" s="2">
        <v>47</v>
      </c>
      <c r="BI3" s="2">
        <v>4</v>
      </c>
      <c r="BJ3" s="2"/>
      <c r="BK3" s="2">
        <v>11</v>
      </c>
      <c r="BL3" s="2">
        <v>1</v>
      </c>
      <c r="BM3" s="2">
        <v>1</v>
      </c>
      <c r="BN3" s="2"/>
      <c r="BO3" s="2">
        <v>27</v>
      </c>
      <c r="BP3" s="2">
        <v>31.5</v>
      </c>
      <c r="BQ3" s="2">
        <v>31</v>
      </c>
      <c r="BR3" s="2"/>
      <c r="BS3" s="2"/>
      <c r="BT3" s="2"/>
      <c r="BU3" s="2"/>
      <c r="BV3" s="2">
        <v>2</v>
      </c>
      <c r="BW3" s="2">
        <v>44</v>
      </c>
      <c r="BX3" s="2"/>
      <c r="BY3" s="2"/>
      <c r="BZ3" s="2">
        <v>9</v>
      </c>
      <c r="CA3" s="2"/>
      <c r="CB3" s="2"/>
      <c r="CC3" s="2"/>
      <c r="CD3" s="2">
        <v>15</v>
      </c>
      <c r="CE3" s="39" t="s">
        <v>338</v>
      </c>
      <c r="CF3" s="49" t="s">
        <v>90</v>
      </c>
      <c r="CG3" s="55" t="s">
        <v>91</v>
      </c>
      <c r="CH3" s="47">
        <f aca="true" t="shared" si="0" ref="CH3:CH22">SUM(D3:N3)</f>
        <v>562.4</v>
      </c>
    </row>
    <row r="4" spans="1:86" s="3" customFormat="1" ht="15" customHeight="1">
      <c r="A4" s="17">
        <v>2</v>
      </c>
      <c r="B4" s="5" t="s">
        <v>92</v>
      </c>
      <c r="C4" s="2" t="s">
        <v>93</v>
      </c>
      <c r="D4" s="2">
        <v>474.4</v>
      </c>
      <c r="E4" s="2"/>
      <c r="F4" s="2">
        <v>30.9</v>
      </c>
      <c r="G4" s="2"/>
      <c r="H4" s="2">
        <f>55-22.5</f>
        <v>32.5</v>
      </c>
      <c r="I4" s="2"/>
      <c r="J4" s="2"/>
      <c r="K4" s="2"/>
      <c r="L4" s="2"/>
      <c r="M4" s="2"/>
      <c r="N4" s="2"/>
      <c r="O4" s="2">
        <f>1012-67.8-80.9</f>
        <v>863.3000000000001</v>
      </c>
      <c r="P4" s="2"/>
      <c r="Q4" s="2">
        <v>261.4</v>
      </c>
      <c r="R4" s="2">
        <f>298.1-128.1+80.9</f>
        <v>250.90000000000003</v>
      </c>
      <c r="S4" s="2">
        <v>59.2</v>
      </c>
      <c r="T4" s="2"/>
      <c r="U4" s="2"/>
      <c r="V4" s="2">
        <f>92.8-15.6+10.4-5.9</f>
        <v>81.7</v>
      </c>
      <c r="W4" s="2"/>
      <c r="X4" s="2"/>
      <c r="Y4" s="2">
        <v>28.4</v>
      </c>
      <c r="Z4" s="2"/>
      <c r="AA4" s="2"/>
      <c r="AB4" s="2">
        <v>241</v>
      </c>
      <c r="AC4" s="2"/>
      <c r="AD4" s="2"/>
      <c r="AE4" s="2"/>
      <c r="AF4" s="2">
        <v>20</v>
      </c>
      <c r="AG4" s="2">
        <v>1</v>
      </c>
      <c r="AH4" s="2">
        <v>2</v>
      </c>
      <c r="AI4" s="2">
        <f>68.2-6.2</f>
        <v>62</v>
      </c>
      <c r="AJ4" s="2"/>
      <c r="AK4" s="2">
        <v>18</v>
      </c>
      <c r="AL4" s="2"/>
      <c r="AM4" s="2"/>
      <c r="AN4" s="2">
        <v>3</v>
      </c>
      <c r="AO4" s="2">
        <v>27</v>
      </c>
      <c r="AP4" s="2">
        <v>25</v>
      </c>
      <c r="AQ4" s="2">
        <v>2</v>
      </c>
      <c r="AR4" s="2"/>
      <c r="AS4" s="2" t="s">
        <v>61</v>
      </c>
      <c r="AT4" s="2">
        <v>5.9</v>
      </c>
      <c r="AU4" s="2">
        <v>33</v>
      </c>
      <c r="AV4" s="2">
        <v>35</v>
      </c>
      <c r="AW4" s="2"/>
      <c r="AX4" s="2"/>
      <c r="AY4" s="2">
        <v>5</v>
      </c>
      <c r="AZ4" s="2">
        <v>5</v>
      </c>
      <c r="BA4" s="2"/>
      <c r="BB4" s="2">
        <v>1</v>
      </c>
      <c r="BC4" s="2">
        <v>1</v>
      </c>
      <c r="BD4" s="2"/>
      <c r="BE4" s="2">
        <v>35</v>
      </c>
      <c r="BF4" s="2"/>
      <c r="BG4" s="2"/>
      <c r="BH4" s="2">
        <v>35</v>
      </c>
      <c r="BI4" s="2">
        <v>5</v>
      </c>
      <c r="BJ4" s="2">
        <v>5</v>
      </c>
      <c r="BK4" s="2">
        <v>9</v>
      </c>
      <c r="BL4" s="2">
        <v>2</v>
      </c>
      <c r="BM4" s="2">
        <v>3</v>
      </c>
      <c r="BN4" s="2">
        <v>1</v>
      </c>
      <c r="BO4" s="2">
        <v>25</v>
      </c>
      <c r="BP4" s="2">
        <v>11.7</v>
      </c>
      <c r="BQ4" s="2">
        <v>27</v>
      </c>
      <c r="BR4" s="2"/>
      <c r="BS4" s="2"/>
      <c r="BT4" s="2"/>
      <c r="BU4" s="2"/>
      <c r="BV4" s="2">
        <v>8.6</v>
      </c>
      <c r="BW4" s="2"/>
      <c r="BX4" s="2"/>
      <c r="BY4" s="2"/>
      <c r="BZ4" s="2">
        <v>7</v>
      </c>
      <c r="CA4" s="2"/>
      <c r="CB4" s="2"/>
      <c r="CC4" s="2"/>
      <c r="CD4" s="2">
        <v>11</v>
      </c>
      <c r="CE4" s="39" t="s">
        <v>339</v>
      </c>
      <c r="CF4" s="49" t="s">
        <v>92</v>
      </c>
      <c r="CG4" s="55" t="s">
        <v>93</v>
      </c>
      <c r="CH4" s="47">
        <f t="shared" si="0"/>
        <v>537.8</v>
      </c>
    </row>
    <row r="5" spans="1:86" s="3" customFormat="1" ht="15" customHeight="1">
      <c r="A5" s="17">
        <v>3</v>
      </c>
      <c r="B5" s="5" t="s">
        <v>94</v>
      </c>
      <c r="C5" s="2" t="s">
        <v>23</v>
      </c>
      <c r="D5" s="2"/>
      <c r="E5" s="2"/>
      <c r="F5" s="2">
        <v>562.6</v>
      </c>
      <c r="G5" s="2"/>
      <c r="H5" s="2">
        <v>52.9</v>
      </c>
      <c r="I5" s="2"/>
      <c r="J5" s="2"/>
      <c r="K5" s="2"/>
      <c r="L5" s="2"/>
      <c r="M5" s="2"/>
      <c r="N5" s="2"/>
      <c r="O5" s="2">
        <v>947.3</v>
      </c>
      <c r="P5" s="2">
        <v>238.9</v>
      </c>
      <c r="Q5" s="2"/>
      <c r="R5" s="2">
        <v>327.2</v>
      </c>
      <c r="S5" s="2">
        <v>29</v>
      </c>
      <c r="T5" s="2"/>
      <c r="U5" s="2"/>
      <c r="V5" s="2">
        <v>99.6</v>
      </c>
      <c r="W5" s="2"/>
      <c r="X5" s="2"/>
      <c r="Y5" s="2">
        <v>18.9</v>
      </c>
      <c r="Z5" s="2"/>
      <c r="AA5" s="2"/>
      <c r="AB5" s="2">
        <v>214</v>
      </c>
      <c r="AC5" s="2"/>
      <c r="AD5" s="2"/>
      <c r="AE5" s="2"/>
      <c r="AF5" s="2">
        <v>27</v>
      </c>
      <c r="AG5" s="2">
        <v>1</v>
      </c>
      <c r="AH5" s="2">
        <v>2</v>
      </c>
      <c r="AI5" s="2">
        <v>69.4</v>
      </c>
      <c r="AJ5" s="2">
        <v>12.1</v>
      </c>
      <c r="AK5" s="2"/>
      <c r="AL5" s="2"/>
      <c r="AM5" s="2">
        <v>26</v>
      </c>
      <c r="AN5" s="2">
        <v>7</v>
      </c>
      <c r="AO5" s="2">
        <v>36</v>
      </c>
      <c r="AP5" s="2">
        <v>31</v>
      </c>
      <c r="AQ5" s="2"/>
      <c r="AR5" s="2"/>
      <c r="AS5" s="2">
        <v>5</v>
      </c>
      <c r="AT5" s="2">
        <v>31.2</v>
      </c>
      <c r="AU5" s="2">
        <v>34</v>
      </c>
      <c r="AV5" s="2">
        <v>43</v>
      </c>
      <c r="AW5" s="2"/>
      <c r="AX5" s="2">
        <v>16</v>
      </c>
      <c r="AY5" s="2">
        <v>6</v>
      </c>
      <c r="AZ5" s="2">
        <v>6</v>
      </c>
      <c r="BA5" s="2">
        <v>3</v>
      </c>
      <c r="BB5" s="2"/>
      <c r="BC5" s="2"/>
      <c r="BD5" s="2"/>
      <c r="BE5" s="2">
        <v>36</v>
      </c>
      <c r="BF5" s="2"/>
      <c r="BG5" s="2"/>
      <c r="BH5" s="2">
        <v>47</v>
      </c>
      <c r="BI5" s="2">
        <v>4</v>
      </c>
      <c r="BJ5" s="2">
        <v>2</v>
      </c>
      <c r="BK5" s="2">
        <v>18</v>
      </c>
      <c r="BL5" s="2">
        <v>1</v>
      </c>
      <c r="BM5" s="2">
        <v>2</v>
      </c>
      <c r="BN5" s="2"/>
      <c r="BO5" s="2">
        <v>28</v>
      </c>
      <c r="BP5" s="2">
        <v>16.4</v>
      </c>
      <c r="BQ5" s="2">
        <v>35</v>
      </c>
      <c r="BR5" s="2">
        <v>3</v>
      </c>
      <c r="BS5" s="2"/>
      <c r="BT5" s="2">
        <v>7.8</v>
      </c>
      <c r="BU5" s="2"/>
      <c r="BV5" s="2"/>
      <c r="BW5" s="2"/>
      <c r="BX5" s="2"/>
      <c r="BY5" s="2"/>
      <c r="BZ5" s="2">
        <v>5</v>
      </c>
      <c r="CA5" s="2"/>
      <c r="CB5" s="2">
        <v>2</v>
      </c>
      <c r="CC5" s="2"/>
      <c r="CD5" s="2">
        <v>28</v>
      </c>
      <c r="CE5" s="39" t="s">
        <v>340</v>
      </c>
      <c r="CF5" s="49" t="s">
        <v>94</v>
      </c>
      <c r="CG5" s="55" t="s">
        <v>23</v>
      </c>
      <c r="CH5" s="47">
        <f t="shared" si="0"/>
        <v>615.5</v>
      </c>
    </row>
    <row r="6" spans="1:86" s="3" customFormat="1" ht="15" customHeight="1">
      <c r="A6" s="17">
        <v>4</v>
      </c>
      <c r="B6" s="5" t="s">
        <v>96</v>
      </c>
      <c r="C6" s="2" t="s">
        <v>95</v>
      </c>
      <c r="D6" s="2">
        <f>249.2-41</f>
        <v>208.2</v>
      </c>
      <c r="E6" s="2"/>
      <c r="F6" s="2">
        <f>151.6+41</f>
        <v>192.6</v>
      </c>
      <c r="G6" s="2"/>
      <c r="H6" s="2">
        <v>90.8</v>
      </c>
      <c r="I6" s="2"/>
      <c r="J6" s="2"/>
      <c r="K6" s="2"/>
      <c r="L6" s="2"/>
      <c r="M6" s="2"/>
      <c r="N6" s="2"/>
      <c r="O6" s="2">
        <v>887.8</v>
      </c>
      <c r="P6" s="2">
        <v>135.4</v>
      </c>
      <c r="Q6" s="2">
        <v>58.3</v>
      </c>
      <c r="R6" s="2">
        <v>408.1</v>
      </c>
      <c r="S6" s="2">
        <v>78.5</v>
      </c>
      <c r="T6" s="2"/>
      <c r="U6" s="2"/>
      <c r="V6" s="2">
        <v>74.3</v>
      </c>
      <c r="W6" s="2"/>
      <c r="X6" s="2">
        <v>10.4</v>
      </c>
      <c r="Y6" s="2">
        <v>29.5</v>
      </c>
      <c r="Z6" s="2"/>
      <c r="AA6" s="2"/>
      <c r="AB6" s="2">
        <v>309</v>
      </c>
      <c r="AC6" s="2"/>
      <c r="AD6" s="2"/>
      <c r="AE6" s="2">
        <v>14</v>
      </c>
      <c r="AF6" s="2">
        <v>23</v>
      </c>
      <c r="AG6" s="2">
        <v>1</v>
      </c>
      <c r="AH6" s="2">
        <v>1</v>
      </c>
      <c r="AI6" s="2">
        <v>66.1</v>
      </c>
      <c r="AJ6" s="2"/>
      <c r="AK6" s="2">
        <v>19</v>
      </c>
      <c r="AL6" s="2"/>
      <c r="AM6" s="2"/>
      <c r="AN6" s="2">
        <v>12</v>
      </c>
      <c r="AO6" s="2">
        <v>28</v>
      </c>
      <c r="AP6" s="2">
        <v>27</v>
      </c>
      <c r="AQ6" s="2"/>
      <c r="AR6" s="2"/>
      <c r="AS6" s="2"/>
      <c r="AT6" s="2">
        <v>13.7</v>
      </c>
      <c r="AU6" s="2">
        <v>47</v>
      </c>
      <c r="AV6" s="2">
        <v>34</v>
      </c>
      <c r="AW6" s="2"/>
      <c r="AX6" s="2">
        <v>11</v>
      </c>
      <c r="AY6" s="2">
        <v>2</v>
      </c>
      <c r="AZ6" s="2">
        <v>2</v>
      </c>
      <c r="BA6" s="2">
        <v>2</v>
      </c>
      <c r="BB6" s="2"/>
      <c r="BC6" s="2"/>
      <c r="BD6" s="2"/>
      <c r="BE6" s="2">
        <v>24</v>
      </c>
      <c r="BF6" s="2"/>
      <c r="BG6" s="2">
        <v>4.8</v>
      </c>
      <c r="BH6" s="2">
        <v>27</v>
      </c>
      <c r="BI6" s="2">
        <v>15</v>
      </c>
      <c r="BJ6" s="2">
        <v>10</v>
      </c>
      <c r="BK6" s="2">
        <v>22</v>
      </c>
      <c r="BL6" s="2">
        <v>2</v>
      </c>
      <c r="BM6" s="2"/>
      <c r="BN6" s="2">
        <v>1</v>
      </c>
      <c r="BO6" s="2">
        <v>22</v>
      </c>
      <c r="BP6" s="2">
        <v>11.4</v>
      </c>
      <c r="BQ6" s="2">
        <v>25</v>
      </c>
      <c r="BR6" s="2"/>
      <c r="BS6" s="2"/>
      <c r="BT6" s="2">
        <v>15.6</v>
      </c>
      <c r="BU6" s="2"/>
      <c r="BV6" s="2"/>
      <c r="BW6" s="2"/>
      <c r="BX6" s="2"/>
      <c r="BY6" s="2"/>
      <c r="BZ6" s="2">
        <v>5</v>
      </c>
      <c r="CA6" s="2"/>
      <c r="CB6" s="2"/>
      <c r="CC6" s="2"/>
      <c r="CD6" s="2">
        <v>13</v>
      </c>
      <c r="CE6" s="39" t="s">
        <v>341</v>
      </c>
      <c r="CF6" s="49" t="s">
        <v>96</v>
      </c>
      <c r="CG6" s="55" t="s">
        <v>95</v>
      </c>
      <c r="CH6" s="47">
        <f t="shared" si="0"/>
        <v>491.59999999999997</v>
      </c>
    </row>
    <row r="7" spans="1:86" s="3" customFormat="1" ht="15" customHeight="1">
      <c r="A7" s="17">
        <v>5</v>
      </c>
      <c r="B7" s="5" t="s">
        <v>97</v>
      </c>
      <c r="C7" s="2" t="s">
        <v>367</v>
      </c>
      <c r="D7" s="2"/>
      <c r="E7" s="2"/>
      <c r="F7" s="2">
        <f>20.3+528.8+42</f>
        <v>591.0999999999999</v>
      </c>
      <c r="G7" s="2">
        <v>22</v>
      </c>
      <c r="H7" s="2">
        <f>76.6+1.3-20.3</f>
        <v>57.599999999999994</v>
      </c>
      <c r="I7" s="2"/>
      <c r="J7" s="2"/>
      <c r="K7" s="2"/>
      <c r="L7" s="2"/>
      <c r="M7" s="2"/>
      <c r="N7" s="2"/>
      <c r="O7" s="2">
        <f>1058.1-12.6+2.9</f>
        <v>1048.4</v>
      </c>
      <c r="P7" s="2">
        <v>160.8</v>
      </c>
      <c r="Q7" s="2">
        <v>79.5</v>
      </c>
      <c r="R7" s="2">
        <f>292.5+12.6-2.9</f>
        <v>302.20000000000005</v>
      </c>
      <c r="S7" s="2">
        <v>83.6</v>
      </c>
      <c r="T7" s="2"/>
      <c r="U7" s="2"/>
      <c r="V7" s="2">
        <v>105.1</v>
      </c>
      <c r="W7" s="2"/>
      <c r="X7" s="2"/>
      <c r="Y7" s="2">
        <v>28</v>
      </c>
      <c r="Z7" s="2"/>
      <c r="AA7" s="2"/>
      <c r="AB7" s="2">
        <v>275</v>
      </c>
      <c r="AC7" s="2"/>
      <c r="AD7" s="2"/>
      <c r="AE7" s="2"/>
      <c r="AF7" s="2">
        <v>26</v>
      </c>
      <c r="AG7" s="2"/>
      <c r="AH7" s="2">
        <v>2</v>
      </c>
      <c r="AI7" s="2">
        <v>61</v>
      </c>
      <c r="AJ7" s="2"/>
      <c r="AK7" s="2">
        <v>27</v>
      </c>
      <c r="AL7" s="2"/>
      <c r="AM7" s="2"/>
      <c r="AN7" s="2"/>
      <c r="AO7" s="2">
        <v>42</v>
      </c>
      <c r="AP7" s="2">
        <v>42</v>
      </c>
      <c r="AQ7" s="2"/>
      <c r="AR7" s="2"/>
      <c r="AS7" s="2"/>
      <c r="AT7" s="2">
        <v>28.8</v>
      </c>
      <c r="AU7" s="2">
        <v>48</v>
      </c>
      <c r="AV7" s="2">
        <v>32</v>
      </c>
      <c r="AW7" s="2"/>
      <c r="AX7" s="2"/>
      <c r="AY7" s="2">
        <v>7</v>
      </c>
      <c r="AZ7" s="2">
        <v>7</v>
      </c>
      <c r="BA7" s="2"/>
      <c r="BB7" s="2">
        <v>3</v>
      </c>
      <c r="BC7" s="2"/>
      <c r="BD7" s="2"/>
      <c r="BE7" s="2">
        <v>40</v>
      </c>
      <c r="BF7" s="2"/>
      <c r="BG7" s="2">
        <v>12</v>
      </c>
      <c r="BH7" s="2">
        <v>49</v>
      </c>
      <c r="BI7" s="2">
        <v>8</v>
      </c>
      <c r="BJ7" s="2">
        <v>10</v>
      </c>
      <c r="BK7" s="2">
        <v>15</v>
      </c>
      <c r="BL7" s="2">
        <v>2</v>
      </c>
      <c r="BM7" s="2"/>
      <c r="BN7" s="2"/>
      <c r="BO7" s="2">
        <v>32</v>
      </c>
      <c r="BP7" s="2">
        <v>16.2</v>
      </c>
      <c r="BQ7" s="2">
        <v>33</v>
      </c>
      <c r="BR7" s="2"/>
      <c r="BS7" s="2"/>
      <c r="BT7" s="2">
        <v>15.6</v>
      </c>
      <c r="BU7" s="2">
        <v>3</v>
      </c>
      <c r="BV7" s="2"/>
      <c r="BW7" s="2"/>
      <c r="BX7" s="2">
        <v>2</v>
      </c>
      <c r="BY7" s="2"/>
      <c r="BZ7" s="2"/>
      <c r="CA7" s="2"/>
      <c r="CB7" s="2"/>
      <c r="CC7" s="2"/>
      <c r="CD7" s="2">
        <v>16</v>
      </c>
      <c r="CE7" s="39" t="s">
        <v>342</v>
      </c>
      <c r="CF7" s="49" t="s">
        <v>97</v>
      </c>
      <c r="CG7" s="55" t="s">
        <v>75</v>
      </c>
      <c r="CH7" s="47">
        <f t="shared" si="0"/>
        <v>670.6999999999999</v>
      </c>
    </row>
    <row r="8" spans="1:86" s="3" customFormat="1" ht="15" customHeight="1">
      <c r="A8" s="17">
        <v>6</v>
      </c>
      <c r="B8" s="5" t="s">
        <v>98</v>
      </c>
      <c r="C8" s="2" t="s">
        <v>368</v>
      </c>
      <c r="D8" s="2">
        <f>499.6-80.1</f>
        <v>419.5</v>
      </c>
      <c r="E8" s="2">
        <v>80.1</v>
      </c>
      <c r="F8" s="2"/>
      <c r="G8" s="2"/>
      <c r="H8" s="2">
        <v>114.7</v>
      </c>
      <c r="I8" s="2"/>
      <c r="J8" s="2"/>
      <c r="K8" s="2"/>
      <c r="L8" s="2"/>
      <c r="M8" s="2"/>
      <c r="N8" s="2"/>
      <c r="O8" s="2">
        <f>1104.6</f>
        <v>1104.6</v>
      </c>
      <c r="P8" s="2"/>
      <c r="Q8" s="2">
        <v>243.5</v>
      </c>
      <c r="R8" s="2">
        <f>394.1</f>
        <v>394.1</v>
      </c>
      <c r="S8" s="2"/>
      <c r="T8" s="2">
        <v>80.7</v>
      </c>
      <c r="U8" s="2"/>
      <c r="V8" s="2">
        <v>107.4</v>
      </c>
      <c r="W8" s="2"/>
      <c r="X8" s="2">
        <v>10.4</v>
      </c>
      <c r="Y8" s="2">
        <v>32.9</v>
      </c>
      <c r="Z8" s="2"/>
      <c r="AA8" s="2"/>
      <c r="AB8" s="2">
        <v>345</v>
      </c>
      <c r="AC8" s="2"/>
      <c r="AD8" s="2"/>
      <c r="AE8" s="2"/>
      <c r="AF8" s="2">
        <v>28</v>
      </c>
      <c r="AG8" s="2">
        <v>1</v>
      </c>
      <c r="AH8" s="2">
        <v>2</v>
      </c>
      <c r="AI8" s="2">
        <v>83.6</v>
      </c>
      <c r="AJ8" s="2"/>
      <c r="AK8" s="2">
        <v>28</v>
      </c>
      <c r="AL8" s="2"/>
      <c r="AM8" s="2"/>
      <c r="AN8" s="2">
        <v>4</v>
      </c>
      <c r="AO8" s="2">
        <v>46</v>
      </c>
      <c r="AP8" s="2">
        <v>38</v>
      </c>
      <c r="AQ8" s="2"/>
      <c r="AR8" s="2"/>
      <c r="AS8" s="2">
        <v>4</v>
      </c>
      <c r="AT8" s="2">
        <v>23.4</v>
      </c>
      <c r="AU8" s="2">
        <v>30</v>
      </c>
      <c r="AV8" s="2">
        <v>35</v>
      </c>
      <c r="AW8" s="2"/>
      <c r="AX8" s="2"/>
      <c r="AY8" s="2">
        <v>8</v>
      </c>
      <c r="AZ8" s="2">
        <v>8</v>
      </c>
      <c r="BA8" s="2"/>
      <c r="BB8" s="2">
        <v>3</v>
      </c>
      <c r="BC8" s="2">
        <v>1</v>
      </c>
      <c r="BD8" s="2"/>
      <c r="BE8" s="2">
        <v>36</v>
      </c>
      <c r="BF8" s="2"/>
      <c r="BG8" s="2"/>
      <c r="BH8" s="2">
        <v>48</v>
      </c>
      <c r="BI8" s="2">
        <v>8</v>
      </c>
      <c r="BJ8" s="2">
        <v>5</v>
      </c>
      <c r="BK8" s="2">
        <v>13</v>
      </c>
      <c r="BL8" s="2">
        <v>2</v>
      </c>
      <c r="BM8" s="2"/>
      <c r="BN8" s="2">
        <v>1</v>
      </c>
      <c r="BO8" s="2">
        <v>33</v>
      </c>
      <c r="BP8" s="2">
        <v>28.5</v>
      </c>
      <c r="BQ8" s="2">
        <v>34</v>
      </c>
      <c r="BR8" s="2">
        <v>3</v>
      </c>
      <c r="BS8" s="2"/>
      <c r="BT8" s="2">
        <v>7.8</v>
      </c>
      <c r="BU8" s="2">
        <v>3</v>
      </c>
      <c r="BV8" s="2">
        <v>10.4</v>
      </c>
      <c r="BW8" s="2"/>
      <c r="BX8" s="2"/>
      <c r="BY8" s="2"/>
      <c r="BZ8" s="2"/>
      <c r="CA8" s="2"/>
      <c r="CB8" s="2"/>
      <c r="CC8" s="2"/>
      <c r="CD8" s="2">
        <v>14</v>
      </c>
      <c r="CE8" s="39" t="s">
        <v>340</v>
      </c>
      <c r="CF8" s="49" t="s">
        <v>98</v>
      </c>
      <c r="CG8" s="55" t="s">
        <v>76</v>
      </c>
      <c r="CH8" s="47">
        <f t="shared" si="0"/>
        <v>614.3000000000001</v>
      </c>
    </row>
    <row r="9" spans="1:86" s="3" customFormat="1" ht="15" customHeight="1">
      <c r="A9" s="17">
        <v>7</v>
      </c>
      <c r="B9" s="5" t="s">
        <v>99</v>
      </c>
      <c r="C9" s="2" t="s">
        <v>377</v>
      </c>
      <c r="D9" s="2">
        <v>167.1</v>
      </c>
      <c r="E9" s="2">
        <v>37.8</v>
      </c>
      <c r="F9" s="2">
        <f>558.9+155</f>
        <v>713.9</v>
      </c>
      <c r="G9" s="2"/>
      <c r="H9" s="2">
        <f>78.1+79.5</f>
        <v>157.6</v>
      </c>
      <c r="I9" s="2"/>
      <c r="J9" s="2"/>
      <c r="K9" s="2"/>
      <c r="L9" s="2"/>
      <c r="M9" s="2"/>
      <c r="N9" s="2"/>
      <c r="O9" s="2">
        <f>1102+610.3</f>
        <v>1712.3</v>
      </c>
      <c r="P9" s="2">
        <v>161</v>
      </c>
      <c r="Q9" s="2">
        <f>249.1+35.1</f>
        <v>284.2</v>
      </c>
      <c r="R9" s="2">
        <v>383.8</v>
      </c>
      <c r="S9" s="2">
        <v>68.3</v>
      </c>
      <c r="T9" s="2"/>
      <c r="U9" s="2" t="s">
        <v>61</v>
      </c>
      <c r="V9" s="2">
        <f>99.7+59.8</f>
        <v>159.5</v>
      </c>
      <c r="W9" s="2"/>
      <c r="X9" s="2"/>
      <c r="Y9" s="2">
        <f>29.9+22.4</f>
        <v>52.3</v>
      </c>
      <c r="Z9" s="2"/>
      <c r="AA9" s="2"/>
      <c r="AB9" s="2">
        <f>287+163</f>
        <v>450</v>
      </c>
      <c r="AC9" s="2"/>
      <c r="AD9" s="2"/>
      <c r="AE9" s="2"/>
      <c r="AF9" s="2">
        <f>26+17</f>
        <v>43</v>
      </c>
      <c r="AG9" s="2">
        <v>2</v>
      </c>
      <c r="AH9" s="2">
        <v>6</v>
      </c>
      <c r="AI9" s="2">
        <f>80.6+48</f>
        <v>128.6</v>
      </c>
      <c r="AJ9" s="2">
        <v>13.5</v>
      </c>
      <c r="AK9" s="2">
        <f>25+16</f>
        <v>41</v>
      </c>
      <c r="AL9" s="2"/>
      <c r="AM9" s="2"/>
      <c r="AN9" s="2">
        <v>4</v>
      </c>
      <c r="AO9" s="2">
        <f>42+14</f>
        <v>56</v>
      </c>
      <c r="AP9" s="2">
        <f>42+14</f>
        <v>56</v>
      </c>
      <c r="AQ9" s="2"/>
      <c r="AR9" s="2"/>
      <c r="AS9" s="2"/>
      <c r="AT9" s="2">
        <f>17.8+15.6</f>
        <v>33.4</v>
      </c>
      <c r="AU9" s="2">
        <v>30</v>
      </c>
      <c r="AV9" s="2">
        <f>48+26</f>
        <v>74</v>
      </c>
      <c r="AW9" s="2"/>
      <c r="AX9" s="2">
        <v>17</v>
      </c>
      <c r="AY9" s="2">
        <v>11</v>
      </c>
      <c r="AZ9" s="2">
        <v>11</v>
      </c>
      <c r="BA9" s="2">
        <v>4</v>
      </c>
      <c r="BB9" s="2">
        <v>1</v>
      </c>
      <c r="BC9" s="2">
        <v>1</v>
      </c>
      <c r="BD9" s="2"/>
      <c r="BE9" s="2">
        <v>51</v>
      </c>
      <c r="BF9" s="2"/>
      <c r="BG9" s="2">
        <v>32.4</v>
      </c>
      <c r="BH9" s="2">
        <v>68</v>
      </c>
      <c r="BI9" s="2">
        <v>5</v>
      </c>
      <c r="BJ9" s="2">
        <v>19</v>
      </c>
      <c r="BK9" s="2">
        <v>13</v>
      </c>
      <c r="BL9" s="2"/>
      <c r="BM9" s="2">
        <v>3</v>
      </c>
      <c r="BN9" s="2">
        <v>1</v>
      </c>
      <c r="BO9" s="2">
        <v>39</v>
      </c>
      <c r="BP9" s="2">
        <v>16.2</v>
      </c>
      <c r="BQ9" s="2">
        <v>31</v>
      </c>
      <c r="BR9" s="2"/>
      <c r="BS9" s="2"/>
      <c r="BT9" s="2">
        <v>19.5</v>
      </c>
      <c r="BU9" s="2"/>
      <c r="BV9" s="2"/>
      <c r="BW9" s="2"/>
      <c r="BX9" s="2"/>
      <c r="BY9" s="2"/>
      <c r="BZ9" s="2">
        <v>7</v>
      </c>
      <c r="CA9" s="2"/>
      <c r="CB9" s="2"/>
      <c r="CC9" s="2"/>
      <c r="CD9" s="2">
        <v>22</v>
      </c>
      <c r="CE9" s="39" t="s">
        <v>343</v>
      </c>
      <c r="CF9" s="49" t="s">
        <v>99</v>
      </c>
      <c r="CG9" s="55" t="s">
        <v>77</v>
      </c>
      <c r="CH9" s="47">
        <f t="shared" si="0"/>
        <v>1076.3999999999999</v>
      </c>
    </row>
    <row r="10" spans="1:86" s="3" customFormat="1" ht="15" customHeight="1">
      <c r="A10" s="17">
        <v>8</v>
      </c>
      <c r="B10" s="5" t="s">
        <v>101</v>
      </c>
      <c r="C10" s="2" t="s">
        <v>372</v>
      </c>
      <c r="D10" s="2"/>
      <c r="E10" s="29"/>
      <c r="F10" s="2">
        <f>212.9+323</f>
        <v>535.9</v>
      </c>
      <c r="G10" s="2">
        <v>29.2</v>
      </c>
      <c r="H10" s="2">
        <v>120.9</v>
      </c>
      <c r="I10" s="2"/>
      <c r="J10" s="2"/>
      <c r="K10" s="2"/>
      <c r="L10" s="2"/>
      <c r="M10" s="2"/>
      <c r="N10" s="2"/>
      <c r="O10" s="2">
        <f>582.7+145</f>
        <v>727.7</v>
      </c>
      <c r="P10" s="2">
        <v>158.4</v>
      </c>
      <c r="Q10" s="2"/>
      <c r="R10" s="2">
        <v>169.8</v>
      </c>
      <c r="S10" s="2">
        <v>24.2</v>
      </c>
      <c r="T10" s="2"/>
      <c r="U10" s="2"/>
      <c r="V10" s="2">
        <v>101</v>
      </c>
      <c r="W10" s="2"/>
      <c r="X10" s="2">
        <v>10.4</v>
      </c>
      <c r="Y10" s="2">
        <v>18.7</v>
      </c>
      <c r="Z10" s="2"/>
      <c r="AA10" s="2"/>
      <c r="AB10" s="2">
        <v>324</v>
      </c>
      <c r="AC10" s="2"/>
      <c r="AD10" s="2">
        <v>32.1</v>
      </c>
      <c r="AE10" s="2"/>
      <c r="AF10" s="2">
        <v>29</v>
      </c>
      <c r="AG10" s="2">
        <v>1</v>
      </c>
      <c r="AH10" s="2">
        <v>1</v>
      </c>
      <c r="AI10" s="2">
        <v>69.8</v>
      </c>
      <c r="AJ10" s="2"/>
      <c r="AK10" s="2">
        <v>26</v>
      </c>
      <c r="AL10" s="2"/>
      <c r="AM10" s="2"/>
      <c r="AN10" s="2"/>
      <c r="AO10" s="2">
        <v>37</v>
      </c>
      <c r="AP10" s="2">
        <v>38</v>
      </c>
      <c r="AQ10" s="2"/>
      <c r="AR10" s="2">
        <v>2</v>
      </c>
      <c r="AS10" s="2">
        <v>35</v>
      </c>
      <c r="AT10" s="2">
        <v>15.6</v>
      </c>
      <c r="AU10" s="2">
        <v>34</v>
      </c>
      <c r="AV10" s="2">
        <v>41</v>
      </c>
      <c r="AW10" s="2"/>
      <c r="AX10" s="2">
        <v>18</v>
      </c>
      <c r="AY10" s="2">
        <v>6</v>
      </c>
      <c r="AZ10" s="2">
        <v>6</v>
      </c>
      <c r="BA10" s="2">
        <v>2</v>
      </c>
      <c r="BB10" s="2">
        <v>1</v>
      </c>
      <c r="BC10" s="2"/>
      <c r="BD10" s="2"/>
      <c r="BE10" s="2">
        <v>40</v>
      </c>
      <c r="BF10" s="2"/>
      <c r="BG10" s="2">
        <v>19.8</v>
      </c>
      <c r="BH10" s="2">
        <v>52</v>
      </c>
      <c r="BI10" s="2">
        <v>9</v>
      </c>
      <c r="BJ10" s="2">
        <v>7</v>
      </c>
      <c r="BK10" s="2">
        <v>8</v>
      </c>
      <c r="BL10" s="2">
        <v>1</v>
      </c>
      <c r="BM10" s="2">
        <v>1</v>
      </c>
      <c r="BN10" s="2">
        <v>1</v>
      </c>
      <c r="BO10" s="2">
        <v>23</v>
      </c>
      <c r="BP10" s="2">
        <v>11.7</v>
      </c>
      <c r="BQ10" s="2">
        <v>33</v>
      </c>
      <c r="BR10" s="2"/>
      <c r="BS10" s="2"/>
      <c r="BT10" s="2"/>
      <c r="BU10" s="2"/>
      <c r="BV10" s="2"/>
      <c r="BW10" s="2"/>
      <c r="BX10" s="2"/>
      <c r="BY10" s="2"/>
      <c r="BZ10" s="2">
        <v>6</v>
      </c>
      <c r="CA10" s="2"/>
      <c r="CB10" s="2"/>
      <c r="CC10" s="2"/>
      <c r="CD10" s="2">
        <v>14</v>
      </c>
      <c r="CE10" s="39" t="s">
        <v>344</v>
      </c>
      <c r="CF10" s="49" t="s">
        <v>101</v>
      </c>
      <c r="CG10" s="55" t="s">
        <v>100</v>
      </c>
      <c r="CH10" s="47">
        <f t="shared" si="0"/>
        <v>686</v>
      </c>
    </row>
    <row r="11" spans="1:86" s="3" customFormat="1" ht="15" customHeight="1">
      <c r="A11" s="17">
        <v>9</v>
      </c>
      <c r="B11" s="5" t="s">
        <v>103</v>
      </c>
      <c r="C11" s="2" t="s">
        <v>398</v>
      </c>
      <c r="D11" s="2">
        <f>525.9-40-110</f>
        <v>375.9</v>
      </c>
      <c r="E11" s="2">
        <v>14.9</v>
      </c>
      <c r="F11" s="2">
        <v>150</v>
      </c>
      <c r="G11" s="2"/>
      <c r="H11" s="2">
        <v>58.9</v>
      </c>
      <c r="I11" s="2"/>
      <c r="J11" s="2"/>
      <c r="K11" s="2"/>
      <c r="L11" s="2"/>
      <c r="M11" s="2"/>
      <c r="N11" s="2"/>
      <c r="O11" s="2">
        <f>1172.7-84</f>
        <v>1088.7</v>
      </c>
      <c r="P11" s="2"/>
      <c r="Q11" s="2">
        <v>232.5</v>
      </c>
      <c r="R11" s="2">
        <f>294.6+84</f>
        <v>378.6</v>
      </c>
      <c r="S11" s="2">
        <v>71.6</v>
      </c>
      <c r="T11" s="2"/>
      <c r="U11" s="2"/>
      <c r="V11" s="2">
        <v>105.1</v>
      </c>
      <c r="W11" s="2"/>
      <c r="X11" s="2"/>
      <c r="Y11" s="2">
        <v>18.9</v>
      </c>
      <c r="Z11" s="2"/>
      <c r="AA11" s="2"/>
      <c r="AB11" s="2">
        <v>296</v>
      </c>
      <c r="AC11" s="2"/>
      <c r="AD11" s="2"/>
      <c r="AE11" s="2"/>
      <c r="AF11" s="2">
        <v>27</v>
      </c>
      <c r="AG11" s="2">
        <v>1</v>
      </c>
      <c r="AH11" s="2">
        <v>2</v>
      </c>
      <c r="AI11" s="2">
        <v>83</v>
      </c>
      <c r="AJ11" s="2"/>
      <c r="AK11" s="2">
        <v>26</v>
      </c>
      <c r="AL11" s="2"/>
      <c r="AM11" s="2"/>
      <c r="AN11" s="2">
        <v>4</v>
      </c>
      <c r="AO11" s="2">
        <v>46</v>
      </c>
      <c r="AP11" s="2">
        <v>43</v>
      </c>
      <c r="AQ11" s="2"/>
      <c r="AR11" s="2"/>
      <c r="AS11" s="2">
        <v>3</v>
      </c>
      <c r="AT11" s="2">
        <f>38+11.7</f>
        <v>49.7</v>
      </c>
      <c r="AU11" s="2">
        <v>41</v>
      </c>
      <c r="AV11" s="2">
        <v>27</v>
      </c>
      <c r="AW11" s="2"/>
      <c r="AX11" s="2"/>
      <c r="AY11" s="2">
        <v>7</v>
      </c>
      <c r="AZ11" s="2">
        <v>7</v>
      </c>
      <c r="BA11" s="2">
        <v>3</v>
      </c>
      <c r="BB11" s="2"/>
      <c r="BC11" s="2">
        <v>1</v>
      </c>
      <c r="BD11" s="2"/>
      <c r="BE11" s="2">
        <v>42</v>
      </c>
      <c r="BF11" s="2"/>
      <c r="BG11" s="2"/>
      <c r="BH11" s="2">
        <f>40+8</f>
        <v>48</v>
      </c>
      <c r="BI11" s="2">
        <v>27</v>
      </c>
      <c r="BJ11" s="2">
        <v>8</v>
      </c>
      <c r="BK11" s="2">
        <v>12</v>
      </c>
      <c r="BL11" s="2">
        <v>1</v>
      </c>
      <c r="BM11" s="2">
        <v>1</v>
      </c>
      <c r="BN11" s="2"/>
      <c r="BO11" s="2">
        <v>19</v>
      </c>
      <c r="BP11" s="2">
        <v>34.5</v>
      </c>
      <c r="BQ11" s="2">
        <v>33</v>
      </c>
      <c r="BR11" s="2"/>
      <c r="BS11" s="2"/>
      <c r="BT11" s="2"/>
      <c r="BU11" s="2">
        <v>7.2</v>
      </c>
      <c r="BV11" s="2"/>
      <c r="BW11" s="2"/>
      <c r="BX11" s="2"/>
      <c r="BY11" s="2"/>
      <c r="BZ11" s="2">
        <v>3</v>
      </c>
      <c r="CA11" s="2"/>
      <c r="CB11" s="2"/>
      <c r="CC11" s="2"/>
      <c r="CD11" s="2">
        <v>17</v>
      </c>
      <c r="CE11" s="39" t="s">
        <v>345</v>
      </c>
      <c r="CF11" s="49" t="s">
        <v>103</v>
      </c>
      <c r="CG11" s="55" t="s">
        <v>102</v>
      </c>
      <c r="CH11" s="47">
        <f t="shared" si="0"/>
        <v>599.6999999999999</v>
      </c>
    </row>
    <row r="12" spans="1:86" s="3" customFormat="1" ht="15" customHeight="1">
      <c r="A12" s="17">
        <v>10</v>
      </c>
      <c r="B12" s="5" t="s">
        <v>401</v>
      </c>
      <c r="C12" s="2" t="s">
        <v>402</v>
      </c>
      <c r="D12" s="2">
        <v>495.1</v>
      </c>
      <c r="E12" s="2">
        <v>30.6</v>
      </c>
      <c r="F12" s="2"/>
      <c r="G12" s="2"/>
      <c r="H12" s="2">
        <v>112.1</v>
      </c>
      <c r="I12" s="2"/>
      <c r="J12" s="2"/>
      <c r="K12" s="2"/>
      <c r="L12" s="2"/>
      <c r="M12" s="2"/>
      <c r="N12" s="2"/>
      <c r="O12" s="2">
        <v>1100.3</v>
      </c>
      <c r="P12" s="2"/>
      <c r="Q12" s="2">
        <v>237.5</v>
      </c>
      <c r="R12" s="2">
        <v>370.2</v>
      </c>
      <c r="S12" s="2">
        <v>89.5</v>
      </c>
      <c r="T12" s="2"/>
      <c r="U12" s="2"/>
      <c r="V12" s="2">
        <v>107.4</v>
      </c>
      <c r="W12" s="2"/>
      <c r="X12" s="2">
        <v>10.4</v>
      </c>
      <c r="Y12" s="2">
        <v>26.5</v>
      </c>
      <c r="Z12" s="2">
        <v>1</v>
      </c>
      <c r="AA12" s="2"/>
      <c r="AB12" s="2">
        <v>373</v>
      </c>
      <c r="AC12" s="2"/>
      <c r="AD12" s="2"/>
      <c r="AE12" s="2"/>
      <c r="AF12" s="2">
        <v>29</v>
      </c>
      <c r="AG12" s="2">
        <v>1</v>
      </c>
      <c r="AH12" s="2">
        <v>2</v>
      </c>
      <c r="AI12" s="2">
        <v>92</v>
      </c>
      <c r="AJ12" s="2"/>
      <c r="AK12" s="2">
        <v>28</v>
      </c>
      <c r="AL12" s="2"/>
      <c r="AM12" s="2"/>
      <c r="AN12" s="2">
        <v>3</v>
      </c>
      <c r="AO12" s="2">
        <v>42</v>
      </c>
      <c r="AP12" s="2">
        <v>42</v>
      </c>
      <c r="AQ12" s="2"/>
      <c r="AR12" s="2"/>
      <c r="AS12" s="2"/>
      <c r="AT12" s="2">
        <v>32.3</v>
      </c>
      <c r="AU12" s="2">
        <v>38</v>
      </c>
      <c r="AV12" s="2">
        <v>28</v>
      </c>
      <c r="AW12" s="2"/>
      <c r="AX12" s="2"/>
      <c r="AY12" s="2">
        <v>9</v>
      </c>
      <c r="AZ12" s="2">
        <v>9</v>
      </c>
      <c r="BA12" s="2">
        <v>1</v>
      </c>
      <c r="BB12" s="2">
        <v>2</v>
      </c>
      <c r="BC12" s="2"/>
      <c r="BD12" s="2"/>
      <c r="BE12" s="2">
        <v>44</v>
      </c>
      <c r="BF12" s="2"/>
      <c r="BG12" s="2"/>
      <c r="BH12" s="2">
        <v>59</v>
      </c>
      <c r="BI12" s="2">
        <v>12</v>
      </c>
      <c r="BJ12" s="2">
        <v>15</v>
      </c>
      <c r="BK12" s="2">
        <v>17</v>
      </c>
      <c r="BL12" s="2">
        <v>2</v>
      </c>
      <c r="BM12" s="2"/>
      <c r="BN12" s="2">
        <v>1</v>
      </c>
      <c r="BO12" s="2">
        <v>20</v>
      </c>
      <c r="BP12" s="2">
        <v>22.8</v>
      </c>
      <c r="BQ12" s="2">
        <v>31</v>
      </c>
      <c r="BR12" s="2"/>
      <c r="BS12" s="2"/>
      <c r="BT12" s="2">
        <v>3.9</v>
      </c>
      <c r="BU12" s="2"/>
      <c r="BV12" s="2">
        <v>10.4</v>
      </c>
      <c r="BW12" s="2"/>
      <c r="BX12" s="2"/>
      <c r="BY12" s="2"/>
      <c r="BZ12" s="2">
        <v>4</v>
      </c>
      <c r="CA12" s="2"/>
      <c r="CB12" s="2"/>
      <c r="CC12" s="2"/>
      <c r="CD12" s="2">
        <v>15</v>
      </c>
      <c r="CE12" s="39" t="s">
        <v>342</v>
      </c>
      <c r="CF12" s="49" t="s">
        <v>104</v>
      </c>
      <c r="CG12" s="55" t="s">
        <v>24</v>
      </c>
      <c r="CH12" s="47">
        <f t="shared" si="0"/>
        <v>637.8000000000001</v>
      </c>
    </row>
    <row r="13" spans="1:86" s="3" customFormat="1" ht="15" customHeight="1">
      <c r="A13" s="17">
        <v>11</v>
      </c>
      <c r="B13" s="5" t="s">
        <v>105</v>
      </c>
      <c r="C13" s="2" t="s">
        <v>403</v>
      </c>
      <c r="D13" s="2">
        <v>504.9</v>
      </c>
      <c r="E13" s="2"/>
      <c r="F13" s="2"/>
      <c r="G13" s="2">
        <v>35.1</v>
      </c>
      <c r="H13" s="2">
        <f>375.7-51</f>
        <v>324.7</v>
      </c>
      <c r="I13" s="2"/>
      <c r="J13" s="2"/>
      <c r="K13" s="2"/>
      <c r="L13" s="2"/>
      <c r="M13" s="2"/>
      <c r="N13" s="2"/>
      <c r="O13" s="2">
        <v>1249.2</v>
      </c>
      <c r="P13" s="2"/>
      <c r="Q13" s="2">
        <v>351.1</v>
      </c>
      <c r="R13" s="2">
        <f>799.7-96</f>
        <v>703.7</v>
      </c>
      <c r="S13" s="2">
        <v>12.6</v>
      </c>
      <c r="T13" s="2"/>
      <c r="U13" s="2"/>
      <c r="V13" s="2">
        <v>187.7</v>
      </c>
      <c r="W13" s="2"/>
      <c r="X13" s="2"/>
      <c r="Y13" s="2">
        <f>150.4+17.7</f>
        <v>168.1</v>
      </c>
      <c r="Z13" s="2">
        <v>2</v>
      </c>
      <c r="AA13" s="2"/>
      <c r="AB13" s="2">
        <v>659</v>
      </c>
      <c r="AC13" s="2"/>
      <c r="AD13" s="2"/>
      <c r="AE13" s="2"/>
      <c r="AF13" s="2">
        <v>29</v>
      </c>
      <c r="AG13" s="2">
        <v>1</v>
      </c>
      <c r="AH13" s="2">
        <v>1</v>
      </c>
      <c r="AI13" s="2">
        <v>141.8</v>
      </c>
      <c r="AJ13" s="2"/>
      <c r="AK13" s="2">
        <v>48</v>
      </c>
      <c r="AL13" s="2"/>
      <c r="AM13" s="2"/>
      <c r="AN13" s="2">
        <v>27</v>
      </c>
      <c r="AO13" s="2">
        <v>41</v>
      </c>
      <c r="AP13" s="2">
        <f>37+5</f>
        <v>42</v>
      </c>
      <c r="AQ13" s="2"/>
      <c r="AR13" s="2">
        <v>29</v>
      </c>
      <c r="AS13" s="2"/>
      <c r="AT13" s="2">
        <v>16</v>
      </c>
      <c r="AU13" s="2">
        <v>151</v>
      </c>
      <c r="AV13" s="2">
        <v>83</v>
      </c>
      <c r="AW13" s="2"/>
      <c r="AX13" s="2"/>
      <c r="AY13" s="2">
        <v>9</v>
      </c>
      <c r="AZ13" s="2">
        <v>9</v>
      </c>
      <c r="BA13" s="2">
        <v>8</v>
      </c>
      <c r="BB13" s="2"/>
      <c r="BC13" s="2"/>
      <c r="BD13" s="2"/>
      <c r="BE13" s="2">
        <v>29</v>
      </c>
      <c r="BF13" s="2"/>
      <c r="BG13" s="2"/>
      <c r="BH13" s="2">
        <v>62</v>
      </c>
      <c r="BI13" s="2">
        <v>9</v>
      </c>
      <c r="BJ13" s="2" t="s">
        <v>61</v>
      </c>
      <c r="BK13" s="2">
        <v>7</v>
      </c>
      <c r="BL13" s="2">
        <v>5</v>
      </c>
      <c r="BM13" s="2"/>
      <c r="BN13" s="2">
        <v>1</v>
      </c>
      <c r="BO13" s="2">
        <v>28</v>
      </c>
      <c r="BP13" s="2"/>
      <c r="BQ13" s="2">
        <v>42</v>
      </c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>
        <v>14</v>
      </c>
      <c r="CE13" s="39" t="s">
        <v>346</v>
      </c>
      <c r="CF13" s="49" t="s">
        <v>105</v>
      </c>
      <c r="CG13" s="55" t="s">
        <v>78</v>
      </c>
      <c r="CH13" s="47">
        <f t="shared" si="0"/>
        <v>864.7</v>
      </c>
    </row>
    <row r="14" spans="1:86" s="3" customFormat="1" ht="15" customHeight="1">
      <c r="A14" s="17">
        <v>12</v>
      </c>
      <c r="B14" s="5" t="s">
        <v>106</v>
      </c>
      <c r="C14" s="2" t="s">
        <v>86</v>
      </c>
      <c r="D14" s="2">
        <f>22.6+183.7</f>
        <v>206.29999999999998</v>
      </c>
      <c r="E14" s="2"/>
      <c r="F14" s="2">
        <f>107.1+146.2</f>
        <v>253.29999999999998</v>
      </c>
      <c r="G14" s="2">
        <f>20.7+33.4</f>
        <v>54.099999999999994</v>
      </c>
      <c r="H14" s="2">
        <f>16.5+61.1</f>
        <v>77.6</v>
      </c>
      <c r="I14" s="2"/>
      <c r="J14" s="2"/>
      <c r="K14" s="2"/>
      <c r="L14" s="2"/>
      <c r="M14" s="2"/>
      <c r="N14" s="2"/>
      <c r="O14" s="2">
        <f>299.8+680.7-41</f>
        <v>939.5</v>
      </c>
      <c r="P14" s="2"/>
      <c r="Q14" s="2">
        <f>24.6+210</f>
        <v>234.6</v>
      </c>
      <c r="R14" s="2">
        <f>134.1+299.6</f>
        <v>433.70000000000005</v>
      </c>
      <c r="S14" s="2">
        <f>10+30.6</f>
        <v>40.6</v>
      </c>
      <c r="T14" s="2">
        <v>0.6</v>
      </c>
      <c r="U14" s="2"/>
      <c r="V14" s="2">
        <f>31.2+64.2-3.7</f>
        <v>91.7</v>
      </c>
      <c r="W14" s="2"/>
      <c r="X14" s="2"/>
      <c r="Y14" s="2">
        <f>9.46+14.4</f>
        <v>23.86</v>
      </c>
      <c r="Z14" s="2" t="s">
        <v>61</v>
      </c>
      <c r="AA14" s="2">
        <v>2</v>
      </c>
      <c r="AB14" s="2">
        <f>75+181</f>
        <v>256</v>
      </c>
      <c r="AC14" s="2"/>
      <c r="AD14" s="2"/>
      <c r="AE14" s="2">
        <v>4.2</v>
      </c>
      <c r="AF14" s="2">
        <v>30</v>
      </c>
      <c r="AG14" s="2">
        <v>5</v>
      </c>
      <c r="AH14" s="2">
        <v>2</v>
      </c>
      <c r="AI14" s="2">
        <v>61.3</v>
      </c>
      <c r="AJ14" s="2"/>
      <c r="AK14" s="2">
        <v>24</v>
      </c>
      <c r="AL14" s="2"/>
      <c r="AM14" s="2"/>
      <c r="AN14" s="2">
        <v>22</v>
      </c>
      <c r="AO14" s="2">
        <v>23</v>
      </c>
      <c r="AP14" s="2">
        <v>23</v>
      </c>
      <c r="AQ14" s="2"/>
      <c r="AR14" s="2">
        <v>2</v>
      </c>
      <c r="AS14" s="2">
        <v>2</v>
      </c>
      <c r="AT14" s="2">
        <v>34</v>
      </c>
      <c r="AU14" s="2">
        <f>16+50</f>
        <v>66</v>
      </c>
      <c r="AV14" s="2">
        <f>12+29</f>
        <v>41</v>
      </c>
      <c r="AW14" s="2"/>
      <c r="AX14" s="2">
        <v>5</v>
      </c>
      <c r="AY14" s="2">
        <v>7</v>
      </c>
      <c r="AZ14" s="2">
        <v>7</v>
      </c>
      <c r="BA14" s="2">
        <v>6</v>
      </c>
      <c r="BB14" s="2"/>
      <c r="BC14" s="2"/>
      <c r="BD14" s="2"/>
      <c r="BE14" s="2">
        <v>23</v>
      </c>
      <c r="BF14" s="2"/>
      <c r="BG14" s="2">
        <v>6.7</v>
      </c>
      <c r="BH14" s="2">
        <v>23</v>
      </c>
      <c r="BI14" s="2">
        <v>22</v>
      </c>
      <c r="BJ14" s="2"/>
      <c r="BK14" s="2">
        <v>6</v>
      </c>
      <c r="BL14" s="2">
        <v>3</v>
      </c>
      <c r="BM14" s="2">
        <v>2</v>
      </c>
      <c r="BN14" s="2"/>
      <c r="BO14" s="2">
        <v>46</v>
      </c>
      <c r="BP14" s="2">
        <v>54</v>
      </c>
      <c r="BQ14" s="2">
        <v>10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>
        <v>5</v>
      </c>
      <c r="CD14" s="2">
        <v>12</v>
      </c>
      <c r="CE14" s="39" t="s">
        <v>361</v>
      </c>
      <c r="CF14" s="49" t="s">
        <v>106</v>
      </c>
      <c r="CG14" s="55" t="s">
        <v>86</v>
      </c>
      <c r="CH14" s="47">
        <f t="shared" si="0"/>
        <v>591.3</v>
      </c>
    </row>
    <row r="15" spans="1:86" s="3" customFormat="1" ht="15" customHeight="1">
      <c r="A15" s="17">
        <v>13</v>
      </c>
      <c r="B15" s="5" t="s">
        <v>107</v>
      </c>
      <c r="C15" s="2" t="s">
        <v>369</v>
      </c>
      <c r="D15" s="2">
        <v>169.9</v>
      </c>
      <c r="E15" s="2"/>
      <c r="F15" s="2"/>
      <c r="G15" s="2"/>
      <c r="H15" s="2">
        <v>25.5</v>
      </c>
      <c r="I15" s="2"/>
      <c r="J15" s="2"/>
      <c r="K15" s="2"/>
      <c r="L15" s="2"/>
      <c r="M15" s="2"/>
      <c r="N15" s="2"/>
      <c r="O15" s="2">
        <v>173.5</v>
      </c>
      <c r="P15" s="2"/>
      <c r="Q15" s="2">
        <v>226.2</v>
      </c>
      <c r="R15" s="2">
        <v>85.9</v>
      </c>
      <c r="S15" s="2"/>
      <c r="T15" s="2"/>
      <c r="U15" s="2"/>
      <c r="V15" s="2">
        <v>43.01</v>
      </c>
      <c r="W15" s="2"/>
      <c r="X15" s="2"/>
      <c r="Y15" s="2">
        <v>64.9</v>
      </c>
      <c r="Z15" s="2"/>
      <c r="AA15" s="2">
        <v>5</v>
      </c>
      <c r="AB15" s="2">
        <v>158</v>
      </c>
      <c r="AC15" s="2"/>
      <c r="AD15" s="2"/>
      <c r="AE15" s="2"/>
      <c r="AF15" s="2">
        <v>11</v>
      </c>
      <c r="AG15" s="2">
        <v>1</v>
      </c>
      <c r="AH15" s="2">
        <v>2</v>
      </c>
      <c r="AI15" s="2">
        <v>28.2</v>
      </c>
      <c r="AJ15" s="2"/>
      <c r="AK15" s="2">
        <v>11</v>
      </c>
      <c r="AL15" s="2"/>
      <c r="AM15" s="2"/>
      <c r="AN15" s="2">
        <v>17</v>
      </c>
      <c r="AO15" s="2"/>
      <c r="AP15" s="2"/>
      <c r="AQ15" s="2"/>
      <c r="AR15" s="2">
        <v>36</v>
      </c>
      <c r="AS15" s="2"/>
      <c r="AT15" s="2">
        <v>2.6</v>
      </c>
      <c r="AU15" s="2">
        <v>50</v>
      </c>
      <c r="AV15" s="2">
        <v>17</v>
      </c>
      <c r="AW15" s="2"/>
      <c r="AX15" s="2"/>
      <c r="AY15" s="2">
        <v>1</v>
      </c>
      <c r="AZ15" s="2">
        <v>1</v>
      </c>
      <c r="BA15" s="2"/>
      <c r="BB15" s="2"/>
      <c r="BC15" s="2"/>
      <c r="BD15" s="2"/>
      <c r="BE15" s="2"/>
      <c r="BF15" s="2"/>
      <c r="BG15" s="2">
        <v>6.5</v>
      </c>
      <c r="BH15" s="2">
        <v>16</v>
      </c>
      <c r="BI15" s="2">
        <v>5</v>
      </c>
      <c r="BJ15" s="2">
        <v>8</v>
      </c>
      <c r="BK15" s="2">
        <v>10</v>
      </c>
      <c r="BL15" s="2">
        <v>1</v>
      </c>
      <c r="BM15" s="2"/>
      <c r="BN15" s="2"/>
      <c r="BO15" s="2">
        <v>27</v>
      </c>
      <c r="BP15" s="2">
        <v>39.2</v>
      </c>
      <c r="BQ15" s="2">
        <v>32</v>
      </c>
      <c r="BR15" s="2"/>
      <c r="BS15" s="2"/>
      <c r="BT15" s="2"/>
      <c r="BU15" s="2"/>
      <c r="BV15" s="2"/>
      <c r="BW15" s="2"/>
      <c r="BX15" s="2"/>
      <c r="BY15" s="2"/>
      <c r="BZ15" s="2">
        <v>2</v>
      </c>
      <c r="CA15" s="2"/>
      <c r="CB15" s="2"/>
      <c r="CC15" s="2"/>
      <c r="CD15" s="2">
        <v>7</v>
      </c>
      <c r="CE15" s="39" t="s">
        <v>347</v>
      </c>
      <c r="CF15" s="49" t="s">
        <v>107</v>
      </c>
      <c r="CG15" s="55" t="s">
        <v>25</v>
      </c>
      <c r="CH15" s="47">
        <f t="shared" si="0"/>
        <v>195.4</v>
      </c>
    </row>
    <row r="16" spans="1:86" s="3" customFormat="1" ht="15" customHeight="1">
      <c r="A16" s="17">
        <v>14</v>
      </c>
      <c r="B16" s="5" t="s">
        <v>108</v>
      </c>
      <c r="C16" s="2" t="s">
        <v>79</v>
      </c>
      <c r="D16" s="2">
        <v>513.1</v>
      </c>
      <c r="E16" s="2">
        <v>95.7</v>
      </c>
      <c r="F16" s="2">
        <v>69.8</v>
      </c>
      <c r="G16" s="2"/>
      <c r="H16" s="2">
        <v>110</v>
      </c>
      <c r="I16" s="2"/>
      <c r="J16" s="2"/>
      <c r="K16" s="2"/>
      <c r="L16" s="2"/>
      <c r="M16" s="2"/>
      <c r="N16" s="2"/>
      <c r="O16" s="2">
        <v>467.9</v>
      </c>
      <c r="P16" s="2">
        <v>159.9</v>
      </c>
      <c r="Q16" s="2">
        <v>71</v>
      </c>
      <c r="R16" s="2">
        <v>379.1</v>
      </c>
      <c r="S16" s="2"/>
      <c r="T16" s="2"/>
      <c r="U16" s="2"/>
      <c r="V16" s="2">
        <v>121.7</v>
      </c>
      <c r="W16" s="2"/>
      <c r="X16" s="2">
        <v>8.6</v>
      </c>
      <c r="Y16" s="2">
        <v>84.6</v>
      </c>
      <c r="Z16" s="2"/>
      <c r="AA16" s="2">
        <v>12</v>
      </c>
      <c r="AB16" s="2">
        <v>639</v>
      </c>
      <c r="AC16" s="2"/>
      <c r="AD16" s="2"/>
      <c r="AE16" s="2">
        <v>1</v>
      </c>
      <c r="AF16" s="2">
        <v>35</v>
      </c>
      <c r="AG16" s="2">
        <v>2</v>
      </c>
      <c r="AH16" s="2">
        <v>1</v>
      </c>
      <c r="AI16" s="2">
        <v>58.8</v>
      </c>
      <c r="AJ16" s="2">
        <v>5.1</v>
      </c>
      <c r="AK16" s="2">
        <v>35</v>
      </c>
      <c r="AL16" s="2"/>
      <c r="AM16" s="2"/>
      <c r="AN16" s="2">
        <v>26</v>
      </c>
      <c r="AO16" s="2">
        <v>31</v>
      </c>
      <c r="AP16" s="2">
        <v>27</v>
      </c>
      <c r="AQ16" s="2">
        <v>4</v>
      </c>
      <c r="AR16" s="2">
        <v>23</v>
      </c>
      <c r="AS16" s="2"/>
      <c r="AT16" s="2">
        <v>46.8</v>
      </c>
      <c r="AU16" s="2">
        <v>96</v>
      </c>
      <c r="AV16" s="2">
        <v>29</v>
      </c>
      <c r="AW16" s="2"/>
      <c r="AX16" s="2"/>
      <c r="AY16" s="2">
        <v>6</v>
      </c>
      <c r="AZ16" s="2">
        <v>6</v>
      </c>
      <c r="BA16" s="2"/>
      <c r="BB16" s="2">
        <v>3</v>
      </c>
      <c r="BC16" s="2"/>
      <c r="BD16" s="2"/>
      <c r="BE16" s="2"/>
      <c r="BF16" s="2"/>
      <c r="BG16" s="2"/>
      <c r="BH16" s="2">
        <v>52</v>
      </c>
      <c r="BI16" s="2">
        <v>6</v>
      </c>
      <c r="BJ16" s="2"/>
      <c r="BK16" s="2">
        <v>11</v>
      </c>
      <c r="BL16" s="2">
        <v>2</v>
      </c>
      <c r="BM16" s="2"/>
      <c r="BN16" s="2">
        <v>1</v>
      </c>
      <c r="BO16" s="2">
        <v>64</v>
      </c>
      <c r="BP16" s="2">
        <v>11.4</v>
      </c>
      <c r="BQ16" s="2">
        <v>63</v>
      </c>
      <c r="BR16" s="2">
        <v>5</v>
      </c>
      <c r="BS16" s="2"/>
      <c r="BT16" s="2">
        <v>15.6</v>
      </c>
      <c r="BU16" s="2"/>
      <c r="BV16" s="2"/>
      <c r="BW16" s="2"/>
      <c r="BX16" s="2"/>
      <c r="BY16" s="2"/>
      <c r="BZ16" s="2">
        <v>3</v>
      </c>
      <c r="CA16" s="2"/>
      <c r="CB16" s="2"/>
      <c r="CC16" s="2"/>
      <c r="CD16" s="2"/>
      <c r="CE16" s="39" t="s">
        <v>348</v>
      </c>
      <c r="CF16" s="49" t="s">
        <v>108</v>
      </c>
      <c r="CG16" s="55" t="s">
        <v>79</v>
      </c>
      <c r="CH16" s="47">
        <f t="shared" si="0"/>
        <v>788.6</v>
      </c>
    </row>
    <row r="17" spans="1:86" s="3" customFormat="1" ht="15" customHeight="1">
      <c r="A17" s="17">
        <v>15</v>
      </c>
      <c r="B17" s="5" t="s">
        <v>109</v>
      </c>
      <c r="C17" s="2" t="s">
        <v>26</v>
      </c>
      <c r="D17" s="2">
        <f>5.5+62</f>
        <v>67.5</v>
      </c>
      <c r="E17" s="2"/>
      <c r="F17" s="2">
        <f>272.6+70.6</f>
        <v>343.20000000000005</v>
      </c>
      <c r="G17" s="2"/>
      <c r="H17" s="2">
        <v>96.8</v>
      </c>
      <c r="I17" s="2"/>
      <c r="J17" s="2">
        <v>9</v>
      </c>
      <c r="K17" s="2"/>
      <c r="L17" s="2"/>
      <c r="M17" s="2"/>
      <c r="N17" s="2"/>
      <c r="O17" s="2">
        <f>510.1+195</f>
        <v>705.1</v>
      </c>
      <c r="P17" s="2">
        <f>92+92</f>
        <v>184</v>
      </c>
      <c r="Q17" s="2" t="s">
        <v>61</v>
      </c>
      <c r="R17" s="2">
        <f>334.6+59.6</f>
        <v>394.20000000000005</v>
      </c>
      <c r="S17" s="2"/>
      <c r="T17" s="2"/>
      <c r="U17" s="2"/>
      <c r="V17" s="2">
        <f>51.9+14</f>
        <v>65.9</v>
      </c>
      <c r="W17" s="2"/>
      <c r="X17" s="2"/>
      <c r="Y17" s="2">
        <f>5.5+14</f>
        <v>19.5</v>
      </c>
      <c r="Z17" s="2">
        <v>1</v>
      </c>
      <c r="AA17" s="2"/>
      <c r="AB17" s="2">
        <f>272+58+28+28</f>
        <v>386</v>
      </c>
      <c r="AC17" s="2"/>
      <c r="AD17" s="2"/>
      <c r="AE17" s="2"/>
      <c r="AF17" s="2">
        <f>15+5</f>
        <v>20</v>
      </c>
      <c r="AG17" s="2">
        <v>1</v>
      </c>
      <c r="AH17" s="2">
        <v>2</v>
      </c>
      <c r="AI17" s="2">
        <f>48.6+12.6</f>
        <v>61.2</v>
      </c>
      <c r="AJ17" s="2"/>
      <c r="AK17" s="2">
        <v>20</v>
      </c>
      <c r="AL17" s="2"/>
      <c r="AM17" s="2"/>
      <c r="AN17" s="2">
        <v>10</v>
      </c>
      <c r="AO17" s="2">
        <v>30</v>
      </c>
      <c r="AP17" s="2">
        <v>7</v>
      </c>
      <c r="AQ17" s="2"/>
      <c r="AR17" s="2"/>
      <c r="AS17" s="2">
        <v>12</v>
      </c>
      <c r="AT17" s="2">
        <v>19.5</v>
      </c>
      <c r="AU17" s="2">
        <v>39</v>
      </c>
      <c r="AV17" s="2">
        <v>34</v>
      </c>
      <c r="AW17" s="2"/>
      <c r="AX17" s="2"/>
      <c r="AY17" s="2">
        <v>6</v>
      </c>
      <c r="AZ17" s="2">
        <v>6</v>
      </c>
      <c r="BA17" s="2"/>
      <c r="BB17" s="2">
        <v>2</v>
      </c>
      <c r="BC17" s="2"/>
      <c r="BD17" s="2"/>
      <c r="BE17" s="2">
        <v>19</v>
      </c>
      <c r="BF17" s="2"/>
      <c r="BG17" s="2"/>
      <c r="BH17" s="2">
        <f>18+8</f>
        <v>26</v>
      </c>
      <c r="BI17" s="2">
        <v>19</v>
      </c>
      <c r="BJ17" s="2">
        <v>3</v>
      </c>
      <c r="BK17" s="2">
        <v>12</v>
      </c>
      <c r="BL17" s="2">
        <v>2</v>
      </c>
      <c r="BM17" s="2"/>
      <c r="BN17" s="2">
        <v>1</v>
      </c>
      <c r="BO17" s="2">
        <v>13</v>
      </c>
      <c r="BP17" s="2">
        <v>28.5</v>
      </c>
      <c r="BQ17" s="2">
        <v>23</v>
      </c>
      <c r="BR17" s="2">
        <v>3</v>
      </c>
      <c r="BS17" s="2"/>
      <c r="BT17" s="2">
        <f>24.9+4.8</f>
        <v>29.7</v>
      </c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39" t="s">
        <v>349</v>
      </c>
      <c r="CF17" s="49" t="s">
        <v>109</v>
      </c>
      <c r="CG17" s="55" t="s">
        <v>26</v>
      </c>
      <c r="CH17" s="47">
        <f t="shared" si="0"/>
        <v>516.5</v>
      </c>
    </row>
    <row r="18" spans="1:86" s="3" customFormat="1" ht="15" customHeight="1">
      <c r="A18" s="17">
        <v>16</v>
      </c>
      <c r="B18" s="5" t="s">
        <v>112</v>
      </c>
      <c r="C18" s="2" t="s">
        <v>27</v>
      </c>
      <c r="D18" s="2">
        <v>190.6</v>
      </c>
      <c r="E18" s="2"/>
      <c r="F18" s="2">
        <v>113.6</v>
      </c>
      <c r="G18" s="2"/>
      <c r="H18" s="2">
        <v>10.3</v>
      </c>
      <c r="I18" s="2"/>
      <c r="J18" s="2"/>
      <c r="K18" s="2"/>
      <c r="L18" s="2"/>
      <c r="M18" s="2"/>
      <c r="N18" s="2"/>
      <c r="O18" s="2">
        <v>462.1</v>
      </c>
      <c r="P18" s="2"/>
      <c r="Q18" s="2">
        <v>147</v>
      </c>
      <c r="R18" s="2">
        <v>187.9</v>
      </c>
      <c r="S18" s="2"/>
      <c r="T18" s="2"/>
      <c r="U18" s="2"/>
      <c r="V18" s="2">
        <v>29.8</v>
      </c>
      <c r="W18" s="2"/>
      <c r="X18" s="2"/>
      <c r="Y18" s="2">
        <v>55.3</v>
      </c>
      <c r="Z18" s="2"/>
      <c r="AA18" s="2"/>
      <c r="AB18" s="2">
        <v>176</v>
      </c>
      <c r="AC18" s="2"/>
      <c r="AD18" s="2"/>
      <c r="AE18" s="2"/>
      <c r="AF18" s="2">
        <v>6</v>
      </c>
      <c r="AG18" s="2">
        <v>2</v>
      </c>
      <c r="AH18" s="2">
        <v>3</v>
      </c>
      <c r="AI18" s="2">
        <v>11.4</v>
      </c>
      <c r="AJ18" s="2"/>
      <c r="AK18" s="2">
        <v>8</v>
      </c>
      <c r="AL18" s="2"/>
      <c r="AM18" s="2"/>
      <c r="AN18" s="2">
        <v>7</v>
      </c>
      <c r="AO18" s="2">
        <v>4</v>
      </c>
      <c r="AP18" s="2"/>
      <c r="AQ18" s="2"/>
      <c r="AR18" s="2"/>
      <c r="AS18" s="2">
        <v>7</v>
      </c>
      <c r="AT18" s="2">
        <v>11.7</v>
      </c>
      <c r="AU18" s="2">
        <v>69</v>
      </c>
      <c r="AV18" s="2">
        <v>3</v>
      </c>
      <c r="AW18" s="2"/>
      <c r="AX18" s="2"/>
      <c r="AY18" s="2">
        <v>4</v>
      </c>
      <c r="AZ18" s="2">
        <v>4</v>
      </c>
      <c r="BA18" s="2"/>
      <c r="BB18" s="2">
        <v>2</v>
      </c>
      <c r="BC18" s="2"/>
      <c r="BD18" s="2"/>
      <c r="BE18" s="2"/>
      <c r="BF18" s="2"/>
      <c r="BG18" s="2">
        <v>4.8</v>
      </c>
      <c r="BH18" s="2">
        <v>6</v>
      </c>
      <c r="BI18" s="2"/>
      <c r="BJ18" s="2">
        <v>12</v>
      </c>
      <c r="BK18" s="2">
        <v>23</v>
      </c>
      <c r="BL18" s="2">
        <v>4</v>
      </c>
      <c r="BM18" s="2"/>
      <c r="BN18" s="2">
        <v>1</v>
      </c>
      <c r="BO18" s="2">
        <v>4</v>
      </c>
      <c r="BP18" s="2">
        <v>5.7</v>
      </c>
      <c r="BQ18" s="2">
        <v>13</v>
      </c>
      <c r="BR18" s="2"/>
      <c r="BS18" s="2"/>
      <c r="BT18" s="2">
        <v>29.8</v>
      </c>
      <c r="BU18" s="2"/>
      <c r="BV18" s="2">
        <v>10.2</v>
      </c>
      <c r="BW18" s="2"/>
      <c r="BX18" s="2"/>
      <c r="BY18" s="2"/>
      <c r="BZ18" s="2">
        <v>9</v>
      </c>
      <c r="CA18" s="2"/>
      <c r="CB18" s="2"/>
      <c r="CC18" s="2"/>
      <c r="CD18" s="2"/>
      <c r="CE18" s="40" t="s">
        <v>350</v>
      </c>
      <c r="CF18" s="49" t="s">
        <v>112</v>
      </c>
      <c r="CG18" s="55" t="s">
        <v>27</v>
      </c>
      <c r="CH18" s="47">
        <f t="shared" si="0"/>
        <v>314.5</v>
      </c>
    </row>
    <row r="19" spans="1:86" s="3" customFormat="1" ht="15" customHeight="1">
      <c r="A19" s="17">
        <v>17</v>
      </c>
      <c r="B19" s="5" t="s">
        <v>113</v>
      </c>
      <c r="C19" s="2" t="s">
        <v>28</v>
      </c>
      <c r="D19" s="2"/>
      <c r="E19" s="2"/>
      <c r="F19" s="2">
        <v>428.9</v>
      </c>
      <c r="G19" s="2">
        <v>181.3</v>
      </c>
      <c r="H19" s="2">
        <v>116.6</v>
      </c>
      <c r="I19" s="2"/>
      <c r="J19" s="2"/>
      <c r="K19" s="2"/>
      <c r="L19" s="2"/>
      <c r="M19" s="2">
        <v>19.8</v>
      </c>
      <c r="N19" s="2"/>
      <c r="O19" s="2">
        <v>492.7</v>
      </c>
      <c r="P19" s="2"/>
      <c r="Q19" s="2"/>
      <c r="R19" s="2">
        <v>443.9</v>
      </c>
      <c r="S19" s="2"/>
      <c r="T19" s="2"/>
      <c r="U19" s="2"/>
      <c r="V19" s="2">
        <v>103.7</v>
      </c>
      <c r="W19" s="2"/>
      <c r="X19" s="2"/>
      <c r="Y19" s="2">
        <v>8.9</v>
      </c>
      <c r="Z19" s="2"/>
      <c r="AA19" s="2"/>
      <c r="AB19" s="2"/>
      <c r="AC19" s="2"/>
      <c r="AD19" s="2"/>
      <c r="AE19" s="2">
        <v>39</v>
      </c>
      <c r="AF19" s="2">
        <v>21</v>
      </c>
      <c r="AG19" s="2">
        <v>3</v>
      </c>
      <c r="AH19" s="2"/>
      <c r="AI19" s="2"/>
      <c r="AJ19" s="2">
        <v>160.8</v>
      </c>
      <c r="AK19" s="2"/>
      <c r="AL19" s="2"/>
      <c r="AM19" s="2">
        <v>24</v>
      </c>
      <c r="AN19" s="2">
        <v>15</v>
      </c>
      <c r="AO19" s="2">
        <v>17</v>
      </c>
      <c r="AP19" s="2"/>
      <c r="AQ19" s="2"/>
      <c r="AR19" s="2"/>
      <c r="AS19" s="2">
        <v>18</v>
      </c>
      <c r="AT19" s="2">
        <v>5.4</v>
      </c>
      <c r="AU19" s="2">
        <v>112</v>
      </c>
      <c r="AV19" s="2">
        <v>48</v>
      </c>
      <c r="AW19" s="2"/>
      <c r="AX19" s="2"/>
      <c r="AY19" s="2">
        <v>9</v>
      </c>
      <c r="AZ19" s="2">
        <v>9</v>
      </c>
      <c r="BA19" s="2"/>
      <c r="BB19" s="2">
        <v>8</v>
      </c>
      <c r="BC19" s="2">
        <v>1</v>
      </c>
      <c r="BD19" s="2">
        <v>1</v>
      </c>
      <c r="BE19" s="2">
        <v>3</v>
      </c>
      <c r="BF19" s="2"/>
      <c r="BG19" s="2">
        <v>156.8</v>
      </c>
      <c r="BH19" s="2">
        <v>16</v>
      </c>
      <c r="BI19" s="2">
        <v>13</v>
      </c>
      <c r="BJ19" s="2">
        <v>3</v>
      </c>
      <c r="BK19" s="2">
        <v>4</v>
      </c>
      <c r="BL19" s="2">
        <v>3</v>
      </c>
      <c r="BM19" s="2">
        <v>1</v>
      </c>
      <c r="BN19" s="2"/>
      <c r="BO19" s="2">
        <v>53</v>
      </c>
      <c r="BP19" s="2">
        <v>11.4</v>
      </c>
      <c r="BQ19" s="2">
        <v>49</v>
      </c>
      <c r="BR19" s="2">
        <v>3</v>
      </c>
      <c r="BS19" s="2"/>
      <c r="BT19" s="2"/>
      <c r="BU19" s="2"/>
      <c r="BV19" s="2"/>
      <c r="BW19" s="2"/>
      <c r="BX19" s="2"/>
      <c r="BY19" s="2"/>
      <c r="BZ19" s="2">
        <v>7</v>
      </c>
      <c r="CA19" s="2"/>
      <c r="CB19" s="2"/>
      <c r="CC19" s="2"/>
      <c r="CD19" s="2">
        <v>21</v>
      </c>
      <c r="CE19" s="39" t="s">
        <v>356</v>
      </c>
      <c r="CF19" s="49" t="s">
        <v>113</v>
      </c>
      <c r="CG19" s="55" t="s">
        <v>28</v>
      </c>
      <c r="CH19" s="47">
        <f t="shared" si="0"/>
        <v>746.6</v>
      </c>
    </row>
    <row r="20" spans="1:86" s="3" customFormat="1" ht="15" customHeight="1">
      <c r="A20" s="17">
        <v>18</v>
      </c>
      <c r="B20" s="5" t="s">
        <v>114</v>
      </c>
      <c r="C20" s="2" t="s">
        <v>115</v>
      </c>
      <c r="D20" s="2">
        <v>220.8</v>
      </c>
      <c r="E20" s="2"/>
      <c r="F20" s="2">
        <v>137.7</v>
      </c>
      <c r="G20" s="2"/>
      <c r="H20" s="2">
        <v>793.1</v>
      </c>
      <c r="I20" s="2"/>
      <c r="J20" s="2"/>
      <c r="K20" s="2"/>
      <c r="L20" s="2">
        <v>603.4</v>
      </c>
      <c r="M20" s="2">
        <v>1713.8</v>
      </c>
      <c r="N20" s="2">
        <v>120.2</v>
      </c>
      <c r="O20" s="2"/>
      <c r="P20" s="2">
        <v>242.4</v>
      </c>
      <c r="Q20" s="2">
        <v>2009.1</v>
      </c>
      <c r="R20" s="2">
        <v>898.8</v>
      </c>
      <c r="S20" s="2">
        <v>175.32</v>
      </c>
      <c r="T20" s="2"/>
      <c r="U20" s="2"/>
      <c r="V20" s="2">
        <v>118.5</v>
      </c>
      <c r="W20" s="2">
        <v>213.1</v>
      </c>
      <c r="X20" s="2">
        <v>121.9</v>
      </c>
      <c r="Y20" s="2">
        <v>77.4</v>
      </c>
      <c r="Z20" s="2"/>
      <c r="AA20" s="2"/>
      <c r="AB20" s="2">
        <v>1132</v>
      </c>
      <c r="AC20" s="2"/>
      <c r="AD20" s="2"/>
      <c r="AE20" s="2">
        <v>11</v>
      </c>
      <c r="AF20" s="2">
        <v>25</v>
      </c>
      <c r="AG20" s="2"/>
      <c r="AH20" s="2"/>
      <c r="AI20" s="2">
        <v>49.4</v>
      </c>
      <c r="AJ20" s="2"/>
      <c r="AK20" s="2">
        <v>61</v>
      </c>
      <c r="AL20" s="2"/>
      <c r="AM20" s="2"/>
      <c r="AN20" s="2"/>
      <c r="AO20" s="2"/>
      <c r="AP20" s="2"/>
      <c r="AQ20" s="2"/>
      <c r="AR20" s="2"/>
      <c r="AS20" s="2"/>
      <c r="AT20" s="2"/>
      <c r="AU20" s="2">
        <v>314</v>
      </c>
      <c r="AV20" s="2">
        <v>57</v>
      </c>
      <c r="AW20" s="2"/>
      <c r="AX20" s="2">
        <v>30</v>
      </c>
      <c r="AY20" s="2">
        <v>17</v>
      </c>
      <c r="AZ20" s="2">
        <v>17</v>
      </c>
      <c r="BA20" s="2"/>
      <c r="BB20" s="2">
        <v>22</v>
      </c>
      <c r="BC20" s="2">
        <v>4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>
        <v>3</v>
      </c>
      <c r="BR20" s="2"/>
      <c r="BS20" s="2">
        <v>814</v>
      </c>
      <c r="BT20" s="2"/>
      <c r="BU20" s="2"/>
      <c r="BV20" s="2"/>
      <c r="BW20" s="2"/>
      <c r="BX20" s="2"/>
      <c r="BY20" s="2">
        <v>266.4</v>
      </c>
      <c r="BZ20" s="2"/>
      <c r="CA20" s="2"/>
      <c r="CB20" s="2">
        <v>21</v>
      </c>
      <c r="CC20" s="2"/>
      <c r="CD20" s="2"/>
      <c r="CE20" s="39" t="s">
        <v>321</v>
      </c>
      <c r="CF20" s="49" t="s">
        <v>114</v>
      </c>
      <c r="CG20" s="55" t="s">
        <v>115</v>
      </c>
      <c r="CH20" s="47">
        <f t="shared" si="0"/>
        <v>3589</v>
      </c>
    </row>
    <row r="21" spans="1:86" s="3" customFormat="1" ht="15" customHeight="1">
      <c r="A21" s="17">
        <v>19</v>
      </c>
      <c r="B21" s="5" t="s">
        <v>116</v>
      </c>
      <c r="C21" s="2" t="s">
        <v>314</v>
      </c>
      <c r="D21" s="2">
        <v>82.1</v>
      </c>
      <c r="E21" s="2">
        <v>37.9</v>
      </c>
      <c r="F21" s="2">
        <v>12.3</v>
      </c>
      <c r="G21" s="2"/>
      <c r="H21" s="2"/>
      <c r="I21" s="2"/>
      <c r="J21" s="2">
        <v>8</v>
      </c>
      <c r="K21" s="2">
        <v>82</v>
      </c>
      <c r="L21" s="2"/>
      <c r="M21" s="2">
        <f>81.6+84.4</f>
        <v>166</v>
      </c>
      <c r="N21" s="2"/>
      <c r="O21" s="2"/>
      <c r="P21" s="2"/>
      <c r="Q21" s="2"/>
      <c r="R21" s="2">
        <v>5.4</v>
      </c>
      <c r="S21" s="2">
        <v>16.4</v>
      </c>
      <c r="T21" s="2"/>
      <c r="U21" s="2"/>
      <c r="V21" s="2">
        <v>26.6</v>
      </c>
      <c r="W21" s="2"/>
      <c r="X21" s="2"/>
      <c r="Y21" s="2"/>
      <c r="Z21" s="2"/>
      <c r="AA21" s="2"/>
      <c r="AB21" s="2">
        <v>107</v>
      </c>
      <c r="AC21" s="2"/>
      <c r="AD21" s="2">
        <v>8</v>
      </c>
      <c r="AE21" s="2"/>
      <c r="AF21" s="2"/>
      <c r="AG21" s="2"/>
      <c r="AH21" s="2">
        <v>2</v>
      </c>
      <c r="AI21" s="2">
        <v>16</v>
      </c>
      <c r="AJ21" s="2"/>
      <c r="AK21" s="2">
        <v>12</v>
      </c>
      <c r="AL21" s="2">
        <v>9</v>
      </c>
      <c r="AM21" s="2"/>
      <c r="AN21" s="2"/>
      <c r="AO21" s="2"/>
      <c r="AP21" s="2"/>
      <c r="AQ21" s="2"/>
      <c r="AR21" s="2"/>
      <c r="AS21" s="2"/>
      <c r="AT21" s="2"/>
      <c r="AU21" s="2">
        <v>28</v>
      </c>
      <c r="AV21" s="2">
        <v>4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>
        <v>2</v>
      </c>
      <c r="BI21" s="2">
        <v>1</v>
      </c>
      <c r="BJ21" s="2"/>
      <c r="BK21" s="2">
        <v>3</v>
      </c>
      <c r="BL21" s="2"/>
      <c r="BM21" s="2"/>
      <c r="BN21" s="2"/>
      <c r="BO21" s="2"/>
      <c r="BP21" s="2"/>
      <c r="BQ21" s="2">
        <v>1</v>
      </c>
      <c r="BR21" s="2">
        <v>2</v>
      </c>
      <c r="BS21" s="2"/>
      <c r="BT21" s="2"/>
      <c r="BU21" s="2"/>
      <c r="BV21" s="2"/>
      <c r="BW21" s="2"/>
      <c r="BX21" s="2"/>
      <c r="BY21" s="2"/>
      <c r="BZ21" s="2">
        <v>2</v>
      </c>
      <c r="CA21" s="2">
        <v>10</v>
      </c>
      <c r="CB21" s="2"/>
      <c r="CC21" s="2"/>
      <c r="CD21" s="2">
        <v>23</v>
      </c>
      <c r="CE21" s="39" t="s">
        <v>318</v>
      </c>
      <c r="CF21" s="49" t="s">
        <v>116</v>
      </c>
      <c r="CG21" s="55" t="s">
        <v>117</v>
      </c>
      <c r="CH21" s="47">
        <f t="shared" si="0"/>
        <v>388.3</v>
      </c>
    </row>
    <row r="22" spans="1:86" s="3" customFormat="1" ht="15" customHeight="1">
      <c r="A22" s="17">
        <v>20</v>
      </c>
      <c r="B22" s="5" t="s">
        <v>118</v>
      </c>
      <c r="C22" s="2" t="s">
        <v>119</v>
      </c>
      <c r="D22" s="2"/>
      <c r="E22" s="2">
        <v>14</v>
      </c>
      <c r="F22" s="2"/>
      <c r="G22" s="2"/>
      <c r="H22" s="2"/>
      <c r="I22" s="2"/>
      <c r="J22" s="2"/>
      <c r="K22" s="2"/>
      <c r="L22" s="2"/>
      <c r="M22" s="2"/>
      <c r="N22" s="2"/>
      <c r="O22" s="2">
        <v>51.5</v>
      </c>
      <c r="P22" s="2"/>
      <c r="Q22" s="2"/>
      <c r="R22" s="2"/>
      <c r="S22" s="2"/>
      <c r="T22" s="2"/>
      <c r="U22" s="2"/>
      <c r="V22" s="2">
        <v>3.1</v>
      </c>
      <c r="W22" s="2"/>
      <c r="X22" s="2"/>
      <c r="Y22" s="2"/>
      <c r="Z22" s="2"/>
      <c r="AA22" s="2"/>
      <c r="AB22" s="2"/>
      <c r="AC22" s="2">
        <v>2</v>
      </c>
      <c r="AD22" s="2"/>
      <c r="AE22" s="2"/>
      <c r="AF22" s="2"/>
      <c r="AG22" s="2"/>
      <c r="AH22" s="2"/>
      <c r="AI22" s="2">
        <v>2.4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>
        <v>4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>
        <v>1</v>
      </c>
      <c r="BJ22" s="2"/>
      <c r="BK22" s="2">
        <v>3</v>
      </c>
      <c r="BL22" s="2"/>
      <c r="BM22" s="2"/>
      <c r="BN22" s="2"/>
      <c r="BO22" s="2"/>
      <c r="BP22" s="2"/>
      <c r="BQ22" s="2">
        <v>1</v>
      </c>
      <c r="BR22" s="2"/>
      <c r="BS22" s="2">
        <v>3</v>
      </c>
      <c r="BT22" s="2"/>
      <c r="BU22" s="2"/>
      <c r="BV22" s="2"/>
      <c r="BW22" s="2"/>
      <c r="BX22" s="2"/>
      <c r="BY22" s="2"/>
      <c r="BZ22" s="2">
        <v>1</v>
      </c>
      <c r="CA22" s="2"/>
      <c r="CB22" s="2"/>
      <c r="CC22" s="2"/>
      <c r="CD22" s="2">
        <v>2</v>
      </c>
      <c r="CE22" s="39" t="s">
        <v>318</v>
      </c>
      <c r="CF22" s="49" t="s">
        <v>118</v>
      </c>
      <c r="CG22" s="55" t="s">
        <v>119</v>
      </c>
      <c r="CH22" s="47">
        <f t="shared" si="0"/>
        <v>14</v>
      </c>
    </row>
    <row r="23" spans="1:86" s="15" customFormat="1" ht="15" customHeight="1">
      <c r="A23" s="17"/>
      <c r="B23" s="13"/>
      <c r="C23" s="14"/>
      <c r="D23" s="14">
        <f aca="true" t="shared" si="1" ref="D23:I23">SUM(D3:D22)</f>
        <v>4167.900000000001</v>
      </c>
      <c r="E23" s="14">
        <f t="shared" si="1"/>
        <v>310.99999999999994</v>
      </c>
      <c r="F23" s="14">
        <f t="shared" si="1"/>
        <v>4453.700000000001</v>
      </c>
      <c r="G23" s="14">
        <f t="shared" si="1"/>
        <v>348</v>
      </c>
      <c r="H23" s="14">
        <f t="shared" si="1"/>
        <v>2498.2999999999997</v>
      </c>
      <c r="I23" s="14">
        <f t="shared" si="1"/>
        <v>0</v>
      </c>
      <c r="J23" s="14">
        <f aca="true" t="shared" si="2" ref="J23:R23">SUM(J3:J22)</f>
        <v>17</v>
      </c>
      <c r="K23" s="14">
        <f t="shared" si="2"/>
        <v>82</v>
      </c>
      <c r="L23" s="14">
        <f t="shared" si="2"/>
        <v>603.4</v>
      </c>
      <c r="M23" s="14">
        <f t="shared" si="2"/>
        <v>1899.6</v>
      </c>
      <c r="N23" s="14">
        <f t="shared" si="2"/>
        <v>120.2</v>
      </c>
      <c r="O23" s="14">
        <f t="shared" si="2"/>
        <v>15012.800000000003</v>
      </c>
      <c r="P23" s="14">
        <f t="shared" si="2"/>
        <v>1617.6000000000004</v>
      </c>
      <c r="Q23" s="14">
        <f t="shared" si="2"/>
        <v>4490.099999999999</v>
      </c>
      <c r="R23" s="14">
        <f t="shared" si="2"/>
        <v>6836.799999999999</v>
      </c>
      <c r="S23" s="14">
        <f aca="true" t="shared" si="3" ref="S23:AB23">SUM(S3:S22)</f>
        <v>813.0200000000001</v>
      </c>
      <c r="T23" s="14">
        <f t="shared" si="3"/>
        <v>81.3</v>
      </c>
      <c r="U23" s="14">
        <f t="shared" si="3"/>
        <v>0</v>
      </c>
      <c r="V23" s="14">
        <f t="shared" si="3"/>
        <v>1839.31</v>
      </c>
      <c r="W23" s="14">
        <f t="shared" si="3"/>
        <v>213.1</v>
      </c>
      <c r="X23" s="14">
        <f t="shared" si="3"/>
        <v>182.5</v>
      </c>
      <c r="Y23" s="14">
        <f t="shared" si="3"/>
        <v>776.8599999999999</v>
      </c>
      <c r="Z23" s="14">
        <f t="shared" si="3"/>
        <v>4</v>
      </c>
      <c r="AA23" s="14">
        <f t="shared" si="3"/>
        <v>19</v>
      </c>
      <c r="AB23" s="14">
        <f t="shared" si="3"/>
        <v>6669</v>
      </c>
      <c r="AC23" s="14">
        <f aca="true" t="shared" si="4" ref="AC23:AK23">SUM(AC3:AC22)</f>
        <v>2</v>
      </c>
      <c r="AD23" s="14">
        <f t="shared" si="4"/>
        <v>71.3</v>
      </c>
      <c r="AE23" s="14">
        <f t="shared" si="4"/>
        <v>69.2</v>
      </c>
      <c r="AF23" s="14">
        <f t="shared" si="4"/>
        <v>451</v>
      </c>
      <c r="AG23" s="14">
        <f t="shared" si="4"/>
        <v>25</v>
      </c>
      <c r="AH23" s="14">
        <f t="shared" si="4"/>
        <v>35</v>
      </c>
      <c r="AI23" s="14">
        <f t="shared" si="4"/>
        <v>1208.7000000000003</v>
      </c>
      <c r="AJ23" s="14">
        <f t="shared" si="4"/>
        <v>191.5</v>
      </c>
      <c r="AK23" s="14">
        <f t="shared" si="4"/>
        <v>455</v>
      </c>
      <c r="AL23" s="14">
        <f aca="true" t="shared" si="5" ref="AL23:AT23">SUM(AL3:AL22)</f>
        <v>9</v>
      </c>
      <c r="AM23" s="14">
        <f t="shared" si="5"/>
        <v>50</v>
      </c>
      <c r="AN23" s="14">
        <f t="shared" si="5"/>
        <v>166</v>
      </c>
      <c r="AO23" s="14">
        <f t="shared" si="5"/>
        <v>536</v>
      </c>
      <c r="AP23" s="14">
        <f t="shared" si="5"/>
        <v>471</v>
      </c>
      <c r="AQ23" s="14">
        <f t="shared" si="5"/>
        <v>11</v>
      </c>
      <c r="AR23" s="14">
        <f t="shared" si="5"/>
        <v>92</v>
      </c>
      <c r="AS23" s="14">
        <f t="shared" si="5"/>
        <v>86</v>
      </c>
      <c r="AT23" s="14">
        <f t="shared" si="5"/>
        <v>378</v>
      </c>
      <c r="AU23" s="14">
        <f aca="true" t="shared" si="6" ref="AU23:BC23">SUM(AU3:AU22)</f>
        <v>1312</v>
      </c>
      <c r="AV23" s="14">
        <f t="shared" si="6"/>
        <v>699</v>
      </c>
      <c r="AW23" s="14">
        <f t="shared" si="6"/>
        <v>0</v>
      </c>
      <c r="AX23" s="14">
        <f t="shared" si="6"/>
        <v>112</v>
      </c>
      <c r="AY23" s="14">
        <f t="shared" si="6"/>
        <v>125</v>
      </c>
      <c r="AZ23" s="14">
        <f t="shared" si="6"/>
        <v>125</v>
      </c>
      <c r="BA23" s="14">
        <f t="shared" si="6"/>
        <v>30</v>
      </c>
      <c r="BB23" s="14">
        <f t="shared" si="6"/>
        <v>49</v>
      </c>
      <c r="BC23" s="14">
        <f t="shared" si="6"/>
        <v>10</v>
      </c>
      <c r="BD23" s="14">
        <f aca="true" t="shared" si="7" ref="BD23:BL23">SUM(BD3:BD22)</f>
        <v>1</v>
      </c>
      <c r="BE23" s="14">
        <f t="shared" si="7"/>
        <v>449</v>
      </c>
      <c r="BF23" s="14">
        <f t="shared" si="7"/>
        <v>0</v>
      </c>
      <c r="BG23" s="14">
        <f t="shared" si="7"/>
        <v>243.8</v>
      </c>
      <c r="BH23" s="14">
        <f t="shared" si="7"/>
        <v>683</v>
      </c>
      <c r="BI23" s="14">
        <f t="shared" si="7"/>
        <v>173</v>
      </c>
      <c r="BJ23" s="14">
        <f t="shared" si="7"/>
        <v>107</v>
      </c>
      <c r="BK23" s="14">
        <f t="shared" si="7"/>
        <v>217</v>
      </c>
      <c r="BL23" s="14">
        <f t="shared" si="7"/>
        <v>34</v>
      </c>
      <c r="BM23" s="14">
        <f aca="true" t="shared" si="8" ref="BM23:BU23">SUM(BM3:BM22)</f>
        <v>14</v>
      </c>
      <c r="BN23" s="14">
        <f t="shared" si="8"/>
        <v>10</v>
      </c>
      <c r="BO23" s="14">
        <f t="shared" si="8"/>
        <v>503</v>
      </c>
      <c r="BP23" s="14">
        <f t="shared" si="8"/>
        <v>351.09999999999997</v>
      </c>
      <c r="BQ23" s="14">
        <f t="shared" si="8"/>
        <v>550</v>
      </c>
      <c r="BR23" s="14">
        <f t="shared" si="8"/>
        <v>19</v>
      </c>
      <c r="BS23" s="14">
        <f t="shared" si="8"/>
        <v>817</v>
      </c>
      <c r="BT23" s="14">
        <f t="shared" si="8"/>
        <v>145.3</v>
      </c>
      <c r="BU23" s="14">
        <f t="shared" si="8"/>
        <v>13.2</v>
      </c>
      <c r="BV23" s="14">
        <f aca="true" t="shared" si="9" ref="BV23:CD23">SUM(BV3:BV22)</f>
        <v>41.599999999999994</v>
      </c>
      <c r="BW23" s="14">
        <f t="shared" si="9"/>
        <v>44</v>
      </c>
      <c r="BX23" s="14">
        <f t="shared" si="9"/>
        <v>2</v>
      </c>
      <c r="BY23" s="14">
        <f t="shared" si="9"/>
        <v>266.4</v>
      </c>
      <c r="BZ23" s="14">
        <f t="shared" si="9"/>
        <v>70</v>
      </c>
      <c r="CA23" s="14">
        <f t="shared" si="9"/>
        <v>10</v>
      </c>
      <c r="CB23" s="14">
        <f t="shared" si="9"/>
        <v>23</v>
      </c>
      <c r="CC23" s="14">
        <f t="shared" si="9"/>
        <v>5</v>
      </c>
      <c r="CD23" s="14">
        <f t="shared" si="9"/>
        <v>244</v>
      </c>
      <c r="CE23" s="41"/>
      <c r="CF23" s="50"/>
      <c r="CG23" s="60"/>
      <c r="CH23" s="61"/>
    </row>
    <row r="24" spans="1:86" s="3" customFormat="1" ht="15" customHeight="1">
      <c r="A24" s="17">
        <v>21</v>
      </c>
      <c r="B24" s="5" t="s">
        <v>120</v>
      </c>
      <c r="C24" s="2" t="s">
        <v>121</v>
      </c>
      <c r="D24" s="2"/>
      <c r="E24" s="2">
        <v>126.2</v>
      </c>
      <c r="F24" s="2"/>
      <c r="G24" s="2"/>
      <c r="H24" s="2">
        <v>23</v>
      </c>
      <c r="I24" s="2"/>
      <c r="J24" s="2"/>
      <c r="K24" s="2"/>
      <c r="L24" s="2"/>
      <c r="M24" s="2">
        <v>19.2</v>
      </c>
      <c r="N24" s="2"/>
      <c r="O24" s="2"/>
      <c r="P24" s="2"/>
      <c r="Q24" s="2">
        <v>58.6</v>
      </c>
      <c r="R24" s="2">
        <v>57.9</v>
      </c>
      <c r="S24" s="2"/>
      <c r="T24" s="2">
        <v>2.2</v>
      </c>
      <c r="U24" s="2"/>
      <c r="V24" s="2">
        <v>19.5</v>
      </c>
      <c r="W24" s="2"/>
      <c r="X24" s="2"/>
      <c r="Y24" s="2"/>
      <c r="Z24" s="2"/>
      <c r="AA24" s="2"/>
      <c r="AB24" s="2">
        <v>87</v>
      </c>
      <c r="AC24" s="2">
        <v>2.4</v>
      </c>
      <c r="AD24" s="2"/>
      <c r="AE24" s="2"/>
      <c r="AF24" s="2">
        <v>7</v>
      </c>
      <c r="AG24" s="2">
        <v>1</v>
      </c>
      <c r="AH24" s="2"/>
      <c r="AI24" s="2">
        <v>22</v>
      </c>
      <c r="AJ24" s="2">
        <v>3.2</v>
      </c>
      <c r="AK24" s="2"/>
      <c r="AL24" s="2">
        <v>16</v>
      </c>
      <c r="AM24" s="2"/>
      <c r="AN24" s="2">
        <v>3</v>
      </c>
      <c r="AO24" s="2"/>
      <c r="AP24" s="2"/>
      <c r="AQ24" s="2"/>
      <c r="AR24" s="2"/>
      <c r="AS24" s="2"/>
      <c r="AT24" s="2"/>
      <c r="AU24" s="2">
        <v>19</v>
      </c>
      <c r="AV24" s="2">
        <v>18</v>
      </c>
      <c r="AW24" s="2"/>
      <c r="AX24" s="2"/>
      <c r="AY24" s="2">
        <v>2</v>
      </c>
      <c r="AZ24" s="2">
        <v>2</v>
      </c>
      <c r="BA24" s="2"/>
      <c r="BB24" s="2"/>
      <c r="BC24" s="2"/>
      <c r="BD24" s="2"/>
      <c r="BE24" s="2"/>
      <c r="BF24" s="2"/>
      <c r="BG24" s="2">
        <v>5.4</v>
      </c>
      <c r="BH24" s="2">
        <v>25</v>
      </c>
      <c r="BI24" s="2">
        <v>1</v>
      </c>
      <c r="BJ24" s="2">
        <v>1</v>
      </c>
      <c r="BK24" s="2">
        <v>9</v>
      </c>
      <c r="BL24" s="2">
        <v>1</v>
      </c>
      <c r="BM24" s="2">
        <v>3</v>
      </c>
      <c r="BN24" s="2"/>
      <c r="BO24" s="2"/>
      <c r="BP24" s="2">
        <v>5.7</v>
      </c>
      <c r="BQ24" s="2">
        <v>10</v>
      </c>
      <c r="BR24" s="2">
        <v>3</v>
      </c>
      <c r="BS24" s="2">
        <v>18</v>
      </c>
      <c r="BT24" s="2"/>
      <c r="BU24" s="2"/>
      <c r="BV24" s="2"/>
      <c r="BW24" s="2"/>
      <c r="BX24" s="2"/>
      <c r="BY24" s="2"/>
      <c r="BZ24" s="2">
        <v>5</v>
      </c>
      <c r="CA24" s="2">
        <v>2.2</v>
      </c>
      <c r="CB24" s="2"/>
      <c r="CC24" s="2"/>
      <c r="CD24" s="2">
        <v>14</v>
      </c>
      <c r="CE24" s="39" t="s">
        <v>322</v>
      </c>
      <c r="CF24" s="49" t="s">
        <v>120</v>
      </c>
      <c r="CG24" s="55" t="s">
        <v>121</v>
      </c>
      <c r="CH24" s="47">
        <f aca="true" t="shared" si="10" ref="CH24:CH56">SUM(D24:N24)</f>
        <v>168.39999999999998</v>
      </c>
    </row>
    <row r="25" spans="1:86" s="3" customFormat="1" ht="15" customHeight="1">
      <c r="A25" s="17">
        <v>22</v>
      </c>
      <c r="B25" s="5" t="s">
        <v>122</v>
      </c>
      <c r="C25" s="2" t="s">
        <v>123</v>
      </c>
      <c r="D25" s="2"/>
      <c r="E25" s="2"/>
      <c r="F25" s="2"/>
      <c r="G25" s="2">
        <v>10.6</v>
      </c>
      <c r="H25" s="2">
        <v>3.8</v>
      </c>
      <c r="I25" s="2"/>
      <c r="J25" s="2"/>
      <c r="K25" s="2"/>
      <c r="L25" s="2"/>
      <c r="M25" s="2"/>
      <c r="N25" s="2"/>
      <c r="O25" s="2"/>
      <c r="P25" s="2"/>
      <c r="Q25" s="2"/>
      <c r="R25" s="2">
        <v>2.7</v>
      </c>
      <c r="S25" s="2"/>
      <c r="T25" s="2"/>
      <c r="U25" s="2"/>
      <c r="V25" s="2">
        <v>7.8</v>
      </c>
      <c r="W25" s="2"/>
      <c r="X25" s="2"/>
      <c r="Y25" s="2"/>
      <c r="Z25" s="2"/>
      <c r="AA25" s="2"/>
      <c r="AB25" s="2">
        <v>32</v>
      </c>
      <c r="AC25" s="2"/>
      <c r="AD25" s="2"/>
      <c r="AE25" s="2"/>
      <c r="AF25" s="2">
        <v>2</v>
      </c>
      <c r="AG25" s="2">
        <v>1</v>
      </c>
      <c r="AH25" s="2"/>
      <c r="AI25" s="2">
        <v>5.4</v>
      </c>
      <c r="AJ25" s="2"/>
      <c r="AK25" s="2">
        <v>2</v>
      </c>
      <c r="AL25" s="2"/>
      <c r="AM25" s="2"/>
      <c r="AN25" s="2">
        <v>1</v>
      </c>
      <c r="AO25" s="2"/>
      <c r="AP25" s="2"/>
      <c r="AQ25" s="2"/>
      <c r="AR25" s="2"/>
      <c r="AS25" s="2"/>
      <c r="AT25" s="2"/>
      <c r="AU25" s="2">
        <v>8</v>
      </c>
      <c r="AV25" s="2">
        <v>2</v>
      </c>
      <c r="AW25" s="2"/>
      <c r="AX25" s="2"/>
      <c r="AY25" s="2">
        <v>1</v>
      </c>
      <c r="AZ25" s="2">
        <v>1</v>
      </c>
      <c r="BA25" s="2"/>
      <c r="BB25" s="2"/>
      <c r="BC25" s="2"/>
      <c r="BD25" s="2"/>
      <c r="BE25" s="2"/>
      <c r="BF25" s="2"/>
      <c r="BG25" s="2"/>
      <c r="BH25" s="2">
        <v>1</v>
      </c>
      <c r="BI25" s="2">
        <v>1</v>
      </c>
      <c r="BJ25" s="2">
        <v>2</v>
      </c>
      <c r="BK25" s="2">
        <v>1</v>
      </c>
      <c r="BL25" s="2"/>
      <c r="BM25" s="2">
        <v>1</v>
      </c>
      <c r="BN25" s="2"/>
      <c r="BO25" s="2">
        <v>2</v>
      </c>
      <c r="BP25" s="2">
        <v>5.7</v>
      </c>
      <c r="BQ25" s="2">
        <v>3</v>
      </c>
      <c r="BR25" s="2"/>
      <c r="BS25" s="2"/>
      <c r="BT25" s="2"/>
      <c r="BU25" s="2"/>
      <c r="BV25" s="2"/>
      <c r="BW25" s="2"/>
      <c r="BX25" s="2"/>
      <c r="BY25" s="2"/>
      <c r="BZ25" s="2">
        <v>1</v>
      </c>
      <c r="CA25" s="2"/>
      <c r="CB25" s="2"/>
      <c r="CC25" s="2"/>
      <c r="CD25" s="2">
        <v>2</v>
      </c>
      <c r="CE25" s="39" t="s">
        <v>323</v>
      </c>
      <c r="CF25" s="49" t="s">
        <v>122</v>
      </c>
      <c r="CG25" s="55" t="s">
        <v>123</v>
      </c>
      <c r="CH25" s="47">
        <f t="shared" si="10"/>
        <v>14.399999999999999</v>
      </c>
    </row>
    <row r="26" spans="1:86" s="3" customFormat="1" ht="15" customHeight="1">
      <c r="A26" s="17">
        <v>23</v>
      </c>
      <c r="B26" s="5" t="s">
        <v>124</v>
      </c>
      <c r="C26" s="2" t="s">
        <v>125</v>
      </c>
      <c r="D26" s="2"/>
      <c r="E26" s="2"/>
      <c r="F26" s="2"/>
      <c r="G26" s="2">
        <v>14.5</v>
      </c>
      <c r="H26" s="2">
        <v>8</v>
      </c>
      <c r="I26" s="2"/>
      <c r="J26" s="2"/>
      <c r="K26" s="2"/>
      <c r="L26" s="2"/>
      <c r="M26" s="2"/>
      <c r="N26" s="2"/>
      <c r="O26" s="2"/>
      <c r="P26" s="2"/>
      <c r="Q26" s="2"/>
      <c r="R26" s="2">
        <v>41</v>
      </c>
      <c r="S26" s="2"/>
      <c r="T26" s="2"/>
      <c r="U26" s="2"/>
      <c r="V26" s="2">
        <v>7.8</v>
      </c>
      <c r="W26" s="2"/>
      <c r="X26" s="2"/>
      <c r="Y26" s="2"/>
      <c r="Z26" s="2"/>
      <c r="AA26" s="2"/>
      <c r="AB26" s="2">
        <v>29</v>
      </c>
      <c r="AC26" s="2"/>
      <c r="AD26" s="2"/>
      <c r="AE26" s="2"/>
      <c r="AF26" s="2">
        <v>2</v>
      </c>
      <c r="AG26" s="2">
        <v>1</v>
      </c>
      <c r="AH26" s="2"/>
      <c r="AI26" s="2">
        <v>6</v>
      </c>
      <c r="AJ26" s="2"/>
      <c r="AK26" s="2">
        <v>2</v>
      </c>
      <c r="AL26" s="2"/>
      <c r="AM26" s="2"/>
      <c r="AN26" s="2">
        <v>1</v>
      </c>
      <c r="AO26" s="2"/>
      <c r="AP26" s="2"/>
      <c r="AQ26" s="2"/>
      <c r="AR26" s="2"/>
      <c r="AS26" s="2"/>
      <c r="AT26" s="2"/>
      <c r="AU26" s="2">
        <v>6</v>
      </c>
      <c r="AV26" s="2">
        <v>3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>
        <v>2</v>
      </c>
      <c r="BJ26" s="2">
        <v>1</v>
      </c>
      <c r="BK26" s="2">
        <v>2</v>
      </c>
      <c r="BL26" s="2"/>
      <c r="BM26" s="2">
        <v>1</v>
      </c>
      <c r="BN26" s="2"/>
      <c r="BO26" s="2">
        <v>3</v>
      </c>
      <c r="BP26" s="2">
        <v>5.7</v>
      </c>
      <c r="BQ26" s="2">
        <v>3</v>
      </c>
      <c r="BR26" s="2"/>
      <c r="BS26" s="2"/>
      <c r="BT26" s="2"/>
      <c r="BU26" s="2"/>
      <c r="BV26" s="2"/>
      <c r="BW26" s="2"/>
      <c r="BX26" s="2"/>
      <c r="BY26" s="2"/>
      <c r="BZ26" s="2">
        <v>2</v>
      </c>
      <c r="CA26" s="2"/>
      <c r="CB26" s="2"/>
      <c r="CC26" s="2"/>
      <c r="CD26" s="2">
        <v>2</v>
      </c>
      <c r="CE26" s="39" t="s">
        <v>324</v>
      </c>
      <c r="CF26" s="49" t="s">
        <v>124</v>
      </c>
      <c r="CG26" s="55" t="s">
        <v>125</v>
      </c>
      <c r="CH26" s="47">
        <f t="shared" si="10"/>
        <v>22.5</v>
      </c>
    </row>
    <row r="27" spans="1:86" s="3" customFormat="1" ht="15" customHeight="1">
      <c r="A27" s="17">
        <v>24</v>
      </c>
      <c r="B27" s="5" t="s">
        <v>126</v>
      </c>
      <c r="C27" s="2" t="s">
        <v>310</v>
      </c>
      <c r="D27" s="2"/>
      <c r="E27" s="2"/>
      <c r="F27" s="2"/>
      <c r="G27" s="2">
        <v>29</v>
      </c>
      <c r="H27" s="2">
        <v>21</v>
      </c>
      <c r="I27" s="2"/>
      <c r="J27" s="2"/>
      <c r="K27" s="2"/>
      <c r="L27" s="2"/>
      <c r="M27" s="2"/>
      <c r="N27" s="2"/>
      <c r="O27" s="2"/>
      <c r="P27" s="2"/>
      <c r="Q27" s="2"/>
      <c r="R27" s="2">
        <v>77.2</v>
      </c>
      <c r="S27" s="2"/>
      <c r="T27" s="2"/>
      <c r="U27" s="2"/>
      <c r="V27" s="2">
        <v>15.6</v>
      </c>
      <c r="W27" s="2"/>
      <c r="X27" s="2"/>
      <c r="Y27" s="2"/>
      <c r="Z27" s="2"/>
      <c r="AA27" s="2"/>
      <c r="AB27" s="2">
        <v>71</v>
      </c>
      <c r="AC27" s="2"/>
      <c r="AD27" s="2"/>
      <c r="AE27" s="2"/>
      <c r="AF27" s="2">
        <v>4</v>
      </c>
      <c r="AG27" s="2">
        <v>2</v>
      </c>
      <c r="AH27" s="2"/>
      <c r="AI27" s="2">
        <v>24</v>
      </c>
      <c r="AJ27" s="2"/>
      <c r="AK27" s="2">
        <v>4</v>
      </c>
      <c r="AL27" s="2"/>
      <c r="AM27" s="2"/>
      <c r="AN27" s="2">
        <v>2</v>
      </c>
      <c r="AO27" s="2"/>
      <c r="AP27" s="2"/>
      <c r="AQ27" s="2"/>
      <c r="AR27" s="2"/>
      <c r="AS27" s="2"/>
      <c r="AT27" s="2"/>
      <c r="AU27" s="2">
        <v>12</v>
      </c>
      <c r="AV27" s="2">
        <v>6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>
        <v>4</v>
      </c>
      <c r="BJ27" s="2">
        <v>2</v>
      </c>
      <c r="BK27" s="2">
        <v>4</v>
      </c>
      <c r="BL27" s="2"/>
      <c r="BM27" s="2">
        <v>2</v>
      </c>
      <c r="BN27" s="2"/>
      <c r="BO27" s="2">
        <v>6</v>
      </c>
      <c r="BP27" s="2">
        <v>11.4</v>
      </c>
      <c r="BQ27" s="2">
        <v>6</v>
      </c>
      <c r="BR27" s="2"/>
      <c r="BS27" s="2"/>
      <c r="BT27" s="2"/>
      <c r="BU27" s="2"/>
      <c r="BV27" s="2"/>
      <c r="BW27" s="2"/>
      <c r="BX27" s="2"/>
      <c r="BY27" s="2"/>
      <c r="BZ27" s="2">
        <v>4</v>
      </c>
      <c r="CA27" s="2"/>
      <c r="CB27" s="2"/>
      <c r="CC27" s="2"/>
      <c r="CD27" s="2">
        <v>5</v>
      </c>
      <c r="CE27" s="39" t="s">
        <v>325</v>
      </c>
      <c r="CF27" s="49" t="s">
        <v>126</v>
      </c>
      <c r="CG27" s="55" t="s">
        <v>127</v>
      </c>
      <c r="CH27" s="47">
        <f t="shared" si="10"/>
        <v>50</v>
      </c>
    </row>
    <row r="28" spans="1:86" s="3" customFormat="1" ht="15" customHeight="1">
      <c r="A28" s="17">
        <v>25</v>
      </c>
      <c r="B28" s="5" t="s">
        <v>128</v>
      </c>
      <c r="C28" s="2" t="s">
        <v>399</v>
      </c>
      <c r="D28" s="2"/>
      <c r="E28" s="2"/>
      <c r="F28" s="2">
        <v>14.5</v>
      </c>
      <c r="G28" s="2">
        <v>29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2.8</v>
      </c>
      <c r="S28" s="2"/>
      <c r="T28" s="2"/>
      <c r="U28" s="2"/>
      <c r="V28" s="2">
        <v>3.9</v>
      </c>
      <c r="W28" s="2"/>
      <c r="X28" s="2"/>
      <c r="Y28" s="2"/>
      <c r="Z28" s="2"/>
      <c r="AA28" s="2"/>
      <c r="AB28" s="2">
        <v>14</v>
      </c>
      <c r="AC28" s="2"/>
      <c r="AD28" s="2"/>
      <c r="AE28" s="2"/>
      <c r="AF28" s="2">
        <v>1</v>
      </c>
      <c r="AG28" s="2"/>
      <c r="AH28" s="2"/>
      <c r="AI28" s="2">
        <v>1.8</v>
      </c>
      <c r="AJ28" s="2"/>
      <c r="AK28" s="2">
        <v>1</v>
      </c>
      <c r="AL28" s="2"/>
      <c r="AM28" s="2"/>
      <c r="AN28" s="2"/>
      <c r="AO28" s="2"/>
      <c r="AP28" s="2"/>
      <c r="AQ28" s="2"/>
      <c r="AR28" s="2"/>
      <c r="AS28" s="2"/>
      <c r="AT28" s="2"/>
      <c r="AU28" s="2">
        <v>3</v>
      </c>
      <c r="AV28" s="2">
        <v>1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>
        <v>1</v>
      </c>
      <c r="BJ28" s="2"/>
      <c r="BK28" s="2">
        <v>1</v>
      </c>
      <c r="BL28" s="2"/>
      <c r="BM28" s="2"/>
      <c r="BN28" s="2"/>
      <c r="BO28" s="2">
        <v>1</v>
      </c>
      <c r="BP28" s="2"/>
      <c r="BQ28" s="2">
        <v>1</v>
      </c>
      <c r="BR28" s="2"/>
      <c r="BS28" s="2"/>
      <c r="BT28" s="2"/>
      <c r="BU28" s="2"/>
      <c r="BV28" s="2"/>
      <c r="BW28" s="2"/>
      <c r="BX28" s="2"/>
      <c r="BY28" s="2"/>
      <c r="BZ28" s="2">
        <v>1</v>
      </c>
      <c r="CA28" s="2"/>
      <c r="CB28" s="2"/>
      <c r="CC28" s="2"/>
      <c r="CD28" s="2">
        <v>1</v>
      </c>
      <c r="CE28" s="39" t="s">
        <v>326</v>
      </c>
      <c r="CF28" s="49" t="s">
        <v>128</v>
      </c>
      <c r="CG28" s="55" t="s">
        <v>129</v>
      </c>
      <c r="CH28" s="47">
        <f t="shared" si="10"/>
        <v>43.5</v>
      </c>
    </row>
    <row r="29" spans="1:86" s="3" customFormat="1" ht="15" customHeight="1">
      <c r="A29" s="17">
        <v>26</v>
      </c>
      <c r="B29" s="5" t="s">
        <v>130</v>
      </c>
      <c r="C29" s="2" t="s">
        <v>131</v>
      </c>
      <c r="D29" s="2"/>
      <c r="E29" s="2"/>
      <c r="F29" s="2">
        <f>18.3*2</f>
        <v>36.6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7.2</v>
      </c>
      <c r="S29" s="2"/>
      <c r="T29" s="2"/>
      <c r="U29" s="2"/>
      <c r="V29" s="2">
        <v>8.2</v>
      </c>
      <c r="W29" s="2"/>
      <c r="X29" s="2"/>
      <c r="Y29" s="2"/>
      <c r="Z29" s="2"/>
      <c r="AA29" s="2"/>
      <c r="AB29" s="2"/>
      <c r="AC29" s="2"/>
      <c r="AD29" s="2"/>
      <c r="AE29" s="2">
        <v>2</v>
      </c>
      <c r="AF29" s="2">
        <v>2</v>
      </c>
      <c r="AG29" s="2"/>
      <c r="AH29" s="2"/>
      <c r="AI29" s="2"/>
      <c r="AJ29" s="2">
        <v>3.6</v>
      </c>
      <c r="AK29" s="2">
        <v>2</v>
      </c>
      <c r="AL29" s="2"/>
      <c r="AM29" s="2"/>
      <c r="AN29" s="2"/>
      <c r="AO29" s="2"/>
      <c r="AP29" s="2"/>
      <c r="AQ29" s="2"/>
      <c r="AR29" s="2"/>
      <c r="AS29" s="2"/>
      <c r="AT29" s="2"/>
      <c r="AU29" s="2">
        <v>8</v>
      </c>
      <c r="AV29" s="2">
        <v>2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>
        <v>2</v>
      </c>
      <c r="BJ29" s="2">
        <v>2</v>
      </c>
      <c r="BK29" s="2">
        <v>2</v>
      </c>
      <c r="BL29" s="2"/>
      <c r="BM29" s="2">
        <v>2</v>
      </c>
      <c r="BN29" s="2"/>
      <c r="BO29" s="2">
        <v>4</v>
      </c>
      <c r="BP29" s="2">
        <v>2</v>
      </c>
      <c r="BQ29" s="2">
        <v>4</v>
      </c>
      <c r="BR29" s="2"/>
      <c r="BS29" s="2"/>
      <c r="BT29" s="2"/>
      <c r="BU29" s="2"/>
      <c r="BV29" s="2"/>
      <c r="BW29" s="2">
        <v>6.4</v>
      </c>
      <c r="BX29" s="2"/>
      <c r="BY29" s="2"/>
      <c r="BZ29" s="2">
        <v>2</v>
      </c>
      <c r="CA29" s="2"/>
      <c r="CB29" s="2"/>
      <c r="CC29" s="2"/>
      <c r="CD29" s="2">
        <v>4</v>
      </c>
      <c r="CE29" s="39" t="s">
        <v>326</v>
      </c>
      <c r="CF29" s="49" t="s">
        <v>130</v>
      </c>
      <c r="CG29" s="55" t="s">
        <v>131</v>
      </c>
      <c r="CH29" s="47">
        <f t="shared" si="10"/>
        <v>36.6</v>
      </c>
    </row>
    <row r="30" spans="1:86" s="3" customFormat="1" ht="15" customHeight="1">
      <c r="A30" s="17">
        <v>27</v>
      </c>
      <c r="B30" s="5" t="s">
        <v>132</v>
      </c>
      <c r="C30" s="2" t="s">
        <v>133</v>
      </c>
      <c r="D30" s="2"/>
      <c r="E30" s="2"/>
      <c r="F30" s="2">
        <v>14.5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2.7</v>
      </c>
      <c r="S30" s="2"/>
      <c r="T30" s="2"/>
      <c r="U30" s="2"/>
      <c r="V30" s="2">
        <v>3.9</v>
      </c>
      <c r="W30" s="2"/>
      <c r="X30" s="2"/>
      <c r="Y30" s="2"/>
      <c r="Z30" s="2"/>
      <c r="AA30" s="2"/>
      <c r="AB30" s="2">
        <v>17</v>
      </c>
      <c r="AC30" s="2"/>
      <c r="AD30" s="2"/>
      <c r="AE30" s="2"/>
      <c r="AF30" s="2">
        <v>1</v>
      </c>
      <c r="AG30" s="2"/>
      <c r="AH30" s="2"/>
      <c r="AI30" s="2">
        <v>2</v>
      </c>
      <c r="AJ30" s="2"/>
      <c r="AK30" s="2">
        <v>1</v>
      </c>
      <c r="AL30" s="2"/>
      <c r="AM30" s="2"/>
      <c r="AN30" s="2"/>
      <c r="AO30" s="2"/>
      <c r="AP30" s="2"/>
      <c r="AQ30" s="2"/>
      <c r="AR30" s="2"/>
      <c r="AS30" s="2"/>
      <c r="AT30" s="2"/>
      <c r="AU30" s="2">
        <v>3</v>
      </c>
      <c r="AV30" s="2">
        <v>1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>
        <v>1</v>
      </c>
      <c r="BJ30" s="2"/>
      <c r="BK30" s="2">
        <v>1</v>
      </c>
      <c r="BL30" s="2"/>
      <c r="BM30" s="2">
        <v>1</v>
      </c>
      <c r="BN30" s="2"/>
      <c r="BO30" s="2">
        <v>1</v>
      </c>
      <c r="BP30" s="2"/>
      <c r="BQ30" s="2">
        <v>1</v>
      </c>
      <c r="BR30" s="2"/>
      <c r="BS30" s="2"/>
      <c r="BT30" s="2"/>
      <c r="BU30" s="2"/>
      <c r="BV30" s="2"/>
      <c r="BW30" s="2"/>
      <c r="BX30" s="2"/>
      <c r="BY30" s="2"/>
      <c r="BZ30" s="2">
        <v>1</v>
      </c>
      <c r="CA30" s="2"/>
      <c r="CB30" s="2"/>
      <c r="CC30" s="2">
        <v>1</v>
      </c>
      <c r="CD30" s="2"/>
      <c r="CE30" s="39" t="s">
        <v>327</v>
      </c>
      <c r="CF30" s="49" t="s">
        <v>132</v>
      </c>
      <c r="CG30" s="55" t="s">
        <v>133</v>
      </c>
      <c r="CH30" s="47">
        <f t="shared" si="10"/>
        <v>14.5</v>
      </c>
    </row>
    <row r="31" spans="1:86" s="3" customFormat="1" ht="15" customHeight="1">
      <c r="A31" s="17">
        <v>28</v>
      </c>
      <c r="B31" s="5" t="s">
        <v>134</v>
      </c>
      <c r="C31" s="2" t="s">
        <v>135</v>
      </c>
      <c r="D31" s="2"/>
      <c r="E31" s="2"/>
      <c r="F31" s="2">
        <v>14.5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2.9</v>
      </c>
      <c r="S31" s="2"/>
      <c r="T31" s="2"/>
      <c r="U31" s="2"/>
      <c r="V31" s="2">
        <v>3.9</v>
      </c>
      <c r="W31" s="2"/>
      <c r="X31" s="2"/>
      <c r="Y31" s="2"/>
      <c r="Z31" s="2"/>
      <c r="AA31" s="2"/>
      <c r="AB31" s="2">
        <v>14</v>
      </c>
      <c r="AC31" s="2"/>
      <c r="AD31" s="2"/>
      <c r="AE31" s="2"/>
      <c r="AF31" s="2">
        <v>1</v>
      </c>
      <c r="AG31" s="2"/>
      <c r="AH31" s="2"/>
      <c r="AI31" s="2">
        <v>1.8</v>
      </c>
      <c r="AJ31" s="2"/>
      <c r="AK31" s="2">
        <v>1</v>
      </c>
      <c r="AL31" s="2"/>
      <c r="AM31" s="2"/>
      <c r="AN31" s="2"/>
      <c r="AO31" s="2"/>
      <c r="AP31" s="2"/>
      <c r="AQ31" s="2"/>
      <c r="AR31" s="2"/>
      <c r="AS31" s="2"/>
      <c r="AT31" s="2"/>
      <c r="AU31" s="2">
        <v>3</v>
      </c>
      <c r="AV31" s="2">
        <v>1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>
        <v>1</v>
      </c>
      <c r="BJ31" s="2"/>
      <c r="BK31" s="2">
        <v>1</v>
      </c>
      <c r="BL31" s="2"/>
      <c r="BM31" s="2">
        <v>1</v>
      </c>
      <c r="BN31" s="2"/>
      <c r="BO31" s="2">
        <v>1</v>
      </c>
      <c r="BP31" s="2"/>
      <c r="BQ31" s="2">
        <v>1</v>
      </c>
      <c r="BR31" s="2"/>
      <c r="BS31" s="2"/>
      <c r="BT31" s="2"/>
      <c r="BU31" s="2"/>
      <c r="BV31" s="2"/>
      <c r="BW31" s="2"/>
      <c r="BX31" s="2"/>
      <c r="BY31" s="2"/>
      <c r="BZ31" s="2">
        <v>1</v>
      </c>
      <c r="CA31" s="2"/>
      <c r="CB31" s="2"/>
      <c r="CC31" s="2"/>
      <c r="CD31" s="2">
        <v>1</v>
      </c>
      <c r="CE31" s="39" t="s">
        <v>327</v>
      </c>
      <c r="CF31" s="49" t="s">
        <v>134</v>
      </c>
      <c r="CG31" s="55" t="s">
        <v>135</v>
      </c>
      <c r="CH31" s="47">
        <f t="shared" si="10"/>
        <v>14.5</v>
      </c>
    </row>
    <row r="32" spans="1:86" s="3" customFormat="1" ht="15" customHeight="1">
      <c r="A32" s="17">
        <v>29</v>
      </c>
      <c r="B32" s="5" t="s">
        <v>136</v>
      </c>
      <c r="C32" s="2" t="s">
        <v>137</v>
      </c>
      <c r="D32" s="2"/>
      <c r="E32" s="2"/>
      <c r="F32" s="2">
        <v>35.8</v>
      </c>
      <c r="G32" s="2"/>
      <c r="H32" s="2">
        <v>58</v>
      </c>
      <c r="I32" s="2"/>
      <c r="J32" s="2"/>
      <c r="K32" s="2"/>
      <c r="L32" s="2"/>
      <c r="M32" s="2"/>
      <c r="N32" s="2"/>
      <c r="O32" s="2"/>
      <c r="P32" s="2"/>
      <c r="Q32" s="2"/>
      <c r="R32" s="2">
        <v>97.9</v>
      </c>
      <c r="S32" s="2"/>
      <c r="T32" s="2"/>
      <c r="U32" s="2"/>
      <c r="V32" s="2">
        <v>19.9</v>
      </c>
      <c r="W32" s="2"/>
      <c r="X32" s="2"/>
      <c r="Y32" s="2"/>
      <c r="Z32" s="2"/>
      <c r="AA32" s="2"/>
      <c r="AB32" s="2">
        <v>60</v>
      </c>
      <c r="AC32" s="2"/>
      <c r="AD32" s="2"/>
      <c r="AE32" s="2">
        <v>2</v>
      </c>
      <c r="AF32" s="2">
        <v>5</v>
      </c>
      <c r="AG32" s="2"/>
      <c r="AH32" s="2"/>
      <c r="AI32" s="2">
        <v>6</v>
      </c>
      <c r="AJ32" s="2">
        <v>3.6</v>
      </c>
      <c r="AK32" s="2">
        <v>5</v>
      </c>
      <c r="AL32" s="2"/>
      <c r="AM32" s="2"/>
      <c r="AN32" s="2"/>
      <c r="AO32" s="2"/>
      <c r="AP32" s="2"/>
      <c r="AQ32" s="2"/>
      <c r="AR32" s="2"/>
      <c r="AS32" s="2"/>
      <c r="AT32" s="2"/>
      <c r="AU32" s="2">
        <v>19</v>
      </c>
      <c r="AV32" s="2">
        <v>5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>
        <v>5</v>
      </c>
      <c r="BJ32" s="2">
        <v>1</v>
      </c>
      <c r="BK32" s="2">
        <v>5</v>
      </c>
      <c r="BL32" s="2"/>
      <c r="BM32" s="2">
        <v>2</v>
      </c>
      <c r="BN32" s="2"/>
      <c r="BO32" s="2">
        <v>5</v>
      </c>
      <c r="BP32" s="2"/>
      <c r="BQ32" s="2">
        <v>5</v>
      </c>
      <c r="BR32" s="2"/>
      <c r="BS32" s="2"/>
      <c r="BT32" s="2"/>
      <c r="BU32" s="2"/>
      <c r="BV32" s="2"/>
      <c r="BW32" s="2">
        <v>6.4</v>
      </c>
      <c r="BX32" s="2"/>
      <c r="BY32" s="2"/>
      <c r="BZ32" s="2">
        <v>5</v>
      </c>
      <c r="CA32" s="2"/>
      <c r="CB32" s="2"/>
      <c r="CC32" s="2"/>
      <c r="CD32" s="2">
        <v>5</v>
      </c>
      <c r="CE32" s="39" t="s">
        <v>327</v>
      </c>
      <c r="CF32" s="49" t="s">
        <v>136</v>
      </c>
      <c r="CG32" s="55" t="s">
        <v>137</v>
      </c>
      <c r="CH32" s="47">
        <f t="shared" si="10"/>
        <v>93.8</v>
      </c>
    </row>
    <row r="33" spans="1:86" s="3" customFormat="1" ht="15" customHeight="1">
      <c r="A33" s="17">
        <v>30</v>
      </c>
      <c r="B33" s="5" t="s">
        <v>138</v>
      </c>
      <c r="C33" s="2" t="s">
        <v>139</v>
      </c>
      <c r="D33" s="2"/>
      <c r="E33" s="2"/>
      <c r="F33" s="2">
        <v>29</v>
      </c>
      <c r="G33" s="2"/>
      <c r="H33" s="2">
        <v>29</v>
      </c>
      <c r="I33" s="2"/>
      <c r="J33" s="2"/>
      <c r="K33" s="2"/>
      <c r="L33" s="2"/>
      <c r="M33" s="2"/>
      <c r="N33" s="2"/>
      <c r="O33" s="2"/>
      <c r="P33" s="2"/>
      <c r="Q33" s="2"/>
      <c r="R33" s="2">
        <v>56.1</v>
      </c>
      <c r="S33" s="2"/>
      <c r="T33" s="2"/>
      <c r="U33" s="2"/>
      <c r="V33" s="2">
        <v>15.6</v>
      </c>
      <c r="W33" s="2"/>
      <c r="X33" s="2"/>
      <c r="Y33" s="2"/>
      <c r="Z33" s="2"/>
      <c r="AA33" s="2"/>
      <c r="AB33" s="2">
        <v>73</v>
      </c>
      <c r="AC33" s="2"/>
      <c r="AD33" s="2"/>
      <c r="AE33" s="2"/>
      <c r="AF33" s="2">
        <v>3</v>
      </c>
      <c r="AG33" s="2">
        <v>1</v>
      </c>
      <c r="AH33" s="2"/>
      <c r="AI33" s="2">
        <v>18</v>
      </c>
      <c r="AJ33" s="2"/>
      <c r="AK33" s="2">
        <v>4</v>
      </c>
      <c r="AL33" s="2"/>
      <c r="AM33" s="2"/>
      <c r="AN33" s="2">
        <v>1</v>
      </c>
      <c r="AO33" s="2"/>
      <c r="AP33" s="2"/>
      <c r="AQ33" s="2"/>
      <c r="AR33" s="2"/>
      <c r="AS33" s="2"/>
      <c r="AT33" s="2"/>
      <c r="AU33" s="2">
        <v>12</v>
      </c>
      <c r="AV33" s="2">
        <v>4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>
        <v>3</v>
      </c>
      <c r="BJ33" s="2">
        <v>1</v>
      </c>
      <c r="BK33" s="2">
        <v>3</v>
      </c>
      <c r="BL33" s="2"/>
      <c r="BM33" s="2">
        <v>1</v>
      </c>
      <c r="BN33" s="2"/>
      <c r="BO33" s="2">
        <v>4</v>
      </c>
      <c r="BP33" s="2">
        <v>1</v>
      </c>
      <c r="BQ33" s="2">
        <v>4</v>
      </c>
      <c r="BR33" s="2"/>
      <c r="BS33" s="2"/>
      <c r="BT33" s="2"/>
      <c r="BU33" s="2"/>
      <c r="BV33" s="2"/>
      <c r="BW33" s="2"/>
      <c r="BX33" s="2"/>
      <c r="BY33" s="2"/>
      <c r="BZ33" s="2">
        <v>3</v>
      </c>
      <c r="CA33" s="2"/>
      <c r="CB33" s="2"/>
      <c r="CC33" s="2"/>
      <c r="CD33" s="2">
        <v>3</v>
      </c>
      <c r="CE33" s="39" t="s">
        <v>328</v>
      </c>
      <c r="CF33" s="49" t="s">
        <v>138</v>
      </c>
      <c r="CG33" s="55" t="s">
        <v>139</v>
      </c>
      <c r="CH33" s="47">
        <f t="shared" si="10"/>
        <v>58</v>
      </c>
    </row>
    <row r="34" spans="1:86" s="3" customFormat="1" ht="15" customHeight="1">
      <c r="A34" s="17">
        <v>31</v>
      </c>
      <c r="B34" s="5" t="s">
        <v>140</v>
      </c>
      <c r="C34" s="2" t="s">
        <v>141</v>
      </c>
      <c r="D34" s="2"/>
      <c r="E34" s="2"/>
      <c r="F34" s="2">
        <v>72.5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13.8</v>
      </c>
      <c r="S34" s="2"/>
      <c r="T34" s="2"/>
      <c r="U34" s="2"/>
      <c r="V34" s="2">
        <v>19.5</v>
      </c>
      <c r="W34" s="2"/>
      <c r="X34" s="2"/>
      <c r="Y34" s="2"/>
      <c r="Z34" s="2"/>
      <c r="AA34" s="2"/>
      <c r="AB34" s="2">
        <v>69</v>
      </c>
      <c r="AC34" s="2"/>
      <c r="AD34" s="2"/>
      <c r="AE34" s="2"/>
      <c r="AF34" s="2">
        <v>5</v>
      </c>
      <c r="AG34" s="2"/>
      <c r="AH34" s="2"/>
      <c r="AI34" s="2">
        <v>14.4</v>
      </c>
      <c r="AJ34" s="2"/>
      <c r="AK34" s="2">
        <v>5</v>
      </c>
      <c r="AL34" s="2"/>
      <c r="AM34" s="2"/>
      <c r="AN34" s="2"/>
      <c r="AO34" s="2"/>
      <c r="AP34" s="2"/>
      <c r="AQ34" s="2"/>
      <c r="AR34" s="2"/>
      <c r="AS34" s="2"/>
      <c r="AT34" s="2"/>
      <c r="AU34" s="2">
        <v>15</v>
      </c>
      <c r="AV34" s="2">
        <v>5</v>
      </c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>
        <v>5</v>
      </c>
      <c r="BJ34" s="2"/>
      <c r="BK34" s="2">
        <v>5</v>
      </c>
      <c r="BL34" s="2"/>
      <c r="BM34" s="2">
        <v>4</v>
      </c>
      <c r="BN34" s="2"/>
      <c r="BO34" s="2"/>
      <c r="BP34" s="2"/>
      <c r="BQ34" s="2">
        <v>5</v>
      </c>
      <c r="BR34" s="2"/>
      <c r="BS34" s="2"/>
      <c r="BT34" s="2"/>
      <c r="BU34" s="2"/>
      <c r="BV34" s="2"/>
      <c r="BW34" s="2"/>
      <c r="BX34" s="2"/>
      <c r="BY34" s="2"/>
      <c r="BZ34" s="2">
        <v>5</v>
      </c>
      <c r="CA34" s="2"/>
      <c r="CB34" s="2"/>
      <c r="CC34" s="2"/>
      <c r="CD34" s="2">
        <v>6</v>
      </c>
      <c r="CE34" s="39" t="s">
        <v>326</v>
      </c>
      <c r="CF34" s="49" t="s">
        <v>140</v>
      </c>
      <c r="CG34" s="55" t="s">
        <v>141</v>
      </c>
      <c r="CH34" s="47">
        <f t="shared" si="10"/>
        <v>72.5</v>
      </c>
    </row>
    <row r="35" spans="1:86" s="3" customFormat="1" ht="15" customHeight="1">
      <c r="A35" s="17">
        <v>32</v>
      </c>
      <c r="B35" s="5" t="s">
        <v>142</v>
      </c>
      <c r="C35" s="2" t="s">
        <v>143</v>
      </c>
      <c r="D35" s="2"/>
      <c r="E35" s="2"/>
      <c r="F35" s="2">
        <v>44.2</v>
      </c>
      <c r="G35" s="2">
        <v>42.2</v>
      </c>
      <c r="H35" s="2">
        <v>5.2</v>
      </c>
      <c r="I35" s="2"/>
      <c r="J35" s="2"/>
      <c r="K35" s="2"/>
      <c r="L35" s="2"/>
      <c r="M35" s="2"/>
      <c r="N35" s="2"/>
      <c r="O35" s="2"/>
      <c r="P35" s="2"/>
      <c r="Q35" s="2"/>
      <c r="R35" s="2">
        <v>54.8</v>
      </c>
      <c r="S35" s="2"/>
      <c r="T35" s="2"/>
      <c r="U35" s="2"/>
      <c r="V35" s="2">
        <v>10.3</v>
      </c>
      <c r="W35" s="2"/>
      <c r="X35" s="2"/>
      <c r="Y35" s="2"/>
      <c r="Z35" s="2"/>
      <c r="AA35" s="2"/>
      <c r="AB35" s="2"/>
      <c r="AC35" s="2"/>
      <c r="AD35" s="2"/>
      <c r="AE35" s="2">
        <v>2</v>
      </c>
      <c r="AF35" s="2">
        <v>3</v>
      </c>
      <c r="AG35" s="2">
        <v>1</v>
      </c>
      <c r="AH35" s="2"/>
      <c r="AI35" s="2"/>
      <c r="AJ35" s="2">
        <v>13.5</v>
      </c>
      <c r="AK35" s="2">
        <v>2</v>
      </c>
      <c r="AL35" s="2"/>
      <c r="AM35" s="2"/>
      <c r="AN35" s="2">
        <v>1</v>
      </c>
      <c r="AO35" s="2"/>
      <c r="AP35" s="2"/>
      <c r="AQ35" s="2"/>
      <c r="AR35" s="2"/>
      <c r="AS35" s="2"/>
      <c r="AT35" s="2"/>
      <c r="AU35" s="2">
        <v>12</v>
      </c>
      <c r="AV35" s="2">
        <v>4</v>
      </c>
      <c r="AW35" s="2"/>
      <c r="AX35" s="2"/>
      <c r="AY35" s="2">
        <v>1</v>
      </c>
      <c r="AZ35" s="2">
        <v>1</v>
      </c>
      <c r="BA35" s="2"/>
      <c r="BB35" s="2"/>
      <c r="BC35" s="2">
        <v>1</v>
      </c>
      <c r="BD35" s="2"/>
      <c r="BE35" s="2"/>
      <c r="BF35" s="2"/>
      <c r="BG35" s="2"/>
      <c r="BH35" s="2"/>
      <c r="BI35" s="2">
        <v>2</v>
      </c>
      <c r="BJ35" s="2"/>
      <c r="BK35" s="2">
        <v>2</v>
      </c>
      <c r="BL35" s="2"/>
      <c r="BM35" s="2">
        <v>1</v>
      </c>
      <c r="BN35" s="2"/>
      <c r="BO35" s="2">
        <v>2</v>
      </c>
      <c r="BP35" s="2"/>
      <c r="BQ35" s="2">
        <v>3</v>
      </c>
      <c r="BR35" s="2"/>
      <c r="BS35" s="2"/>
      <c r="BT35" s="2"/>
      <c r="BU35" s="2"/>
      <c r="BV35" s="2"/>
      <c r="BW35" s="2">
        <v>3.2</v>
      </c>
      <c r="BX35" s="2"/>
      <c r="BY35" s="2"/>
      <c r="BZ35" s="2">
        <v>2</v>
      </c>
      <c r="CA35" s="2"/>
      <c r="CB35" s="2"/>
      <c r="CC35" s="2"/>
      <c r="CD35" s="2">
        <v>3</v>
      </c>
      <c r="CE35" s="39" t="s">
        <v>353</v>
      </c>
      <c r="CF35" s="49" t="s">
        <v>142</v>
      </c>
      <c r="CG35" s="55" t="s">
        <v>143</v>
      </c>
      <c r="CH35" s="47">
        <f t="shared" si="10"/>
        <v>91.60000000000001</v>
      </c>
    </row>
    <row r="36" spans="1:86" s="3" customFormat="1" ht="15" customHeight="1">
      <c r="A36" s="17">
        <v>33</v>
      </c>
      <c r="B36" s="5" t="s">
        <v>144</v>
      </c>
      <c r="C36" s="2" t="s">
        <v>145</v>
      </c>
      <c r="D36" s="2"/>
      <c r="E36" s="2"/>
      <c r="F36" s="2"/>
      <c r="G36" s="2"/>
      <c r="H36" s="2">
        <v>29.3</v>
      </c>
      <c r="I36" s="2"/>
      <c r="J36" s="2"/>
      <c r="K36" s="2"/>
      <c r="L36" s="2"/>
      <c r="M36" s="2"/>
      <c r="N36" s="2"/>
      <c r="O36" s="2"/>
      <c r="P36" s="2"/>
      <c r="Q36" s="2"/>
      <c r="R36" s="2">
        <v>59.1</v>
      </c>
      <c r="S36" s="2"/>
      <c r="T36" s="2"/>
      <c r="U36" s="2"/>
      <c r="V36" s="2">
        <v>7.8</v>
      </c>
      <c r="W36" s="2"/>
      <c r="X36" s="2"/>
      <c r="Y36" s="2"/>
      <c r="Z36" s="2"/>
      <c r="AA36" s="2"/>
      <c r="AB36" s="2">
        <v>27</v>
      </c>
      <c r="AC36" s="2"/>
      <c r="AD36" s="2"/>
      <c r="AE36" s="2"/>
      <c r="AF36" s="2">
        <v>1</v>
      </c>
      <c r="AG36" s="2">
        <v>2</v>
      </c>
      <c r="AH36" s="2"/>
      <c r="AI36" s="2">
        <v>2.8</v>
      </c>
      <c r="AJ36" s="2"/>
      <c r="AK36" s="2">
        <v>2</v>
      </c>
      <c r="AL36" s="2"/>
      <c r="AM36" s="2"/>
      <c r="AN36" s="2">
        <v>1</v>
      </c>
      <c r="AO36" s="2"/>
      <c r="AP36" s="2"/>
      <c r="AQ36" s="2"/>
      <c r="AR36" s="2"/>
      <c r="AS36" s="2"/>
      <c r="AT36" s="2"/>
      <c r="AU36" s="2">
        <v>4</v>
      </c>
      <c r="AV36" s="2">
        <v>2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>
        <v>1</v>
      </c>
      <c r="BK36" s="2">
        <v>1</v>
      </c>
      <c r="BL36" s="2"/>
      <c r="BM36" s="2"/>
      <c r="BN36" s="2"/>
      <c r="BO36" s="2">
        <v>4</v>
      </c>
      <c r="BP36" s="2">
        <v>5.7</v>
      </c>
      <c r="BQ36" s="2">
        <v>2</v>
      </c>
      <c r="BR36" s="2"/>
      <c r="BS36" s="2"/>
      <c r="BT36" s="2"/>
      <c r="BU36" s="2"/>
      <c r="BV36" s="2"/>
      <c r="BW36" s="2"/>
      <c r="BX36" s="2"/>
      <c r="BY36" s="2"/>
      <c r="BZ36" s="2">
        <v>1</v>
      </c>
      <c r="CA36" s="2"/>
      <c r="CB36" s="2"/>
      <c r="CC36" s="2"/>
      <c r="CD36" s="2">
        <v>2</v>
      </c>
      <c r="CE36" s="39" t="s">
        <v>329</v>
      </c>
      <c r="CF36" s="49" t="s">
        <v>144</v>
      </c>
      <c r="CG36" s="55" t="s">
        <v>145</v>
      </c>
      <c r="CH36" s="47">
        <f t="shared" si="10"/>
        <v>29.3</v>
      </c>
    </row>
    <row r="37" spans="1:86" s="3" customFormat="1" ht="15" customHeight="1">
      <c r="A37" s="17">
        <v>34</v>
      </c>
      <c r="B37" s="5" t="s">
        <v>146</v>
      </c>
      <c r="C37" s="2" t="s">
        <v>147</v>
      </c>
      <c r="D37" s="2"/>
      <c r="E37" s="2"/>
      <c r="F37" s="2">
        <v>29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7.2</v>
      </c>
      <c r="S37" s="2"/>
      <c r="T37" s="2"/>
      <c r="U37" s="2"/>
      <c r="V37" s="2">
        <v>7.8</v>
      </c>
      <c r="W37" s="2"/>
      <c r="X37" s="2"/>
      <c r="Y37" s="2"/>
      <c r="Z37" s="2"/>
      <c r="AA37" s="2"/>
      <c r="AB37" s="2">
        <v>31</v>
      </c>
      <c r="AC37" s="2"/>
      <c r="AD37" s="2"/>
      <c r="AE37" s="2"/>
      <c r="AF37" s="2">
        <v>2</v>
      </c>
      <c r="AG37" s="2"/>
      <c r="AH37" s="2"/>
      <c r="AI37" s="2">
        <v>3.6</v>
      </c>
      <c r="AJ37" s="2"/>
      <c r="AK37" s="2">
        <v>2</v>
      </c>
      <c r="AL37" s="2"/>
      <c r="AM37" s="2"/>
      <c r="AN37" s="2"/>
      <c r="AO37" s="2"/>
      <c r="AP37" s="2"/>
      <c r="AQ37" s="2"/>
      <c r="AR37" s="2"/>
      <c r="AS37" s="2"/>
      <c r="AT37" s="2"/>
      <c r="AU37" s="2">
        <v>6</v>
      </c>
      <c r="AV37" s="2">
        <v>2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>
        <v>2</v>
      </c>
      <c r="BJ37" s="2"/>
      <c r="BK37" s="2">
        <v>2</v>
      </c>
      <c r="BL37" s="2"/>
      <c r="BM37" s="2">
        <v>1</v>
      </c>
      <c r="BN37" s="2"/>
      <c r="BO37" s="2">
        <v>2</v>
      </c>
      <c r="BP37" s="2"/>
      <c r="BQ37" s="2">
        <v>2</v>
      </c>
      <c r="BR37" s="2"/>
      <c r="BS37" s="2"/>
      <c r="BT37" s="2"/>
      <c r="BU37" s="2"/>
      <c r="BV37" s="2"/>
      <c r="BW37" s="2"/>
      <c r="BX37" s="2"/>
      <c r="BY37" s="2"/>
      <c r="BZ37" s="2">
        <v>2</v>
      </c>
      <c r="CA37" s="2"/>
      <c r="CB37" s="2"/>
      <c r="CC37" s="2"/>
      <c r="CD37" s="2">
        <v>4</v>
      </c>
      <c r="CE37" s="39" t="s">
        <v>326</v>
      </c>
      <c r="CF37" s="49" t="s">
        <v>146</v>
      </c>
      <c r="CG37" s="55" t="s">
        <v>147</v>
      </c>
      <c r="CH37" s="47">
        <f t="shared" si="10"/>
        <v>29</v>
      </c>
    </row>
    <row r="38" spans="1:86" s="3" customFormat="1" ht="15" customHeight="1">
      <c r="A38" s="17">
        <v>35</v>
      </c>
      <c r="B38" s="5" t="s">
        <v>148</v>
      </c>
      <c r="C38" s="2" t="s">
        <v>311</v>
      </c>
      <c r="D38" s="2"/>
      <c r="E38" s="2"/>
      <c r="F38" s="2">
        <v>8.9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1.8</v>
      </c>
      <c r="S38" s="2"/>
      <c r="T38" s="2"/>
      <c r="U38" s="2"/>
      <c r="V38" s="2">
        <v>2.1</v>
      </c>
      <c r="W38" s="2"/>
      <c r="X38" s="2"/>
      <c r="Y38" s="2"/>
      <c r="Z38" s="2"/>
      <c r="AA38" s="2"/>
      <c r="AB38" s="2"/>
      <c r="AC38" s="2"/>
      <c r="AD38" s="2"/>
      <c r="AE38" s="2">
        <v>0.5</v>
      </c>
      <c r="AF38" s="2">
        <v>0.5</v>
      </c>
      <c r="AG38" s="2"/>
      <c r="AH38" s="2"/>
      <c r="AI38" s="2"/>
      <c r="AJ38" s="2">
        <v>0.9</v>
      </c>
      <c r="AK38" s="2">
        <v>0.5</v>
      </c>
      <c r="AL38" s="2"/>
      <c r="AM38" s="2"/>
      <c r="AN38" s="2"/>
      <c r="AO38" s="2"/>
      <c r="AP38" s="2"/>
      <c r="AQ38" s="2"/>
      <c r="AR38" s="2"/>
      <c r="AS38" s="2"/>
      <c r="AT38" s="2"/>
      <c r="AU38" s="2">
        <v>2</v>
      </c>
      <c r="AV38" s="2">
        <v>0.5</v>
      </c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>
        <v>1</v>
      </c>
      <c r="BJ38" s="2"/>
      <c r="BK38" s="2">
        <v>0.5</v>
      </c>
      <c r="BL38" s="2"/>
      <c r="BM38" s="2">
        <v>0.5</v>
      </c>
      <c r="BN38" s="2"/>
      <c r="BO38" s="2">
        <v>0.5</v>
      </c>
      <c r="BP38" s="2"/>
      <c r="BQ38" s="2">
        <v>0.5</v>
      </c>
      <c r="BR38" s="2"/>
      <c r="BS38" s="2"/>
      <c r="BT38" s="2"/>
      <c r="BU38" s="2"/>
      <c r="BV38" s="2"/>
      <c r="BW38" s="2">
        <v>1.6</v>
      </c>
      <c r="BX38" s="2"/>
      <c r="BY38" s="2"/>
      <c r="BZ38" s="2"/>
      <c r="CA38" s="2"/>
      <c r="CB38" s="2"/>
      <c r="CC38" s="2"/>
      <c r="CD38" s="2">
        <v>1</v>
      </c>
      <c r="CE38" s="39" t="s">
        <v>326</v>
      </c>
      <c r="CF38" s="49" t="s">
        <v>148</v>
      </c>
      <c r="CG38" s="55" t="s">
        <v>149</v>
      </c>
      <c r="CH38" s="47">
        <f t="shared" si="10"/>
        <v>8.9</v>
      </c>
    </row>
    <row r="39" spans="1:86" s="3" customFormat="1" ht="15" customHeight="1">
      <c r="A39" s="17">
        <v>36</v>
      </c>
      <c r="B39" s="5" t="s">
        <v>150</v>
      </c>
      <c r="C39" s="2" t="s">
        <v>151</v>
      </c>
      <c r="D39" s="2"/>
      <c r="E39" s="2"/>
      <c r="F39" s="2"/>
      <c r="G39" s="2"/>
      <c r="H39" s="2">
        <v>29.4</v>
      </c>
      <c r="I39" s="2"/>
      <c r="J39" s="2"/>
      <c r="K39" s="2"/>
      <c r="L39" s="2"/>
      <c r="M39" s="2"/>
      <c r="N39" s="2"/>
      <c r="O39" s="2"/>
      <c r="P39" s="2"/>
      <c r="Q39" s="2"/>
      <c r="R39" s="2">
        <v>64.5</v>
      </c>
      <c r="S39" s="2"/>
      <c r="T39" s="2"/>
      <c r="U39" s="2"/>
      <c r="V39" s="2">
        <v>2.5</v>
      </c>
      <c r="W39" s="2"/>
      <c r="X39" s="2"/>
      <c r="Y39" s="2"/>
      <c r="Z39" s="2"/>
      <c r="AA39" s="2"/>
      <c r="AB39" s="2">
        <v>19</v>
      </c>
      <c r="AC39" s="2"/>
      <c r="AD39" s="2"/>
      <c r="AE39" s="2"/>
      <c r="AF39" s="2">
        <v>2</v>
      </c>
      <c r="AG39" s="2"/>
      <c r="AH39" s="2"/>
      <c r="AI39" s="2">
        <v>5.4</v>
      </c>
      <c r="AJ39" s="2"/>
      <c r="AK39" s="2">
        <v>1</v>
      </c>
      <c r="AL39" s="2"/>
      <c r="AM39" s="2"/>
      <c r="AN39" s="2">
        <v>1</v>
      </c>
      <c r="AO39" s="2"/>
      <c r="AP39" s="2"/>
      <c r="AQ39" s="2"/>
      <c r="AR39" s="2"/>
      <c r="AS39" s="2"/>
      <c r="AT39" s="2"/>
      <c r="AU39" s="2">
        <v>5</v>
      </c>
      <c r="AV39" s="2">
        <v>2</v>
      </c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>
        <v>2</v>
      </c>
      <c r="BI39" s="2">
        <v>3</v>
      </c>
      <c r="BJ39" s="2"/>
      <c r="BK39" s="2">
        <v>4</v>
      </c>
      <c r="BL39" s="2"/>
      <c r="BM39" s="2">
        <v>1</v>
      </c>
      <c r="BN39" s="2"/>
      <c r="BO39" s="2">
        <v>2</v>
      </c>
      <c r="BP39" s="2"/>
      <c r="BQ39" s="2">
        <v>2</v>
      </c>
      <c r="BR39" s="2">
        <v>1</v>
      </c>
      <c r="BS39" s="2"/>
      <c r="BT39" s="2"/>
      <c r="BU39" s="2"/>
      <c r="BV39" s="2"/>
      <c r="BW39" s="2"/>
      <c r="BX39" s="2"/>
      <c r="BY39" s="2"/>
      <c r="BZ39" s="2">
        <v>1</v>
      </c>
      <c r="CA39" s="2"/>
      <c r="CB39" s="2">
        <v>2</v>
      </c>
      <c r="CC39" s="2"/>
      <c r="CD39" s="2">
        <v>3</v>
      </c>
      <c r="CE39" s="39" t="s">
        <v>330</v>
      </c>
      <c r="CF39" s="49" t="s">
        <v>150</v>
      </c>
      <c r="CG39" s="55" t="s">
        <v>151</v>
      </c>
      <c r="CH39" s="47">
        <f t="shared" si="10"/>
        <v>29.4</v>
      </c>
    </row>
    <row r="40" spans="1:86" s="3" customFormat="1" ht="15" customHeight="1">
      <c r="A40" s="17">
        <v>37</v>
      </c>
      <c r="B40" s="5" t="s">
        <v>152</v>
      </c>
      <c r="C40" s="2" t="s">
        <v>400</v>
      </c>
      <c r="D40" s="2"/>
      <c r="E40" s="2"/>
      <c r="F40" s="2">
        <v>71.8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14.1</v>
      </c>
      <c r="S40" s="2"/>
      <c r="T40" s="2"/>
      <c r="U40" s="2"/>
      <c r="V40" s="2">
        <v>16.4</v>
      </c>
      <c r="W40" s="2"/>
      <c r="X40" s="2"/>
      <c r="Y40" s="2"/>
      <c r="Z40" s="2"/>
      <c r="AA40" s="2"/>
      <c r="AB40" s="2"/>
      <c r="AC40" s="2"/>
      <c r="AD40" s="2"/>
      <c r="AE40" s="2">
        <v>4</v>
      </c>
      <c r="AF40" s="2">
        <v>4</v>
      </c>
      <c r="AG40" s="2">
        <v>1</v>
      </c>
      <c r="AH40" s="2"/>
      <c r="AI40" s="2"/>
      <c r="AJ40" s="2">
        <v>16.4</v>
      </c>
      <c r="AK40" s="2">
        <v>4</v>
      </c>
      <c r="AL40" s="2"/>
      <c r="AM40" s="2"/>
      <c r="AN40" s="2">
        <v>1</v>
      </c>
      <c r="AO40" s="2"/>
      <c r="AP40" s="2"/>
      <c r="AQ40" s="2"/>
      <c r="AR40" s="2"/>
      <c r="AS40" s="2"/>
      <c r="AT40" s="2"/>
      <c r="AU40" s="2">
        <v>17</v>
      </c>
      <c r="AV40" s="2">
        <v>5</v>
      </c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>
        <v>4</v>
      </c>
      <c r="BJ40" s="2">
        <v>3</v>
      </c>
      <c r="BK40" s="2">
        <v>4</v>
      </c>
      <c r="BL40" s="2"/>
      <c r="BM40" s="2">
        <v>3</v>
      </c>
      <c r="BN40" s="2"/>
      <c r="BO40" s="2">
        <v>3</v>
      </c>
      <c r="BP40" s="2">
        <v>5.4</v>
      </c>
      <c r="BQ40" s="2">
        <v>5</v>
      </c>
      <c r="BR40" s="2"/>
      <c r="BS40" s="2"/>
      <c r="BT40" s="2"/>
      <c r="BU40" s="2"/>
      <c r="BV40" s="2"/>
      <c r="BW40" s="2">
        <v>12.8</v>
      </c>
      <c r="BX40" s="2"/>
      <c r="BY40" s="2"/>
      <c r="BZ40" s="2">
        <v>4</v>
      </c>
      <c r="CA40" s="2"/>
      <c r="CB40" s="2"/>
      <c r="CC40" s="2"/>
      <c r="CD40" s="2">
        <v>7</v>
      </c>
      <c r="CE40" s="39" t="s">
        <v>352</v>
      </c>
      <c r="CF40" s="49" t="s">
        <v>152</v>
      </c>
      <c r="CG40" s="55" t="s">
        <v>153</v>
      </c>
      <c r="CH40" s="47">
        <f t="shared" si="10"/>
        <v>71.8</v>
      </c>
    </row>
    <row r="41" spans="1:86" s="3" customFormat="1" ht="15" customHeight="1">
      <c r="A41" s="17">
        <v>38</v>
      </c>
      <c r="B41" s="5" t="s">
        <v>154</v>
      </c>
      <c r="C41" s="2" t="s">
        <v>155</v>
      </c>
      <c r="D41" s="2"/>
      <c r="E41" s="2"/>
      <c r="F41" s="2">
        <v>8.9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1.8</v>
      </c>
      <c r="S41" s="2"/>
      <c r="T41" s="2"/>
      <c r="U41" s="2"/>
      <c r="V41" s="2">
        <v>2.1</v>
      </c>
      <c r="W41" s="2"/>
      <c r="X41" s="2"/>
      <c r="Y41" s="2"/>
      <c r="Z41" s="2"/>
      <c r="AA41" s="2"/>
      <c r="AB41" s="2"/>
      <c r="AC41" s="2"/>
      <c r="AD41" s="2"/>
      <c r="AE41" s="2">
        <v>0.5</v>
      </c>
      <c r="AF41" s="2">
        <v>0.5</v>
      </c>
      <c r="AG41" s="2"/>
      <c r="AH41" s="2"/>
      <c r="AI41" s="2"/>
      <c r="AJ41" s="2">
        <v>0.9</v>
      </c>
      <c r="AK41" s="2">
        <v>0.5</v>
      </c>
      <c r="AL41" s="2"/>
      <c r="AM41" s="2"/>
      <c r="AN41" s="2"/>
      <c r="AO41" s="2"/>
      <c r="AP41" s="2"/>
      <c r="AQ41" s="2"/>
      <c r="AR41" s="2"/>
      <c r="AS41" s="2"/>
      <c r="AT41" s="2"/>
      <c r="AU41" s="2">
        <v>2</v>
      </c>
      <c r="AV41" s="2">
        <v>0.5</v>
      </c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>
        <v>0.5</v>
      </c>
      <c r="BL41" s="2"/>
      <c r="BM41" s="2">
        <v>0.5</v>
      </c>
      <c r="BN41" s="2"/>
      <c r="BO41" s="2">
        <v>0.5</v>
      </c>
      <c r="BP41" s="2"/>
      <c r="BQ41" s="2">
        <v>0.5</v>
      </c>
      <c r="BR41" s="2"/>
      <c r="BS41" s="2"/>
      <c r="BT41" s="2"/>
      <c r="BU41" s="2"/>
      <c r="BV41" s="2"/>
      <c r="BW41" s="2">
        <v>1.6</v>
      </c>
      <c r="BX41" s="2"/>
      <c r="BY41" s="2"/>
      <c r="BZ41" s="2"/>
      <c r="CA41" s="2"/>
      <c r="CB41" s="2"/>
      <c r="CC41" s="2"/>
      <c r="CD41" s="2">
        <v>1</v>
      </c>
      <c r="CE41" s="39" t="s">
        <v>327</v>
      </c>
      <c r="CF41" s="49" t="s">
        <v>154</v>
      </c>
      <c r="CG41" s="55" t="s">
        <v>155</v>
      </c>
      <c r="CH41" s="47">
        <f t="shared" si="10"/>
        <v>8.9</v>
      </c>
    </row>
    <row r="42" spans="1:86" s="3" customFormat="1" ht="15" customHeight="1">
      <c r="A42" s="17">
        <v>39</v>
      </c>
      <c r="B42" s="5" t="s">
        <v>156</v>
      </c>
      <c r="C42" s="2" t="s">
        <v>157</v>
      </c>
      <c r="D42" s="2"/>
      <c r="E42" s="2"/>
      <c r="F42" s="2">
        <v>14.5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2.7</v>
      </c>
      <c r="S42" s="2"/>
      <c r="T42" s="2"/>
      <c r="U42" s="2"/>
      <c r="V42" s="2">
        <v>3.9</v>
      </c>
      <c r="W42" s="2"/>
      <c r="X42" s="2"/>
      <c r="Y42" s="2"/>
      <c r="Z42" s="2"/>
      <c r="AA42" s="2"/>
      <c r="AB42" s="2">
        <v>17</v>
      </c>
      <c r="AC42" s="2"/>
      <c r="AD42" s="2"/>
      <c r="AE42" s="2"/>
      <c r="AF42" s="2">
        <v>1</v>
      </c>
      <c r="AG42" s="2"/>
      <c r="AH42" s="2"/>
      <c r="AI42" s="2">
        <v>5.5</v>
      </c>
      <c r="AJ42" s="2"/>
      <c r="AK42" s="2">
        <v>1</v>
      </c>
      <c r="AL42" s="2"/>
      <c r="AM42" s="2"/>
      <c r="AN42" s="2"/>
      <c r="AO42" s="2"/>
      <c r="AP42" s="2"/>
      <c r="AQ42" s="2"/>
      <c r="AR42" s="2"/>
      <c r="AS42" s="2"/>
      <c r="AT42" s="2"/>
      <c r="AU42" s="2">
        <v>3</v>
      </c>
      <c r="AV42" s="2">
        <v>1</v>
      </c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>
        <v>1</v>
      </c>
      <c r="BJ42" s="2"/>
      <c r="BK42" s="2">
        <v>1</v>
      </c>
      <c r="BL42" s="2"/>
      <c r="BM42" s="2">
        <v>1</v>
      </c>
      <c r="BN42" s="2"/>
      <c r="BO42" s="2">
        <v>1</v>
      </c>
      <c r="BP42" s="2"/>
      <c r="BQ42" s="2">
        <v>1</v>
      </c>
      <c r="BR42" s="2"/>
      <c r="BS42" s="2"/>
      <c r="BT42" s="2"/>
      <c r="BU42" s="2"/>
      <c r="BV42" s="2"/>
      <c r="BW42" s="2"/>
      <c r="BX42" s="2"/>
      <c r="BY42" s="2"/>
      <c r="BZ42" s="2">
        <v>1</v>
      </c>
      <c r="CA42" s="2"/>
      <c r="CB42" s="2"/>
      <c r="CC42" s="2"/>
      <c r="CD42" s="2">
        <v>1</v>
      </c>
      <c r="CE42" s="39" t="s">
        <v>327</v>
      </c>
      <c r="CF42" s="49" t="s">
        <v>156</v>
      </c>
      <c r="CG42" s="55" t="s">
        <v>157</v>
      </c>
      <c r="CH42" s="47">
        <f t="shared" si="10"/>
        <v>14.5</v>
      </c>
    </row>
    <row r="43" spans="1:86" s="3" customFormat="1" ht="15" customHeight="1">
      <c r="A43" s="17">
        <v>40</v>
      </c>
      <c r="B43" s="5" t="s">
        <v>158</v>
      </c>
      <c r="C43" s="2" t="s">
        <v>159</v>
      </c>
      <c r="D43" s="2"/>
      <c r="E43" s="2"/>
      <c r="F43" s="2">
        <v>14.5</v>
      </c>
      <c r="G43" s="2"/>
      <c r="H43" s="2">
        <v>9</v>
      </c>
      <c r="I43" s="2"/>
      <c r="J43" s="2"/>
      <c r="K43" s="2"/>
      <c r="L43" s="2"/>
      <c r="M43" s="2"/>
      <c r="N43" s="2"/>
      <c r="O43" s="2"/>
      <c r="P43" s="2"/>
      <c r="Q43" s="2"/>
      <c r="R43" s="2">
        <v>19.7</v>
      </c>
      <c r="S43" s="2"/>
      <c r="T43" s="2"/>
      <c r="U43" s="2"/>
      <c r="V43" s="2">
        <v>4.1</v>
      </c>
      <c r="W43" s="2"/>
      <c r="X43" s="2"/>
      <c r="Y43" s="2"/>
      <c r="Z43" s="2"/>
      <c r="AA43" s="2"/>
      <c r="AB43" s="2">
        <v>18</v>
      </c>
      <c r="AC43" s="2"/>
      <c r="AD43" s="2"/>
      <c r="AE43" s="2"/>
      <c r="AF43" s="2">
        <v>1</v>
      </c>
      <c r="AG43" s="2"/>
      <c r="AH43" s="2"/>
      <c r="AI43" s="2">
        <v>5.5</v>
      </c>
      <c r="AJ43" s="2"/>
      <c r="AK43" s="2">
        <v>1</v>
      </c>
      <c r="AL43" s="2"/>
      <c r="AM43" s="2"/>
      <c r="AN43" s="2"/>
      <c r="AO43" s="2"/>
      <c r="AP43" s="2"/>
      <c r="AQ43" s="2"/>
      <c r="AR43" s="2"/>
      <c r="AS43" s="2"/>
      <c r="AT43" s="2"/>
      <c r="AU43" s="2">
        <v>5</v>
      </c>
      <c r="AV43" s="2">
        <v>1</v>
      </c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>
        <v>1</v>
      </c>
      <c r="BJ43" s="2"/>
      <c r="BK43" s="2">
        <v>1</v>
      </c>
      <c r="BL43" s="2"/>
      <c r="BM43" s="2">
        <v>1</v>
      </c>
      <c r="BN43" s="2"/>
      <c r="BO43" s="2">
        <v>1</v>
      </c>
      <c r="BP43" s="2"/>
      <c r="BQ43" s="2">
        <v>1</v>
      </c>
      <c r="BR43" s="2"/>
      <c r="BS43" s="2"/>
      <c r="BT43" s="2"/>
      <c r="BU43" s="2"/>
      <c r="BV43" s="2"/>
      <c r="BW43" s="2"/>
      <c r="BX43" s="2"/>
      <c r="BY43" s="2"/>
      <c r="BZ43" s="2">
        <v>1</v>
      </c>
      <c r="CA43" s="2"/>
      <c r="CB43" s="2"/>
      <c r="CC43" s="2"/>
      <c r="CD43" s="2">
        <v>1</v>
      </c>
      <c r="CE43" s="39" t="s">
        <v>331</v>
      </c>
      <c r="CF43" s="49" t="s">
        <v>158</v>
      </c>
      <c r="CG43" s="55" t="s">
        <v>159</v>
      </c>
      <c r="CH43" s="47">
        <f t="shared" si="10"/>
        <v>23.5</v>
      </c>
    </row>
    <row r="44" spans="1:86" s="3" customFormat="1" ht="15" customHeight="1">
      <c r="A44" s="17">
        <v>41</v>
      </c>
      <c r="B44" s="5" t="s">
        <v>160</v>
      </c>
      <c r="C44" s="2" t="s">
        <v>161</v>
      </c>
      <c r="D44" s="2"/>
      <c r="E44" s="2"/>
      <c r="F44" s="2">
        <v>29</v>
      </c>
      <c r="G44" s="2"/>
      <c r="H44" s="2">
        <v>20</v>
      </c>
      <c r="I44" s="2"/>
      <c r="J44" s="2"/>
      <c r="K44" s="2"/>
      <c r="L44" s="2"/>
      <c r="M44" s="2"/>
      <c r="N44" s="2"/>
      <c r="O44" s="2"/>
      <c r="P44" s="2"/>
      <c r="Q44" s="2"/>
      <c r="R44" s="2">
        <v>35.7</v>
      </c>
      <c r="S44" s="2"/>
      <c r="T44" s="2"/>
      <c r="U44" s="2"/>
      <c r="V44" s="2">
        <v>12.8</v>
      </c>
      <c r="W44" s="2"/>
      <c r="X44" s="2"/>
      <c r="Y44" s="2"/>
      <c r="Z44" s="2"/>
      <c r="AA44" s="2"/>
      <c r="AB44" s="2">
        <v>65</v>
      </c>
      <c r="AC44" s="2"/>
      <c r="AD44" s="2"/>
      <c r="AE44" s="2"/>
      <c r="AF44" s="2">
        <v>3</v>
      </c>
      <c r="AG44" s="2">
        <v>1</v>
      </c>
      <c r="AH44" s="2"/>
      <c r="AI44" s="2">
        <v>16.5</v>
      </c>
      <c r="AJ44" s="2"/>
      <c r="AK44" s="2">
        <v>4</v>
      </c>
      <c r="AL44" s="2"/>
      <c r="AM44" s="2"/>
      <c r="AN44" s="2">
        <v>2</v>
      </c>
      <c r="AO44" s="2"/>
      <c r="AP44" s="2"/>
      <c r="AQ44" s="2"/>
      <c r="AR44" s="2"/>
      <c r="AS44" s="2"/>
      <c r="AT44" s="2"/>
      <c r="AU44" s="2">
        <v>8</v>
      </c>
      <c r="AV44" s="2">
        <v>4</v>
      </c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>
        <v>3</v>
      </c>
      <c r="BJ44" s="2">
        <v>1</v>
      </c>
      <c r="BK44" s="2">
        <v>3</v>
      </c>
      <c r="BL44" s="2"/>
      <c r="BM44" s="2">
        <v>1</v>
      </c>
      <c r="BN44" s="2"/>
      <c r="BO44" s="2">
        <v>4</v>
      </c>
      <c r="BP44" s="2">
        <v>1</v>
      </c>
      <c r="BQ44" s="2">
        <v>4</v>
      </c>
      <c r="BR44" s="2"/>
      <c r="BS44" s="2"/>
      <c r="BT44" s="2"/>
      <c r="BU44" s="2"/>
      <c r="BV44" s="2"/>
      <c r="BW44" s="2"/>
      <c r="BX44" s="2"/>
      <c r="BY44" s="2"/>
      <c r="BZ44" s="2">
        <v>3</v>
      </c>
      <c r="CA44" s="2"/>
      <c r="CB44" s="2"/>
      <c r="CC44" s="2"/>
      <c r="CD44" s="2">
        <v>3</v>
      </c>
      <c r="CE44" s="39" t="s">
        <v>332</v>
      </c>
      <c r="CF44" s="49" t="s">
        <v>160</v>
      </c>
      <c r="CG44" s="55" t="s">
        <v>161</v>
      </c>
      <c r="CH44" s="47">
        <f t="shared" si="10"/>
        <v>49</v>
      </c>
    </row>
    <row r="45" spans="1:86" s="3" customFormat="1" ht="15" customHeight="1">
      <c r="A45" s="17">
        <v>42</v>
      </c>
      <c r="B45" s="5" t="s">
        <v>162</v>
      </c>
      <c r="C45" s="2" t="s">
        <v>163</v>
      </c>
      <c r="D45" s="2">
        <v>13.59</v>
      </c>
      <c r="E45" s="2">
        <f>14.57</f>
        <v>14.57</v>
      </c>
      <c r="F45" s="2">
        <v>42.2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18.5</v>
      </c>
      <c r="R45" s="2">
        <v>60.6</v>
      </c>
      <c r="S45" s="2"/>
      <c r="T45" s="2"/>
      <c r="U45" s="2"/>
      <c r="V45" s="2">
        <v>11.7</v>
      </c>
      <c r="W45" s="2"/>
      <c r="X45" s="2"/>
      <c r="Y45" s="2">
        <v>4.5</v>
      </c>
      <c r="Z45" s="2"/>
      <c r="AA45" s="2"/>
      <c r="AB45" s="2">
        <v>39</v>
      </c>
      <c r="AC45" s="2"/>
      <c r="AD45" s="2"/>
      <c r="AE45" s="2"/>
      <c r="AF45" s="2">
        <v>2</v>
      </c>
      <c r="AG45" s="2">
        <v>1</v>
      </c>
      <c r="AH45" s="2"/>
      <c r="AI45" s="2">
        <v>4</v>
      </c>
      <c r="AJ45" s="2"/>
      <c r="AK45" s="2">
        <v>3</v>
      </c>
      <c r="AL45" s="2"/>
      <c r="AM45" s="2"/>
      <c r="AN45" s="2">
        <v>2</v>
      </c>
      <c r="AO45" s="2"/>
      <c r="AP45" s="2"/>
      <c r="AQ45" s="2"/>
      <c r="AR45" s="2"/>
      <c r="AS45" s="2"/>
      <c r="AT45" s="2">
        <v>3</v>
      </c>
      <c r="AU45" s="2">
        <v>9</v>
      </c>
      <c r="AV45" s="2">
        <v>5</v>
      </c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>
        <v>8.1</v>
      </c>
      <c r="BH45" s="2"/>
      <c r="BI45" s="2">
        <v>1</v>
      </c>
      <c r="BJ45" s="2">
        <v>3</v>
      </c>
      <c r="BK45" s="2">
        <v>3</v>
      </c>
      <c r="BL45" s="2"/>
      <c r="BM45" s="2">
        <v>3</v>
      </c>
      <c r="BN45" s="2"/>
      <c r="BO45" s="2">
        <v>4</v>
      </c>
      <c r="BP45" s="2">
        <v>15</v>
      </c>
      <c r="BQ45" s="2">
        <v>3</v>
      </c>
      <c r="BR45" s="2"/>
      <c r="BS45" s="2"/>
      <c r="BT45" s="2"/>
      <c r="BU45" s="2"/>
      <c r="BV45" s="2"/>
      <c r="BW45" s="2"/>
      <c r="BX45" s="2"/>
      <c r="BY45" s="2"/>
      <c r="BZ45" s="2">
        <v>2</v>
      </c>
      <c r="CA45" s="2"/>
      <c r="CB45" s="2"/>
      <c r="CC45" s="2"/>
      <c r="CD45" s="2"/>
      <c r="CE45" s="39" t="s">
        <v>326</v>
      </c>
      <c r="CF45" s="49" t="s">
        <v>162</v>
      </c>
      <c r="CG45" s="55" t="s">
        <v>163</v>
      </c>
      <c r="CH45" s="47">
        <f t="shared" si="10"/>
        <v>70.36</v>
      </c>
    </row>
    <row r="46" spans="1:86" s="3" customFormat="1" ht="15" customHeight="1">
      <c r="A46" s="17">
        <v>43</v>
      </c>
      <c r="B46" s="5" t="s">
        <v>164</v>
      </c>
      <c r="C46" s="2" t="s">
        <v>165</v>
      </c>
      <c r="D46" s="2"/>
      <c r="E46" s="2"/>
      <c r="F46" s="2">
        <v>47.3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8.8</v>
      </c>
      <c r="S46" s="2"/>
      <c r="T46" s="2"/>
      <c r="U46" s="2"/>
      <c r="V46" s="2">
        <v>11.9</v>
      </c>
      <c r="W46" s="2"/>
      <c r="X46" s="2"/>
      <c r="Y46" s="2"/>
      <c r="Z46" s="2"/>
      <c r="AA46" s="2"/>
      <c r="AB46" s="2">
        <v>30</v>
      </c>
      <c r="AC46" s="2"/>
      <c r="AD46" s="2"/>
      <c r="AE46" s="2">
        <v>1</v>
      </c>
      <c r="AF46" s="2">
        <v>3</v>
      </c>
      <c r="AG46" s="2"/>
      <c r="AH46" s="2"/>
      <c r="AI46" s="2">
        <v>11</v>
      </c>
      <c r="AJ46" s="2">
        <v>1.8</v>
      </c>
      <c r="AK46" s="2">
        <v>3</v>
      </c>
      <c r="AL46" s="2"/>
      <c r="AM46" s="2"/>
      <c r="AN46" s="2"/>
      <c r="AO46" s="2"/>
      <c r="AP46" s="2"/>
      <c r="AQ46" s="2"/>
      <c r="AR46" s="2"/>
      <c r="AS46" s="2"/>
      <c r="AT46" s="2"/>
      <c r="AU46" s="2">
        <v>10</v>
      </c>
      <c r="AV46" s="2">
        <v>3</v>
      </c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>
        <v>3</v>
      </c>
      <c r="BJ46" s="2"/>
      <c r="BK46" s="2">
        <v>3</v>
      </c>
      <c r="BL46" s="2"/>
      <c r="BM46" s="2">
        <v>3</v>
      </c>
      <c r="BN46" s="2"/>
      <c r="BO46" s="2"/>
      <c r="BP46" s="2"/>
      <c r="BQ46" s="2">
        <v>3</v>
      </c>
      <c r="BR46" s="2"/>
      <c r="BS46" s="2"/>
      <c r="BT46" s="2"/>
      <c r="BU46" s="2"/>
      <c r="BV46" s="2"/>
      <c r="BW46" s="2">
        <v>3.2</v>
      </c>
      <c r="BX46" s="2"/>
      <c r="BY46" s="2"/>
      <c r="BZ46" s="2">
        <v>3</v>
      </c>
      <c r="CA46" s="2"/>
      <c r="CB46" s="2"/>
      <c r="CC46" s="2"/>
      <c r="CD46" s="2">
        <v>4</v>
      </c>
      <c r="CE46" s="39" t="s">
        <v>326</v>
      </c>
      <c r="CF46" s="49" t="s">
        <v>164</v>
      </c>
      <c r="CG46" s="55" t="s">
        <v>165</v>
      </c>
      <c r="CH46" s="47">
        <f t="shared" si="10"/>
        <v>47.3</v>
      </c>
    </row>
    <row r="47" spans="1:86" s="3" customFormat="1" ht="15" customHeight="1">
      <c r="A47" s="17">
        <v>44</v>
      </c>
      <c r="B47" s="5" t="s">
        <v>166</v>
      </c>
      <c r="C47" s="2" t="s">
        <v>167</v>
      </c>
      <c r="D47" s="2"/>
      <c r="E47" s="2"/>
      <c r="F47" s="2">
        <v>18.3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3.4</v>
      </c>
      <c r="S47" s="2"/>
      <c r="T47" s="2"/>
      <c r="U47" s="2"/>
      <c r="V47" s="2">
        <v>4.1</v>
      </c>
      <c r="W47" s="2"/>
      <c r="X47" s="2"/>
      <c r="Y47" s="2"/>
      <c r="Z47" s="2"/>
      <c r="AA47" s="2"/>
      <c r="AB47" s="2"/>
      <c r="AC47" s="2"/>
      <c r="AD47" s="2"/>
      <c r="AE47" s="2">
        <v>1</v>
      </c>
      <c r="AF47" s="2">
        <v>1</v>
      </c>
      <c r="AG47" s="2"/>
      <c r="AH47" s="2"/>
      <c r="AI47" s="2"/>
      <c r="AJ47" s="2">
        <v>1.8</v>
      </c>
      <c r="AK47" s="2">
        <v>1</v>
      </c>
      <c r="AL47" s="2"/>
      <c r="AM47" s="2"/>
      <c r="AN47" s="2"/>
      <c r="AO47" s="2"/>
      <c r="AP47" s="2"/>
      <c r="AQ47" s="2"/>
      <c r="AR47" s="2"/>
      <c r="AS47" s="2"/>
      <c r="AT47" s="2"/>
      <c r="AU47" s="2">
        <v>4</v>
      </c>
      <c r="AV47" s="2">
        <v>1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>
        <v>1</v>
      </c>
      <c r="BJ47" s="2"/>
      <c r="BK47" s="2">
        <v>1</v>
      </c>
      <c r="BL47" s="2"/>
      <c r="BM47" s="2">
        <v>1</v>
      </c>
      <c r="BN47" s="2"/>
      <c r="BO47" s="2">
        <v>1</v>
      </c>
      <c r="BP47" s="2"/>
      <c r="BQ47" s="2">
        <v>1</v>
      </c>
      <c r="BR47" s="2"/>
      <c r="BS47" s="2"/>
      <c r="BT47" s="2"/>
      <c r="BU47" s="2"/>
      <c r="BV47" s="2"/>
      <c r="BW47" s="2">
        <v>3.2</v>
      </c>
      <c r="BX47" s="2"/>
      <c r="BY47" s="2"/>
      <c r="BZ47" s="2">
        <v>1</v>
      </c>
      <c r="CA47" s="2"/>
      <c r="CB47" s="2"/>
      <c r="CC47" s="2"/>
      <c r="CD47" s="2">
        <v>2</v>
      </c>
      <c r="CE47" s="39" t="s">
        <v>326</v>
      </c>
      <c r="CF47" s="49" t="s">
        <v>166</v>
      </c>
      <c r="CG47" s="55" t="s">
        <v>167</v>
      </c>
      <c r="CH47" s="47">
        <f t="shared" si="10"/>
        <v>18.3</v>
      </c>
    </row>
    <row r="48" spans="1:86" s="3" customFormat="1" ht="15" customHeight="1">
      <c r="A48" s="17">
        <v>45</v>
      </c>
      <c r="B48" s="5" t="s">
        <v>168</v>
      </c>
      <c r="C48" s="2" t="s">
        <v>404</v>
      </c>
      <c r="D48" s="2"/>
      <c r="E48" s="2">
        <v>18.6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2.9</v>
      </c>
      <c r="S48" s="2"/>
      <c r="T48" s="2"/>
      <c r="U48" s="2"/>
      <c r="V48" s="2">
        <v>3.9</v>
      </c>
      <c r="W48" s="2"/>
      <c r="X48" s="2"/>
      <c r="Y48" s="2"/>
      <c r="Z48" s="2"/>
      <c r="AA48" s="2"/>
      <c r="AB48" s="2">
        <v>13</v>
      </c>
      <c r="AC48" s="2"/>
      <c r="AD48" s="2"/>
      <c r="AE48" s="2"/>
      <c r="AF48" s="2">
        <v>1</v>
      </c>
      <c r="AG48" s="2"/>
      <c r="AH48" s="2"/>
      <c r="AI48" s="2">
        <v>1.8</v>
      </c>
      <c r="AJ48" s="2"/>
      <c r="AK48" s="2">
        <v>1</v>
      </c>
      <c r="AL48" s="2"/>
      <c r="AM48" s="2"/>
      <c r="AN48" s="2"/>
      <c r="AO48" s="2"/>
      <c r="AP48" s="2"/>
      <c r="AQ48" s="2"/>
      <c r="AR48" s="2"/>
      <c r="AS48" s="2"/>
      <c r="AT48" s="2"/>
      <c r="AU48" s="2">
        <v>4</v>
      </c>
      <c r="AV48" s="2">
        <v>1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>
        <v>1</v>
      </c>
      <c r="BJ48" s="2"/>
      <c r="BK48" s="2">
        <v>1</v>
      </c>
      <c r="BL48" s="2"/>
      <c r="BM48" s="2"/>
      <c r="BN48" s="2"/>
      <c r="BO48" s="2">
        <v>1</v>
      </c>
      <c r="BP48" s="2"/>
      <c r="BQ48" s="2">
        <v>1</v>
      </c>
      <c r="BR48" s="2"/>
      <c r="BS48" s="2"/>
      <c r="BT48" s="2">
        <v>3</v>
      </c>
      <c r="BU48" s="2"/>
      <c r="BV48" s="2"/>
      <c r="BW48" s="2"/>
      <c r="BX48" s="2"/>
      <c r="BY48" s="2"/>
      <c r="BZ48" s="2">
        <v>1</v>
      </c>
      <c r="CA48" s="2"/>
      <c r="CB48" s="2"/>
      <c r="CC48" s="2"/>
      <c r="CD48" s="2">
        <v>2</v>
      </c>
      <c r="CE48" s="39" t="s">
        <v>326</v>
      </c>
      <c r="CF48" s="49" t="s">
        <v>168</v>
      </c>
      <c r="CG48" s="55" t="s">
        <v>169</v>
      </c>
      <c r="CH48" s="47">
        <f t="shared" si="10"/>
        <v>18.6</v>
      </c>
    </row>
    <row r="49" spans="1:86" s="3" customFormat="1" ht="15" customHeight="1">
      <c r="A49" s="17">
        <v>46</v>
      </c>
      <c r="B49" s="5" t="s">
        <v>170</v>
      </c>
      <c r="C49" s="2" t="s">
        <v>171</v>
      </c>
      <c r="D49" s="2"/>
      <c r="E49" s="2"/>
      <c r="F49" s="2"/>
      <c r="G49" s="2"/>
      <c r="H49" s="2">
        <v>42</v>
      </c>
      <c r="I49" s="2"/>
      <c r="J49" s="2"/>
      <c r="K49" s="2"/>
      <c r="L49" s="2"/>
      <c r="M49" s="2"/>
      <c r="N49" s="2"/>
      <c r="O49" s="2"/>
      <c r="P49" s="2"/>
      <c r="Q49" s="2"/>
      <c r="R49" s="2">
        <v>102.9</v>
      </c>
      <c r="S49" s="2"/>
      <c r="T49" s="2"/>
      <c r="U49" s="2"/>
      <c r="V49" s="2">
        <v>11.7</v>
      </c>
      <c r="W49" s="2"/>
      <c r="X49" s="2"/>
      <c r="Y49" s="2">
        <v>8.7</v>
      </c>
      <c r="Z49" s="2"/>
      <c r="AA49" s="2"/>
      <c r="AB49" s="2">
        <v>43</v>
      </c>
      <c r="AC49" s="2"/>
      <c r="AD49" s="2"/>
      <c r="AE49" s="2"/>
      <c r="AF49" s="2">
        <v>3</v>
      </c>
      <c r="AG49" s="2"/>
      <c r="AH49" s="2"/>
      <c r="AI49" s="2">
        <v>6</v>
      </c>
      <c r="AJ49" s="2"/>
      <c r="AK49" s="2">
        <v>3</v>
      </c>
      <c r="AL49" s="2"/>
      <c r="AM49" s="2"/>
      <c r="AN49" s="2">
        <v>1</v>
      </c>
      <c r="AO49" s="2"/>
      <c r="AP49" s="2"/>
      <c r="AQ49" s="2"/>
      <c r="AR49" s="2"/>
      <c r="AS49" s="2"/>
      <c r="AT49" s="2"/>
      <c r="AU49" s="2">
        <v>9</v>
      </c>
      <c r="AV49" s="2">
        <v>3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>
        <v>3</v>
      </c>
      <c r="BJ49" s="2">
        <v>1</v>
      </c>
      <c r="BK49" s="2">
        <v>3</v>
      </c>
      <c r="BL49" s="2"/>
      <c r="BM49" s="2">
        <v>2</v>
      </c>
      <c r="BN49" s="2"/>
      <c r="BO49" s="2">
        <v>4</v>
      </c>
      <c r="BP49" s="2">
        <v>5.7</v>
      </c>
      <c r="BQ49" s="2">
        <v>4</v>
      </c>
      <c r="BR49" s="2"/>
      <c r="BS49" s="2"/>
      <c r="BT49" s="2"/>
      <c r="BU49" s="2"/>
      <c r="BV49" s="2"/>
      <c r="BW49" s="2"/>
      <c r="BX49" s="2"/>
      <c r="BY49" s="2"/>
      <c r="BZ49" s="2">
        <v>3</v>
      </c>
      <c r="CA49" s="2"/>
      <c r="CB49" s="2"/>
      <c r="CC49" s="2"/>
      <c r="CD49" s="2">
        <v>2</v>
      </c>
      <c r="CE49" s="39" t="s">
        <v>329</v>
      </c>
      <c r="CF49" s="49" t="s">
        <v>170</v>
      </c>
      <c r="CG49" s="55" t="s">
        <v>171</v>
      </c>
      <c r="CH49" s="47">
        <f t="shared" si="10"/>
        <v>42</v>
      </c>
    </row>
    <row r="50" spans="1:86" s="3" customFormat="1" ht="15" customHeight="1">
      <c r="A50" s="17">
        <v>47</v>
      </c>
      <c r="B50" s="5" t="s">
        <v>172</v>
      </c>
      <c r="C50" s="2" t="s">
        <v>173</v>
      </c>
      <c r="D50" s="2"/>
      <c r="E50" s="2"/>
      <c r="F50" s="2">
        <v>58</v>
      </c>
      <c r="G50" s="2"/>
      <c r="H50" s="2">
        <v>14.6</v>
      </c>
      <c r="I50" s="2"/>
      <c r="J50" s="2"/>
      <c r="K50" s="2"/>
      <c r="L50" s="2"/>
      <c r="M50" s="2"/>
      <c r="N50" s="2"/>
      <c r="O50" s="2"/>
      <c r="P50" s="2"/>
      <c r="Q50" s="2"/>
      <c r="R50" s="2">
        <v>49.9</v>
      </c>
      <c r="S50" s="2"/>
      <c r="T50" s="2"/>
      <c r="U50" s="2"/>
      <c r="V50" s="2">
        <v>19.5</v>
      </c>
      <c r="W50" s="2"/>
      <c r="X50" s="2"/>
      <c r="Y50" s="2"/>
      <c r="Z50" s="2"/>
      <c r="AA50" s="2"/>
      <c r="AB50" s="2">
        <v>68</v>
      </c>
      <c r="AC50" s="2"/>
      <c r="AD50" s="2"/>
      <c r="AE50" s="2"/>
      <c r="AF50" s="2">
        <v>5</v>
      </c>
      <c r="AG50" s="2">
        <v>1</v>
      </c>
      <c r="AH50" s="2"/>
      <c r="AI50" s="2">
        <v>9</v>
      </c>
      <c r="AJ50" s="2"/>
      <c r="AK50" s="2">
        <v>5</v>
      </c>
      <c r="AL50" s="2"/>
      <c r="AM50" s="2"/>
      <c r="AN50" s="2">
        <v>1</v>
      </c>
      <c r="AO50" s="2"/>
      <c r="AP50" s="2"/>
      <c r="AQ50" s="2"/>
      <c r="AR50" s="2"/>
      <c r="AS50" s="2"/>
      <c r="AT50" s="2"/>
      <c r="AU50" s="2">
        <v>15</v>
      </c>
      <c r="AV50" s="2">
        <v>5</v>
      </c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>
        <v>5</v>
      </c>
      <c r="BJ50" s="2">
        <v>1</v>
      </c>
      <c r="BK50" s="2">
        <v>5</v>
      </c>
      <c r="BL50" s="2"/>
      <c r="BM50" s="2">
        <v>2</v>
      </c>
      <c r="BN50" s="2"/>
      <c r="BO50" s="2">
        <v>5</v>
      </c>
      <c r="BP50" s="2"/>
      <c r="BQ50" s="2">
        <v>6</v>
      </c>
      <c r="BR50" s="2"/>
      <c r="BS50" s="2"/>
      <c r="BT50" s="2"/>
      <c r="BU50" s="2"/>
      <c r="BV50" s="2"/>
      <c r="BW50" s="2"/>
      <c r="BX50" s="2"/>
      <c r="BY50" s="2"/>
      <c r="BZ50" s="2">
        <v>5</v>
      </c>
      <c r="CA50" s="2"/>
      <c r="CB50" s="2"/>
      <c r="CC50" s="2"/>
      <c r="CD50" s="2">
        <v>11</v>
      </c>
      <c r="CE50" s="39" t="s">
        <v>333</v>
      </c>
      <c r="CF50" s="49" t="s">
        <v>172</v>
      </c>
      <c r="CG50" s="55" t="s">
        <v>173</v>
      </c>
      <c r="CH50" s="47">
        <f t="shared" si="10"/>
        <v>72.6</v>
      </c>
    </row>
    <row r="51" spans="1:86" s="3" customFormat="1" ht="15" customHeight="1">
      <c r="A51" s="17">
        <v>48</v>
      </c>
      <c r="B51" s="5" t="s">
        <v>174</v>
      </c>
      <c r="C51" s="2" t="s">
        <v>175</v>
      </c>
      <c r="D51" s="2"/>
      <c r="E51" s="2"/>
      <c r="F51" s="2">
        <v>14.5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3.6</v>
      </c>
      <c r="S51" s="2"/>
      <c r="T51" s="2"/>
      <c r="U51" s="2"/>
      <c r="V51" s="2">
        <v>3.9</v>
      </c>
      <c r="W51" s="2"/>
      <c r="X51" s="2"/>
      <c r="Y51" s="2"/>
      <c r="Z51" s="2"/>
      <c r="AA51" s="2"/>
      <c r="AB51" s="2">
        <v>17</v>
      </c>
      <c r="AC51" s="2"/>
      <c r="AD51" s="2"/>
      <c r="AE51" s="2"/>
      <c r="AF51" s="2">
        <v>1</v>
      </c>
      <c r="AG51" s="2"/>
      <c r="AH51" s="2"/>
      <c r="AI51" s="2">
        <v>1.8</v>
      </c>
      <c r="AJ51" s="2"/>
      <c r="AK51" s="2">
        <v>1</v>
      </c>
      <c r="AL51" s="2"/>
      <c r="AM51" s="2"/>
      <c r="AN51" s="2"/>
      <c r="AO51" s="2"/>
      <c r="AP51" s="2"/>
      <c r="AQ51" s="2"/>
      <c r="AR51" s="2"/>
      <c r="AS51" s="2"/>
      <c r="AT51" s="2"/>
      <c r="AU51" s="2">
        <v>3</v>
      </c>
      <c r="AV51" s="2">
        <v>1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>
        <v>1</v>
      </c>
      <c r="BJ51" s="2"/>
      <c r="BK51" s="2">
        <v>1</v>
      </c>
      <c r="BL51" s="2"/>
      <c r="BM51" s="2">
        <v>1</v>
      </c>
      <c r="BN51" s="2"/>
      <c r="BO51" s="2">
        <v>1</v>
      </c>
      <c r="BP51" s="2"/>
      <c r="BQ51" s="2">
        <v>1</v>
      </c>
      <c r="BR51" s="2"/>
      <c r="BS51" s="2"/>
      <c r="BT51" s="2"/>
      <c r="BU51" s="2"/>
      <c r="BV51" s="2"/>
      <c r="BW51" s="2"/>
      <c r="BX51" s="2"/>
      <c r="BY51" s="2"/>
      <c r="BZ51" s="2">
        <v>1</v>
      </c>
      <c r="CA51" s="2"/>
      <c r="CB51" s="2"/>
      <c r="CC51" s="2"/>
      <c r="CD51" s="2">
        <v>2</v>
      </c>
      <c r="CE51" s="39" t="s">
        <v>326</v>
      </c>
      <c r="CF51" s="49" t="s">
        <v>174</v>
      </c>
      <c r="CG51" s="55" t="s">
        <v>175</v>
      </c>
      <c r="CH51" s="47">
        <f t="shared" si="10"/>
        <v>14.5</v>
      </c>
    </row>
    <row r="52" spans="1:86" s="3" customFormat="1" ht="15" customHeight="1">
      <c r="A52" s="17">
        <v>49</v>
      </c>
      <c r="B52" s="5" t="s">
        <v>176</v>
      </c>
      <c r="C52" s="2" t="s">
        <v>177</v>
      </c>
      <c r="D52" s="2"/>
      <c r="E52" s="2"/>
      <c r="F52" s="2">
        <v>22.2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3.2</v>
      </c>
      <c r="S52" s="2"/>
      <c r="T52" s="2"/>
      <c r="U52" s="2"/>
      <c r="V52" s="2">
        <v>4.1</v>
      </c>
      <c r="W52" s="2"/>
      <c r="X52" s="2"/>
      <c r="Y52" s="2"/>
      <c r="Z52" s="2"/>
      <c r="AA52" s="2"/>
      <c r="AB52" s="2"/>
      <c r="AC52" s="2"/>
      <c r="AD52" s="2"/>
      <c r="AE52" s="2">
        <v>1</v>
      </c>
      <c r="AF52" s="2">
        <v>1</v>
      </c>
      <c r="AG52" s="2"/>
      <c r="AH52" s="2"/>
      <c r="AI52" s="2"/>
      <c r="AJ52" s="2">
        <v>1.8</v>
      </c>
      <c r="AK52" s="2">
        <v>1</v>
      </c>
      <c r="AL52" s="2"/>
      <c r="AM52" s="2"/>
      <c r="AN52" s="2"/>
      <c r="AO52" s="2"/>
      <c r="AP52" s="2"/>
      <c r="AQ52" s="2"/>
      <c r="AR52" s="2"/>
      <c r="AS52" s="2"/>
      <c r="AT52" s="2"/>
      <c r="AU52" s="2">
        <v>5</v>
      </c>
      <c r="AV52" s="2">
        <v>1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>
        <v>1</v>
      </c>
      <c r="BJ52" s="2"/>
      <c r="BK52" s="2">
        <v>1</v>
      </c>
      <c r="BL52" s="2"/>
      <c r="BM52" s="2">
        <v>1</v>
      </c>
      <c r="BN52" s="2"/>
      <c r="BO52" s="2">
        <v>1</v>
      </c>
      <c r="BP52" s="2"/>
      <c r="BQ52" s="2">
        <v>1</v>
      </c>
      <c r="BR52" s="2"/>
      <c r="BS52" s="2"/>
      <c r="BT52" s="2"/>
      <c r="BU52" s="2"/>
      <c r="BV52" s="2"/>
      <c r="BW52" s="2">
        <v>3.2</v>
      </c>
      <c r="BX52" s="2"/>
      <c r="BY52" s="2"/>
      <c r="BZ52" s="2">
        <v>1</v>
      </c>
      <c r="CA52" s="2"/>
      <c r="CB52" s="2"/>
      <c r="CC52" s="2"/>
      <c r="CD52" s="2">
        <v>2</v>
      </c>
      <c r="CE52" s="39" t="s">
        <v>326</v>
      </c>
      <c r="CF52" s="49" t="s">
        <v>176</v>
      </c>
      <c r="CG52" s="55" t="s">
        <v>177</v>
      </c>
      <c r="CH52" s="47">
        <f t="shared" si="10"/>
        <v>22.2</v>
      </c>
    </row>
    <row r="53" spans="1:86" s="3" customFormat="1" ht="15" customHeight="1">
      <c r="A53" s="17">
        <v>50</v>
      </c>
      <c r="B53" s="5" t="s">
        <v>178</v>
      </c>
      <c r="C53" s="2" t="s">
        <v>294</v>
      </c>
      <c r="D53" s="2"/>
      <c r="E53" s="2"/>
      <c r="F53" s="2"/>
      <c r="G53" s="2">
        <v>30.2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80.9</v>
      </c>
      <c r="S53" s="2"/>
      <c r="T53" s="2"/>
      <c r="U53" s="2"/>
      <c r="V53" s="2">
        <f>1.7*2.3*1.5</f>
        <v>5.864999999999999</v>
      </c>
      <c r="W53" s="2"/>
      <c r="X53" s="2"/>
      <c r="Y53" s="2">
        <v>5.8</v>
      </c>
      <c r="Z53" s="2"/>
      <c r="AA53" s="2"/>
      <c r="AB53" s="2">
        <v>18</v>
      </c>
      <c r="AC53" s="2"/>
      <c r="AD53" s="2"/>
      <c r="AE53" s="2"/>
      <c r="AF53" s="2">
        <v>2</v>
      </c>
      <c r="AG53" s="2"/>
      <c r="AH53" s="2"/>
      <c r="AI53" s="2">
        <v>3</v>
      </c>
      <c r="AJ53" s="2"/>
      <c r="AK53" s="2">
        <v>1</v>
      </c>
      <c r="AL53" s="2"/>
      <c r="AM53" s="2"/>
      <c r="AN53" s="2">
        <v>2</v>
      </c>
      <c r="AO53" s="2"/>
      <c r="AP53" s="2"/>
      <c r="AQ53" s="2"/>
      <c r="AR53" s="2"/>
      <c r="AS53" s="2"/>
      <c r="AT53" s="2"/>
      <c r="AU53" s="2">
        <v>3</v>
      </c>
      <c r="AV53" s="2">
        <v>2</v>
      </c>
      <c r="AW53" s="2"/>
      <c r="AX53" s="2"/>
      <c r="AY53" s="2">
        <v>1</v>
      </c>
      <c r="AZ53" s="2">
        <v>1</v>
      </c>
      <c r="BA53" s="2"/>
      <c r="BB53" s="2"/>
      <c r="BC53" s="2"/>
      <c r="BD53" s="2"/>
      <c r="BE53" s="2"/>
      <c r="BF53" s="2"/>
      <c r="BG53" s="2"/>
      <c r="BH53" s="2"/>
      <c r="BI53" s="2"/>
      <c r="BJ53" s="2">
        <v>2</v>
      </c>
      <c r="BK53" s="2">
        <v>3</v>
      </c>
      <c r="BL53" s="2"/>
      <c r="BM53" s="2">
        <v>1</v>
      </c>
      <c r="BN53" s="2"/>
      <c r="BO53" s="2">
        <v>2</v>
      </c>
      <c r="BP53" s="2"/>
      <c r="BQ53" s="2">
        <v>2</v>
      </c>
      <c r="BR53" s="2"/>
      <c r="BS53" s="2"/>
      <c r="BT53" s="2"/>
      <c r="BU53" s="2"/>
      <c r="BV53" s="2"/>
      <c r="BW53" s="2"/>
      <c r="BX53" s="2"/>
      <c r="BY53" s="2"/>
      <c r="BZ53" s="2">
        <v>1</v>
      </c>
      <c r="CA53" s="2"/>
      <c r="CB53" s="2"/>
      <c r="CC53" s="2"/>
      <c r="CD53" s="2"/>
      <c r="CE53" s="39" t="s">
        <v>329</v>
      </c>
      <c r="CF53" s="49" t="s">
        <v>178</v>
      </c>
      <c r="CG53" s="55" t="s">
        <v>294</v>
      </c>
      <c r="CH53" s="47">
        <f t="shared" si="10"/>
        <v>30.2</v>
      </c>
    </row>
    <row r="54" spans="1:86" s="3" customFormat="1" ht="25.5" customHeight="1">
      <c r="A54" s="17">
        <v>51</v>
      </c>
      <c r="B54" s="5" t="s">
        <v>179</v>
      </c>
      <c r="C54" s="2" t="s">
        <v>405</v>
      </c>
      <c r="D54" s="2">
        <v>1215.6</v>
      </c>
      <c r="E54" s="2">
        <v>14.5</v>
      </c>
      <c r="F54" s="2">
        <v>918.1</v>
      </c>
      <c r="G54" s="2"/>
      <c r="H54" s="2">
        <v>162.5</v>
      </c>
      <c r="I54" s="2"/>
      <c r="J54" s="2"/>
      <c r="K54" s="2"/>
      <c r="L54" s="2"/>
      <c r="M54" s="2"/>
      <c r="N54" s="2">
        <v>69.5</v>
      </c>
      <c r="O54" s="2"/>
      <c r="P54" s="2"/>
      <c r="Q54" s="2"/>
      <c r="R54" s="2">
        <v>454.3</v>
      </c>
      <c r="S54" s="2"/>
      <c r="T54" s="2"/>
      <c r="U54" s="2"/>
      <c r="V54" s="2">
        <v>53</v>
      </c>
      <c r="W54" s="2">
        <v>6.6</v>
      </c>
      <c r="X54" s="2"/>
      <c r="Y54" s="2">
        <v>19.9</v>
      </c>
      <c r="Z54" s="2"/>
      <c r="AA54" s="2"/>
      <c r="AB54" s="2">
        <v>293</v>
      </c>
      <c r="AC54" s="2"/>
      <c r="AD54" s="2"/>
      <c r="AE54" s="2">
        <v>15</v>
      </c>
      <c r="AF54" s="2">
        <v>29</v>
      </c>
      <c r="AG54" s="2">
        <v>1</v>
      </c>
      <c r="AH54" s="2"/>
      <c r="AI54" s="2">
        <v>21.8</v>
      </c>
      <c r="AJ54" s="2">
        <v>44.8</v>
      </c>
      <c r="AK54" s="2">
        <v>20</v>
      </c>
      <c r="AL54" s="2"/>
      <c r="AM54" s="2"/>
      <c r="AN54" s="2"/>
      <c r="AO54" s="2"/>
      <c r="AP54" s="2"/>
      <c r="AQ54" s="2"/>
      <c r="AR54" s="2"/>
      <c r="AS54" s="2"/>
      <c r="AT54" s="2"/>
      <c r="AU54" s="2">
        <v>60</v>
      </c>
      <c r="AV54" s="2">
        <v>54</v>
      </c>
      <c r="AW54" s="2"/>
      <c r="AX54" s="2">
        <v>52</v>
      </c>
      <c r="AY54" s="2">
        <v>18</v>
      </c>
      <c r="AZ54" s="2">
        <v>18</v>
      </c>
      <c r="BA54" s="2"/>
      <c r="BB54" s="2">
        <v>8</v>
      </c>
      <c r="BC54" s="2">
        <v>6</v>
      </c>
      <c r="BD54" s="2">
        <v>2</v>
      </c>
      <c r="BE54" s="2"/>
      <c r="BF54" s="2"/>
      <c r="BG54" s="2"/>
      <c r="BH54" s="2">
        <v>24</v>
      </c>
      <c r="BI54" s="2">
        <v>13</v>
      </c>
      <c r="BJ54" s="2"/>
      <c r="BK54" s="2">
        <v>3</v>
      </c>
      <c r="BL54" s="2"/>
      <c r="BM54" s="2"/>
      <c r="BN54" s="2"/>
      <c r="BO54" s="2">
        <v>2</v>
      </c>
      <c r="BP54" s="2"/>
      <c r="BQ54" s="2">
        <v>24</v>
      </c>
      <c r="BR54" s="2"/>
      <c r="BS54" s="2">
        <v>26</v>
      </c>
      <c r="BT54" s="2">
        <v>3</v>
      </c>
      <c r="BU54" s="2"/>
      <c r="BV54" s="2"/>
      <c r="BW54" s="2">
        <v>6.4</v>
      </c>
      <c r="BX54" s="2"/>
      <c r="BY54" s="2">
        <v>76</v>
      </c>
      <c r="BZ54" s="2">
        <v>1</v>
      </c>
      <c r="CA54" s="2"/>
      <c r="CB54" s="2"/>
      <c r="CC54" s="2">
        <v>17</v>
      </c>
      <c r="CD54" s="2">
        <v>38</v>
      </c>
      <c r="CE54" s="39" t="s">
        <v>334</v>
      </c>
      <c r="CF54" s="49" t="s">
        <v>179</v>
      </c>
      <c r="CG54" s="55" t="s">
        <v>180</v>
      </c>
      <c r="CH54" s="47">
        <f t="shared" si="10"/>
        <v>2380.2</v>
      </c>
    </row>
    <row r="55" spans="1:86" s="3" customFormat="1" ht="15" customHeight="1">
      <c r="A55" s="17">
        <v>52</v>
      </c>
      <c r="B55" s="5" t="s">
        <v>295</v>
      </c>
      <c r="C55" s="2" t="s">
        <v>181</v>
      </c>
      <c r="D55" s="2"/>
      <c r="E55" s="2"/>
      <c r="F55" s="2">
        <v>108.3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</v>
      </c>
      <c r="S55" s="2"/>
      <c r="T55" s="2"/>
      <c r="U55" s="2"/>
      <c r="V55" s="2">
        <v>23.8</v>
      </c>
      <c r="W55" s="2"/>
      <c r="X55" s="2"/>
      <c r="Y55" s="2">
        <v>5</v>
      </c>
      <c r="Z55" s="2"/>
      <c r="AA55" s="2"/>
      <c r="AB55" s="2"/>
      <c r="AC55" s="2"/>
      <c r="AD55" s="2"/>
      <c r="AE55" s="2">
        <v>6</v>
      </c>
      <c r="AF55" s="2">
        <v>1</v>
      </c>
      <c r="AG55" s="2"/>
      <c r="AH55" s="2"/>
      <c r="AI55" s="2">
        <v>1.6</v>
      </c>
      <c r="AJ55" s="2">
        <v>3.6</v>
      </c>
      <c r="AK55" s="2">
        <v>5</v>
      </c>
      <c r="AL55" s="2"/>
      <c r="AM55" s="2">
        <v>1</v>
      </c>
      <c r="AN55" s="2"/>
      <c r="AO55" s="2"/>
      <c r="AP55" s="2"/>
      <c r="AQ55" s="2"/>
      <c r="AR55" s="2"/>
      <c r="AS55" s="2"/>
      <c r="AT55" s="2"/>
      <c r="AU55" s="2">
        <v>20</v>
      </c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>
        <v>6</v>
      </c>
      <c r="BL55" s="2"/>
      <c r="BM55" s="2"/>
      <c r="BN55" s="2"/>
      <c r="BO55" s="2"/>
      <c r="BP55" s="2"/>
      <c r="BQ55" s="2">
        <v>3</v>
      </c>
      <c r="BR55" s="2"/>
      <c r="BS55" s="2"/>
      <c r="BT55" s="2"/>
      <c r="BU55" s="2"/>
      <c r="BV55" s="2"/>
      <c r="BW55" s="2">
        <v>36.6</v>
      </c>
      <c r="BX55" s="2"/>
      <c r="BY55" s="2"/>
      <c r="BZ55" s="2"/>
      <c r="CA55" s="2"/>
      <c r="CB55" s="2"/>
      <c r="CC55" s="2"/>
      <c r="CD55" s="2">
        <v>31</v>
      </c>
      <c r="CE55" s="39" t="s">
        <v>334</v>
      </c>
      <c r="CF55" s="49" t="s">
        <v>295</v>
      </c>
      <c r="CG55" s="55" t="s">
        <v>181</v>
      </c>
      <c r="CH55" s="47">
        <f t="shared" si="10"/>
        <v>108.3</v>
      </c>
    </row>
    <row r="56" spans="1:86" s="3" customFormat="1" ht="15" customHeight="1">
      <c r="A56" s="17">
        <v>53</v>
      </c>
      <c r="B56" s="5" t="s">
        <v>296</v>
      </c>
      <c r="C56" s="2" t="s">
        <v>182</v>
      </c>
      <c r="D56" s="2"/>
      <c r="E56" s="2"/>
      <c r="F56" s="2">
        <v>20.2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32.4</v>
      </c>
      <c r="S56" s="2"/>
      <c r="T56" s="2"/>
      <c r="U56" s="2"/>
      <c r="V56" s="2">
        <v>4.1</v>
      </c>
      <c r="W56" s="2"/>
      <c r="X56" s="2"/>
      <c r="Y56" s="2"/>
      <c r="Z56" s="2"/>
      <c r="AA56" s="2"/>
      <c r="AB56" s="2"/>
      <c r="AC56" s="2"/>
      <c r="AD56" s="2"/>
      <c r="AE56" s="2">
        <v>1</v>
      </c>
      <c r="AF56" s="2">
        <v>1</v>
      </c>
      <c r="AG56" s="2">
        <v>1</v>
      </c>
      <c r="AH56" s="2"/>
      <c r="AI56" s="2"/>
      <c r="AJ56" s="2">
        <v>1.8</v>
      </c>
      <c r="AK56" s="2">
        <v>1</v>
      </c>
      <c r="AL56" s="2"/>
      <c r="AM56" s="2"/>
      <c r="AN56" s="2">
        <v>1</v>
      </c>
      <c r="AO56" s="2"/>
      <c r="AP56" s="2"/>
      <c r="AQ56" s="2"/>
      <c r="AR56" s="2"/>
      <c r="AS56" s="2"/>
      <c r="AT56" s="2"/>
      <c r="AU56" s="2">
        <v>5</v>
      </c>
      <c r="AV56" s="2">
        <v>2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>
        <v>1</v>
      </c>
      <c r="BK56" s="2"/>
      <c r="BL56" s="2"/>
      <c r="BM56" s="2">
        <v>1</v>
      </c>
      <c r="BN56" s="2"/>
      <c r="BO56" s="2">
        <v>2</v>
      </c>
      <c r="BP56" s="2">
        <v>5.4</v>
      </c>
      <c r="BQ56" s="2">
        <v>2</v>
      </c>
      <c r="BR56" s="2"/>
      <c r="BS56" s="2"/>
      <c r="BT56" s="2"/>
      <c r="BU56" s="2"/>
      <c r="BV56" s="2"/>
      <c r="BW56" s="2">
        <v>3.2</v>
      </c>
      <c r="BX56" s="2"/>
      <c r="BY56" s="2"/>
      <c r="BZ56" s="2">
        <v>1</v>
      </c>
      <c r="CA56" s="2"/>
      <c r="CB56" s="2"/>
      <c r="CC56" s="2"/>
      <c r="CD56" s="2"/>
      <c r="CE56" s="39" t="s">
        <v>329</v>
      </c>
      <c r="CF56" s="49" t="s">
        <v>296</v>
      </c>
      <c r="CG56" s="63" t="s">
        <v>182</v>
      </c>
      <c r="CH56" s="47">
        <f t="shared" si="10"/>
        <v>20.2</v>
      </c>
    </row>
    <row r="57" spans="1:86" s="3" customFormat="1" ht="15" customHeight="1">
      <c r="A57" s="17"/>
      <c r="B57" s="13"/>
      <c r="C57" s="14"/>
      <c r="D57" s="14">
        <f>SUM(D24:D56)</f>
        <v>1229.1899999999998</v>
      </c>
      <c r="E57" s="14">
        <f aca="true" t="shared" si="11" ref="E57:S57">SUM(E24:E56)</f>
        <v>173.87</v>
      </c>
      <c r="F57" s="14">
        <f t="shared" si="11"/>
        <v>1687.3</v>
      </c>
      <c r="G57" s="14">
        <f t="shared" si="11"/>
        <v>155.5</v>
      </c>
      <c r="H57" s="14">
        <f t="shared" si="11"/>
        <v>454.80000000000007</v>
      </c>
      <c r="I57" s="14">
        <f t="shared" si="11"/>
        <v>0</v>
      </c>
      <c r="J57" s="14">
        <f t="shared" si="11"/>
        <v>0</v>
      </c>
      <c r="K57" s="14">
        <f t="shared" si="11"/>
        <v>0</v>
      </c>
      <c r="L57" s="14">
        <f t="shared" si="11"/>
        <v>0</v>
      </c>
      <c r="M57" s="14">
        <f t="shared" si="11"/>
        <v>19.2</v>
      </c>
      <c r="N57" s="14">
        <f t="shared" si="11"/>
        <v>69.5</v>
      </c>
      <c r="O57" s="14">
        <f t="shared" si="11"/>
        <v>0</v>
      </c>
      <c r="P57" s="14">
        <f t="shared" si="11"/>
        <v>0</v>
      </c>
      <c r="Q57" s="14">
        <f t="shared" si="11"/>
        <v>77.1</v>
      </c>
      <c r="R57" s="14">
        <f t="shared" si="11"/>
        <v>1427.5000000000002</v>
      </c>
      <c r="S57" s="14">
        <f t="shared" si="11"/>
        <v>0</v>
      </c>
      <c r="T57" s="14">
        <f aca="true" t="shared" si="12" ref="T57:AW57">SUM(T24:T56)</f>
        <v>2.2</v>
      </c>
      <c r="U57" s="14">
        <f t="shared" si="12"/>
        <v>0</v>
      </c>
      <c r="V57" s="14">
        <f t="shared" si="12"/>
        <v>352.9650000000001</v>
      </c>
      <c r="W57" s="14">
        <f t="shared" si="12"/>
        <v>6.6</v>
      </c>
      <c r="X57" s="14">
        <f t="shared" si="12"/>
        <v>0</v>
      </c>
      <c r="Y57" s="14">
        <f t="shared" si="12"/>
        <v>43.9</v>
      </c>
      <c r="Z57" s="14">
        <f t="shared" si="12"/>
        <v>0</v>
      </c>
      <c r="AA57" s="14">
        <f t="shared" si="12"/>
        <v>0</v>
      </c>
      <c r="AB57" s="14">
        <f t="shared" si="12"/>
        <v>1164</v>
      </c>
      <c r="AC57" s="14">
        <f t="shared" si="12"/>
        <v>2.4</v>
      </c>
      <c r="AD57" s="14">
        <f t="shared" si="12"/>
        <v>0</v>
      </c>
      <c r="AE57" s="14">
        <f t="shared" si="12"/>
        <v>36</v>
      </c>
      <c r="AF57" s="14">
        <f t="shared" si="12"/>
        <v>101</v>
      </c>
      <c r="AG57" s="14">
        <f t="shared" si="12"/>
        <v>15</v>
      </c>
      <c r="AH57" s="14">
        <f t="shared" si="12"/>
        <v>0</v>
      </c>
      <c r="AI57" s="14">
        <f t="shared" si="12"/>
        <v>200.70000000000002</v>
      </c>
      <c r="AJ57" s="14">
        <f t="shared" si="12"/>
        <v>97.69999999999997</v>
      </c>
      <c r="AK57" s="14">
        <f t="shared" si="12"/>
        <v>90</v>
      </c>
      <c r="AL57" s="14">
        <f t="shared" si="12"/>
        <v>16</v>
      </c>
      <c r="AM57" s="14">
        <f t="shared" si="12"/>
        <v>1</v>
      </c>
      <c r="AN57" s="14">
        <f t="shared" si="12"/>
        <v>21</v>
      </c>
      <c r="AO57" s="14">
        <f t="shared" si="12"/>
        <v>0</v>
      </c>
      <c r="AP57" s="14">
        <f t="shared" si="12"/>
        <v>0</v>
      </c>
      <c r="AQ57" s="14">
        <f t="shared" si="12"/>
        <v>0</v>
      </c>
      <c r="AR57" s="14">
        <f t="shared" si="12"/>
        <v>0</v>
      </c>
      <c r="AS57" s="14">
        <f t="shared" si="12"/>
        <v>0</v>
      </c>
      <c r="AT57" s="14">
        <f t="shared" si="12"/>
        <v>3</v>
      </c>
      <c r="AU57" s="14">
        <f t="shared" si="12"/>
        <v>319</v>
      </c>
      <c r="AV57" s="14">
        <f t="shared" si="12"/>
        <v>148</v>
      </c>
      <c r="AW57" s="14">
        <f t="shared" si="12"/>
        <v>0</v>
      </c>
      <c r="AX57" s="14">
        <f aca="true" t="shared" si="13" ref="AX57:BZ57">SUM(AX24:AX56)</f>
        <v>52</v>
      </c>
      <c r="AY57" s="14">
        <f t="shared" si="13"/>
        <v>23</v>
      </c>
      <c r="AZ57" s="14">
        <f t="shared" si="13"/>
        <v>23</v>
      </c>
      <c r="BA57" s="14">
        <f t="shared" si="13"/>
        <v>0</v>
      </c>
      <c r="BB57" s="14">
        <f t="shared" si="13"/>
        <v>8</v>
      </c>
      <c r="BC57" s="14">
        <f t="shared" si="13"/>
        <v>7</v>
      </c>
      <c r="BD57" s="14">
        <f t="shared" si="13"/>
        <v>2</v>
      </c>
      <c r="BE57" s="14">
        <f t="shared" si="13"/>
        <v>0</v>
      </c>
      <c r="BF57" s="14">
        <f t="shared" si="13"/>
        <v>0</v>
      </c>
      <c r="BG57" s="14">
        <f t="shared" si="13"/>
        <v>13.5</v>
      </c>
      <c r="BH57" s="14">
        <f t="shared" si="13"/>
        <v>52</v>
      </c>
      <c r="BI57" s="14">
        <f t="shared" si="13"/>
        <v>73</v>
      </c>
      <c r="BJ57" s="14">
        <f t="shared" si="13"/>
        <v>23</v>
      </c>
      <c r="BK57" s="14">
        <f t="shared" si="13"/>
        <v>83</v>
      </c>
      <c r="BL57" s="14">
        <f t="shared" si="13"/>
        <v>1</v>
      </c>
      <c r="BM57" s="14">
        <f t="shared" si="13"/>
        <v>43</v>
      </c>
      <c r="BN57" s="14">
        <f t="shared" si="13"/>
        <v>0</v>
      </c>
      <c r="BO57" s="14">
        <f t="shared" si="13"/>
        <v>70</v>
      </c>
      <c r="BP57" s="14">
        <f t="shared" si="13"/>
        <v>69.7</v>
      </c>
      <c r="BQ57" s="14">
        <f t="shared" si="13"/>
        <v>115</v>
      </c>
      <c r="BR57" s="14">
        <f t="shared" si="13"/>
        <v>4</v>
      </c>
      <c r="BS57" s="14">
        <f t="shared" si="13"/>
        <v>44</v>
      </c>
      <c r="BT57" s="14">
        <f t="shared" si="13"/>
        <v>6</v>
      </c>
      <c r="BU57" s="14">
        <f t="shared" si="13"/>
        <v>0</v>
      </c>
      <c r="BV57" s="14">
        <f t="shared" si="13"/>
        <v>0</v>
      </c>
      <c r="BW57" s="14">
        <f t="shared" si="13"/>
        <v>87.80000000000001</v>
      </c>
      <c r="BX57" s="14">
        <f t="shared" si="13"/>
        <v>0</v>
      </c>
      <c r="BY57" s="14">
        <f t="shared" si="13"/>
        <v>76</v>
      </c>
      <c r="BZ57" s="14">
        <f t="shared" si="13"/>
        <v>65</v>
      </c>
      <c r="CA57" s="14">
        <f>SUM(CA24:CA56)</f>
        <v>2.2</v>
      </c>
      <c r="CB57" s="14">
        <f>SUM(CB24:CB56)</f>
        <v>2</v>
      </c>
      <c r="CC57" s="14">
        <f>SUM(CC24:CC56)</f>
        <v>18</v>
      </c>
      <c r="CD57" s="14">
        <f>SUM(CD24:CD56)</f>
        <v>163</v>
      </c>
      <c r="CE57" s="41"/>
      <c r="CF57" s="62"/>
      <c r="CG57" s="61"/>
      <c r="CH57" s="61"/>
    </row>
    <row r="58" spans="1:86" s="3" customFormat="1" ht="15.75" customHeight="1">
      <c r="A58" s="17">
        <v>54</v>
      </c>
      <c r="B58" s="5" t="s">
        <v>183</v>
      </c>
      <c r="C58" s="2" t="s">
        <v>184</v>
      </c>
      <c r="D58" s="2"/>
      <c r="E58" s="2">
        <v>115.5</v>
      </c>
      <c r="F58" s="2"/>
      <c r="G58" s="2"/>
      <c r="H58" s="2">
        <v>29.3</v>
      </c>
      <c r="I58" s="2"/>
      <c r="J58" s="2"/>
      <c r="K58" s="2"/>
      <c r="L58" s="2"/>
      <c r="M58" s="2"/>
      <c r="N58" s="2"/>
      <c r="O58" s="2"/>
      <c r="P58" s="2"/>
      <c r="Q58" s="2"/>
      <c r="R58" s="2">
        <v>70.8</v>
      </c>
      <c r="S58" s="2"/>
      <c r="T58" s="2"/>
      <c r="U58" s="2"/>
      <c r="V58" s="2">
        <v>29.3</v>
      </c>
      <c r="W58" s="2"/>
      <c r="X58" s="2"/>
      <c r="Y58" s="2"/>
      <c r="Z58" s="2"/>
      <c r="AA58" s="2"/>
      <c r="AB58" s="2">
        <v>114</v>
      </c>
      <c r="AC58" s="2"/>
      <c r="AD58" s="2"/>
      <c r="AE58" s="2"/>
      <c r="AF58" s="2">
        <v>7</v>
      </c>
      <c r="AG58" s="2">
        <v>1</v>
      </c>
      <c r="AH58" s="2"/>
      <c r="AI58" s="2">
        <v>13.1</v>
      </c>
      <c r="AJ58" s="2"/>
      <c r="AK58" s="2">
        <v>7</v>
      </c>
      <c r="AL58" s="2"/>
      <c r="AM58" s="2"/>
      <c r="AN58" s="2">
        <v>1</v>
      </c>
      <c r="AO58" s="2"/>
      <c r="AP58" s="2"/>
      <c r="AQ58" s="2"/>
      <c r="AR58" s="2"/>
      <c r="AS58" s="2"/>
      <c r="AT58" s="2"/>
      <c r="AU58" s="2">
        <v>24</v>
      </c>
      <c r="AV58" s="2">
        <v>7</v>
      </c>
      <c r="AW58" s="2"/>
      <c r="AX58" s="2"/>
      <c r="AY58" s="2">
        <v>2</v>
      </c>
      <c r="AZ58" s="2">
        <v>2</v>
      </c>
      <c r="BA58" s="2"/>
      <c r="BB58" s="2"/>
      <c r="BC58" s="2"/>
      <c r="BD58" s="2"/>
      <c r="BE58" s="2"/>
      <c r="BF58" s="2"/>
      <c r="BG58" s="2">
        <v>51</v>
      </c>
      <c r="BH58" s="2">
        <v>12</v>
      </c>
      <c r="BI58" s="2">
        <v>7</v>
      </c>
      <c r="BJ58" s="2"/>
      <c r="BK58" s="2">
        <v>7</v>
      </c>
      <c r="BL58" s="2"/>
      <c r="BM58" s="2">
        <v>3</v>
      </c>
      <c r="BN58" s="2"/>
      <c r="BO58" s="2">
        <v>7</v>
      </c>
      <c r="BP58" s="2">
        <v>5.7</v>
      </c>
      <c r="BQ58" s="2">
        <v>8</v>
      </c>
      <c r="BR58" s="2">
        <v>1</v>
      </c>
      <c r="BS58" s="2"/>
      <c r="BT58" s="2">
        <v>20.5</v>
      </c>
      <c r="BU58" s="2"/>
      <c r="BV58" s="2">
        <v>12.2</v>
      </c>
      <c r="BW58" s="2"/>
      <c r="BX58" s="2"/>
      <c r="BY58" s="2"/>
      <c r="BZ58" s="2">
        <v>6</v>
      </c>
      <c r="CA58" s="2"/>
      <c r="CB58" s="2"/>
      <c r="CC58" s="2"/>
      <c r="CD58" s="2">
        <v>8</v>
      </c>
      <c r="CE58" s="39" t="s">
        <v>351</v>
      </c>
      <c r="CF58" s="49" t="s">
        <v>183</v>
      </c>
      <c r="CG58" s="64" t="s">
        <v>184</v>
      </c>
      <c r="CH58" s="47">
        <f>SUM(D58:N58)</f>
        <v>144.8</v>
      </c>
    </row>
    <row r="59" spans="1:86" s="3" customFormat="1" ht="15.75" customHeight="1">
      <c r="A59" s="17"/>
      <c r="B59" s="13"/>
      <c r="C59" s="14"/>
      <c r="D59" s="14">
        <f>SUM(D58)</f>
        <v>0</v>
      </c>
      <c r="E59" s="14">
        <f aca="true" t="shared" si="14" ref="E59:S59">SUM(E58)</f>
        <v>115.5</v>
      </c>
      <c r="F59" s="14">
        <f t="shared" si="14"/>
        <v>0</v>
      </c>
      <c r="G59" s="14">
        <f t="shared" si="14"/>
        <v>0</v>
      </c>
      <c r="H59" s="14">
        <f t="shared" si="14"/>
        <v>29.3</v>
      </c>
      <c r="I59" s="14">
        <f t="shared" si="14"/>
        <v>0</v>
      </c>
      <c r="J59" s="14">
        <f t="shared" si="14"/>
        <v>0</v>
      </c>
      <c r="K59" s="14">
        <f t="shared" si="14"/>
        <v>0</v>
      </c>
      <c r="L59" s="14">
        <f t="shared" si="14"/>
        <v>0</v>
      </c>
      <c r="M59" s="14">
        <f t="shared" si="14"/>
        <v>0</v>
      </c>
      <c r="N59" s="14">
        <f t="shared" si="14"/>
        <v>0</v>
      </c>
      <c r="O59" s="14">
        <f t="shared" si="14"/>
        <v>0</v>
      </c>
      <c r="P59" s="14">
        <f t="shared" si="14"/>
        <v>0</v>
      </c>
      <c r="Q59" s="14">
        <f t="shared" si="14"/>
        <v>0</v>
      </c>
      <c r="R59" s="14">
        <f t="shared" si="14"/>
        <v>70.8</v>
      </c>
      <c r="S59" s="14">
        <f t="shared" si="14"/>
        <v>0</v>
      </c>
      <c r="T59" s="14">
        <f aca="true" t="shared" si="15" ref="T59:AW59">SUM(T58)</f>
        <v>0</v>
      </c>
      <c r="U59" s="14">
        <f t="shared" si="15"/>
        <v>0</v>
      </c>
      <c r="V59" s="14">
        <f t="shared" si="15"/>
        <v>29.3</v>
      </c>
      <c r="W59" s="14">
        <f t="shared" si="15"/>
        <v>0</v>
      </c>
      <c r="X59" s="14">
        <f t="shared" si="15"/>
        <v>0</v>
      </c>
      <c r="Y59" s="14">
        <f t="shared" si="15"/>
        <v>0</v>
      </c>
      <c r="Z59" s="14">
        <f t="shared" si="15"/>
        <v>0</v>
      </c>
      <c r="AA59" s="14">
        <f t="shared" si="15"/>
        <v>0</v>
      </c>
      <c r="AB59" s="14">
        <f t="shared" si="15"/>
        <v>114</v>
      </c>
      <c r="AC59" s="14">
        <f t="shared" si="15"/>
        <v>0</v>
      </c>
      <c r="AD59" s="14">
        <f t="shared" si="15"/>
        <v>0</v>
      </c>
      <c r="AE59" s="14">
        <f t="shared" si="15"/>
        <v>0</v>
      </c>
      <c r="AF59" s="14">
        <f t="shared" si="15"/>
        <v>7</v>
      </c>
      <c r="AG59" s="14">
        <f t="shared" si="15"/>
        <v>1</v>
      </c>
      <c r="AH59" s="14">
        <f t="shared" si="15"/>
        <v>0</v>
      </c>
      <c r="AI59" s="14">
        <f t="shared" si="15"/>
        <v>13.1</v>
      </c>
      <c r="AJ59" s="14">
        <f t="shared" si="15"/>
        <v>0</v>
      </c>
      <c r="AK59" s="14">
        <f t="shared" si="15"/>
        <v>7</v>
      </c>
      <c r="AL59" s="14">
        <f t="shared" si="15"/>
        <v>0</v>
      </c>
      <c r="AM59" s="14">
        <f t="shared" si="15"/>
        <v>0</v>
      </c>
      <c r="AN59" s="14">
        <f t="shared" si="15"/>
        <v>1</v>
      </c>
      <c r="AO59" s="14">
        <f t="shared" si="15"/>
        <v>0</v>
      </c>
      <c r="AP59" s="14">
        <f t="shared" si="15"/>
        <v>0</v>
      </c>
      <c r="AQ59" s="14">
        <f t="shared" si="15"/>
        <v>0</v>
      </c>
      <c r="AR59" s="14">
        <f t="shared" si="15"/>
        <v>0</v>
      </c>
      <c r="AS59" s="14">
        <f t="shared" si="15"/>
        <v>0</v>
      </c>
      <c r="AT59" s="14">
        <f t="shared" si="15"/>
        <v>0</v>
      </c>
      <c r="AU59" s="14">
        <f t="shared" si="15"/>
        <v>24</v>
      </c>
      <c r="AV59" s="14">
        <f t="shared" si="15"/>
        <v>7</v>
      </c>
      <c r="AW59" s="14">
        <f t="shared" si="15"/>
        <v>0</v>
      </c>
      <c r="AX59" s="14">
        <f aca="true" t="shared" si="16" ref="AX59:BZ59">SUM(AX58)</f>
        <v>0</v>
      </c>
      <c r="AY59" s="14">
        <f t="shared" si="16"/>
        <v>2</v>
      </c>
      <c r="AZ59" s="14">
        <f t="shared" si="16"/>
        <v>2</v>
      </c>
      <c r="BA59" s="14">
        <f t="shared" si="16"/>
        <v>0</v>
      </c>
      <c r="BB59" s="14">
        <f t="shared" si="16"/>
        <v>0</v>
      </c>
      <c r="BC59" s="14">
        <f t="shared" si="16"/>
        <v>0</v>
      </c>
      <c r="BD59" s="14">
        <f t="shared" si="16"/>
        <v>0</v>
      </c>
      <c r="BE59" s="14">
        <f t="shared" si="16"/>
        <v>0</v>
      </c>
      <c r="BF59" s="14">
        <f t="shared" si="16"/>
        <v>0</v>
      </c>
      <c r="BG59" s="14">
        <f t="shared" si="16"/>
        <v>51</v>
      </c>
      <c r="BH59" s="14">
        <f t="shared" si="16"/>
        <v>12</v>
      </c>
      <c r="BI59" s="14">
        <f t="shared" si="16"/>
        <v>7</v>
      </c>
      <c r="BJ59" s="14">
        <f t="shared" si="16"/>
        <v>0</v>
      </c>
      <c r="BK59" s="14">
        <f t="shared" si="16"/>
        <v>7</v>
      </c>
      <c r="BL59" s="14">
        <f t="shared" si="16"/>
        <v>0</v>
      </c>
      <c r="BM59" s="14">
        <f t="shared" si="16"/>
        <v>3</v>
      </c>
      <c r="BN59" s="14">
        <f t="shared" si="16"/>
        <v>0</v>
      </c>
      <c r="BO59" s="14">
        <f t="shared" si="16"/>
        <v>7</v>
      </c>
      <c r="BP59" s="14">
        <f t="shared" si="16"/>
        <v>5.7</v>
      </c>
      <c r="BQ59" s="14">
        <f t="shared" si="16"/>
        <v>8</v>
      </c>
      <c r="BR59" s="14">
        <f t="shared" si="16"/>
        <v>1</v>
      </c>
      <c r="BS59" s="14">
        <f t="shared" si="16"/>
        <v>0</v>
      </c>
      <c r="BT59" s="14">
        <f t="shared" si="16"/>
        <v>20.5</v>
      </c>
      <c r="BU59" s="14">
        <f t="shared" si="16"/>
        <v>0</v>
      </c>
      <c r="BV59" s="14">
        <f t="shared" si="16"/>
        <v>12.2</v>
      </c>
      <c r="BW59" s="14">
        <f t="shared" si="16"/>
        <v>0</v>
      </c>
      <c r="BX59" s="14">
        <f t="shared" si="16"/>
        <v>0</v>
      </c>
      <c r="BY59" s="14">
        <f t="shared" si="16"/>
        <v>0</v>
      </c>
      <c r="BZ59" s="14">
        <f t="shared" si="16"/>
        <v>6</v>
      </c>
      <c r="CA59" s="14">
        <f>SUM(CA58)</f>
        <v>0</v>
      </c>
      <c r="CB59" s="14">
        <f>SUM(CB58)</f>
        <v>0</v>
      </c>
      <c r="CC59" s="14">
        <f>SUM(CC58)</f>
        <v>0</v>
      </c>
      <c r="CD59" s="14">
        <f>SUM(CD58)</f>
        <v>8</v>
      </c>
      <c r="CE59" s="41"/>
      <c r="CF59" s="50"/>
      <c r="CG59" s="56"/>
      <c r="CH59" s="56"/>
    </row>
    <row r="60" spans="1:86" s="3" customFormat="1" ht="15" customHeight="1">
      <c r="A60" s="17">
        <v>55</v>
      </c>
      <c r="B60" s="5" t="s">
        <v>185</v>
      </c>
      <c r="C60" s="2" t="s">
        <v>111</v>
      </c>
      <c r="D60" s="2"/>
      <c r="E60" s="2">
        <v>21.2</v>
      </c>
      <c r="F60" s="2">
        <f>665.4+85.7</f>
        <v>751.1</v>
      </c>
      <c r="G60" s="2"/>
      <c r="H60" s="2">
        <f>53.6+8.1</f>
        <v>61.7</v>
      </c>
      <c r="I60" s="2"/>
      <c r="J60" s="2"/>
      <c r="K60" s="2"/>
      <c r="L60" s="2"/>
      <c r="M60" s="2"/>
      <c r="N60" s="2"/>
      <c r="O60" s="2">
        <v>551.2</v>
      </c>
      <c r="P60" s="2">
        <v>92.1</v>
      </c>
      <c r="Q60" s="2">
        <v>67.8</v>
      </c>
      <c r="R60" s="2">
        <f>884.2+40.8+177.6</f>
        <v>1102.6</v>
      </c>
      <c r="S60" s="2"/>
      <c r="T60" s="2"/>
      <c r="U60" s="2"/>
      <c r="V60" s="2">
        <f>115.8+17.5+14+11.8+7.48+18.1</f>
        <v>184.68</v>
      </c>
      <c r="W60" s="2"/>
      <c r="X60" s="2"/>
      <c r="Y60" s="2">
        <v>33.8</v>
      </c>
      <c r="Z60" s="2"/>
      <c r="AA60" s="2"/>
      <c r="AB60" s="2"/>
      <c r="AC60" s="2"/>
      <c r="AD60" s="2"/>
      <c r="AE60" s="2">
        <v>11.2</v>
      </c>
      <c r="AF60" s="2">
        <v>38</v>
      </c>
      <c r="AG60" s="2">
        <v>1</v>
      </c>
      <c r="AH60" s="2"/>
      <c r="AI60" s="2">
        <v>55.8</v>
      </c>
      <c r="AJ60" s="2">
        <v>9.1</v>
      </c>
      <c r="AK60" s="2">
        <v>35</v>
      </c>
      <c r="AL60" s="2"/>
      <c r="AM60" s="2">
        <v>3</v>
      </c>
      <c r="AN60" s="2">
        <v>31</v>
      </c>
      <c r="AO60" s="2">
        <v>7</v>
      </c>
      <c r="AP60" s="2">
        <v>7</v>
      </c>
      <c r="AQ60" s="2"/>
      <c r="AR60" s="2"/>
      <c r="AS60" s="2">
        <v>3</v>
      </c>
      <c r="AT60" s="2">
        <f>14.4+5.4</f>
        <v>19.8</v>
      </c>
      <c r="AU60" s="2">
        <f>124+14+3</f>
        <v>141</v>
      </c>
      <c r="AV60" s="2">
        <v>8</v>
      </c>
      <c r="AW60" s="2"/>
      <c r="AX60" s="2"/>
      <c r="AY60" s="2">
        <v>10</v>
      </c>
      <c r="AZ60" s="2">
        <v>10</v>
      </c>
      <c r="BA60" s="2">
        <v>5</v>
      </c>
      <c r="BB60" s="2">
        <v>1</v>
      </c>
      <c r="BC60" s="2"/>
      <c r="BD60" s="2"/>
      <c r="BE60" s="2">
        <v>6</v>
      </c>
      <c r="BF60" s="2"/>
      <c r="BG60" s="2"/>
      <c r="BH60" s="2">
        <v>24</v>
      </c>
      <c r="BI60" s="2">
        <v>11</v>
      </c>
      <c r="BJ60" s="2">
        <v>6</v>
      </c>
      <c r="BK60" s="2">
        <v>20</v>
      </c>
      <c r="BL60" s="2">
        <v>3</v>
      </c>
      <c r="BM60" s="2">
        <v>5</v>
      </c>
      <c r="BN60" s="2">
        <v>1</v>
      </c>
      <c r="BO60" s="2">
        <v>39</v>
      </c>
      <c r="BP60" s="2">
        <v>87.3</v>
      </c>
      <c r="BQ60" s="2">
        <v>40</v>
      </c>
      <c r="BR60" s="2"/>
      <c r="BS60" s="2"/>
      <c r="BT60" s="2"/>
      <c r="BU60" s="2"/>
      <c r="BV60" s="2"/>
      <c r="BW60" s="2"/>
      <c r="BX60" s="2"/>
      <c r="BY60" s="2"/>
      <c r="BZ60" s="2">
        <v>1</v>
      </c>
      <c r="CA60" s="2"/>
      <c r="CB60" s="2"/>
      <c r="CC60" s="2"/>
      <c r="CD60" s="2">
        <v>16</v>
      </c>
      <c r="CE60" s="39" t="s">
        <v>355</v>
      </c>
      <c r="CF60" s="49" t="s">
        <v>110</v>
      </c>
      <c r="CG60" s="55" t="s">
        <v>111</v>
      </c>
      <c r="CH60" s="47">
        <f>SUM(D60:N60)</f>
        <v>834.0000000000001</v>
      </c>
    </row>
    <row r="61" spans="1:86" s="3" customFormat="1" ht="15" customHeight="1">
      <c r="A61" s="17">
        <v>56</v>
      </c>
      <c r="B61" s="5" t="s">
        <v>186</v>
      </c>
      <c r="C61" s="2" t="s">
        <v>187</v>
      </c>
      <c r="D61" s="2"/>
      <c r="E61" s="2"/>
      <c r="F61" s="2">
        <v>15</v>
      </c>
      <c r="G61" s="2"/>
      <c r="H61" s="2"/>
      <c r="I61" s="2"/>
      <c r="J61" s="2"/>
      <c r="K61" s="2"/>
      <c r="L61" s="2"/>
      <c r="M61" s="2"/>
      <c r="N61" s="2"/>
      <c r="O61" s="2">
        <v>80.5</v>
      </c>
      <c r="P61" s="2"/>
      <c r="Q61" s="2"/>
      <c r="R61" s="2">
        <v>40.2</v>
      </c>
      <c r="S61" s="2"/>
      <c r="T61" s="2"/>
      <c r="U61" s="2"/>
      <c r="V61" s="2">
        <v>7.5</v>
      </c>
      <c r="W61" s="2"/>
      <c r="X61" s="2"/>
      <c r="Y61" s="2"/>
      <c r="Z61" s="2"/>
      <c r="AA61" s="2"/>
      <c r="AB61" s="2">
        <v>16</v>
      </c>
      <c r="AC61" s="2"/>
      <c r="AD61" s="2"/>
      <c r="AE61" s="2"/>
      <c r="AF61" s="2">
        <v>1</v>
      </c>
      <c r="AG61" s="2"/>
      <c r="AH61" s="2"/>
      <c r="AI61" s="2">
        <v>1.8</v>
      </c>
      <c r="AJ61" s="2"/>
      <c r="AK61" s="2">
        <v>1</v>
      </c>
      <c r="AL61" s="2"/>
      <c r="AM61" s="2"/>
      <c r="AN61" s="2"/>
      <c r="AO61" s="2"/>
      <c r="AP61" s="2"/>
      <c r="AQ61" s="2"/>
      <c r="AR61" s="2"/>
      <c r="AS61" s="2"/>
      <c r="AT61" s="2"/>
      <c r="AU61" s="2">
        <v>4</v>
      </c>
      <c r="AV61" s="2">
        <v>1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>
        <v>2</v>
      </c>
      <c r="BJ61" s="2"/>
      <c r="BK61" s="2">
        <v>1</v>
      </c>
      <c r="BL61" s="2"/>
      <c r="BM61" s="2">
        <v>1</v>
      </c>
      <c r="BN61" s="2"/>
      <c r="BO61" s="2">
        <v>2</v>
      </c>
      <c r="BP61" s="2"/>
      <c r="BQ61" s="2">
        <v>2</v>
      </c>
      <c r="BR61" s="2"/>
      <c r="BS61" s="2"/>
      <c r="BT61" s="2"/>
      <c r="BU61" s="2"/>
      <c r="BV61" s="2"/>
      <c r="BW61" s="2"/>
      <c r="BX61" s="2"/>
      <c r="BY61" s="2"/>
      <c r="BZ61" s="2">
        <v>2</v>
      </c>
      <c r="CA61" s="2"/>
      <c r="CB61" s="2"/>
      <c r="CC61" s="2"/>
      <c r="CD61" s="2"/>
      <c r="CE61" s="39" t="s">
        <v>358</v>
      </c>
      <c r="CF61" s="49" t="s">
        <v>186</v>
      </c>
      <c r="CG61" s="55" t="s">
        <v>187</v>
      </c>
      <c r="CH61" s="47">
        <f>SUM(D61:N61)</f>
        <v>15</v>
      </c>
    </row>
    <row r="62" spans="1:86" s="3" customFormat="1" ht="16.5" customHeight="1">
      <c r="A62" s="17">
        <v>57</v>
      </c>
      <c r="B62" s="5" t="s">
        <v>373</v>
      </c>
      <c r="C62" s="2" t="s">
        <v>297</v>
      </c>
      <c r="D62" s="2"/>
      <c r="E62" s="2"/>
      <c r="F62" s="2">
        <f>35+18</f>
        <v>53</v>
      </c>
      <c r="G62" s="2" t="s">
        <v>61</v>
      </c>
      <c r="H62" s="2">
        <v>3</v>
      </c>
      <c r="I62" s="2"/>
      <c r="J62" s="2"/>
      <c r="K62" s="2"/>
      <c r="L62" s="2"/>
      <c r="M62" s="2"/>
      <c r="N62" s="26"/>
      <c r="O62" s="2">
        <v>157.3</v>
      </c>
      <c r="P62" s="2"/>
      <c r="Q62" s="2"/>
      <c r="R62" s="2">
        <v>22.8</v>
      </c>
      <c r="S62" s="2"/>
      <c r="T62" s="2"/>
      <c r="U62" s="2"/>
      <c r="V62" s="2">
        <v>11.1</v>
      </c>
      <c r="W62" s="2"/>
      <c r="X62" s="2"/>
      <c r="Y62" s="2"/>
      <c r="Z62" s="2">
        <v>3</v>
      </c>
      <c r="AA62" s="2">
        <v>1</v>
      </c>
      <c r="AB62" s="2">
        <f>369+84+42+17</f>
        <v>512</v>
      </c>
      <c r="AC62" s="2"/>
      <c r="AD62" s="2"/>
      <c r="AE62" s="2"/>
      <c r="AF62" s="2">
        <v>2</v>
      </c>
      <c r="AG62" s="2">
        <v>2</v>
      </c>
      <c r="AH62" s="2">
        <v>5</v>
      </c>
      <c r="AI62" s="2">
        <v>5.6</v>
      </c>
      <c r="AJ62" s="2"/>
      <c r="AK62" s="2">
        <v>2</v>
      </c>
      <c r="AL62" s="2"/>
      <c r="AM62" s="2"/>
      <c r="AN62" s="2"/>
      <c r="AO62" s="2"/>
      <c r="AP62" s="2"/>
      <c r="AQ62" s="2">
        <v>1</v>
      </c>
      <c r="AR62" s="2"/>
      <c r="AS62" s="2"/>
      <c r="AT62" s="2"/>
      <c r="AU62" s="2">
        <v>8</v>
      </c>
      <c r="AV62" s="2">
        <v>3</v>
      </c>
      <c r="AW62" s="2"/>
      <c r="AX62" s="2"/>
      <c r="AY62" s="2">
        <v>1</v>
      </c>
      <c r="AZ62" s="2">
        <v>1</v>
      </c>
      <c r="BA62" s="2"/>
      <c r="BB62" s="2"/>
      <c r="BC62" s="2"/>
      <c r="BD62" s="2"/>
      <c r="BE62" s="2"/>
      <c r="BF62" s="2"/>
      <c r="BG62" s="2"/>
      <c r="BH62" s="2">
        <v>2</v>
      </c>
      <c r="BI62" s="2"/>
      <c r="BJ62" s="2"/>
      <c r="BK62" s="2">
        <v>2</v>
      </c>
      <c r="BL62" s="2"/>
      <c r="BM62" s="2"/>
      <c r="BN62" s="2"/>
      <c r="BO62" s="2">
        <v>2</v>
      </c>
      <c r="BP62" s="2">
        <v>75.9</v>
      </c>
      <c r="BQ62" s="2">
        <v>2</v>
      </c>
      <c r="BR62" s="2"/>
      <c r="BS62" s="2"/>
      <c r="BT62" s="2">
        <v>3.9</v>
      </c>
      <c r="BU62" s="2"/>
      <c r="BV62" s="2"/>
      <c r="BW62" s="2"/>
      <c r="BX62" s="2"/>
      <c r="BY62" s="2"/>
      <c r="BZ62" s="2"/>
      <c r="CA62" s="2"/>
      <c r="CB62" s="2"/>
      <c r="CC62" s="2"/>
      <c r="CD62" s="2">
        <v>8</v>
      </c>
      <c r="CE62" s="39" t="s">
        <v>359</v>
      </c>
      <c r="CF62" s="49" t="s">
        <v>185</v>
      </c>
      <c r="CG62" s="55" t="s">
        <v>297</v>
      </c>
      <c r="CH62" s="47">
        <f>SUM(D62:N62)</f>
        <v>56</v>
      </c>
    </row>
    <row r="63" spans="1:86" s="3" customFormat="1" ht="15" customHeight="1">
      <c r="A63" s="17"/>
      <c r="B63" s="13"/>
      <c r="C63" s="14"/>
      <c r="D63" s="14">
        <f aca="true" t="shared" si="17" ref="D63:I63">SUM(D60:D62)</f>
        <v>0</v>
      </c>
      <c r="E63" s="14">
        <f t="shared" si="17"/>
        <v>21.2</v>
      </c>
      <c r="F63" s="14">
        <f t="shared" si="17"/>
        <v>819.1</v>
      </c>
      <c r="G63" s="14">
        <f t="shared" si="17"/>
        <v>0</v>
      </c>
      <c r="H63" s="14">
        <f t="shared" si="17"/>
        <v>64.7</v>
      </c>
      <c r="I63" s="14">
        <f t="shared" si="17"/>
        <v>0</v>
      </c>
      <c r="J63" s="14">
        <f aca="true" t="shared" si="18" ref="J63:R63">SUM(J60:J62)</f>
        <v>0</v>
      </c>
      <c r="K63" s="14">
        <f t="shared" si="18"/>
        <v>0</v>
      </c>
      <c r="L63" s="14">
        <f t="shared" si="18"/>
        <v>0</v>
      </c>
      <c r="M63" s="14">
        <f t="shared" si="18"/>
        <v>0</v>
      </c>
      <c r="N63" s="14">
        <f t="shared" si="18"/>
        <v>0</v>
      </c>
      <c r="O63" s="14">
        <f t="shared" si="18"/>
        <v>789</v>
      </c>
      <c r="P63" s="14">
        <f t="shared" si="18"/>
        <v>92.1</v>
      </c>
      <c r="Q63" s="14">
        <f t="shared" si="18"/>
        <v>67.8</v>
      </c>
      <c r="R63" s="14">
        <f t="shared" si="18"/>
        <v>1165.6</v>
      </c>
      <c r="S63" s="14">
        <f aca="true" t="shared" si="19" ref="S63:AB63">SUM(S60:S62)</f>
        <v>0</v>
      </c>
      <c r="T63" s="14">
        <f t="shared" si="19"/>
        <v>0</v>
      </c>
      <c r="U63" s="14">
        <f t="shared" si="19"/>
        <v>0</v>
      </c>
      <c r="V63" s="14">
        <f t="shared" si="19"/>
        <v>203.28</v>
      </c>
      <c r="W63" s="14">
        <f t="shared" si="19"/>
        <v>0</v>
      </c>
      <c r="X63" s="14">
        <f t="shared" si="19"/>
        <v>0</v>
      </c>
      <c r="Y63" s="14">
        <f t="shared" si="19"/>
        <v>33.8</v>
      </c>
      <c r="Z63" s="14">
        <f t="shared" si="19"/>
        <v>3</v>
      </c>
      <c r="AA63" s="14">
        <f t="shared" si="19"/>
        <v>1</v>
      </c>
      <c r="AB63" s="14">
        <f t="shared" si="19"/>
        <v>528</v>
      </c>
      <c r="AC63" s="14">
        <f aca="true" t="shared" si="20" ref="AC63:AK63">SUM(AC60:AC62)</f>
        <v>0</v>
      </c>
      <c r="AD63" s="14">
        <f t="shared" si="20"/>
        <v>0</v>
      </c>
      <c r="AE63" s="14">
        <f t="shared" si="20"/>
        <v>11.2</v>
      </c>
      <c r="AF63" s="14">
        <f t="shared" si="20"/>
        <v>41</v>
      </c>
      <c r="AG63" s="14">
        <f t="shared" si="20"/>
        <v>3</v>
      </c>
      <c r="AH63" s="14">
        <f t="shared" si="20"/>
        <v>5</v>
      </c>
      <c r="AI63" s="14">
        <f t="shared" si="20"/>
        <v>63.199999999999996</v>
      </c>
      <c r="AJ63" s="14">
        <f t="shared" si="20"/>
        <v>9.1</v>
      </c>
      <c r="AK63" s="14">
        <f t="shared" si="20"/>
        <v>38</v>
      </c>
      <c r="AL63" s="14">
        <f aca="true" t="shared" si="21" ref="AL63:AT63">SUM(AL60:AL62)</f>
        <v>0</v>
      </c>
      <c r="AM63" s="14">
        <f t="shared" si="21"/>
        <v>3</v>
      </c>
      <c r="AN63" s="14">
        <f t="shared" si="21"/>
        <v>31</v>
      </c>
      <c r="AO63" s="14">
        <f t="shared" si="21"/>
        <v>7</v>
      </c>
      <c r="AP63" s="14">
        <f t="shared" si="21"/>
        <v>7</v>
      </c>
      <c r="AQ63" s="14">
        <f t="shared" si="21"/>
        <v>1</v>
      </c>
      <c r="AR63" s="14">
        <f t="shared" si="21"/>
        <v>0</v>
      </c>
      <c r="AS63" s="14">
        <f t="shared" si="21"/>
        <v>3</v>
      </c>
      <c r="AT63" s="14">
        <f t="shared" si="21"/>
        <v>19.8</v>
      </c>
      <c r="AU63" s="14">
        <f aca="true" t="shared" si="22" ref="AU63:BC63">SUM(AU60:AU62)</f>
        <v>153</v>
      </c>
      <c r="AV63" s="14">
        <f t="shared" si="22"/>
        <v>12</v>
      </c>
      <c r="AW63" s="14">
        <f t="shared" si="22"/>
        <v>0</v>
      </c>
      <c r="AX63" s="14">
        <f t="shared" si="22"/>
        <v>0</v>
      </c>
      <c r="AY63" s="14">
        <f t="shared" si="22"/>
        <v>11</v>
      </c>
      <c r="AZ63" s="14">
        <f t="shared" si="22"/>
        <v>11</v>
      </c>
      <c r="BA63" s="14">
        <f t="shared" si="22"/>
        <v>5</v>
      </c>
      <c r="BB63" s="14">
        <f t="shared" si="22"/>
        <v>1</v>
      </c>
      <c r="BC63" s="14">
        <f t="shared" si="22"/>
        <v>0</v>
      </c>
      <c r="BD63" s="14">
        <f aca="true" t="shared" si="23" ref="BD63:BL63">SUM(BD60:BD62)</f>
        <v>0</v>
      </c>
      <c r="BE63" s="14">
        <f t="shared" si="23"/>
        <v>6</v>
      </c>
      <c r="BF63" s="14">
        <f t="shared" si="23"/>
        <v>0</v>
      </c>
      <c r="BG63" s="14">
        <f t="shared" si="23"/>
        <v>0</v>
      </c>
      <c r="BH63" s="14">
        <f t="shared" si="23"/>
        <v>26</v>
      </c>
      <c r="BI63" s="14">
        <f t="shared" si="23"/>
        <v>13</v>
      </c>
      <c r="BJ63" s="14">
        <f t="shared" si="23"/>
        <v>6</v>
      </c>
      <c r="BK63" s="14">
        <f t="shared" si="23"/>
        <v>23</v>
      </c>
      <c r="BL63" s="14">
        <f t="shared" si="23"/>
        <v>3</v>
      </c>
      <c r="BM63" s="14">
        <f aca="true" t="shared" si="24" ref="BM63:BU63">SUM(BM60:BM62)</f>
        <v>6</v>
      </c>
      <c r="BN63" s="14">
        <f t="shared" si="24"/>
        <v>1</v>
      </c>
      <c r="BO63" s="14">
        <f t="shared" si="24"/>
        <v>43</v>
      </c>
      <c r="BP63" s="14">
        <f t="shared" si="24"/>
        <v>163.2</v>
      </c>
      <c r="BQ63" s="14">
        <f t="shared" si="24"/>
        <v>44</v>
      </c>
      <c r="BR63" s="14">
        <f t="shared" si="24"/>
        <v>0</v>
      </c>
      <c r="BS63" s="14">
        <f t="shared" si="24"/>
        <v>0</v>
      </c>
      <c r="BT63" s="14">
        <f t="shared" si="24"/>
        <v>3.9</v>
      </c>
      <c r="BU63" s="14">
        <f t="shared" si="24"/>
        <v>0</v>
      </c>
      <c r="BV63" s="14">
        <f aca="true" t="shared" si="25" ref="BV63:CD63">SUM(BV60:BV62)</f>
        <v>0</v>
      </c>
      <c r="BW63" s="14">
        <f t="shared" si="25"/>
        <v>0</v>
      </c>
      <c r="BX63" s="14">
        <f t="shared" si="25"/>
        <v>0</v>
      </c>
      <c r="BY63" s="14">
        <f t="shared" si="25"/>
        <v>0</v>
      </c>
      <c r="BZ63" s="14">
        <f t="shared" si="25"/>
        <v>3</v>
      </c>
      <c r="CA63" s="14">
        <f t="shared" si="25"/>
        <v>0</v>
      </c>
      <c r="CB63" s="14">
        <f t="shared" si="25"/>
        <v>0</v>
      </c>
      <c r="CC63" s="14">
        <f t="shared" si="25"/>
        <v>0</v>
      </c>
      <c r="CD63" s="14">
        <f t="shared" si="25"/>
        <v>24</v>
      </c>
      <c r="CE63" s="41"/>
      <c r="CF63" s="50"/>
      <c r="CG63" s="56"/>
      <c r="CH63" s="56"/>
    </row>
    <row r="64" spans="1:86" s="3" customFormat="1" ht="15" customHeight="1">
      <c r="A64" s="17">
        <v>58</v>
      </c>
      <c r="B64" s="5" t="s">
        <v>188</v>
      </c>
      <c r="C64" s="2" t="s">
        <v>29</v>
      </c>
      <c r="D64" s="2"/>
      <c r="E64" s="2"/>
      <c r="F64" s="2"/>
      <c r="G64" s="2">
        <v>148.7</v>
      </c>
      <c r="H64" s="2">
        <v>190.1</v>
      </c>
      <c r="I64" s="2"/>
      <c r="J64" s="2"/>
      <c r="K64" s="2"/>
      <c r="L64" s="2"/>
      <c r="M64" s="2"/>
      <c r="N64" s="2"/>
      <c r="O64" s="2">
        <v>51.8</v>
      </c>
      <c r="P64" s="2"/>
      <c r="Q64" s="2"/>
      <c r="R64" s="2">
        <v>584.5</v>
      </c>
      <c r="S64" s="2"/>
      <c r="T64" s="2"/>
      <c r="U64" s="2">
        <v>148.6</v>
      </c>
      <c r="V64" s="2"/>
      <c r="W64" s="2"/>
      <c r="X64" s="2">
        <v>81.7</v>
      </c>
      <c r="Y64" s="2">
        <v>54.4</v>
      </c>
      <c r="Z64" s="2"/>
      <c r="AA64" s="2"/>
      <c r="AB64" s="2">
        <v>156</v>
      </c>
      <c r="AC64" s="2"/>
      <c r="AD64" s="2"/>
      <c r="AE64" s="2"/>
      <c r="AF64" s="2">
        <v>15</v>
      </c>
      <c r="AG64" s="2">
        <v>3</v>
      </c>
      <c r="AH64" s="2">
        <v>2</v>
      </c>
      <c r="AI64" s="2">
        <v>3.6</v>
      </c>
      <c r="AJ64" s="2"/>
      <c r="AK64" s="2"/>
      <c r="AL64" s="2"/>
      <c r="AM64" s="2"/>
      <c r="AN64" s="2">
        <v>39</v>
      </c>
      <c r="AO64" s="2"/>
      <c r="AP64" s="2"/>
      <c r="AQ64" s="2"/>
      <c r="AR64" s="2"/>
      <c r="AS64" s="2"/>
      <c r="AT64" s="2"/>
      <c r="AU64" s="2">
        <v>119</v>
      </c>
      <c r="AV64" s="2">
        <v>42</v>
      </c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>
        <v>2</v>
      </c>
      <c r="BI64" s="2"/>
      <c r="BJ64" s="2">
        <v>5</v>
      </c>
      <c r="BK64" s="2">
        <v>8</v>
      </c>
      <c r="BL64" s="2"/>
      <c r="BM64" s="2"/>
      <c r="BN64" s="2"/>
      <c r="BO64" s="2">
        <v>16</v>
      </c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65"/>
      <c r="CF64" s="49" t="s">
        <v>188</v>
      </c>
      <c r="CG64" s="55" t="s">
        <v>29</v>
      </c>
      <c r="CH64" s="47">
        <f aca="true" t="shared" si="26" ref="CH64:CH74">SUM(D64:N64)</f>
        <v>338.79999999999995</v>
      </c>
    </row>
    <row r="65" spans="1:86" s="3" customFormat="1" ht="15" customHeight="1">
      <c r="A65" s="17"/>
      <c r="B65" s="5" t="s">
        <v>188</v>
      </c>
      <c r="C65" s="2" t="s">
        <v>30</v>
      </c>
      <c r="D65" s="2"/>
      <c r="E65" s="2"/>
      <c r="F65" s="2">
        <v>45.1</v>
      </c>
      <c r="G65" s="2"/>
      <c r="H65" s="2">
        <v>202.3</v>
      </c>
      <c r="I65" s="2"/>
      <c r="J65" s="2"/>
      <c r="K65" s="2"/>
      <c r="L65" s="2"/>
      <c r="M65" s="2"/>
      <c r="N65" s="2"/>
      <c r="O65" s="2">
        <v>119.9</v>
      </c>
      <c r="P65" s="2"/>
      <c r="Q65" s="2">
        <v>78.4</v>
      </c>
      <c r="R65" s="2">
        <v>237.9</v>
      </c>
      <c r="S65" s="2">
        <v>3.6</v>
      </c>
      <c r="T65" s="2"/>
      <c r="U65" s="2">
        <v>144.7</v>
      </c>
      <c r="V65" s="2">
        <v>17.1</v>
      </c>
      <c r="W65" s="2"/>
      <c r="X65" s="2">
        <v>6.5</v>
      </c>
      <c r="Y65" s="2">
        <v>47.3</v>
      </c>
      <c r="Z65" s="2"/>
      <c r="AA65" s="2"/>
      <c r="AB65" s="2">
        <v>80</v>
      </c>
      <c r="AC65" s="2"/>
      <c r="AD65" s="2"/>
      <c r="AE65" s="2"/>
      <c r="AF65" s="2">
        <v>3</v>
      </c>
      <c r="AG65" s="2"/>
      <c r="AH65" s="2"/>
      <c r="AI65" s="2">
        <v>81.7</v>
      </c>
      <c r="AJ65" s="2"/>
      <c r="AK65" s="2">
        <v>5</v>
      </c>
      <c r="AL65" s="2"/>
      <c r="AM65" s="2"/>
      <c r="AN65" s="2">
        <v>9</v>
      </c>
      <c r="AO65" s="2"/>
      <c r="AP65" s="2"/>
      <c r="AQ65" s="2"/>
      <c r="AR65" s="2"/>
      <c r="AS65" s="2"/>
      <c r="AT65" s="2"/>
      <c r="AU65" s="2">
        <v>58</v>
      </c>
      <c r="AV65" s="2">
        <v>17</v>
      </c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>
        <v>2</v>
      </c>
      <c r="BM65" s="2"/>
      <c r="BN65" s="2"/>
      <c r="BO65" s="2">
        <v>6</v>
      </c>
      <c r="BP65" s="2"/>
      <c r="BQ65" s="2">
        <v>2</v>
      </c>
      <c r="BR65" s="2"/>
      <c r="BS65" s="2"/>
      <c r="BT65" s="2"/>
      <c r="BU65" s="2"/>
      <c r="BV65" s="2">
        <v>22.8</v>
      </c>
      <c r="BW65" s="2"/>
      <c r="BX65" s="2">
        <v>1</v>
      </c>
      <c r="BY65" s="2"/>
      <c r="BZ65" s="2"/>
      <c r="CA65" s="2"/>
      <c r="CB65" s="2">
        <v>2.9</v>
      </c>
      <c r="CC65" s="2">
        <v>3</v>
      </c>
      <c r="CD65" s="2"/>
      <c r="CE65" s="65"/>
      <c r="CF65" s="49" t="s">
        <v>188</v>
      </c>
      <c r="CG65" s="55" t="s">
        <v>30</v>
      </c>
      <c r="CH65" s="47">
        <f t="shared" si="26"/>
        <v>247.4</v>
      </c>
    </row>
    <row r="66" spans="1:86" s="3" customFormat="1" ht="15" customHeight="1">
      <c r="A66" s="17"/>
      <c r="B66" s="5" t="s">
        <v>188</v>
      </c>
      <c r="C66" s="2" t="s">
        <v>31</v>
      </c>
      <c r="D66" s="2">
        <v>14.6</v>
      </c>
      <c r="E66" s="2"/>
      <c r="F66" s="2"/>
      <c r="G66" s="2"/>
      <c r="H66" s="2">
        <v>38</v>
      </c>
      <c r="I66" s="2"/>
      <c r="J66" s="2"/>
      <c r="K66" s="2"/>
      <c r="L66" s="2"/>
      <c r="M66" s="2"/>
      <c r="N66" s="2"/>
      <c r="O66" s="2">
        <v>68.5</v>
      </c>
      <c r="P66" s="2"/>
      <c r="Q66" s="2"/>
      <c r="R66" s="2">
        <v>131</v>
      </c>
      <c r="S66" s="2"/>
      <c r="T66" s="2"/>
      <c r="U66" s="2"/>
      <c r="V66" s="2">
        <v>3.2</v>
      </c>
      <c r="W66" s="2"/>
      <c r="X66" s="2"/>
      <c r="Y66" s="2">
        <v>3.8</v>
      </c>
      <c r="Z66" s="2"/>
      <c r="AA66" s="2"/>
      <c r="AB66" s="2">
        <v>23</v>
      </c>
      <c r="AC66" s="2"/>
      <c r="AD66" s="2"/>
      <c r="AE66" s="2"/>
      <c r="AF66" s="2">
        <v>6</v>
      </c>
      <c r="AG66" s="2"/>
      <c r="AH66" s="2">
        <v>1</v>
      </c>
      <c r="AI66" s="2">
        <v>24.8</v>
      </c>
      <c r="AJ66" s="2"/>
      <c r="AK66" s="2">
        <v>2</v>
      </c>
      <c r="AL66" s="2"/>
      <c r="AM66" s="2"/>
      <c r="AN66" s="2">
        <v>2</v>
      </c>
      <c r="AO66" s="2"/>
      <c r="AP66" s="2"/>
      <c r="AQ66" s="2"/>
      <c r="AR66" s="2"/>
      <c r="AS66" s="2"/>
      <c r="AT66" s="2"/>
      <c r="AU66" s="2">
        <v>6</v>
      </c>
      <c r="AV66" s="2">
        <v>11</v>
      </c>
      <c r="AW66" s="2"/>
      <c r="AX66" s="2"/>
      <c r="AY66" s="2">
        <v>5</v>
      </c>
      <c r="AZ66" s="2">
        <v>5</v>
      </c>
      <c r="BA66" s="2"/>
      <c r="BB66" s="2">
        <v>2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>
        <v>3</v>
      </c>
      <c r="BP66" s="2"/>
      <c r="BQ66" s="2">
        <v>5</v>
      </c>
      <c r="BR66" s="2"/>
      <c r="BS66" s="2"/>
      <c r="BT66" s="2"/>
      <c r="BU66" s="2"/>
      <c r="BV66" s="2">
        <v>2.4</v>
      </c>
      <c r="BW66" s="2"/>
      <c r="BX66" s="2">
        <v>2</v>
      </c>
      <c r="BY66" s="2"/>
      <c r="BZ66" s="2"/>
      <c r="CA66" s="2"/>
      <c r="CB66" s="2"/>
      <c r="CC66" s="2"/>
      <c r="CD66" s="2"/>
      <c r="CE66" s="65"/>
      <c r="CF66" s="49" t="s">
        <v>188</v>
      </c>
      <c r="CG66" s="55" t="s">
        <v>31</v>
      </c>
      <c r="CH66" s="47">
        <f t="shared" si="26"/>
        <v>52.6</v>
      </c>
    </row>
    <row r="67" spans="1:86" s="3" customFormat="1" ht="15" customHeight="1">
      <c r="A67" s="17"/>
      <c r="B67" s="5"/>
      <c r="C67" s="2" t="s">
        <v>32</v>
      </c>
      <c r="D67" s="69">
        <f>SUM(D64:D66)</f>
        <v>14.6</v>
      </c>
      <c r="E67" s="69">
        <f aca="true" t="shared" si="27" ref="E67:BN67">SUM(E64:E66)</f>
        <v>0</v>
      </c>
      <c r="F67" s="69">
        <f t="shared" si="27"/>
        <v>45.1</v>
      </c>
      <c r="G67" s="69">
        <f t="shared" si="27"/>
        <v>148.7</v>
      </c>
      <c r="H67" s="69">
        <f t="shared" si="27"/>
        <v>430.4</v>
      </c>
      <c r="I67" s="69">
        <f t="shared" si="27"/>
        <v>0</v>
      </c>
      <c r="J67" s="69">
        <f t="shared" si="27"/>
        <v>0</v>
      </c>
      <c r="K67" s="69">
        <f t="shared" si="27"/>
        <v>0</v>
      </c>
      <c r="L67" s="69">
        <f t="shared" si="27"/>
        <v>0</v>
      </c>
      <c r="M67" s="69">
        <f t="shared" si="27"/>
        <v>0</v>
      </c>
      <c r="N67" s="69">
        <f t="shared" si="27"/>
        <v>0</v>
      </c>
      <c r="O67" s="2">
        <f t="shared" si="27"/>
        <v>240.2</v>
      </c>
      <c r="P67" s="2">
        <f t="shared" si="27"/>
        <v>0</v>
      </c>
      <c r="Q67" s="2">
        <f t="shared" si="27"/>
        <v>78.4</v>
      </c>
      <c r="R67" s="2">
        <f t="shared" si="27"/>
        <v>953.4</v>
      </c>
      <c r="S67" s="2">
        <f t="shared" si="27"/>
        <v>3.6</v>
      </c>
      <c r="T67" s="2">
        <f t="shared" si="27"/>
        <v>0</v>
      </c>
      <c r="U67" s="2">
        <f t="shared" si="27"/>
        <v>293.29999999999995</v>
      </c>
      <c r="V67" s="2">
        <f t="shared" si="27"/>
        <v>20.3</v>
      </c>
      <c r="W67" s="2">
        <f t="shared" si="27"/>
        <v>0</v>
      </c>
      <c r="X67" s="2">
        <f t="shared" si="27"/>
        <v>88.2</v>
      </c>
      <c r="Y67" s="2">
        <f t="shared" si="27"/>
        <v>105.49999999999999</v>
      </c>
      <c r="Z67" s="2">
        <f t="shared" si="27"/>
        <v>0</v>
      </c>
      <c r="AA67" s="2">
        <f t="shared" si="27"/>
        <v>0</v>
      </c>
      <c r="AB67" s="2">
        <f t="shared" si="27"/>
        <v>259</v>
      </c>
      <c r="AC67" s="2">
        <f t="shared" si="27"/>
        <v>0</v>
      </c>
      <c r="AD67" s="2">
        <f t="shared" si="27"/>
        <v>0</v>
      </c>
      <c r="AE67" s="2">
        <f t="shared" si="27"/>
        <v>0</v>
      </c>
      <c r="AF67" s="2">
        <f t="shared" si="27"/>
        <v>24</v>
      </c>
      <c r="AG67" s="2">
        <f t="shared" si="27"/>
        <v>3</v>
      </c>
      <c r="AH67" s="2">
        <f t="shared" si="27"/>
        <v>3</v>
      </c>
      <c r="AI67" s="2">
        <f t="shared" si="27"/>
        <v>110.1</v>
      </c>
      <c r="AJ67" s="2"/>
      <c r="AK67" s="2">
        <f t="shared" si="27"/>
        <v>7</v>
      </c>
      <c r="AL67" s="2">
        <f t="shared" si="27"/>
        <v>0</v>
      </c>
      <c r="AM67" s="2">
        <f t="shared" si="27"/>
        <v>0</v>
      </c>
      <c r="AN67" s="2">
        <f t="shared" si="27"/>
        <v>50</v>
      </c>
      <c r="AO67" s="2">
        <f t="shared" si="27"/>
        <v>0</v>
      </c>
      <c r="AP67" s="2">
        <f t="shared" si="27"/>
        <v>0</v>
      </c>
      <c r="AQ67" s="2">
        <f t="shared" si="27"/>
        <v>0</v>
      </c>
      <c r="AR67" s="2">
        <f t="shared" si="27"/>
        <v>0</v>
      </c>
      <c r="AS67" s="2">
        <f t="shared" si="27"/>
        <v>0</v>
      </c>
      <c r="AT67" s="2">
        <f t="shared" si="27"/>
        <v>0</v>
      </c>
      <c r="AU67" s="2">
        <f t="shared" si="27"/>
        <v>183</v>
      </c>
      <c r="AV67" s="2">
        <f t="shared" si="27"/>
        <v>70</v>
      </c>
      <c r="AW67" s="2">
        <f t="shared" si="27"/>
        <v>0</v>
      </c>
      <c r="AX67" s="2">
        <f t="shared" si="27"/>
        <v>0</v>
      </c>
      <c r="AY67" s="2">
        <f t="shared" si="27"/>
        <v>5</v>
      </c>
      <c r="AZ67" s="2">
        <f t="shared" si="27"/>
        <v>5</v>
      </c>
      <c r="BA67" s="2">
        <f t="shared" si="27"/>
        <v>0</v>
      </c>
      <c r="BB67" s="2">
        <f t="shared" si="27"/>
        <v>2</v>
      </c>
      <c r="BC67" s="2">
        <f t="shared" si="27"/>
        <v>0</v>
      </c>
      <c r="BD67" s="2">
        <f t="shared" si="27"/>
        <v>0</v>
      </c>
      <c r="BE67" s="2">
        <f t="shared" si="27"/>
        <v>0</v>
      </c>
      <c r="BF67" s="2">
        <f t="shared" si="27"/>
        <v>0</v>
      </c>
      <c r="BG67" s="2">
        <f t="shared" si="27"/>
        <v>0</v>
      </c>
      <c r="BH67" s="2">
        <f t="shared" si="27"/>
        <v>2</v>
      </c>
      <c r="BI67" s="2">
        <f t="shared" si="27"/>
        <v>0</v>
      </c>
      <c r="BJ67" s="2">
        <f t="shared" si="27"/>
        <v>5</v>
      </c>
      <c r="BK67" s="2">
        <f t="shared" si="27"/>
        <v>8</v>
      </c>
      <c r="BL67" s="2">
        <f t="shared" si="27"/>
        <v>2</v>
      </c>
      <c r="BM67" s="2">
        <f t="shared" si="27"/>
        <v>0</v>
      </c>
      <c r="BN67" s="2">
        <f t="shared" si="27"/>
        <v>0</v>
      </c>
      <c r="BO67" s="2">
        <f aca="true" t="shared" si="28" ref="BO67:CC67">SUM(BO64:BO66)</f>
        <v>25</v>
      </c>
      <c r="BP67" s="2">
        <f t="shared" si="28"/>
        <v>0</v>
      </c>
      <c r="BQ67" s="2">
        <f t="shared" si="28"/>
        <v>7</v>
      </c>
      <c r="BR67" s="2">
        <f t="shared" si="28"/>
        <v>0</v>
      </c>
      <c r="BS67" s="2">
        <f t="shared" si="28"/>
        <v>0</v>
      </c>
      <c r="BT67" s="2">
        <f t="shared" si="28"/>
        <v>0</v>
      </c>
      <c r="BU67" s="2">
        <f t="shared" si="28"/>
        <v>0</v>
      </c>
      <c r="BV67" s="2">
        <f t="shared" si="28"/>
        <v>25.2</v>
      </c>
      <c r="BW67" s="2">
        <f t="shared" si="28"/>
        <v>0</v>
      </c>
      <c r="BX67" s="2">
        <f t="shared" si="28"/>
        <v>3</v>
      </c>
      <c r="BY67" s="2">
        <f t="shared" si="28"/>
        <v>0</v>
      </c>
      <c r="BZ67" s="2">
        <f t="shared" si="28"/>
        <v>0</v>
      </c>
      <c r="CA67" s="2">
        <f t="shared" si="28"/>
        <v>0</v>
      </c>
      <c r="CB67" s="2">
        <f t="shared" si="28"/>
        <v>2.9</v>
      </c>
      <c r="CC67" s="2">
        <f t="shared" si="28"/>
        <v>3</v>
      </c>
      <c r="CD67" s="2"/>
      <c r="CE67" s="40" t="s">
        <v>360</v>
      </c>
      <c r="CF67" s="49"/>
      <c r="CG67" s="55" t="s">
        <v>32</v>
      </c>
      <c r="CH67" s="47">
        <f t="shared" si="26"/>
        <v>638.8</v>
      </c>
    </row>
    <row r="68" spans="1:86" s="3" customFormat="1" ht="15" customHeight="1">
      <c r="A68" s="17">
        <v>59</v>
      </c>
      <c r="B68" s="5" t="s">
        <v>189</v>
      </c>
      <c r="C68" s="2" t="s">
        <v>190</v>
      </c>
      <c r="D68" s="2">
        <v>19.7</v>
      </c>
      <c r="E68" s="2"/>
      <c r="F68" s="2"/>
      <c r="G68" s="2">
        <v>26.3</v>
      </c>
      <c r="H68" s="2">
        <v>22.5</v>
      </c>
      <c r="I68" s="2"/>
      <c r="J68" s="2"/>
      <c r="K68" s="2"/>
      <c r="L68" s="2"/>
      <c r="M68" s="2"/>
      <c r="N68" s="26"/>
      <c r="O68" s="2">
        <v>67.7</v>
      </c>
      <c r="P68" s="2"/>
      <c r="Q68" s="2"/>
      <c r="R68" s="2">
        <v>128.2</v>
      </c>
      <c r="S68" s="2"/>
      <c r="T68" s="2"/>
      <c r="U68" s="2"/>
      <c r="V68" s="2">
        <v>15.6</v>
      </c>
      <c r="W68" s="2"/>
      <c r="X68" s="2"/>
      <c r="Y68" s="2"/>
      <c r="Z68" s="2"/>
      <c r="AA68" s="2"/>
      <c r="AB68" s="2">
        <v>41</v>
      </c>
      <c r="AC68" s="2"/>
      <c r="AD68" s="2">
        <v>31.2</v>
      </c>
      <c r="AE68" s="2"/>
      <c r="AF68" s="2">
        <v>5</v>
      </c>
      <c r="AG68" s="2"/>
      <c r="AH68" s="2"/>
      <c r="AI68" s="2">
        <v>6.2</v>
      </c>
      <c r="AJ68" s="2">
        <v>5.6</v>
      </c>
      <c r="AK68" s="2">
        <v>1</v>
      </c>
      <c r="AL68" s="2">
        <v>3</v>
      </c>
      <c r="AM68" s="2"/>
      <c r="AN68" s="2">
        <v>8</v>
      </c>
      <c r="AO68" s="2"/>
      <c r="AP68" s="2"/>
      <c r="AQ68" s="2"/>
      <c r="AR68" s="2"/>
      <c r="AS68" s="2">
        <v>1</v>
      </c>
      <c r="AT68" s="2"/>
      <c r="AU68" s="2">
        <v>24</v>
      </c>
      <c r="AV68" s="2">
        <v>5</v>
      </c>
      <c r="AW68" s="2"/>
      <c r="AX68" s="2"/>
      <c r="AY68" s="2">
        <v>1</v>
      </c>
      <c r="AZ68" s="2">
        <v>1</v>
      </c>
      <c r="BA68" s="2"/>
      <c r="BB68" s="2"/>
      <c r="BC68" s="2"/>
      <c r="BD68" s="2"/>
      <c r="BE68" s="2"/>
      <c r="BF68" s="2"/>
      <c r="BG68" s="2"/>
      <c r="BH68" s="2">
        <v>2</v>
      </c>
      <c r="BI68" s="2">
        <v>1</v>
      </c>
      <c r="BJ68" s="2">
        <v>2</v>
      </c>
      <c r="BK68" s="2">
        <v>2</v>
      </c>
      <c r="BL68" s="2">
        <v>1</v>
      </c>
      <c r="BM68" s="2">
        <v>1</v>
      </c>
      <c r="BN68" s="2"/>
      <c r="BO68" s="2">
        <v>4</v>
      </c>
      <c r="BP68" s="2"/>
      <c r="BQ68" s="2">
        <v>10</v>
      </c>
      <c r="BR68" s="2"/>
      <c r="BS68" s="2"/>
      <c r="BT68" s="2"/>
      <c r="BU68" s="2"/>
      <c r="BV68" s="2"/>
      <c r="BW68" s="2"/>
      <c r="BX68" s="2"/>
      <c r="BY68" s="2"/>
      <c r="BZ68" s="2">
        <v>1</v>
      </c>
      <c r="CA68" s="2"/>
      <c r="CB68" s="2"/>
      <c r="CC68" s="2"/>
      <c r="CD68" s="2">
        <v>6</v>
      </c>
      <c r="CE68" s="40" t="s">
        <v>335</v>
      </c>
      <c r="CF68" s="49" t="s">
        <v>189</v>
      </c>
      <c r="CG68" s="55" t="s">
        <v>190</v>
      </c>
      <c r="CH68" s="47">
        <f t="shared" si="26"/>
        <v>68.5</v>
      </c>
    </row>
    <row r="69" spans="1:86" s="3" customFormat="1" ht="15" customHeight="1">
      <c r="A69" s="17">
        <v>60</v>
      </c>
      <c r="B69" s="5" t="s">
        <v>191</v>
      </c>
      <c r="C69" s="2" t="s">
        <v>193</v>
      </c>
      <c r="D69" s="2">
        <f>15+4.68</f>
        <v>19.68</v>
      </c>
      <c r="E69" s="2"/>
      <c r="F69" s="2"/>
      <c r="G69" s="2">
        <v>26.3</v>
      </c>
      <c r="H69" s="2">
        <f>13.95+1.78+2.34+4.44</f>
        <v>22.51</v>
      </c>
      <c r="I69" s="2"/>
      <c r="J69" s="2"/>
      <c r="K69" s="2"/>
      <c r="L69" s="2"/>
      <c r="M69" s="2"/>
      <c r="N69" s="2"/>
      <c r="O69" s="2">
        <f>3.13+1.18+14.54+36.38+5.32+7.23</f>
        <v>67.78</v>
      </c>
      <c r="P69" s="2"/>
      <c r="Q69" s="2"/>
      <c r="R69" s="2">
        <f>59.7+7.9+34.02+11.11+2.97+5.96+6.48</f>
        <v>128.14</v>
      </c>
      <c r="S69" s="2"/>
      <c r="T69" s="2"/>
      <c r="U69" s="2"/>
      <c r="V69" s="2">
        <f>1.7*2.3*4</f>
        <v>15.639999999999999</v>
      </c>
      <c r="W69" s="2"/>
      <c r="X69" s="2"/>
      <c r="Y69" s="2"/>
      <c r="Z69" s="2"/>
      <c r="AA69" s="2"/>
      <c r="AB69" s="2">
        <v>41</v>
      </c>
      <c r="AC69" s="2"/>
      <c r="AD69" s="2">
        <v>31.2</v>
      </c>
      <c r="AE69" s="2"/>
      <c r="AF69" s="2">
        <v>5</v>
      </c>
      <c r="AG69" s="2"/>
      <c r="AH69" s="2"/>
      <c r="AI69" s="2">
        <v>6.2</v>
      </c>
      <c r="AJ69" s="2">
        <v>5.6</v>
      </c>
      <c r="AK69" s="2">
        <v>1</v>
      </c>
      <c r="AL69" s="2">
        <v>3</v>
      </c>
      <c r="AM69" s="2"/>
      <c r="AN69" s="2">
        <v>9</v>
      </c>
      <c r="AO69" s="2"/>
      <c r="AP69" s="2"/>
      <c r="AQ69" s="2"/>
      <c r="AR69" s="2"/>
      <c r="AS69" s="2">
        <v>1</v>
      </c>
      <c r="AT69" s="2"/>
      <c r="AU69" s="2">
        <v>24</v>
      </c>
      <c r="AV69" s="2">
        <v>5</v>
      </c>
      <c r="AW69" s="2"/>
      <c r="AX69" s="2"/>
      <c r="AY69" s="2">
        <v>1</v>
      </c>
      <c r="AZ69" s="2">
        <v>1</v>
      </c>
      <c r="BA69" s="2"/>
      <c r="BB69" s="2"/>
      <c r="BC69" s="2"/>
      <c r="BD69" s="2"/>
      <c r="BE69" s="2"/>
      <c r="BF69" s="2"/>
      <c r="BG69" s="2"/>
      <c r="BH69" s="2">
        <v>2</v>
      </c>
      <c r="BI69" s="2">
        <v>1</v>
      </c>
      <c r="BJ69" s="2">
        <v>2</v>
      </c>
      <c r="BK69" s="2">
        <v>2</v>
      </c>
      <c r="BL69" s="2">
        <v>1</v>
      </c>
      <c r="BM69" s="2">
        <v>1</v>
      </c>
      <c r="BN69" s="2"/>
      <c r="BO69" s="2">
        <v>4</v>
      </c>
      <c r="BP69" s="2"/>
      <c r="BQ69" s="2">
        <v>11</v>
      </c>
      <c r="BR69" s="2"/>
      <c r="BS69" s="2"/>
      <c r="BT69" s="2"/>
      <c r="BU69" s="2"/>
      <c r="BV69" s="2"/>
      <c r="BW69" s="2"/>
      <c r="BX69" s="2"/>
      <c r="BY69" s="2"/>
      <c r="BZ69" s="2">
        <v>1</v>
      </c>
      <c r="CA69" s="2"/>
      <c r="CB69" s="2"/>
      <c r="CC69" s="2"/>
      <c r="CD69" s="2">
        <v>6</v>
      </c>
      <c r="CE69" s="40" t="s">
        <v>335</v>
      </c>
      <c r="CF69" s="49" t="s">
        <v>191</v>
      </c>
      <c r="CG69" s="55" t="s">
        <v>193</v>
      </c>
      <c r="CH69" s="47">
        <f t="shared" si="26"/>
        <v>68.49000000000001</v>
      </c>
    </row>
    <row r="70" spans="1:86" s="3" customFormat="1" ht="15" customHeight="1">
      <c r="A70" s="17">
        <v>61</v>
      </c>
      <c r="B70" s="5" t="s">
        <v>192</v>
      </c>
      <c r="C70" s="2" t="s">
        <v>194</v>
      </c>
      <c r="D70" s="2"/>
      <c r="E70" s="2"/>
      <c r="F70" s="2">
        <v>5.2</v>
      </c>
      <c r="G70" s="2">
        <v>33.4</v>
      </c>
      <c r="H70" s="2">
        <v>18.7</v>
      </c>
      <c r="I70" s="2"/>
      <c r="J70" s="2"/>
      <c r="K70" s="2"/>
      <c r="L70" s="2"/>
      <c r="M70" s="2"/>
      <c r="N70" s="2"/>
      <c r="O70" s="2"/>
      <c r="P70" s="2"/>
      <c r="Q70" s="2"/>
      <c r="R70" s="2">
        <v>143.2</v>
      </c>
      <c r="S70" s="2"/>
      <c r="T70" s="2"/>
      <c r="U70" s="2"/>
      <c r="V70" s="2">
        <v>11.7</v>
      </c>
      <c r="W70" s="2"/>
      <c r="X70" s="2"/>
      <c r="Y70" s="2"/>
      <c r="Z70" s="2"/>
      <c r="AA70" s="2"/>
      <c r="AB70" s="2"/>
      <c r="AC70" s="2"/>
      <c r="AD70" s="2"/>
      <c r="AE70" s="2">
        <v>3</v>
      </c>
      <c r="AF70" s="2">
        <v>3</v>
      </c>
      <c r="AG70" s="2"/>
      <c r="AH70" s="2"/>
      <c r="AI70" s="2">
        <v>13.4</v>
      </c>
      <c r="AJ70" s="2"/>
      <c r="AK70" s="2"/>
      <c r="AL70" s="2">
        <v>3</v>
      </c>
      <c r="AM70" s="2"/>
      <c r="AN70" s="2">
        <v>5</v>
      </c>
      <c r="AO70" s="2"/>
      <c r="AP70" s="2"/>
      <c r="AQ70" s="2"/>
      <c r="AR70" s="2"/>
      <c r="AS70" s="2"/>
      <c r="AT70" s="2"/>
      <c r="AU70" s="2">
        <v>12</v>
      </c>
      <c r="AV70" s="2">
        <v>6</v>
      </c>
      <c r="AW70" s="2"/>
      <c r="AX70" s="2"/>
      <c r="AY70" s="2">
        <v>1</v>
      </c>
      <c r="AZ70" s="2">
        <v>1</v>
      </c>
      <c r="BA70" s="2"/>
      <c r="BB70" s="2">
        <v>1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>
        <v>2</v>
      </c>
      <c r="BP70" s="2"/>
      <c r="BQ70" s="2">
        <v>1</v>
      </c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39" t="s">
        <v>357</v>
      </c>
      <c r="CF70" s="49" t="s">
        <v>192</v>
      </c>
      <c r="CG70" s="55" t="s">
        <v>194</v>
      </c>
      <c r="CH70" s="47">
        <f t="shared" si="26"/>
        <v>57.3</v>
      </c>
    </row>
    <row r="71" spans="1:86" s="3" customFormat="1" ht="15" customHeight="1">
      <c r="A71" s="17">
        <v>62</v>
      </c>
      <c r="B71" s="5" t="s">
        <v>195</v>
      </c>
      <c r="C71" s="2" t="s">
        <v>196</v>
      </c>
      <c r="D71" s="2"/>
      <c r="E71" s="2"/>
      <c r="F71" s="2">
        <v>119.5</v>
      </c>
      <c r="G71" s="2">
        <v>41.5</v>
      </c>
      <c r="H71" s="2">
        <v>14.3</v>
      </c>
      <c r="I71" s="2"/>
      <c r="J71" s="2"/>
      <c r="K71" s="2"/>
      <c r="L71" s="2"/>
      <c r="M71" s="2"/>
      <c r="N71" s="2"/>
      <c r="O71" s="2"/>
      <c r="P71" s="2">
        <v>29.6</v>
      </c>
      <c r="Q71" s="2"/>
      <c r="R71" s="2">
        <v>140.8</v>
      </c>
      <c r="S71" s="2"/>
      <c r="T71" s="2"/>
      <c r="U71" s="2"/>
      <c r="V71" s="2">
        <v>19.6</v>
      </c>
      <c r="W71" s="2"/>
      <c r="X71" s="2"/>
      <c r="Y71" s="2">
        <v>5.1</v>
      </c>
      <c r="Z71" s="2"/>
      <c r="AA71" s="2">
        <v>1</v>
      </c>
      <c r="AB71" s="2">
        <v>28</v>
      </c>
      <c r="AC71" s="2"/>
      <c r="AD71" s="2"/>
      <c r="AE71" s="2">
        <v>6</v>
      </c>
      <c r="AF71" s="2">
        <v>6</v>
      </c>
      <c r="AG71" s="2"/>
      <c r="AH71" s="2"/>
      <c r="AI71" s="2">
        <v>10.8</v>
      </c>
      <c r="AJ71" s="2">
        <v>5.6</v>
      </c>
      <c r="AK71" s="2">
        <v>2</v>
      </c>
      <c r="AL71" s="2">
        <v>3</v>
      </c>
      <c r="AM71" s="2"/>
      <c r="AN71" s="2">
        <v>3</v>
      </c>
      <c r="AO71" s="2">
        <v>3</v>
      </c>
      <c r="AP71" s="2">
        <v>3</v>
      </c>
      <c r="AQ71" s="2"/>
      <c r="AR71" s="2"/>
      <c r="AS71" s="2"/>
      <c r="AT71" s="2">
        <v>2.7</v>
      </c>
      <c r="AU71" s="2">
        <v>18</v>
      </c>
      <c r="AV71" s="2">
        <v>5</v>
      </c>
      <c r="AW71" s="2"/>
      <c r="AX71" s="2"/>
      <c r="AY71" s="2">
        <v>2</v>
      </c>
      <c r="AZ71" s="2">
        <v>2</v>
      </c>
      <c r="BA71" s="2">
        <v>2</v>
      </c>
      <c r="BB71" s="2"/>
      <c r="BC71" s="2"/>
      <c r="BD71" s="2"/>
      <c r="BE71" s="2"/>
      <c r="BF71" s="2"/>
      <c r="BG71" s="2"/>
      <c r="BH71" s="2"/>
      <c r="BI71" s="2">
        <v>5</v>
      </c>
      <c r="BJ71" s="2"/>
      <c r="BK71" s="2">
        <v>8</v>
      </c>
      <c r="BL71" s="2"/>
      <c r="BM71" s="2">
        <v>1</v>
      </c>
      <c r="BN71" s="2"/>
      <c r="BO71" s="2">
        <v>5</v>
      </c>
      <c r="BP71" s="2"/>
      <c r="BQ71" s="2">
        <v>6</v>
      </c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>
        <v>5</v>
      </c>
      <c r="CE71" s="65" t="s">
        <v>422</v>
      </c>
      <c r="CF71" s="49" t="s">
        <v>195</v>
      </c>
      <c r="CG71" s="55" t="s">
        <v>196</v>
      </c>
      <c r="CH71" s="47">
        <f t="shared" si="26"/>
        <v>175.3</v>
      </c>
    </row>
    <row r="72" spans="1:86" s="3" customFormat="1" ht="15" customHeight="1">
      <c r="A72" s="17">
        <v>63</v>
      </c>
      <c r="B72" s="5" t="s">
        <v>197</v>
      </c>
      <c r="C72" s="2" t="s">
        <v>198</v>
      </c>
      <c r="D72" s="2"/>
      <c r="E72" s="2">
        <v>21.9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2.8</v>
      </c>
      <c r="S72" s="2"/>
      <c r="T72" s="2"/>
      <c r="U72" s="2"/>
      <c r="V72" s="2">
        <v>3.9</v>
      </c>
      <c r="W72" s="2"/>
      <c r="X72" s="2"/>
      <c r="Y72" s="2"/>
      <c r="Z72" s="2"/>
      <c r="AA72" s="2"/>
      <c r="AB72" s="2">
        <v>14</v>
      </c>
      <c r="AC72" s="2"/>
      <c r="AD72" s="2"/>
      <c r="AE72" s="2"/>
      <c r="AF72" s="2">
        <v>1</v>
      </c>
      <c r="AG72" s="2"/>
      <c r="AH72" s="2"/>
      <c r="AI72" s="2">
        <v>1.6</v>
      </c>
      <c r="AJ72" s="2"/>
      <c r="AK72" s="2">
        <v>1</v>
      </c>
      <c r="AL72" s="2"/>
      <c r="AM72" s="2"/>
      <c r="AN72" s="2"/>
      <c r="AO72" s="2"/>
      <c r="AP72" s="2"/>
      <c r="AQ72" s="2"/>
      <c r="AR72" s="2"/>
      <c r="AS72" s="2"/>
      <c r="AT72" s="2"/>
      <c r="AU72" s="2">
        <v>4</v>
      </c>
      <c r="AV72" s="2">
        <v>1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>
        <v>4</v>
      </c>
      <c r="BL72" s="2"/>
      <c r="BM72" s="2"/>
      <c r="BN72" s="2"/>
      <c r="BO72" s="2">
        <v>1</v>
      </c>
      <c r="BP72" s="2"/>
      <c r="BQ72" s="2">
        <v>1</v>
      </c>
      <c r="BR72" s="2"/>
      <c r="BS72" s="2"/>
      <c r="BT72" s="2"/>
      <c r="BU72" s="2"/>
      <c r="BV72" s="2"/>
      <c r="BW72" s="2">
        <v>3</v>
      </c>
      <c r="BX72" s="2"/>
      <c r="BY72" s="2"/>
      <c r="BZ72" s="2">
        <v>2</v>
      </c>
      <c r="CA72" s="2"/>
      <c r="CB72" s="2"/>
      <c r="CC72" s="2"/>
      <c r="CD72" s="2">
        <v>5</v>
      </c>
      <c r="CE72" s="65" t="s">
        <v>425</v>
      </c>
      <c r="CF72" s="49" t="s">
        <v>197</v>
      </c>
      <c r="CG72" s="55" t="s">
        <v>198</v>
      </c>
      <c r="CH72" s="47">
        <f t="shared" si="26"/>
        <v>21.9</v>
      </c>
    </row>
    <row r="73" spans="1:86" s="3" customFormat="1" ht="15" customHeight="1">
      <c r="A73" s="17">
        <v>64</v>
      </c>
      <c r="B73" s="5" t="s">
        <v>199</v>
      </c>
      <c r="C73" s="2" t="s">
        <v>200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39" t="s">
        <v>355</v>
      </c>
      <c r="CF73" s="49" t="s">
        <v>199</v>
      </c>
      <c r="CG73" s="55" t="s">
        <v>200</v>
      </c>
      <c r="CH73" s="47">
        <f t="shared" si="26"/>
        <v>0</v>
      </c>
    </row>
    <row r="74" spans="1:86" s="3" customFormat="1" ht="15" customHeight="1">
      <c r="A74" s="17">
        <v>64</v>
      </c>
      <c r="B74" s="5" t="s">
        <v>370</v>
      </c>
      <c r="C74" s="2" t="s">
        <v>371</v>
      </c>
      <c r="D74" s="2"/>
      <c r="E74" s="2"/>
      <c r="F74" s="2"/>
      <c r="G74" s="2"/>
      <c r="H74" s="2">
        <v>51</v>
      </c>
      <c r="I74" s="2"/>
      <c r="J74" s="2"/>
      <c r="K74" s="2"/>
      <c r="L74" s="2"/>
      <c r="M74" s="2"/>
      <c r="N74" s="2"/>
      <c r="O74" s="2"/>
      <c r="P74" s="2"/>
      <c r="Q74" s="2"/>
      <c r="R74" s="2">
        <v>96</v>
      </c>
      <c r="S74" s="2"/>
      <c r="T74" s="2">
        <v>5.9</v>
      </c>
      <c r="U74" s="2"/>
      <c r="V74" s="2">
        <v>8.5</v>
      </c>
      <c r="W74" s="2"/>
      <c r="X74" s="2"/>
      <c r="Y74" s="2"/>
      <c r="Z74" s="2"/>
      <c r="AA74" s="2"/>
      <c r="AB74" s="2"/>
      <c r="AC74" s="2"/>
      <c r="AD74" s="2">
        <v>32.1</v>
      </c>
      <c r="AE74" s="2"/>
      <c r="AF74" s="2">
        <v>2</v>
      </c>
      <c r="AG74" s="2"/>
      <c r="AH74" s="2"/>
      <c r="AI74" s="2"/>
      <c r="AJ74" s="2">
        <v>5.8</v>
      </c>
      <c r="AK74" s="2"/>
      <c r="AL74" s="2"/>
      <c r="AM74" s="2"/>
      <c r="AN74" s="2"/>
      <c r="AO74" s="2"/>
      <c r="AP74" s="2"/>
      <c r="AQ74" s="2"/>
      <c r="AR74" s="2"/>
      <c r="AS74" s="2"/>
      <c r="AT74" s="2">
        <v>5.4</v>
      </c>
      <c r="AU74" s="2">
        <v>10</v>
      </c>
      <c r="AV74" s="2">
        <v>2</v>
      </c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>
        <v>4</v>
      </c>
      <c r="BP74" s="2"/>
      <c r="BQ74" s="2">
        <v>2</v>
      </c>
      <c r="BR74" s="2"/>
      <c r="BS74" s="2"/>
      <c r="BT74" s="2"/>
      <c r="BU74" s="2"/>
      <c r="BV74" s="2"/>
      <c r="BW74" s="2">
        <v>4</v>
      </c>
      <c r="BX74" s="2"/>
      <c r="BY74" s="2"/>
      <c r="BZ74" s="2"/>
      <c r="CA74" s="2"/>
      <c r="CB74" s="2"/>
      <c r="CC74" s="2"/>
      <c r="CD74" s="2">
        <v>5</v>
      </c>
      <c r="CE74" s="40" t="s">
        <v>383</v>
      </c>
      <c r="CF74" s="49" t="s">
        <v>370</v>
      </c>
      <c r="CG74" s="55" t="s">
        <v>371</v>
      </c>
      <c r="CH74" s="47">
        <f t="shared" si="26"/>
        <v>51</v>
      </c>
    </row>
    <row r="75" spans="1:86" s="3" customFormat="1" ht="15" customHeight="1">
      <c r="A75" s="17"/>
      <c r="B75" s="13"/>
      <c r="C75" s="14"/>
      <c r="D75" s="14">
        <f>SUM(D67:D74)</f>
        <v>53.98</v>
      </c>
      <c r="E75" s="14">
        <f aca="true" t="shared" si="29" ref="E75:O75">SUM(E67:E74)</f>
        <v>21.9</v>
      </c>
      <c r="F75" s="14">
        <f t="shared" si="29"/>
        <v>169.8</v>
      </c>
      <c r="G75" s="14">
        <f t="shared" si="29"/>
        <v>276.20000000000005</v>
      </c>
      <c r="H75" s="14">
        <f t="shared" si="29"/>
        <v>559.41</v>
      </c>
      <c r="I75" s="14">
        <f t="shared" si="29"/>
        <v>0</v>
      </c>
      <c r="J75" s="14">
        <f t="shared" si="29"/>
        <v>0</v>
      </c>
      <c r="K75" s="14">
        <f t="shared" si="29"/>
        <v>0</v>
      </c>
      <c r="L75" s="14">
        <f t="shared" si="29"/>
        <v>0</v>
      </c>
      <c r="M75" s="14">
        <f t="shared" si="29"/>
        <v>0</v>
      </c>
      <c r="N75" s="14">
        <f t="shared" si="29"/>
        <v>0</v>
      </c>
      <c r="O75" s="14">
        <f t="shared" si="29"/>
        <v>375.67999999999995</v>
      </c>
      <c r="P75" s="14">
        <f>SUM(P64:P73)</f>
        <v>29.6</v>
      </c>
      <c r="Q75" s="14">
        <f aca="true" t="shared" si="30" ref="Q75:AV75">SUM(Q67:Q74)</f>
        <v>78.4</v>
      </c>
      <c r="R75" s="14">
        <f t="shared" si="30"/>
        <v>1592.5399999999997</v>
      </c>
      <c r="S75" s="14">
        <f t="shared" si="30"/>
        <v>3.6</v>
      </c>
      <c r="T75" s="14">
        <f t="shared" si="30"/>
        <v>5.9</v>
      </c>
      <c r="U75" s="14">
        <f t="shared" si="30"/>
        <v>293.29999999999995</v>
      </c>
      <c r="V75" s="14">
        <f t="shared" si="30"/>
        <v>95.24000000000001</v>
      </c>
      <c r="W75" s="14">
        <f t="shared" si="30"/>
        <v>0</v>
      </c>
      <c r="X75" s="14">
        <f t="shared" si="30"/>
        <v>88.2</v>
      </c>
      <c r="Y75" s="14">
        <f t="shared" si="30"/>
        <v>110.59999999999998</v>
      </c>
      <c r="Z75" s="14">
        <f t="shared" si="30"/>
        <v>0</v>
      </c>
      <c r="AA75" s="14">
        <f t="shared" si="30"/>
        <v>1</v>
      </c>
      <c r="AB75" s="14">
        <f t="shared" si="30"/>
        <v>383</v>
      </c>
      <c r="AC75" s="14">
        <f t="shared" si="30"/>
        <v>0</v>
      </c>
      <c r="AD75" s="14">
        <f t="shared" si="30"/>
        <v>94.5</v>
      </c>
      <c r="AE75" s="14">
        <f t="shared" si="30"/>
        <v>9</v>
      </c>
      <c r="AF75" s="14">
        <f t="shared" si="30"/>
        <v>46</v>
      </c>
      <c r="AG75" s="14">
        <f t="shared" si="30"/>
        <v>3</v>
      </c>
      <c r="AH75" s="14">
        <f t="shared" si="30"/>
        <v>3</v>
      </c>
      <c r="AI75" s="14">
        <f t="shared" si="30"/>
        <v>148.3</v>
      </c>
      <c r="AJ75" s="14">
        <f t="shared" si="30"/>
        <v>22.599999999999998</v>
      </c>
      <c r="AK75" s="14">
        <f t="shared" si="30"/>
        <v>12</v>
      </c>
      <c r="AL75" s="14">
        <f t="shared" si="30"/>
        <v>12</v>
      </c>
      <c r="AM75" s="14">
        <f t="shared" si="30"/>
        <v>0</v>
      </c>
      <c r="AN75" s="14">
        <f t="shared" si="30"/>
        <v>75</v>
      </c>
      <c r="AO75" s="14">
        <f t="shared" si="30"/>
        <v>3</v>
      </c>
      <c r="AP75" s="14">
        <f t="shared" si="30"/>
        <v>3</v>
      </c>
      <c r="AQ75" s="14">
        <f t="shared" si="30"/>
        <v>0</v>
      </c>
      <c r="AR75" s="14">
        <f t="shared" si="30"/>
        <v>0</v>
      </c>
      <c r="AS75" s="14">
        <f t="shared" si="30"/>
        <v>2</v>
      </c>
      <c r="AT75" s="14">
        <f t="shared" si="30"/>
        <v>8.100000000000001</v>
      </c>
      <c r="AU75" s="14">
        <f t="shared" si="30"/>
        <v>275</v>
      </c>
      <c r="AV75" s="14">
        <f t="shared" si="30"/>
        <v>94</v>
      </c>
      <c r="AW75" s="14">
        <f aca="true" t="shared" si="31" ref="AW75:CB75">SUM(AW67:AW74)</f>
        <v>0</v>
      </c>
      <c r="AX75" s="14">
        <f t="shared" si="31"/>
        <v>0</v>
      </c>
      <c r="AY75" s="14">
        <f t="shared" si="31"/>
        <v>10</v>
      </c>
      <c r="AZ75" s="14">
        <f t="shared" si="31"/>
        <v>10</v>
      </c>
      <c r="BA75" s="14">
        <f t="shared" si="31"/>
        <v>2</v>
      </c>
      <c r="BB75" s="14">
        <f t="shared" si="31"/>
        <v>3</v>
      </c>
      <c r="BC75" s="14">
        <f t="shared" si="31"/>
        <v>0</v>
      </c>
      <c r="BD75" s="14">
        <f t="shared" si="31"/>
        <v>0</v>
      </c>
      <c r="BE75" s="14">
        <f t="shared" si="31"/>
        <v>0</v>
      </c>
      <c r="BF75" s="14">
        <f t="shared" si="31"/>
        <v>0</v>
      </c>
      <c r="BG75" s="14">
        <f t="shared" si="31"/>
        <v>0</v>
      </c>
      <c r="BH75" s="14">
        <f t="shared" si="31"/>
        <v>6</v>
      </c>
      <c r="BI75" s="14">
        <f t="shared" si="31"/>
        <v>7</v>
      </c>
      <c r="BJ75" s="14">
        <f t="shared" si="31"/>
        <v>9</v>
      </c>
      <c r="BK75" s="14">
        <f t="shared" si="31"/>
        <v>24</v>
      </c>
      <c r="BL75" s="14">
        <f t="shared" si="31"/>
        <v>4</v>
      </c>
      <c r="BM75" s="14">
        <f t="shared" si="31"/>
        <v>3</v>
      </c>
      <c r="BN75" s="14">
        <f t="shared" si="31"/>
        <v>0</v>
      </c>
      <c r="BO75" s="14">
        <f t="shared" si="31"/>
        <v>45</v>
      </c>
      <c r="BP75" s="14">
        <f t="shared" si="31"/>
        <v>0</v>
      </c>
      <c r="BQ75" s="14">
        <f t="shared" si="31"/>
        <v>38</v>
      </c>
      <c r="BR75" s="14">
        <f t="shared" si="31"/>
        <v>0</v>
      </c>
      <c r="BS75" s="14">
        <f t="shared" si="31"/>
        <v>0</v>
      </c>
      <c r="BT75" s="14">
        <f t="shared" si="31"/>
        <v>0</v>
      </c>
      <c r="BU75" s="14">
        <f t="shared" si="31"/>
        <v>0</v>
      </c>
      <c r="BV75" s="14">
        <f t="shared" si="31"/>
        <v>25.2</v>
      </c>
      <c r="BW75" s="14">
        <f t="shared" si="31"/>
        <v>7</v>
      </c>
      <c r="BX75" s="14">
        <f t="shared" si="31"/>
        <v>3</v>
      </c>
      <c r="BY75" s="14">
        <f t="shared" si="31"/>
        <v>0</v>
      </c>
      <c r="BZ75" s="14">
        <f t="shared" si="31"/>
        <v>4</v>
      </c>
      <c r="CA75" s="14">
        <f t="shared" si="31"/>
        <v>0</v>
      </c>
      <c r="CB75" s="14">
        <f t="shared" si="31"/>
        <v>2.9</v>
      </c>
      <c r="CC75" s="14">
        <f>SUM(CC67:CC74)</f>
        <v>3</v>
      </c>
      <c r="CD75" s="14">
        <f>SUM(CD67:CD74)</f>
        <v>27</v>
      </c>
      <c r="CE75" s="41"/>
      <c r="CF75" s="50"/>
      <c r="CG75" s="56"/>
      <c r="CH75" s="56"/>
    </row>
    <row r="76" spans="1:86" s="3" customFormat="1" ht="15" customHeight="1">
      <c r="A76" s="17">
        <v>65</v>
      </c>
      <c r="B76" s="5" t="s">
        <v>201</v>
      </c>
      <c r="C76" s="2" t="s">
        <v>83</v>
      </c>
      <c r="D76" s="2">
        <v>282.3</v>
      </c>
      <c r="E76" s="2">
        <v>95.1</v>
      </c>
      <c r="F76" s="2"/>
      <c r="G76" s="2"/>
      <c r="H76" s="2">
        <v>50.3</v>
      </c>
      <c r="I76" s="2"/>
      <c r="J76" s="2"/>
      <c r="K76" s="2"/>
      <c r="L76" s="2">
        <v>18.5</v>
      </c>
      <c r="M76" s="2"/>
      <c r="N76" s="2"/>
      <c r="O76" s="2"/>
      <c r="P76" s="2"/>
      <c r="Q76" s="2">
        <v>194.1</v>
      </c>
      <c r="R76" s="2">
        <v>502.8</v>
      </c>
      <c r="S76" s="2">
        <v>30.1</v>
      </c>
      <c r="T76" s="2"/>
      <c r="U76" s="2"/>
      <c r="V76" s="2">
        <v>67.2</v>
      </c>
      <c r="W76" s="2"/>
      <c r="X76" s="2">
        <v>3.8</v>
      </c>
      <c r="Y76" s="2">
        <v>7.4</v>
      </c>
      <c r="Z76" s="2"/>
      <c r="AA76" s="2"/>
      <c r="AB76" s="2">
        <v>180</v>
      </c>
      <c r="AC76" s="2"/>
      <c r="AD76" s="2"/>
      <c r="AE76" s="2"/>
      <c r="AF76" s="2">
        <v>10</v>
      </c>
      <c r="AG76" s="2">
        <v>2</v>
      </c>
      <c r="AH76" s="2">
        <v>6</v>
      </c>
      <c r="AI76" s="2">
        <v>37.5</v>
      </c>
      <c r="AJ76" s="2"/>
      <c r="AK76" s="2">
        <v>18</v>
      </c>
      <c r="AL76" s="2"/>
      <c r="AM76" s="2"/>
      <c r="AN76" s="2">
        <v>2</v>
      </c>
      <c r="AO76" s="2"/>
      <c r="AP76" s="2"/>
      <c r="AQ76" s="2"/>
      <c r="AR76" s="2"/>
      <c r="AS76" s="2"/>
      <c r="AT76" s="2"/>
      <c r="AU76" s="2">
        <v>83</v>
      </c>
      <c r="AV76" s="2">
        <v>17</v>
      </c>
      <c r="AW76" s="2"/>
      <c r="AX76" s="2"/>
      <c r="AY76" s="2">
        <v>1</v>
      </c>
      <c r="AZ76" s="2">
        <v>1</v>
      </c>
      <c r="BA76" s="2"/>
      <c r="BB76" s="2">
        <v>1</v>
      </c>
      <c r="BC76" s="2"/>
      <c r="BD76" s="2"/>
      <c r="BE76" s="2"/>
      <c r="BF76" s="2"/>
      <c r="BG76" s="2">
        <v>2.4</v>
      </c>
      <c r="BH76" s="2">
        <v>16</v>
      </c>
      <c r="BI76" s="2"/>
      <c r="BJ76" s="2">
        <v>17</v>
      </c>
      <c r="BK76" s="2">
        <v>26</v>
      </c>
      <c r="BL76" s="2">
        <v>3</v>
      </c>
      <c r="BM76" s="2"/>
      <c r="BN76" s="2"/>
      <c r="BO76" s="2">
        <v>15</v>
      </c>
      <c r="BP76" s="2">
        <v>5.7</v>
      </c>
      <c r="BQ76" s="2">
        <v>19</v>
      </c>
      <c r="BR76" s="2">
        <v>7</v>
      </c>
      <c r="BS76" s="2"/>
      <c r="BT76" s="2"/>
      <c r="BU76" s="2">
        <v>17.5</v>
      </c>
      <c r="BV76" s="2"/>
      <c r="BW76" s="2"/>
      <c r="BX76" s="2">
        <v>3</v>
      </c>
      <c r="BY76" s="2"/>
      <c r="BZ76" s="2">
        <v>28</v>
      </c>
      <c r="CA76" s="2">
        <v>2.4</v>
      </c>
      <c r="CB76" s="2"/>
      <c r="CC76" s="2"/>
      <c r="CD76" s="2"/>
      <c r="CE76" s="39" t="s">
        <v>336</v>
      </c>
      <c r="CF76" s="49" t="s">
        <v>201</v>
      </c>
      <c r="CG76" s="55" t="s">
        <v>83</v>
      </c>
      <c r="CH76" s="47">
        <f aca="true" t="shared" si="32" ref="CH76:CH89">SUM(D76:N76)</f>
        <v>446.2</v>
      </c>
    </row>
    <row r="77" spans="1:86" s="3" customFormat="1" ht="15" customHeight="1">
      <c r="A77" s="17">
        <v>66</v>
      </c>
      <c r="B77" s="5" t="s">
        <v>202</v>
      </c>
      <c r="C77" s="2" t="s">
        <v>82</v>
      </c>
      <c r="D77" s="2">
        <v>13.5</v>
      </c>
      <c r="E77" s="2">
        <v>23.3</v>
      </c>
      <c r="F77" s="2"/>
      <c r="G77" s="2"/>
      <c r="H77" s="2">
        <v>128</v>
      </c>
      <c r="I77" s="2"/>
      <c r="J77" s="2"/>
      <c r="K77" s="2"/>
      <c r="L77" s="2"/>
      <c r="M77" s="2"/>
      <c r="N77" s="2"/>
      <c r="O77" s="2"/>
      <c r="P77" s="2"/>
      <c r="Q77" s="2">
        <v>47.6</v>
      </c>
      <c r="R77" s="2">
        <v>357.7</v>
      </c>
      <c r="S77" s="2"/>
      <c r="T77" s="2">
        <v>27.5</v>
      </c>
      <c r="U77" s="2"/>
      <c r="V77" s="2">
        <f>45.8-4.4</f>
        <v>41.4</v>
      </c>
      <c r="W77" s="2"/>
      <c r="X77" s="2"/>
      <c r="Y77" s="2"/>
      <c r="Z77" s="2"/>
      <c r="AA77" s="2"/>
      <c r="AB77" s="2">
        <f>168-18</f>
        <v>150</v>
      </c>
      <c r="AC77" s="2"/>
      <c r="AD77" s="2"/>
      <c r="AE77" s="2"/>
      <c r="AF77" s="2">
        <v>6</v>
      </c>
      <c r="AG77" s="2">
        <v>3</v>
      </c>
      <c r="AH77" s="2"/>
      <c r="AI77" s="2">
        <v>38</v>
      </c>
      <c r="AJ77" s="2"/>
      <c r="AK77" s="2"/>
      <c r="AL77" s="2">
        <f>21-2</f>
        <v>19</v>
      </c>
      <c r="AM77" s="2"/>
      <c r="AN77" s="2">
        <v>17</v>
      </c>
      <c r="AO77" s="2"/>
      <c r="AP77" s="2"/>
      <c r="AQ77" s="2"/>
      <c r="AR77" s="2"/>
      <c r="AS77" s="2"/>
      <c r="AT77" s="2"/>
      <c r="AU77" s="2">
        <f>61-3</f>
        <v>58</v>
      </c>
      <c r="AV77" s="2">
        <v>21</v>
      </c>
      <c r="AW77" s="2"/>
      <c r="AX77" s="2"/>
      <c r="AY77" s="2">
        <v>2</v>
      </c>
      <c r="AZ77" s="2">
        <v>2</v>
      </c>
      <c r="BA77" s="2"/>
      <c r="BB77" s="2">
        <v>1</v>
      </c>
      <c r="BC77" s="2"/>
      <c r="BD77" s="2"/>
      <c r="BE77" s="2"/>
      <c r="BF77" s="2"/>
      <c r="BG77" s="2"/>
      <c r="BH77" s="2"/>
      <c r="BI77" s="2">
        <v>11</v>
      </c>
      <c r="BJ77" s="2">
        <v>4</v>
      </c>
      <c r="BK77" s="2">
        <v>10</v>
      </c>
      <c r="BL77" s="2"/>
      <c r="BM77" s="2"/>
      <c r="BN77" s="2"/>
      <c r="BO77" s="2">
        <v>9</v>
      </c>
      <c r="BP77" s="2"/>
      <c r="BQ77" s="2">
        <v>10</v>
      </c>
      <c r="BR77" s="2">
        <v>2</v>
      </c>
      <c r="BS77" s="2"/>
      <c r="BT77" s="2"/>
      <c r="BU77" s="2"/>
      <c r="BV77" s="2"/>
      <c r="BW77" s="2"/>
      <c r="BX77" s="2">
        <v>4</v>
      </c>
      <c r="BY77" s="2"/>
      <c r="BZ77" s="2">
        <v>3</v>
      </c>
      <c r="CA77" s="2"/>
      <c r="CB77" s="2"/>
      <c r="CC77" s="2"/>
      <c r="CD77" s="2"/>
      <c r="CE77" s="65" t="s">
        <v>423</v>
      </c>
      <c r="CF77" s="49" t="s">
        <v>202</v>
      </c>
      <c r="CG77" s="55" t="s">
        <v>82</v>
      </c>
      <c r="CH77" s="47">
        <f t="shared" si="32"/>
        <v>164.8</v>
      </c>
    </row>
    <row r="78" spans="1:86" s="3" customFormat="1" ht="15" customHeight="1">
      <c r="A78" s="17">
        <v>67</v>
      </c>
      <c r="B78" s="5" t="s">
        <v>203</v>
      </c>
      <c r="C78" s="2" t="s">
        <v>80</v>
      </c>
      <c r="D78" s="2"/>
      <c r="E78" s="2">
        <v>68.4</v>
      </c>
      <c r="F78" s="2">
        <v>444.6</v>
      </c>
      <c r="G78" s="2">
        <v>120.8</v>
      </c>
      <c r="H78" s="2">
        <v>51.7</v>
      </c>
      <c r="I78" s="2"/>
      <c r="J78" s="2"/>
      <c r="K78" s="2"/>
      <c r="L78" s="2"/>
      <c r="M78" s="2"/>
      <c r="N78" s="2"/>
      <c r="O78" s="2"/>
      <c r="P78" s="2"/>
      <c r="Q78" s="2">
        <v>819.5</v>
      </c>
      <c r="R78" s="2">
        <v>224.7</v>
      </c>
      <c r="S78" s="2"/>
      <c r="T78" s="2"/>
      <c r="U78" s="2"/>
      <c r="V78" s="2">
        <v>118.7</v>
      </c>
      <c r="W78" s="2"/>
      <c r="X78" s="2"/>
      <c r="Y78" s="2">
        <v>19</v>
      </c>
      <c r="Z78" s="2"/>
      <c r="AA78" s="2"/>
      <c r="AB78" s="2">
        <v>361</v>
      </c>
      <c r="AC78" s="2"/>
      <c r="AD78" s="2"/>
      <c r="AE78" s="2">
        <v>2</v>
      </c>
      <c r="AF78" s="2">
        <v>15</v>
      </c>
      <c r="AG78" s="2">
        <v>3</v>
      </c>
      <c r="AH78" s="2">
        <v>1</v>
      </c>
      <c r="AI78" s="2">
        <v>76</v>
      </c>
      <c r="AJ78" s="2"/>
      <c r="AK78" s="2">
        <v>27</v>
      </c>
      <c r="AL78" s="2"/>
      <c r="AM78" s="2">
        <v>3</v>
      </c>
      <c r="AN78" s="2">
        <v>2</v>
      </c>
      <c r="AO78" s="2"/>
      <c r="AP78" s="2"/>
      <c r="AQ78" s="2"/>
      <c r="AR78" s="2"/>
      <c r="AS78" s="2"/>
      <c r="AT78" s="2">
        <v>2</v>
      </c>
      <c r="AU78" s="2">
        <v>119</v>
      </c>
      <c r="AV78" s="2">
        <v>60</v>
      </c>
      <c r="AW78" s="2"/>
      <c r="AX78" s="2"/>
      <c r="AY78" s="2">
        <v>4</v>
      </c>
      <c r="AZ78" s="2">
        <v>4</v>
      </c>
      <c r="BA78" s="2"/>
      <c r="BB78" s="2">
        <v>1</v>
      </c>
      <c r="BC78" s="2"/>
      <c r="BD78" s="2"/>
      <c r="BE78" s="2"/>
      <c r="BF78" s="2"/>
      <c r="BG78" s="2"/>
      <c r="BH78" s="2">
        <v>2</v>
      </c>
      <c r="BI78" s="2">
        <v>33</v>
      </c>
      <c r="BJ78" s="2">
        <v>7</v>
      </c>
      <c r="BK78" s="2">
        <v>23</v>
      </c>
      <c r="BL78" s="2">
        <v>3</v>
      </c>
      <c r="BM78" s="2"/>
      <c r="BN78" s="2"/>
      <c r="BO78" s="2">
        <v>18</v>
      </c>
      <c r="BP78" s="2">
        <v>10.8</v>
      </c>
      <c r="BQ78" s="2">
        <v>17</v>
      </c>
      <c r="BR78" s="2"/>
      <c r="BS78" s="2"/>
      <c r="BT78" s="2"/>
      <c r="BU78" s="2"/>
      <c r="BV78" s="2"/>
      <c r="BW78" s="2"/>
      <c r="BX78" s="2"/>
      <c r="BY78" s="2"/>
      <c r="BZ78" s="2">
        <v>5</v>
      </c>
      <c r="CA78" s="2"/>
      <c r="CB78" s="2"/>
      <c r="CC78" s="2"/>
      <c r="CD78" s="2">
        <v>17</v>
      </c>
      <c r="CE78" s="65" t="s">
        <v>424</v>
      </c>
      <c r="CF78" s="49" t="s">
        <v>203</v>
      </c>
      <c r="CG78" s="55" t="s">
        <v>80</v>
      </c>
      <c r="CH78" s="47">
        <f t="shared" si="32"/>
        <v>685.5</v>
      </c>
    </row>
    <row r="79" spans="1:86" s="3" customFormat="1" ht="15" customHeight="1">
      <c r="A79" s="17">
        <v>68</v>
      </c>
      <c r="B79" s="5" t="s">
        <v>204</v>
      </c>
      <c r="C79" s="2" t="s">
        <v>205</v>
      </c>
      <c r="D79" s="2"/>
      <c r="E79" s="2">
        <v>30</v>
      </c>
      <c r="F79" s="2"/>
      <c r="G79" s="2">
        <v>165</v>
      </c>
      <c r="H79" s="2">
        <v>6</v>
      </c>
      <c r="I79" s="2"/>
      <c r="J79" s="2"/>
      <c r="K79" s="2"/>
      <c r="L79" s="2"/>
      <c r="M79" s="2"/>
      <c r="N79" s="2"/>
      <c r="O79" s="2"/>
      <c r="P79" s="2"/>
      <c r="Q79" s="2"/>
      <c r="R79" s="2">
        <v>40.7</v>
      </c>
      <c r="S79" s="2"/>
      <c r="T79" s="2"/>
      <c r="U79" s="2"/>
      <c r="V79" s="2">
        <v>29.9</v>
      </c>
      <c r="W79" s="2"/>
      <c r="X79" s="2"/>
      <c r="Y79" s="2"/>
      <c r="Z79" s="2"/>
      <c r="AA79" s="2"/>
      <c r="AB79" s="2">
        <v>112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>
        <v>26</v>
      </c>
      <c r="AV79" s="2">
        <v>22</v>
      </c>
      <c r="AW79" s="2"/>
      <c r="AX79" s="2">
        <v>4</v>
      </c>
      <c r="AY79" s="2">
        <v>2</v>
      </c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>
        <v>12</v>
      </c>
      <c r="BP79" s="2">
        <v>10.8</v>
      </c>
      <c r="BQ79" s="2">
        <v>9</v>
      </c>
      <c r="BR79" s="2"/>
      <c r="BS79" s="2"/>
      <c r="BT79" s="2">
        <v>11.7</v>
      </c>
      <c r="BU79" s="2"/>
      <c r="BV79" s="2"/>
      <c r="BW79" s="2"/>
      <c r="BX79" s="2"/>
      <c r="BY79" s="2"/>
      <c r="BZ79" s="2">
        <v>5</v>
      </c>
      <c r="CA79" s="2"/>
      <c r="CB79" s="2"/>
      <c r="CC79" s="2"/>
      <c r="CD79" s="2">
        <v>9</v>
      </c>
      <c r="CE79" s="40" t="s">
        <v>381</v>
      </c>
      <c r="CF79" s="49" t="s">
        <v>204</v>
      </c>
      <c r="CG79" s="55" t="s">
        <v>205</v>
      </c>
      <c r="CH79" s="47">
        <f t="shared" si="32"/>
        <v>201</v>
      </c>
    </row>
    <row r="80" spans="1:86" s="3" customFormat="1" ht="15" customHeight="1">
      <c r="A80" s="17">
        <v>69</v>
      </c>
      <c r="B80" s="5" t="s">
        <v>206</v>
      </c>
      <c r="C80" s="2" t="s">
        <v>207</v>
      </c>
      <c r="D80" s="2">
        <v>90.9</v>
      </c>
      <c r="E80" s="2">
        <v>18</v>
      </c>
      <c r="F80" s="2"/>
      <c r="G80" s="2"/>
      <c r="H80" s="2">
        <v>5.4</v>
      </c>
      <c r="I80" s="2"/>
      <c r="J80" s="2"/>
      <c r="K80" s="2"/>
      <c r="L80" s="2"/>
      <c r="M80" s="2"/>
      <c r="N80" s="2"/>
      <c r="O80" s="2"/>
      <c r="P80" s="2"/>
      <c r="Q80" s="2">
        <v>40.2</v>
      </c>
      <c r="R80" s="2">
        <v>27.2</v>
      </c>
      <c r="S80" s="2"/>
      <c r="T80" s="2"/>
      <c r="U80" s="2"/>
      <c r="V80" s="2">
        <v>23.5</v>
      </c>
      <c r="W80" s="2"/>
      <c r="X80" s="2"/>
      <c r="Y80" s="2"/>
      <c r="Z80" s="2"/>
      <c r="AA80" s="2"/>
      <c r="AB80" s="2">
        <v>65</v>
      </c>
      <c r="AC80" s="2"/>
      <c r="AD80" s="2"/>
      <c r="AE80" s="2"/>
      <c r="AF80" s="2">
        <v>7</v>
      </c>
      <c r="AG80" s="2"/>
      <c r="AH80" s="2"/>
      <c r="AI80" s="2">
        <v>13.6</v>
      </c>
      <c r="AJ80" s="2"/>
      <c r="AK80" s="2">
        <v>6</v>
      </c>
      <c r="AL80" s="2"/>
      <c r="AM80" s="2"/>
      <c r="AN80" s="2">
        <v>1</v>
      </c>
      <c r="AO80" s="2"/>
      <c r="AP80" s="2"/>
      <c r="AQ80" s="2"/>
      <c r="AR80" s="2"/>
      <c r="AS80" s="2"/>
      <c r="AT80" s="2"/>
      <c r="AU80" s="2">
        <v>15</v>
      </c>
      <c r="AV80" s="2">
        <v>3</v>
      </c>
      <c r="AW80" s="2"/>
      <c r="AX80" s="2"/>
      <c r="AY80" s="2">
        <v>1</v>
      </c>
      <c r="AZ80" s="2">
        <v>1</v>
      </c>
      <c r="BA80" s="2"/>
      <c r="BB80" s="2"/>
      <c r="BC80" s="2"/>
      <c r="BD80" s="2"/>
      <c r="BE80" s="2"/>
      <c r="BF80" s="2"/>
      <c r="BG80" s="2">
        <v>4.8</v>
      </c>
      <c r="BH80" s="2">
        <v>13</v>
      </c>
      <c r="BI80" s="2"/>
      <c r="BJ80" s="2"/>
      <c r="BK80" s="2">
        <v>12</v>
      </c>
      <c r="BL80" s="2"/>
      <c r="BM80" s="2">
        <v>1</v>
      </c>
      <c r="BN80" s="2"/>
      <c r="BO80" s="2">
        <v>12</v>
      </c>
      <c r="BP80" s="2">
        <v>17.1</v>
      </c>
      <c r="BQ80" s="2">
        <v>5</v>
      </c>
      <c r="BR80" s="2">
        <v>1</v>
      </c>
      <c r="BS80" s="2"/>
      <c r="BT80" s="2">
        <v>11.7</v>
      </c>
      <c r="BU80" s="2"/>
      <c r="BV80" s="2"/>
      <c r="BW80" s="2"/>
      <c r="BX80" s="2">
        <v>1</v>
      </c>
      <c r="BY80" s="2"/>
      <c r="BZ80" s="2">
        <v>6</v>
      </c>
      <c r="CA80" s="2"/>
      <c r="CB80" s="2">
        <v>1</v>
      </c>
      <c r="CC80" s="2"/>
      <c r="CD80" s="2"/>
      <c r="CE80" s="39" t="s">
        <v>326</v>
      </c>
      <c r="CF80" s="49" t="s">
        <v>206</v>
      </c>
      <c r="CG80" s="55" t="s">
        <v>207</v>
      </c>
      <c r="CH80" s="47">
        <f t="shared" si="32"/>
        <v>114.30000000000001</v>
      </c>
    </row>
    <row r="81" spans="1:86" s="3" customFormat="1" ht="15" customHeight="1">
      <c r="A81" s="17">
        <v>70</v>
      </c>
      <c r="B81" s="5" t="s">
        <v>208</v>
      </c>
      <c r="C81" s="2" t="s">
        <v>209</v>
      </c>
      <c r="D81" s="2">
        <v>21.4</v>
      </c>
      <c r="E81" s="2">
        <v>20.1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3.9</v>
      </c>
      <c r="S81" s="2"/>
      <c r="T81" s="2"/>
      <c r="U81" s="2"/>
      <c r="V81" s="2">
        <v>3.9</v>
      </c>
      <c r="W81" s="2"/>
      <c r="X81" s="2"/>
      <c r="Y81" s="2"/>
      <c r="Z81" s="2"/>
      <c r="AA81" s="2"/>
      <c r="AB81" s="2">
        <v>14</v>
      </c>
      <c r="AC81" s="2"/>
      <c r="AD81" s="2"/>
      <c r="AE81" s="2"/>
      <c r="AF81" s="2">
        <v>1</v>
      </c>
      <c r="AG81" s="2"/>
      <c r="AH81" s="2"/>
      <c r="AI81" s="2">
        <v>1.8</v>
      </c>
      <c r="AJ81" s="2"/>
      <c r="AK81" s="2">
        <v>1</v>
      </c>
      <c r="AL81" s="2"/>
      <c r="AM81" s="2"/>
      <c r="AN81" s="2"/>
      <c r="AO81" s="2"/>
      <c r="AP81" s="2"/>
      <c r="AQ81" s="2"/>
      <c r="AR81" s="2"/>
      <c r="AS81" s="2"/>
      <c r="AT81" s="2"/>
      <c r="AU81" s="2">
        <v>12</v>
      </c>
      <c r="AV81" s="2">
        <v>3</v>
      </c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>
        <v>2</v>
      </c>
      <c r="BJ81" s="2"/>
      <c r="BK81" s="2">
        <v>1</v>
      </c>
      <c r="BL81" s="2"/>
      <c r="BM81" s="2">
        <v>1</v>
      </c>
      <c r="BN81" s="2"/>
      <c r="BO81" s="2">
        <v>2</v>
      </c>
      <c r="BP81" s="2">
        <v>5.7</v>
      </c>
      <c r="BQ81" s="2">
        <v>1</v>
      </c>
      <c r="BR81" s="2"/>
      <c r="BS81" s="2"/>
      <c r="BT81" s="2"/>
      <c r="BU81" s="2"/>
      <c r="BV81" s="2"/>
      <c r="BW81" s="2"/>
      <c r="BX81" s="2"/>
      <c r="BY81" s="2"/>
      <c r="BZ81" s="2">
        <v>1</v>
      </c>
      <c r="CA81" s="2"/>
      <c r="CB81" s="2"/>
      <c r="CC81" s="2"/>
      <c r="CD81" s="2"/>
      <c r="CE81" s="39" t="s">
        <v>326</v>
      </c>
      <c r="CF81" s="49" t="s">
        <v>208</v>
      </c>
      <c r="CG81" s="55" t="s">
        <v>209</v>
      </c>
      <c r="CH81" s="47">
        <f t="shared" si="32"/>
        <v>41.5</v>
      </c>
    </row>
    <row r="82" spans="1:86" s="3" customFormat="1" ht="15" customHeight="1">
      <c r="A82" s="17">
        <v>71</v>
      </c>
      <c r="B82" s="5" t="s">
        <v>210</v>
      </c>
      <c r="C82" s="2" t="s">
        <v>211</v>
      </c>
      <c r="D82" s="2"/>
      <c r="E82" s="2">
        <v>7.6</v>
      </c>
      <c r="F82" s="2"/>
      <c r="G82" s="2"/>
      <c r="H82" s="2">
        <v>4.3</v>
      </c>
      <c r="I82" s="2"/>
      <c r="J82" s="2"/>
      <c r="K82" s="2"/>
      <c r="L82" s="2"/>
      <c r="M82" s="2"/>
      <c r="N82" s="2"/>
      <c r="O82" s="2"/>
      <c r="P82" s="2"/>
      <c r="Q82" s="2"/>
      <c r="R82" s="2">
        <v>28.9</v>
      </c>
      <c r="S82" s="2"/>
      <c r="T82" s="2"/>
      <c r="U82" s="2"/>
      <c r="V82" s="2">
        <v>20.9</v>
      </c>
      <c r="W82" s="2"/>
      <c r="X82" s="2"/>
      <c r="Y82" s="2"/>
      <c r="Z82" s="2"/>
      <c r="AA82" s="2"/>
      <c r="AB82" s="2">
        <v>6</v>
      </c>
      <c r="AC82" s="2"/>
      <c r="AD82" s="2">
        <v>20</v>
      </c>
      <c r="AE82" s="2"/>
      <c r="AF82" s="2">
        <v>1</v>
      </c>
      <c r="AG82" s="2"/>
      <c r="AH82" s="2"/>
      <c r="AI82" s="2">
        <v>2.8</v>
      </c>
      <c r="AJ82" s="2"/>
      <c r="AK82" s="2"/>
      <c r="AL82" s="2">
        <v>11</v>
      </c>
      <c r="AM82" s="2"/>
      <c r="AN82" s="2"/>
      <c r="AO82" s="2"/>
      <c r="AP82" s="2"/>
      <c r="AQ82" s="2"/>
      <c r="AR82" s="2"/>
      <c r="AS82" s="2"/>
      <c r="AT82" s="2"/>
      <c r="AU82" s="2">
        <v>3</v>
      </c>
      <c r="AV82" s="2">
        <v>1</v>
      </c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>
        <v>1</v>
      </c>
      <c r="BJ82" s="2"/>
      <c r="BK82" s="2"/>
      <c r="BL82" s="2"/>
      <c r="BM82" s="2"/>
      <c r="BN82" s="2"/>
      <c r="BO82" s="2"/>
      <c r="BP82" s="2"/>
      <c r="BQ82" s="2">
        <v>1</v>
      </c>
      <c r="BR82" s="2"/>
      <c r="BS82" s="2"/>
      <c r="BT82" s="2"/>
      <c r="BU82" s="2"/>
      <c r="BV82" s="2"/>
      <c r="BW82" s="2"/>
      <c r="BX82" s="2"/>
      <c r="BY82" s="2"/>
      <c r="BZ82" s="2">
        <v>1</v>
      </c>
      <c r="CA82" s="2"/>
      <c r="CB82" s="2"/>
      <c r="CC82" s="2"/>
      <c r="CD82" s="2">
        <v>1</v>
      </c>
      <c r="CE82" s="39" t="s">
        <v>319</v>
      </c>
      <c r="CF82" s="49" t="s">
        <v>210</v>
      </c>
      <c r="CG82" s="55" t="s">
        <v>211</v>
      </c>
      <c r="CH82" s="47">
        <f t="shared" si="32"/>
        <v>11.899999999999999</v>
      </c>
    </row>
    <row r="83" spans="1:86" s="3" customFormat="1" ht="15" customHeight="1">
      <c r="A83" s="17">
        <v>72</v>
      </c>
      <c r="B83" s="5" t="s">
        <v>212</v>
      </c>
      <c r="C83" s="2" t="s">
        <v>213</v>
      </c>
      <c r="D83" s="2">
        <v>210.6</v>
      </c>
      <c r="E83" s="2">
        <v>14.9</v>
      </c>
      <c r="F83" s="2"/>
      <c r="G83" s="2"/>
      <c r="H83" s="2">
        <v>144.3</v>
      </c>
      <c r="I83" s="2">
        <v>13.4</v>
      </c>
      <c r="J83" s="2"/>
      <c r="K83" s="2"/>
      <c r="L83" s="2"/>
      <c r="M83" s="2">
        <v>5.2</v>
      </c>
      <c r="N83" s="2"/>
      <c r="O83" s="2"/>
      <c r="P83" s="2"/>
      <c r="Q83" s="2">
        <v>260</v>
      </c>
      <c r="R83" s="2">
        <v>175</v>
      </c>
      <c r="S83" s="2">
        <v>28.1</v>
      </c>
      <c r="T83" s="2">
        <v>15.4</v>
      </c>
      <c r="U83" s="2"/>
      <c r="V83" s="2">
        <v>41.9</v>
      </c>
      <c r="W83" s="2"/>
      <c r="X83" s="2"/>
      <c r="Y83" s="2"/>
      <c r="Z83" s="2"/>
      <c r="AA83" s="2"/>
      <c r="AB83" s="2">
        <v>260</v>
      </c>
      <c r="AC83" s="2"/>
      <c r="AD83" s="2"/>
      <c r="AE83" s="2"/>
      <c r="AF83" s="2">
        <v>5</v>
      </c>
      <c r="AG83" s="2"/>
      <c r="AH83" s="2">
        <v>1</v>
      </c>
      <c r="AI83" s="2">
        <v>41.4</v>
      </c>
      <c r="AJ83" s="2">
        <v>10.4</v>
      </c>
      <c r="AK83" s="2">
        <v>1</v>
      </c>
      <c r="AL83" s="2">
        <v>21</v>
      </c>
      <c r="AM83" s="2"/>
      <c r="AN83" s="2"/>
      <c r="AO83" s="2"/>
      <c r="AP83" s="2"/>
      <c r="AQ83" s="2"/>
      <c r="AR83" s="2"/>
      <c r="AS83" s="2"/>
      <c r="AT83" s="2"/>
      <c r="AU83" s="2">
        <v>91</v>
      </c>
      <c r="AV83" s="2">
        <v>44</v>
      </c>
      <c r="AW83" s="2"/>
      <c r="AX83" s="2"/>
      <c r="AY83" s="2">
        <v>1</v>
      </c>
      <c r="AZ83" s="2">
        <v>1</v>
      </c>
      <c r="BA83" s="2"/>
      <c r="BB83" s="2"/>
      <c r="BC83" s="2"/>
      <c r="BD83" s="2"/>
      <c r="BE83" s="2"/>
      <c r="BF83" s="2"/>
      <c r="BG83" s="2"/>
      <c r="BH83" s="2"/>
      <c r="BI83" s="2">
        <v>16</v>
      </c>
      <c r="BJ83" s="2">
        <v>4</v>
      </c>
      <c r="BK83" s="2">
        <v>8</v>
      </c>
      <c r="BL83" s="2">
        <v>1</v>
      </c>
      <c r="BM83" s="2">
        <v>1</v>
      </c>
      <c r="BN83" s="2"/>
      <c r="BO83" s="2">
        <v>14</v>
      </c>
      <c r="BP83" s="2">
        <v>5.7</v>
      </c>
      <c r="BQ83" s="2">
        <v>17</v>
      </c>
      <c r="BR83" s="2"/>
      <c r="BS83" s="2">
        <v>16</v>
      </c>
      <c r="BT83" s="2"/>
      <c r="BU83" s="2"/>
      <c r="BV83" s="2"/>
      <c r="BW83" s="2"/>
      <c r="BX83" s="2"/>
      <c r="BY83" s="2"/>
      <c r="BZ83" s="2">
        <v>6</v>
      </c>
      <c r="CA83" s="2"/>
      <c r="CB83" s="2"/>
      <c r="CC83" s="2"/>
      <c r="CD83" s="2">
        <v>37</v>
      </c>
      <c r="CE83" s="39" t="s">
        <v>319</v>
      </c>
      <c r="CF83" s="49" t="s">
        <v>212</v>
      </c>
      <c r="CG83" s="55" t="s">
        <v>213</v>
      </c>
      <c r="CH83" s="47">
        <f t="shared" si="32"/>
        <v>388.4</v>
      </c>
    </row>
    <row r="84" spans="1:86" s="3" customFormat="1" ht="15" customHeight="1">
      <c r="A84" s="17">
        <v>73</v>
      </c>
      <c r="B84" s="5" t="s">
        <v>214</v>
      </c>
      <c r="C84" s="2" t="s">
        <v>406</v>
      </c>
      <c r="D84" s="2"/>
      <c r="E84" s="2"/>
      <c r="F84" s="2">
        <v>295.1</v>
      </c>
      <c r="G84" s="2"/>
      <c r="H84" s="2">
        <v>82.5</v>
      </c>
      <c r="I84" s="2"/>
      <c r="J84" s="2"/>
      <c r="K84" s="2">
        <v>117.9</v>
      </c>
      <c r="L84" s="2"/>
      <c r="M84" s="2"/>
      <c r="N84" s="2"/>
      <c r="O84" s="2"/>
      <c r="P84" s="2"/>
      <c r="Q84" s="2">
        <v>422.2</v>
      </c>
      <c r="R84" s="2">
        <v>202.1</v>
      </c>
      <c r="S84" s="2"/>
      <c r="T84" s="2"/>
      <c r="U84" s="2"/>
      <c r="V84" s="2">
        <v>78.2</v>
      </c>
      <c r="W84" s="2"/>
      <c r="X84" s="2"/>
      <c r="Y84" s="2">
        <v>111.6</v>
      </c>
      <c r="Z84" s="2"/>
      <c r="AA84" s="2"/>
      <c r="AB84" s="2">
        <v>272</v>
      </c>
      <c r="AC84" s="2"/>
      <c r="AD84" s="2"/>
      <c r="AE84" s="2"/>
      <c r="AF84" s="2">
        <v>9</v>
      </c>
      <c r="AG84" s="2"/>
      <c r="AH84" s="2">
        <v>1</v>
      </c>
      <c r="AI84" s="2">
        <v>36.6</v>
      </c>
      <c r="AJ84" s="2">
        <v>2.2</v>
      </c>
      <c r="AK84" s="2">
        <v>20</v>
      </c>
      <c r="AL84" s="2"/>
      <c r="AM84" s="2"/>
      <c r="AN84" s="2"/>
      <c r="AO84" s="2"/>
      <c r="AP84" s="2"/>
      <c r="AQ84" s="2"/>
      <c r="AR84" s="2"/>
      <c r="AS84" s="2"/>
      <c r="AT84" s="2"/>
      <c r="AU84" s="2">
        <v>60</v>
      </c>
      <c r="AV84" s="2">
        <v>11</v>
      </c>
      <c r="AW84" s="2"/>
      <c r="AX84" s="2"/>
      <c r="AY84" s="2">
        <v>3</v>
      </c>
      <c r="AZ84" s="2">
        <v>3</v>
      </c>
      <c r="BA84" s="2"/>
      <c r="BB84" s="2">
        <v>1</v>
      </c>
      <c r="BC84" s="2">
        <v>1</v>
      </c>
      <c r="BD84" s="2"/>
      <c r="BE84" s="2"/>
      <c r="BF84" s="2"/>
      <c r="BG84" s="2">
        <v>24</v>
      </c>
      <c r="BH84" s="2">
        <v>37</v>
      </c>
      <c r="BI84" s="2">
        <v>14</v>
      </c>
      <c r="BJ84" s="2">
        <v>10</v>
      </c>
      <c r="BK84" s="2">
        <v>13</v>
      </c>
      <c r="BL84" s="2"/>
      <c r="BM84" s="2">
        <v>3</v>
      </c>
      <c r="BN84" s="2"/>
      <c r="BO84" s="2">
        <v>6</v>
      </c>
      <c r="BP84" s="2">
        <v>96.9</v>
      </c>
      <c r="BQ84" s="2">
        <v>13</v>
      </c>
      <c r="BR84" s="2">
        <v>4</v>
      </c>
      <c r="BS84" s="2"/>
      <c r="BT84" s="2">
        <v>17.4</v>
      </c>
      <c r="BU84" s="2">
        <v>11.4</v>
      </c>
      <c r="BV84" s="2"/>
      <c r="BW84" s="2"/>
      <c r="BX84" s="2"/>
      <c r="BY84" s="2"/>
      <c r="BZ84" s="2">
        <v>1</v>
      </c>
      <c r="CA84" s="2">
        <v>70.7</v>
      </c>
      <c r="CB84" s="2">
        <v>8</v>
      </c>
      <c r="CC84" s="2"/>
      <c r="CD84" s="2">
        <v>11</v>
      </c>
      <c r="CE84" s="39" t="s">
        <v>326</v>
      </c>
      <c r="CF84" s="49" t="s">
        <v>214</v>
      </c>
      <c r="CG84" s="55" t="s">
        <v>81</v>
      </c>
      <c r="CH84" s="47">
        <f t="shared" si="32"/>
        <v>495.5</v>
      </c>
    </row>
    <row r="85" spans="1:86" s="3" customFormat="1" ht="15" customHeight="1">
      <c r="A85" s="17">
        <v>74</v>
      </c>
      <c r="B85" s="5" t="s">
        <v>215</v>
      </c>
      <c r="C85" s="2" t="s">
        <v>216</v>
      </c>
      <c r="D85" s="2"/>
      <c r="E85" s="2"/>
      <c r="F85" s="2">
        <v>143</v>
      </c>
      <c r="G85" s="2"/>
      <c r="H85" s="2">
        <v>12.6</v>
      </c>
      <c r="I85" s="2"/>
      <c r="J85" s="2"/>
      <c r="K85" s="2"/>
      <c r="L85" s="2"/>
      <c r="M85" s="2"/>
      <c r="N85" s="2"/>
      <c r="O85" s="2"/>
      <c r="P85" s="2"/>
      <c r="Q85" s="2"/>
      <c r="R85" s="2">
        <v>257.8</v>
      </c>
      <c r="S85" s="2"/>
      <c r="T85" s="2"/>
      <c r="U85" s="2"/>
      <c r="V85" s="2">
        <v>27.4</v>
      </c>
      <c r="W85" s="2"/>
      <c r="X85" s="2"/>
      <c r="Y85" s="2">
        <v>20.4</v>
      </c>
      <c r="Z85" s="2"/>
      <c r="AA85" s="2"/>
      <c r="AB85" s="2">
        <v>105</v>
      </c>
      <c r="AC85" s="2"/>
      <c r="AD85" s="2"/>
      <c r="AE85" s="2"/>
      <c r="AF85" s="2">
        <v>7</v>
      </c>
      <c r="AG85" s="2">
        <v>2</v>
      </c>
      <c r="AH85" s="2"/>
      <c r="AI85" s="2">
        <v>12</v>
      </c>
      <c r="AJ85" s="2"/>
      <c r="AK85" s="2">
        <v>7</v>
      </c>
      <c r="AL85" s="2"/>
      <c r="AM85" s="2"/>
      <c r="AN85" s="2">
        <v>4</v>
      </c>
      <c r="AO85" s="2"/>
      <c r="AP85" s="2">
        <v>1</v>
      </c>
      <c r="AQ85" s="2"/>
      <c r="AR85" s="2"/>
      <c r="AS85" s="2"/>
      <c r="AT85" s="2"/>
      <c r="AU85" s="2">
        <v>22</v>
      </c>
      <c r="AV85" s="2">
        <v>8</v>
      </c>
      <c r="AW85" s="2"/>
      <c r="AX85" s="2"/>
      <c r="AY85" s="2">
        <v>2</v>
      </c>
      <c r="AZ85" s="2">
        <v>2</v>
      </c>
      <c r="BA85" s="2"/>
      <c r="BB85" s="2"/>
      <c r="BC85" s="2"/>
      <c r="BD85" s="2"/>
      <c r="BE85" s="2"/>
      <c r="BF85" s="2"/>
      <c r="BG85" s="2">
        <v>31</v>
      </c>
      <c r="BH85" s="2"/>
      <c r="BI85" s="2">
        <v>3</v>
      </c>
      <c r="BJ85" s="2">
        <v>5</v>
      </c>
      <c r="BK85" s="2">
        <v>5</v>
      </c>
      <c r="BL85" s="2"/>
      <c r="BM85" s="2">
        <v>1</v>
      </c>
      <c r="BN85" s="2"/>
      <c r="BO85" s="2">
        <v>8</v>
      </c>
      <c r="BP85" s="2">
        <v>10.7</v>
      </c>
      <c r="BQ85" s="2">
        <v>8</v>
      </c>
      <c r="BR85" s="2"/>
      <c r="BS85" s="2"/>
      <c r="BT85" s="2"/>
      <c r="BU85" s="2"/>
      <c r="BV85" s="2"/>
      <c r="BW85" s="2"/>
      <c r="BX85" s="2"/>
      <c r="BY85" s="2"/>
      <c r="BZ85" s="2">
        <v>2</v>
      </c>
      <c r="CA85" s="2"/>
      <c r="CB85" s="2"/>
      <c r="CC85" s="2"/>
      <c r="CD85" s="2">
        <v>9</v>
      </c>
      <c r="CE85" s="39" t="s">
        <v>337</v>
      </c>
      <c r="CF85" s="49" t="s">
        <v>215</v>
      </c>
      <c r="CG85" s="55" t="s">
        <v>216</v>
      </c>
      <c r="CH85" s="47">
        <f t="shared" si="32"/>
        <v>155.6</v>
      </c>
    </row>
    <row r="86" spans="1:86" s="3" customFormat="1" ht="15" customHeight="1">
      <c r="A86" s="17">
        <v>75</v>
      </c>
      <c r="B86" s="5" t="s">
        <v>217</v>
      </c>
      <c r="C86" s="2" t="s">
        <v>218</v>
      </c>
      <c r="D86" s="2"/>
      <c r="E86" s="2"/>
      <c r="F86" s="2">
        <v>15.7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v>41.2</v>
      </c>
      <c r="S86" s="2"/>
      <c r="T86" s="2"/>
      <c r="U86" s="2"/>
      <c r="V86" s="2">
        <v>2.5</v>
      </c>
      <c r="W86" s="2"/>
      <c r="X86" s="2"/>
      <c r="Y86" s="2"/>
      <c r="Z86" s="2"/>
      <c r="AA86" s="2"/>
      <c r="AB86" s="2">
        <v>11</v>
      </c>
      <c r="AC86" s="2"/>
      <c r="AD86" s="2"/>
      <c r="AE86" s="2"/>
      <c r="AF86" s="2">
        <v>1</v>
      </c>
      <c r="AG86" s="2"/>
      <c r="AH86" s="2"/>
      <c r="AI86" s="2">
        <v>4</v>
      </c>
      <c r="AJ86" s="2"/>
      <c r="AK86" s="2">
        <v>1</v>
      </c>
      <c r="AL86" s="2"/>
      <c r="AM86" s="2"/>
      <c r="AN86" s="2">
        <v>1</v>
      </c>
      <c r="AO86" s="2"/>
      <c r="AP86" s="2"/>
      <c r="AQ86" s="2"/>
      <c r="AR86" s="2"/>
      <c r="AS86" s="2"/>
      <c r="AT86" s="2"/>
      <c r="AU86" s="2">
        <v>3</v>
      </c>
      <c r="AV86" s="2">
        <v>1</v>
      </c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>
        <v>1</v>
      </c>
      <c r="BJ86" s="2"/>
      <c r="BK86" s="2">
        <v>2</v>
      </c>
      <c r="BL86" s="2"/>
      <c r="BM86" s="2">
        <v>2</v>
      </c>
      <c r="BN86" s="2"/>
      <c r="BO86" s="2">
        <v>2</v>
      </c>
      <c r="BP86" s="2">
        <v>4</v>
      </c>
      <c r="BQ86" s="2">
        <v>3</v>
      </c>
      <c r="BR86" s="2"/>
      <c r="BS86" s="2"/>
      <c r="BT86" s="2"/>
      <c r="BU86" s="2"/>
      <c r="BV86" s="2"/>
      <c r="BW86" s="2"/>
      <c r="BX86" s="2"/>
      <c r="BY86" s="2"/>
      <c r="BZ86" s="2">
        <v>1</v>
      </c>
      <c r="CA86" s="2"/>
      <c r="CB86" s="2"/>
      <c r="CC86" s="2"/>
      <c r="CD86" s="2">
        <v>2</v>
      </c>
      <c r="CE86" s="39" t="s">
        <v>326</v>
      </c>
      <c r="CF86" s="49" t="s">
        <v>217</v>
      </c>
      <c r="CG86" s="55" t="s">
        <v>218</v>
      </c>
      <c r="CH86" s="47">
        <f t="shared" si="32"/>
        <v>15.7</v>
      </c>
    </row>
    <row r="87" spans="1:86" s="3" customFormat="1" ht="15" customHeight="1">
      <c r="A87" s="17">
        <v>76</v>
      </c>
      <c r="B87" s="28" t="s">
        <v>219</v>
      </c>
      <c r="C87" s="2" t="s">
        <v>220</v>
      </c>
      <c r="D87" s="2"/>
      <c r="E87" s="2"/>
      <c r="F87" s="2"/>
      <c r="G87" s="2"/>
      <c r="H87" s="2">
        <v>28.8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42" t="s">
        <v>421</v>
      </c>
      <c r="CF87" s="51" t="s">
        <v>219</v>
      </c>
      <c r="CG87" s="57" t="s">
        <v>220</v>
      </c>
      <c r="CH87" s="47">
        <f t="shared" si="32"/>
        <v>28.8</v>
      </c>
    </row>
    <row r="88" spans="1:86" s="3" customFormat="1" ht="15" customHeight="1">
      <c r="A88" s="17">
        <v>77</v>
      </c>
      <c r="B88" s="5" t="s">
        <v>221</v>
      </c>
      <c r="C88" s="2" t="s">
        <v>222</v>
      </c>
      <c r="D88" s="2"/>
      <c r="E88" s="2"/>
      <c r="F88" s="2">
        <v>26.6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v>53.2</v>
      </c>
      <c r="S88" s="2"/>
      <c r="T88" s="2"/>
      <c r="U88" s="2"/>
      <c r="V88" s="2">
        <v>7.8</v>
      </c>
      <c r="W88" s="2"/>
      <c r="X88" s="2"/>
      <c r="Y88" s="2">
        <v>27.7</v>
      </c>
      <c r="Z88" s="2"/>
      <c r="AA88" s="2"/>
      <c r="AB88" s="2"/>
      <c r="AC88" s="2"/>
      <c r="AD88" s="2"/>
      <c r="AE88" s="2">
        <v>2</v>
      </c>
      <c r="AF88" s="2">
        <v>1</v>
      </c>
      <c r="AG88" s="2"/>
      <c r="AH88" s="2"/>
      <c r="AI88" s="2"/>
      <c r="AJ88" s="2">
        <v>19.9</v>
      </c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>
        <v>6</v>
      </c>
      <c r="AV88" s="2">
        <v>1</v>
      </c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>
        <v>2</v>
      </c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>
        <v>11</v>
      </c>
      <c r="CE88" s="39" t="s">
        <v>354</v>
      </c>
      <c r="CF88" s="49" t="s">
        <v>221</v>
      </c>
      <c r="CG88" s="55" t="s">
        <v>222</v>
      </c>
      <c r="CH88" s="47">
        <f t="shared" si="32"/>
        <v>26.6</v>
      </c>
    </row>
    <row r="89" spans="1:86" s="3" customFormat="1" ht="15" customHeight="1">
      <c r="A89" s="17">
        <v>78</v>
      </c>
      <c r="B89" s="5" t="s">
        <v>223</v>
      </c>
      <c r="C89" s="2" t="s">
        <v>224</v>
      </c>
      <c r="D89" s="2"/>
      <c r="E89" s="2"/>
      <c r="F89" s="2">
        <v>14.5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3.2</v>
      </c>
      <c r="S89" s="2"/>
      <c r="T89" s="2"/>
      <c r="U89" s="2"/>
      <c r="V89" s="2">
        <v>3</v>
      </c>
      <c r="W89" s="2"/>
      <c r="X89" s="2"/>
      <c r="Y89" s="2"/>
      <c r="Z89" s="2"/>
      <c r="AA89" s="2"/>
      <c r="AB89" s="2">
        <v>14</v>
      </c>
      <c r="AC89" s="2"/>
      <c r="AD89" s="2"/>
      <c r="AE89" s="2"/>
      <c r="AF89" s="2">
        <v>1</v>
      </c>
      <c r="AG89" s="2"/>
      <c r="AH89" s="2"/>
      <c r="AI89" s="2">
        <v>3.2</v>
      </c>
      <c r="AJ89" s="2"/>
      <c r="AK89" s="2">
        <v>1</v>
      </c>
      <c r="AL89" s="2"/>
      <c r="AM89" s="2"/>
      <c r="AN89" s="2"/>
      <c r="AO89" s="2"/>
      <c r="AP89" s="2"/>
      <c r="AQ89" s="2"/>
      <c r="AR89" s="2"/>
      <c r="AS89" s="2"/>
      <c r="AT89" s="2"/>
      <c r="AU89" s="2">
        <v>3</v>
      </c>
      <c r="AV89" s="2">
        <v>1</v>
      </c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>
        <v>1</v>
      </c>
      <c r="BJ89" s="2">
        <v>1</v>
      </c>
      <c r="BK89" s="2">
        <v>1</v>
      </c>
      <c r="BL89" s="2"/>
      <c r="BM89" s="2">
        <v>1</v>
      </c>
      <c r="BN89" s="2"/>
      <c r="BO89" s="2">
        <v>2</v>
      </c>
      <c r="BP89" s="2"/>
      <c r="BQ89" s="2">
        <v>2</v>
      </c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>
        <v>1</v>
      </c>
      <c r="CE89" s="39" t="s">
        <v>326</v>
      </c>
      <c r="CF89" s="49" t="s">
        <v>223</v>
      </c>
      <c r="CG89" s="55" t="s">
        <v>224</v>
      </c>
      <c r="CH89" s="47">
        <f t="shared" si="32"/>
        <v>14.5</v>
      </c>
    </row>
    <row r="90" spans="1:86" s="3" customFormat="1" ht="15" customHeight="1">
      <c r="A90" s="17">
        <v>79</v>
      </c>
      <c r="B90" s="5" t="s">
        <v>379</v>
      </c>
      <c r="C90" s="70" t="s">
        <v>380</v>
      </c>
      <c r="D90" s="2"/>
      <c r="E90" s="2"/>
      <c r="F90" s="2">
        <v>67.4</v>
      </c>
      <c r="G90" s="2"/>
      <c r="H90" s="2"/>
      <c r="I90" s="2"/>
      <c r="J90" s="2"/>
      <c r="K90" s="2"/>
      <c r="L90" s="2"/>
      <c r="M90" s="2"/>
      <c r="N90" s="2">
        <v>7.2</v>
      </c>
      <c r="O90" s="2"/>
      <c r="P90" s="2">
        <v>259.5</v>
      </c>
      <c r="Q90" s="2"/>
      <c r="R90" s="2">
        <v>12.5</v>
      </c>
      <c r="S90" s="2"/>
      <c r="T90" s="2"/>
      <c r="U90" s="2"/>
      <c r="V90" s="2">
        <v>8.05</v>
      </c>
      <c r="W90" s="2"/>
      <c r="X90" s="2"/>
      <c r="Y90" s="2">
        <v>10</v>
      </c>
      <c r="Z90" s="2"/>
      <c r="AA90" s="2"/>
      <c r="AB90" s="2"/>
      <c r="AC90" s="2"/>
      <c r="AD90" s="2"/>
      <c r="AE90" s="2">
        <v>5</v>
      </c>
      <c r="AF90" s="2">
        <v>1</v>
      </c>
      <c r="AG90" s="2">
        <v>1</v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65" t="s">
        <v>365</v>
      </c>
      <c r="CF90" s="49" t="s">
        <v>379</v>
      </c>
      <c r="CG90" s="55" t="s">
        <v>380</v>
      </c>
      <c r="CH90" s="66"/>
    </row>
    <row r="91" spans="1:86" s="3" customFormat="1" ht="15" customHeight="1">
      <c r="A91" s="17"/>
      <c r="B91" s="13"/>
      <c r="C91" s="14"/>
      <c r="D91" s="14">
        <f>SUM(D76:D89)</f>
        <v>618.7</v>
      </c>
      <c r="E91" s="14">
        <f aca="true" t="shared" si="33" ref="E91:M91">SUM(E76:E89)</f>
        <v>277.4</v>
      </c>
      <c r="F91" s="14">
        <f t="shared" si="33"/>
        <v>939.5000000000001</v>
      </c>
      <c r="G91" s="14">
        <f t="shared" si="33"/>
        <v>285.8</v>
      </c>
      <c r="H91" s="14">
        <f t="shared" si="33"/>
        <v>513.9</v>
      </c>
      <c r="I91" s="14">
        <f t="shared" si="33"/>
        <v>13.4</v>
      </c>
      <c r="J91" s="14">
        <f t="shared" si="33"/>
        <v>0</v>
      </c>
      <c r="K91" s="14">
        <f t="shared" si="33"/>
        <v>117.9</v>
      </c>
      <c r="L91" s="14">
        <f t="shared" si="33"/>
        <v>18.5</v>
      </c>
      <c r="M91" s="14">
        <f t="shared" si="33"/>
        <v>5.2</v>
      </c>
      <c r="N91" s="14">
        <f>SUM(N76:N89)</f>
        <v>0</v>
      </c>
      <c r="O91" s="14">
        <f>SUM(O76:O89)</f>
        <v>0</v>
      </c>
      <c r="P91" s="14">
        <f>SUM(P76:P90)</f>
        <v>259.5</v>
      </c>
      <c r="Q91" s="14">
        <f>SUM(Q76:Q89)</f>
        <v>1783.6000000000001</v>
      </c>
      <c r="R91" s="14">
        <f>SUM(R76:R90)</f>
        <v>1930.9000000000003</v>
      </c>
      <c r="S91" s="14">
        <f>SUM(S76:S89)</f>
        <v>58.2</v>
      </c>
      <c r="T91" s="14">
        <f aca="true" t="shared" si="34" ref="T91:AW91">SUM(T76:T89)</f>
        <v>42.9</v>
      </c>
      <c r="U91" s="14">
        <f t="shared" si="34"/>
        <v>0</v>
      </c>
      <c r="V91" s="14">
        <f>SUM(V76:V90)</f>
        <v>474.3499999999999</v>
      </c>
      <c r="W91" s="14">
        <f t="shared" si="34"/>
        <v>0</v>
      </c>
      <c r="X91" s="14">
        <f t="shared" si="34"/>
        <v>3.8</v>
      </c>
      <c r="Y91" s="14">
        <f t="shared" si="34"/>
        <v>186.1</v>
      </c>
      <c r="Z91" s="14">
        <f t="shared" si="34"/>
        <v>0</v>
      </c>
      <c r="AA91" s="14">
        <f t="shared" si="34"/>
        <v>0</v>
      </c>
      <c r="AB91" s="14">
        <f t="shared" si="34"/>
        <v>1550</v>
      </c>
      <c r="AC91" s="14">
        <f t="shared" si="34"/>
        <v>0</v>
      </c>
      <c r="AD91" s="14">
        <f t="shared" si="34"/>
        <v>20</v>
      </c>
      <c r="AE91" s="14">
        <f>SUM(AE76:AE90)</f>
        <v>9</v>
      </c>
      <c r="AF91" s="14">
        <f>SUM(AF76:AF90)</f>
        <v>65</v>
      </c>
      <c r="AG91" s="14">
        <f>SUM(AG76:AG90)</f>
        <v>11</v>
      </c>
      <c r="AH91" s="14">
        <f t="shared" si="34"/>
        <v>9</v>
      </c>
      <c r="AI91" s="14">
        <f t="shared" si="34"/>
        <v>266.90000000000003</v>
      </c>
      <c r="AJ91" s="14">
        <f t="shared" si="34"/>
        <v>32.5</v>
      </c>
      <c r="AK91" s="14">
        <f t="shared" si="34"/>
        <v>82</v>
      </c>
      <c r="AL91" s="14">
        <f t="shared" si="34"/>
        <v>51</v>
      </c>
      <c r="AM91" s="14">
        <f t="shared" si="34"/>
        <v>3</v>
      </c>
      <c r="AN91" s="14">
        <f t="shared" si="34"/>
        <v>27</v>
      </c>
      <c r="AO91" s="14">
        <f t="shared" si="34"/>
        <v>0</v>
      </c>
      <c r="AP91" s="14">
        <f t="shared" si="34"/>
        <v>1</v>
      </c>
      <c r="AQ91" s="14">
        <f t="shared" si="34"/>
        <v>0</v>
      </c>
      <c r="AR91" s="14">
        <f t="shared" si="34"/>
        <v>0</v>
      </c>
      <c r="AS91" s="14">
        <f t="shared" si="34"/>
        <v>0</v>
      </c>
      <c r="AT91" s="14">
        <f t="shared" si="34"/>
        <v>2</v>
      </c>
      <c r="AU91" s="14">
        <f t="shared" si="34"/>
        <v>501</v>
      </c>
      <c r="AV91" s="14">
        <f t="shared" si="34"/>
        <v>193</v>
      </c>
      <c r="AW91" s="14">
        <f t="shared" si="34"/>
        <v>0</v>
      </c>
      <c r="AX91" s="14">
        <f aca="true" t="shared" si="35" ref="AX91:BZ91">SUM(AX76:AX89)</f>
        <v>4</v>
      </c>
      <c r="AY91" s="14">
        <f t="shared" si="35"/>
        <v>16</v>
      </c>
      <c r="AZ91" s="14">
        <f t="shared" si="35"/>
        <v>14</v>
      </c>
      <c r="BA91" s="14">
        <f t="shared" si="35"/>
        <v>0</v>
      </c>
      <c r="BB91" s="14">
        <f t="shared" si="35"/>
        <v>4</v>
      </c>
      <c r="BC91" s="14">
        <f t="shared" si="35"/>
        <v>1</v>
      </c>
      <c r="BD91" s="14">
        <f t="shared" si="35"/>
        <v>0</v>
      </c>
      <c r="BE91" s="14">
        <f t="shared" si="35"/>
        <v>0</v>
      </c>
      <c r="BF91" s="14">
        <f t="shared" si="35"/>
        <v>0</v>
      </c>
      <c r="BG91" s="14">
        <f t="shared" si="35"/>
        <v>62.2</v>
      </c>
      <c r="BH91" s="14">
        <f t="shared" si="35"/>
        <v>68</v>
      </c>
      <c r="BI91" s="14">
        <f t="shared" si="35"/>
        <v>82</v>
      </c>
      <c r="BJ91" s="14">
        <f t="shared" si="35"/>
        <v>50</v>
      </c>
      <c r="BK91" s="14">
        <f t="shared" si="35"/>
        <v>101</v>
      </c>
      <c r="BL91" s="14">
        <f t="shared" si="35"/>
        <v>7</v>
      </c>
      <c r="BM91" s="14">
        <f t="shared" si="35"/>
        <v>10</v>
      </c>
      <c r="BN91" s="14">
        <f t="shared" si="35"/>
        <v>0</v>
      </c>
      <c r="BO91" s="14">
        <f t="shared" si="35"/>
        <v>100</v>
      </c>
      <c r="BP91" s="14">
        <f t="shared" si="35"/>
        <v>167.4</v>
      </c>
      <c r="BQ91" s="14">
        <f t="shared" si="35"/>
        <v>105</v>
      </c>
      <c r="BR91" s="14">
        <f t="shared" si="35"/>
        <v>14</v>
      </c>
      <c r="BS91" s="14">
        <f t="shared" si="35"/>
        <v>16</v>
      </c>
      <c r="BT91" s="14">
        <f t="shared" si="35"/>
        <v>40.8</v>
      </c>
      <c r="BU91" s="14">
        <f t="shared" si="35"/>
        <v>28.9</v>
      </c>
      <c r="BV91" s="14">
        <f t="shared" si="35"/>
        <v>0</v>
      </c>
      <c r="BW91" s="14">
        <f t="shared" si="35"/>
        <v>0</v>
      </c>
      <c r="BX91" s="14">
        <f t="shared" si="35"/>
        <v>8</v>
      </c>
      <c r="BY91" s="14">
        <f t="shared" si="35"/>
        <v>0</v>
      </c>
      <c r="BZ91" s="14">
        <f t="shared" si="35"/>
        <v>59</v>
      </c>
      <c r="CA91" s="14">
        <f>SUM(CA76:CA89)</f>
        <v>73.10000000000001</v>
      </c>
      <c r="CB91" s="14">
        <f>SUM(CB76:CB89)</f>
        <v>9</v>
      </c>
      <c r="CC91" s="14">
        <f>SUM(CC76:CC89)</f>
        <v>0</v>
      </c>
      <c r="CD91" s="14">
        <f>SUM(CD76:CD89)</f>
        <v>98</v>
      </c>
      <c r="CE91" s="41"/>
      <c r="CF91" s="50"/>
      <c r="CG91" s="56"/>
      <c r="CH91" s="56"/>
    </row>
    <row r="92" spans="1:86" s="3" customFormat="1" ht="15" customHeight="1">
      <c r="A92" s="17">
        <v>80</v>
      </c>
      <c r="B92" s="5" t="s">
        <v>225</v>
      </c>
      <c r="C92" s="2" t="s">
        <v>33</v>
      </c>
      <c r="D92" s="2">
        <v>74.4</v>
      </c>
      <c r="E92" s="2"/>
      <c r="F92" s="2">
        <v>27</v>
      </c>
      <c r="G92" s="2"/>
      <c r="H92" s="2">
        <v>296.8</v>
      </c>
      <c r="I92" s="2"/>
      <c r="J92" s="2"/>
      <c r="K92" s="2"/>
      <c r="L92" s="2">
        <v>10.3</v>
      </c>
      <c r="M92" s="2">
        <f>108.6-23.5</f>
        <v>85.1</v>
      </c>
      <c r="N92" s="2"/>
      <c r="O92" s="2"/>
      <c r="P92" s="2"/>
      <c r="Q92" s="2">
        <f>582.3--27.7</f>
        <v>610</v>
      </c>
      <c r="R92" s="2">
        <f>133.6-10</f>
        <v>123.6</v>
      </c>
      <c r="S92" s="2"/>
      <c r="T92" s="2">
        <v>0.9</v>
      </c>
      <c r="U92" s="2"/>
      <c r="V92" s="2">
        <v>34.3</v>
      </c>
      <c r="W92" s="2"/>
      <c r="X92" s="2"/>
      <c r="Y92" s="2">
        <v>63.4</v>
      </c>
      <c r="Z92" s="2">
        <v>1</v>
      </c>
      <c r="AA92" s="2"/>
      <c r="AB92" s="2">
        <v>183</v>
      </c>
      <c r="AC92" s="2"/>
      <c r="AD92" s="2"/>
      <c r="AE92" s="2"/>
      <c r="AF92" s="2">
        <v>5</v>
      </c>
      <c r="AG92" s="2">
        <v>3</v>
      </c>
      <c r="AH92" s="2">
        <v>2</v>
      </c>
      <c r="AI92" s="2">
        <v>29.1</v>
      </c>
      <c r="AJ92" s="2"/>
      <c r="AK92" s="2">
        <v>22</v>
      </c>
      <c r="AL92" s="2"/>
      <c r="AM92" s="2"/>
      <c r="AN92" s="2">
        <v>5</v>
      </c>
      <c r="AO92" s="2"/>
      <c r="AP92" s="2"/>
      <c r="AQ92" s="2"/>
      <c r="AR92" s="2"/>
      <c r="AS92" s="2"/>
      <c r="AT92" s="2">
        <v>2</v>
      </c>
      <c r="AU92" s="2">
        <v>77</v>
      </c>
      <c r="AV92" s="2">
        <v>31</v>
      </c>
      <c r="AW92" s="2"/>
      <c r="AX92" s="2"/>
      <c r="AY92" s="2">
        <v>1</v>
      </c>
      <c r="AZ92" s="2">
        <v>1</v>
      </c>
      <c r="BA92" s="2"/>
      <c r="BB92" s="2"/>
      <c r="BC92" s="2"/>
      <c r="BD92" s="2"/>
      <c r="BE92" s="2"/>
      <c r="BF92" s="2"/>
      <c r="BG92" s="2">
        <v>2.4</v>
      </c>
      <c r="BH92" s="2">
        <v>10</v>
      </c>
      <c r="BI92" s="2">
        <v>26</v>
      </c>
      <c r="BJ92" s="2">
        <v>9</v>
      </c>
      <c r="BK92" s="2">
        <v>9</v>
      </c>
      <c r="BL92" s="2"/>
      <c r="BM92" s="2"/>
      <c r="BN92" s="2"/>
      <c r="BO92" s="2">
        <v>3</v>
      </c>
      <c r="BP92" s="2"/>
      <c r="BQ92" s="2">
        <v>17</v>
      </c>
      <c r="BR92" s="2">
        <v>7</v>
      </c>
      <c r="BS92" s="2">
        <v>20</v>
      </c>
      <c r="BT92" s="2"/>
      <c r="BU92" s="2">
        <v>2.9</v>
      </c>
      <c r="BV92" s="2"/>
      <c r="BW92" s="2"/>
      <c r="BX92" s="2"/>
      <c r="BY92" s="2">
        <v>3.8</v>
      </c>
      <c r="BZ92" s="2">
        <v>12</v>
      </c>
      <c r="CA92" s="2"/>
      <c r="CB92" s="2"/>
      <c r="CC92" s="2"/>
      <c r="CD92" s="2"/>
      <c r="CE92" s="39" t="s">
        <v>366</v>
      </c>
      <c r="CF92" s="49" t="s">
        <v>225</v>
      </c>
      <c r="CG92" s="55" t="s">
        <v>33</v>
      </c>
      <c r="CH92" s="47">
        <f>SUM(D92:N92)</f>
        <v>493.6</v>
      </c>
    </row>
    <row r="93" spans="1:86" s="3" customFormat="1" ht="15" customHeight="1">
      <c r="A93" s="17">
        <v>81</v>
      </c>
      <c r="B93" s="5" t="s">
        <v>226</v>
      </c>
      <c r="C93" s="2" t="s">
        <v>227</v>
      </c>
      <c r="D93" s="2"/>
      <c r="E93" s="2">
        <v>65.3</v>
      </c>
      <c r="F93" s="2">
        <v>36.3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>
        <v>13.3</v>
      </c>
      <c r="W93" s="2"/>
      <c r="X93" s="2"/>
      <c r="Y93" s="2"/>
      <c r="Z93" s="2"/>
      <c r="AA93" s="2"/>
      <c r="AB93" s="2">
        <v>81</v>
      </c>
      <c r="AC93" s="2"/>
      <c r="AD93" s="2"/>
      <c r="AE93" s="2"/>
      <c r="AF93" s="2"/>
      <c r="AG93" s="2"/>
      <c r="AH93" s="2"/>
      <c r="AI93" s="2">
        <v>11.2</v>
      </c>
      <c r="AJ93" s="2"/>
      <c r="AK93" s="2"/>
      <c r="AL93" s="2">
        <v>6</v>
      </c>
      <c r="AM93" s="2"/>
      <c r="AN93" s="2"/>
      <c r="AO93" s="2"/>
      <c r="AP93" s="2"/>
      <c r="AQ93" s="2"/>
      <c r="AR93" s="2"/>
      <c r="AS93" s="2"/>
      <c r="AT93" s="2"/>
      <c r="AU93" s="2">
        <v>20</v>
      </c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>
        <v>4</v>
      </c>
      <c r="BJ93" s="2"/>
      <c r="BK93" s="2">
        <v>11</v>
      </c>
      <c r="BL93" s="2"/>
      <c r="BM93" s="2"/>
      <c r="BN93" s="2"/>
      <c r="BO93" s="2"/>
      <c r="BP93" s="2"/>
      <c r="BQ93" s="2">
        <v>6</v>
      </c>
      <c r="BR93" s="2"/>
      <c r="BS93" s="2"/>
      <c r="BT93" s="2"/>
      <c r="BU93" s="2"/>
      <c r="BV93" s="2"/>
      <c r="BW93" s="2"/>
      <c r="BX93" s="2"/>
      <c r="BY93" s="2"/>
      <c r="BZ93" s="2">
        <v>7</v>
      </c>
      <c r="CA93" s="2"/>
      <c r="CB93" s="2"/>
      <c r="CC93" s="2"/>
      <c r="CD93" s="2">
        <v>18</v>
      </c>
      <c r="CE93" s="39" t="s">
        <v>334</v>
      </c>
      <c r="CF93" s="49" t="s">
        <v>226</v>
      </c>
      <c r="CG93" s="55" t="s">
        <v>227</v>
      </c>
      <c r="CH93" s="47">
        <f>SUM(D93:N93)</f>
        <v>101.6</v>
      </c>
    </row>
    <row r="94" spans="1:86" s="3" customFormat="1" ht="15" customHeight="1">
      <c r="A94" s="17"/>
      <c r="B94" s="13"/>
      <c r="C94" s="14"/>
      <c r="D94" s="14">
        <f>SUM(D92:D93)</f>
        <v>74.4</v>
      </c>
      <c r="E94" s="14">
        <f aca="true" t="shared" si="36" ref="E94:O94">SUM(E92:E93)</f>
        <v>65.3</v>
      </c>
      <c r="F94" s="14">
        <f t="shared" si="36"/>
        <v>63.3</v>
      </c>
      <c r="G94" s="14">
        <f t="shared" si="36"/>
        <v>0</v>
      </c>
      <c r="H94" s="14">
        <f t="shared" si="36"/>
        <v>296.8</v>
      </c>
      <c r="I94" s="14">
        <f t="shared" si="36"/>
        <v>0</v>
      </c>
      <c r="J94" s="14">
        <f t="shared" si="36"/>
        <v>0</v>
      </c>
      <c r="K94" s="14">
        <f t="shared" si="36"/>
        <v>0</v>
      </c>
      <c r="L94" s="14">
        <f t="shared" si="36"/>
        <v>10.3</v>
      </c>
      <c r="M94" s="14">
        <f t="shared" si="36"/>
        <v>85.1</v>
      </c>
      <c r="N94" s="14">
        <f t="shared" si="36"/>
        <v>0</v>
      </c>
      <c r="O94" s="14">
        <f t="shared" si="36"/>
        <v>0</v>
      </c>
      <c r="P94" s="14">
        <f>SUM(P92:P93)</f>
        <v>0</v>
      </c>
      <c r="Q94" s="14">
        <f>SUM(Q92:Q93)</f>
        <v>610</v>
      </c>
      <c r="R94" s="14">
        <f>SUM(R92:R93)</f>
        <v>123.6</v>
      </c>
      <c r="S94" s="14">
        <f>SUM(S92:S93)</f>
        <v>0</v>
      </c>
      <c r="T94" s="14">
        <f aca="true" t="shared" si="37" ref="T94:AW94">SUM(T92:T93)</f>
        <v>0.9</v>
      </c>
      <c r="U94" s="14">
        <f t="shared" si="37"/>
        <v>0</v>
      </c>
      <c r="V94" s="14">
        <f t="shared" si="37"/>
        <v>47.599999999999994</v>
      </c>
      <c r="W94" s="14">
        <f t="shared" si="37"/>
        <v>0</v>
      </c>
      <c r="X94" s="14">
        <f t="shared" si="37"/>
        <v>0</v>
      </c>
      <c r="Y94" s="14">
        <f t="shared" si="37"/>
        <v>63.4</v>
      </c>
      <c r="Z94" s="14">
        <f t="shared" si="37"/>
        <v>1</v>
      </c>
      <c r="AA94" s="14">
        <f t="shared" si="37"/>
        <v>0</v>
      </c>
      <c r="AB94" s="14">
        <f t="shared" si="37"/>
        <v>264</v>
      </c>
      <c r="AC94" s="14">
        <f t="shared" si="37"/>
        <v>0</v>
      </c>
      <c r="AD94" s="14">
        <f t="shared" si="37"/>
        <v>0</v>
      </c>
      <c r="AE94" s="14">
        <f t="shared" si="37"/>
        <v>0</v>
      </c>
      <c r="AF94" s="14">
        <f t="shared" si="37"/>
        <v>5</v>
      </c>
      <c r="AG94" s="14">
        <f t="shared" si="37"/>
        <v>3</v>
      </c>
      <c r="AH94" s="14">
        <f t="shared" si="37"/>
        <v>2</v>
      </c>
      <c r="AI94" s="14">
        <f t="shared" si="37"/>
        <v>40.3</v>
      </c>
      <c r="AJ94" s="14">
        <f t="shared" si="37"/>
        <v>0</v>
      </c>
      <c r="AK94" s="14">
        <f t="shared" si="37"/>
        <v>22</v>
      </c>
      <c r="AL94" s="14">
        <f t="shared" si="37"/>
        <v>6</v>
      </c>
      <c r="AM94" s="14">
        <f t="shared" si="37"/>
        <v>0</v>
      </c>
      <c r="AN94" s="14">
        <f t="shared" si="37"/>
        <v>5</v>
      </c>
      <c r="AO94" s="14">
        <f t="shared" si="37"/>
        <v>0</v>
      </c>
      <c r="AP94" s="14">
        <f t="shared" si="37"/>
        <v>0</v>
      </c>
      <c r="AQ94" s="14">
        <f t="shared" si="37"/>
        <v>0</v>
      </c>
      <c r="AR94" s="14">
        <f t="shared" si="37"/>
        <v>0</v>
      </c>
      <c r="AS94" s="14">
        <f t="shared" si="37"/>
        <v>0</v>
      </c>
      <c r="AT94" s="14">
        <f t="shared" si="37"/>
        <v>2</v>
      </c>
      <c r="AU94" s="14">
        <f t="shared" si="37"/>
        <v>97</v>
      </c>
      <c r="AV94" s="14">
        <f t="shared" si="37"/>
        <v>31</v>
      </c>
      <c r="AW94" s="14">
        <f t="shared" si="37"/>
        <v>0</v>
      </c>
      <c r="AX94" s="14">
        <f aca="true" t="shared" si="38" ref="AX94:BZ94">SUM(AX92:AX93)</f>
        <v>0</v>
      </c>
      <c r="AY94" s="14">
        <f t="shared" si="38"/>
        <v>1</v>
      </c>
      <c r="AZ94" s="14">
        <f t="shared" si="38"/>
        <v>1</v>
      </c>
      <c r="BA94" s="14">
        <f t="shared" si="38"/>
        <v>0</v>
      </c>
      <c r="BB94" s="14">
        <f t="shared" si="38"/>
        <v>0</v>
      </c>
      <c r="BC94" s="14">
        <f t="shared" si="38"/>
        <v>0</v>
      </c>
      <c r="BD94" s="14">
        <f t="shared" si="38"/>
        <v>0</v>
      </c>
      <c r="BE94" s="14">
        <f t="shared" si="38"/>
        <v>0</v>
      </c>
      <c r="BF94" s="14">
        <f t="shared" si="38"/>
        <v>0</v>
      </c>
      <c r="BG94" s="14">
        <f t="shared" si="38"/>
        <v>2.4</v>
      </c>
      <c r="BH94" s="14">
        <f t="shared" si="38"/>
        <v>10</v>
      </c>
      <c r="BI94" s="14">
        <f t="shared" si="38"/>
        <v>30</v>
      </c>
      <c r="BJ94" s="14">
        <f t="shared" si="38"/>
        <v>9</v>
      </c>
      <c r="BK94" s="14">
        <f t="shared" si="38"/>
        <v>20</v>
      </c>
      <c r="BL94" s="14">
        <f t="shared" si="38"/>
        <v>0</v>
      </c>
      <c r="BM94" s="14">
        <f t="shared" si="38"/>
        <v>0</v>
      </c>
      <c r="BN94" s="14">
        <f t="shared" si="38"/>
        <v>0</v>
      </c>
      <c r="BO94" s="14">
        <f t="shared" si="38"/>
        <v>3</v>
      </c>
      <c r="BP94" s="14">
        <f t="shared" si="38"/>
        <v>0</v>
      </c>
      <c r="BQ94" s="14">
        <f t="shared" si="38"/>
        <v>23</v>
      </c>
      <c r="BR94" s="14">
        <f t="shared" si="38"/>
        <v>7</v>
      </c>
      <c r="BS94" s="14">
        <f t="shared" si="38"/>
        <v>20</v>
      </c>
      <c r="BT94" s="14">
        <f t="shared" si="38"/>
        <v>0</v>
      </c>
      <c r="BU94" s="14">
        <f t="shared" si="38"/>
        <v>2.9</v>
      </c>
      <c r="BV94" s="14">
        <f t="shared" si="38"/>
        <v>0</v>
      </c>
      <c r="BW94" s="14">
        <f t="shared" si="38"/>
        <v>0</v>
      </c>
      <c r="BX94" s="14">
        <f t="shared" si="38"/>
        <v>0</v>
      </c>
      <c r="BY94" s="14">
        <f t="shared" si="38"/>
        <v>3.8</v>
      </c>
      <c r="BZ94" s="14">
        <f t="shared" si="38"/>
        <v>19</v>
      </c>
      <c r="CA94" s="14">
        <f>SUM(CA92:CA93)</f>
        <v>0</v>
      </c>
      <c r="CB94" s="14">
        <f>SUM(CB92:CB93)</f>
        <v>0</v>
      </c>
      <c r="CC94" s="14">
        <f>SUM(CC92:CC93)</f>
        <v>0</v>
      </c>
      <c r="CD94" s="14">
        <f>SUM(CD92:CD93)</f>
        <v>18</v>
      </c>
      <c r="CE94" s="41"/>
      <c r="CF94" s="50"/>
      <c r="CG94" s="56"/>
      <c r="CH94" s="56"/>
    </row>
    <row r="95" spans="1:86" s="20" customFormat="1" ht="15" customHeight="1">
      <c r="A95" s="17">
        <v>82</v>
      </c>
      <c r="B95" s="27" t="s">
        <v>228</v>
      </c>
      <c r="C95" s="19" t="s">
        <v>229</v>
      </c>
      <c r="D95" s="19"/>
      <c r="E95" s="19"/>
      <c r="F95" s="19">
        <v>257.8</v>
      </c>
      <c r="G95" s="19"/>
      <c r="H95" s="19">
        <v>35.6</v>
      </c>
      <c r="I95" s="19"/>
      <c r="J95" s="19"/>
      <c r="K95" s="19"/>
      <c r="L95" s="19"/>
      <c r="M95" s="19">
        <v>110.7</v>
      </c>
      <c r="N95" s="19">
        <v>102</v>
      </c>
      <c r="O95" s="19"/>
      <c r="P95" s="19">
        <v>308.5</v>
      </c>
      <c r="Q95" s="19"/>
      <c r="R95" s="19">
        <v>548.7</v>
      </c>
      <c r="S95" s="19"/>
      <c r="T95" s="19"/>
      <c r="U95" s="19"/>
      <c r="V95" s="19">
        <v>37.4</v>
      </c>
      <c r="W95" s="19"/>
      <c r="X95" s="19"/>
      <c r="Y95" s="19"/>
      <c r="Z95" s="19"/>
      <c r="AA95" s="19"/>
      <c r="AB95" s="19"/>
      <c r="AC95" s="19"/>
      <c r="AD95" s="19">
        <v>109.1</v>
      </c>
      <c r="AE95" s="19">
        <v>2</v>
      </c>
      <c r="AF95" s="19">
        <v>13</v>
      </c>
      <c r="AG95" s="19">
        <v>1</v>
      </c>
      <c r="AH95" s="19">
        <v>2</v>
      </c>
      <c r="AI95" s="19">
        <v>42.4</v>
      </c>
      <c r="AJ95" s="19">
        <v>47.6</v>
      </c>
      <c r="AK95" s="19"/>
      <c r="AL95" s="19">
        <v>10</v>
      </c>
      <c r="AM95" s="19"/>
      <c r="AN95" s="19"/>
      <c r="AO95" s="19"/>
      <c r="AP95" s="19"/>
      <c r="AQ95" s="19"/>
      <c r="AR95" s="19"/>
      <c r="AS95" s="19"/>
      <c r="AT95" s="19"/>
      <c r="AU95" s="19">
        <v>27</v>
      </c>
      <c r="AV95" s="19">
        <v>8</v>
      </c>
      <c r="AW95" s="19"/>
      <c r="AX95" s="19">
        <v>53</v>
      </c>
      <c r="AY95" s="19">
        <v>4</v>
      </c>
      <c r="AZ95" s="19">
        <v>4</v>
      </c>
      <c r="BA95" s="19"/>
      <c r="BB95" s="19">
        <v>2</v>
      </c>
      <c r="BC95" s="19"/>
      <c r="BD95" s="19"/>
      <c r="BE95" s="19"/>
      <c r="BF95" s="19">
        <v>73</v>
      </c>
      <c r="BG95" s="19"/>
      <c r="BH95" s="19">
        <v>10</v>
      </c>
      <c r="BI95" s="19">
        <v>6</v>
      </c>
      <c r="BJ95" s="19">
        <v>7</v>
      </c>
      <c r="BK95" s="19">
        <v>5</v>
      </c>
      <c r="BL95" s="19"/>
      <c r="BM95" s="19"/>
      <c r="BN95" s="19"/>
      <c r="BO95" s="19">
        <v>6</v>
      </c>
      <c r="BP95" s="19"/>
      <c r="BQ95" s="19">
        <v>27</v>
      </c>
      <c r="BR95" s="19">
        <v>5</v>
      </c>
      <c r="BS95" s="19"/>
      <c r="BT95" s="19"/>
      <c r="BU95" s="19"/>
      <c r="BV95" s="19"/>
      <c r="BW95" s="19"/>
      <c r="BX95" s="19"/>
      <c r="BY95" s="19"/>
      <c r="BZ95" s="19">
        <v>5</v>
      </c>
      <c r="CA95" s="19"/>
      <c r="CB95" s="19"/>
      <c r="CC95" s="19"/>
      <c r="CD95" s="19"/>
      <c r="CE95" s="42" t="s">
        <v>320</v>
      </c>
      <c r="CF95" s="52" t="s">
        <v>228</v>
      </c>
      <c r="CG95" s="58" t="s">
        <v>229</v>
      </c>
      <c r="CH95" s="47">
        <f aca="true" t="shared" si="39" ref="CH95:CH101">SUM(D95:N95)</f>
        <v>506.1</v>
      </c>
    </row>
    <row r="96" spans="1:86" s="20" customFormat="1" ht="15" customHeight="1">
      <c r="A96" s="17">
        <v>86</v>
      </c>
      <c r="B96" s="27" t="s">
        <v>230</v>
      </c>
      <c r="C96" s="19" t="s">
        <v>231</v>
      </c>
      <c r="D96" s="19"/>
      <c r="E96" s="19">
        <v>46.7</v>
      </c>
      <c r="F96" s="19"/>
      <c r="G96" s="19"/>
      <c r="H96" s="19"/>
      <c r="I96" s="19"/>
      <c r="J96" s="19"/>
      <c r="K96" s="19"/>
      <c r="L96" s="19">
        <f>29.4</f>
        <v>29.4</v>
      </c>
      <c r="M96" s="19"/>
      <c r="N96" s="19"/>
      <c r="O96" s="19"/>
      <c r="P96" s="19"/>
      <c r="Q96" s="19"/>
      <c r="R96" s="19">
        <v>61.3</v>
      </c>
      <c r="S96" s="19"/>
      <c r="T96" s="19"/>
      <c r="U96" s="19"/>
      <c r="V96" s="19">
        <v>9.5</v>
      </c>
      <c r="W96" s="19"/>
      <c r="X96" s="19"/>
      <c r="Y96" s="19"/>
      <c r="Z96" s="19"/>
      <c r="AA96" s="19"/>
      <c r="AB96" s="19">
        <v>40</v>
      </c>
      <c r="AC96" s="19"/>
      <c r="AD96" s="19"/>
      <c r="AE96" s="19"/>
      <c r="AF96" s="19">
        <v>1</v>
      </c>
      <c r="AG96" s="19"/>
      <c r="AH96" s="19"/>
      <c r="AI96" s="19">
        <v>8.6</v>
      </c>
      <c r="AJ96" s="19"/>
      <c r="AK96" s="19"/>
      <c r="AL96" s="19">
        <v>5</v>
      </c>
      <c r="AM96" s="19"/>
      <c r="AN96" s="19"/>
      <c r="AO96" s="19"/>
      <c r="AP96" s="19"/>
      <c r="AQ96" s="19"/>
      <c r="AR96" s="19"/>
      <c r="AS96" s="19"/>
      <c r="AT96" s="19"/>
      <c r="AU96" s="19">
        <v>11</v>
      </c>
      <c r="AV96" s="19">
        <v>6</v>
      </c>
      <c r="AW96" s="19"/>
      <c r="AX96" s="19"/>
      <c r="AY96" s="19">
        <v>1</v>
      </c>
      <c r="AZ96" s="19">
        <v>1</v>
      </c>
      <c r="BA96" s="19"/>
      <c r="BB96" s="19"/>
      <c r="BC96" s="19"/>
      <c r="BD96" s="19"/>
      <c r="BE96" s="19"/>
      <c r="BF96" s="19"/>
      <c r="BG96" s="19"/>
      <c r="BH96" s="19"/>
      <c r="BI96" s="19">
        <v>3</v>
      </c>
      <c r="BJ96" s="19"/>
      <c r="BK96" s="19">
        <v>5</v>
      </c>
      <c r="BL96" s="19">
        <v>2</v>
      </c>
      <c r="BM96" s="19"/>
      <c r="BN96" s="19"/>
      <c r="BO96" s="19"/>
      <c r="BP96" s="19"/>
      <c r="BQ96" s="19">
        <v>4</v>
      </c>
      <c r="BR96" s="19"/>
      <c r="BS96" s="19"/>
      <c r="BT96" s="19"/>
      <c r="BU96" s="19"/>
      <c r="BV96" s="19"/>
      <c r="BW96" s="19"/>
      <c r="BX96" s="19"/>
      <c r="BY96" s="19"/>
      <c r="BZ96" s="19">
        <v>2</v>
      </c>
      <c r="CA96" s="19"/>
      <c r="CB96" s="19"/>
      <c r="CC96" s="19">
        <v>2</v>
      </c>
      <c r="CD96" s="19">
        <v>3</v>
      </c>
      <c r="CE96" s="42" t="s">
        <v>319</v>
      </c>
      <c r="CF96" s="52" t="s">
        <v>230</v>
      </c>
      <c r="CG96" s="58" t="s">
        <v>231</v>
      </c>
      <c r="CH96" s="47">
        <f t="shared" si="39"/>
        <v>76.1</v>
      </c>
    </row>
    <row r="97" spans="1:86" s="20" customFormat="1" ht="15" customHeight="1">
      <c r="A97" s="17">
        <v>87</v>
      </c>
      <c r="B97" s="27" t="s">
        <v>232</v>
      </c>
      <c r="C97" s="19" t="s">
        <v>233</v>
      </c>
      <c r="D97" s="19">
        <v>20.6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>
        <v>3.2</v>
      </c>
      <c r="S97" s="19"/>
      <c r="T97" s="19"/>
      <c r="U97" s="19"/>
      <c r="V97" s="19">
        <v>4.1</v>
      </c>
      <c r="W97" s="19"/>
      <c r="X97" s="19"/>
      <c r="Y97" s="19"/>
      <c r="Z97" s="19"/>
      <c r="AA97" s="19"/>
      <c r="AB97" s="19">
        <v>1</v>
      </c>
      <c r="AC97" s="19"/>
      <c r="AD97" s="19"/>
      <c r="AE97" s="19"/>
      <c r="AF97" s="19">
        <v>1</v>
      </c>
      <c r="AG97" s="19"/>
      <c r="AH97" s="19"/>
      <c r="AI97" s="19">
        <v>1.8</v>
      </c>
      <c r="AJ97" s="19"/>
      <c r="AK97" s="19">
        <v>1</v>
      </c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>
        <v>2</v>
      </c>
      <c r="BJ97" s="19"/>
      <c r="BK97" s="19">
        <v>3</v>
      </c>
      <c r="BL97" s="19"/>
      <c r="BM97" s="19"/>
      <c r="BN97" s="19"/>
      <c r="BO97" s="19"/>
      <c r="BP97" s="19"/>
      <c r="BQ97" s="19">
        <v>2</v>
      </c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39" t="s">
        <v>318</v>
      </c>
      <c r="CF97" s="52" t="s">
        <v>232</v>
      </c>
      <c r="CG97" s="58" t="s">
        <v>233</v>
      </c>
      <c r="CH97" s="47">
        <f t="shared" si="39"/>
        <v>20.6</v>
      </c>
    </row>
    <row r="98" spans="1:86" s="20" customFormat="1" ht="15" customHeight="1">
      <c r="A98" s="17">
        <v>88</v>
      </c>
      <c r="B98" s="27" t="s">
        <v>234</v>
      </c>
      <c r="C98" s="19" t="s">
        <v>298</v>
      </c>
      <c r="D98" s="19">
        <v>61.6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>
        <v>6.2</v>
      </c>
      <c r="S98" s="19"/>
      <c r="T98" s="19"/>
      <c r="U98" s="19"/>
      <c r="V98" s="19">
        <v>9.6</v>
      </c>
      <c r="W98" s="19"/>
      <c r="X98" s="19"/>
      <c r="Y98" s="19"/>
      <c r="Z98" s="19"/>
      <c r="AA98" s="19"/>
      <c r="AB98" s="19">
        <v>3</v>
      </c>
      <c r="AC98" s="19"/>
      <c r="AD98" s="19"/>
      <c r="AE98" s="19"/>
      <c r="AF98" s="19">
        <v>2</v>
      </c>
      <c r="AG98" s="19"/>
      <c r="AH98" s="19"/>
      <c r="AI98" s="19">
        <v>3.6</v>
      </c>
      <c r="AJ98" s="19"/>
      <c r="AK98" s="19">
        <v>2</v>
      </c>
      <c r="AL98" s="19">
        <v>1</v>
      </c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>
        <v>4</v>
      </c>
      <c r="BL98" s="19"/>
      <c r="BM98" s="19"/>
      <c r="BN98" s="19"/>
      <c r="BO98" s="19">
        <v>2</v>
      </c>
      <c r="BP98" s="19"/>
      <c r="BQ98" s="19">
        <v>4</v>
      </c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39" t="s">
        <v>318</v>
      </c>
      <c r="CF98" s="52" t="s">
        <v>234</v>
      </c>
      <c r="CG98" s="58" t="s">
        <v>298</v>
      </c>
      <c r="CH98" s="47">
        <f t="shared" si="39"/>
        <v>61.6</v>
      </c>
    </row>
    <row r="99" spans="1:86" s="20" customFormat="1" ht="15" customHeight="1">
      <c r="A99" s="17">
        <v>89</v>
      </c>
      <c r="B99" s="27" t="s">
        <v>299</v>
      </c>
      <c r="C99" s="19" t="s">
        <v>235</v>
      </c>
      <c r="D99" s="19"/>
      <c r="E99" s="19">
        <v>23</v>
      </c>
      <c r="F99" s="19"/>
      <c r="G99" s="19"/>
      <c r="H99" s="19">
        <v>3.5</v>
      </c>
      <c r="I99" s="19"/>
      <c r="J99" s="19"/>
      <c r="K99" s="19"/>
      <c r="L99" s="19"/>
      <c r="M99" s="19"/>
      <c r="N99" s="19"/>
      <c r="O99" s="19"/>
      <c r="P99" s="19"/>
      <c r="Q99" s="19"/>
      <c r="R99" s="19">
        <v>15.7</v>
      </c>
      <c r="S99" s="19"/>
      <c r="T99" s="19"/>
      <c r="U99" s="19"/>
      <c r="V99" s="19">
        <v>2.8</v>
      </c>
      <c r="W99" s="19"/>
      <c r="X99" s="19"/>
      <c r="Y99" s="19"/>
      <c r="Z99" s="19"/>
      <c r="AA99" s="19"/>
      <c r="AB99" s="19">
        <v>28</v>
      </c>
      <c r="AC99" s="19"/>
      <c r="AD99" s="19"/>
      <c r="AE99" s="19"/>
      <c r="AF99" s="19">
        <v>1</v>
      </c>
      <c r="AG99" s="19"/>
      <c r="AH99" s="19"/>
      <c r="AI99" s="19">
        <v>4.4</v>
      </c>
      <c r="AJ99" s="19"/>
      <c r="AK99" s="19"/>
      <c r="AL99" s="19">
        <v>2</v>
      </c>
      <c r="AM99" s="19"/>
      <c r="AN99" s="19"/>
      <c r="AO99" s="19"/>
      <c r="AP99" s="19"/>
      <c r="AQ99" s="19"/>
      <c r="AR99" s="19"/>
      <c r="AS99" s="19"/>
      <c r="AT99" s="19"/>
      <c r="AU99" s="19">
        <v>5</v>
      </c>
      <c r="AV99" s="19">
        <v>2</v>
      </c>
      <c r="AW99" s="19"/>
      <c r="AX99" s="19"/>
      <c r="AY99" s="19">
        <v>1</v>
      </c>
      <c r="AZ99" s="19">
        <v>1</v>
      </c>
      <c r="BA99" s="19"/>
      <c r="BB99" s="19"/>
      <c r="BC99" s="19"/>
      <c r="BD99" s="19"/>
      <c r="BE99" s="19"/>
      <c r="BF99" s="19"/>
      <c r="BG99" s="19"/>
      <c r="BH99" s="19"/>
      <c r="BI99" s="19">
        <v>2</v>
      </c>
      <c r="BJ99" s="19"/>
      <c r="BK99" s="19">
        <v>2</v>
      </c>
      <c r="BL99" s="19"/>
      <c r="BM99" s="19"/>
      <c r="BN99" s="19"/>
      <c r="BO99" s="19"/>
      <c r="BP99" s="19"/>
      <c r="BQ99" s="19">
        <v>1</v>
      </c>
      <c r="BR99" s="19"/>
      <c r="BS99" s="19"/>
      <c r="BT99" s="19"/>
      <c r="BU99" s="19"/>
      <c r="BV99" s="19"/>
      <c r="BW99" s="19"/>
      <c r="BX99" s="19"/>
      <c r="BY99" s="19"/>
      <c r="BZ99" s="19">
        <v>2</v>
      </c>
      <c r="CA99" s="19"/>
      <c r="CB99" s="19"/>
      <c r="CC99" s="19"/>
      <c r="CD99" s="19">
        <v>7</v>
      </c>
      <c r="CE99" s="39" t="s">
        <v>318</v>
      </c>
      <c r="CF99" s="52" t="s">
        <v>299</v>
      </c>
      <c r="CG99" s="58" t="s">
        <v>235</v>
      </c>
      <c r="CH99" s="47">
        <f t="shared" si="39"/>
        <v>26.5</v>
      </c>
    </row>
    <row r="100" spans="1:86" s="20" customFormat="1" ht="15" customHeight="1">
      <c r="A100" s="17">
        <v>90</v>
      </c>
      <c r="B100" s="27" t="s">
        <v>236</v>
      </c>
      <c r="C100" s="19" t="s">
        <v>237</v>
      </c>
      <c r="D100" s="19"/>
      <c r="E100" s="19">
        <v>31.9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>
        <v>4</v>
      </c>
      <c r="W100" s="19"/>
      <c r="X100" s="19"/>
      <c r="Y100" s="19"/>
      <c r="Z100" s="19"/>
      <c r="AA100" s="19"/>
      <c r="AB100" s="19">
        <v>34</v>
      </c>
      <c r="AC100" s="19"/>
      <c r="AD100" s="19"/>
      <c r="AE100" s="19"/>
      <c r="AF100" s="19"/>
      <c r="AG100" s="19"/>
      <c r="AH100" s="19"/>
      <c r="AI100" s="19">
        <v>3.2</v>
      </c>
      <c r="AJ100" s="19"/>
      <c r="AK100" s="19"/>
      <c r="AL100" s="19">
        <v>2</v>
      </c>
      <c r="AM100" s="19"/>
      <c r="AN100" s="19"/>
      <c r="AO100" s="19"/>
      <c r="AP100" s="19"/>
      <c r="AQ100" s="19"/>
      <c r="AR100" s="19"/>
      <c r="AS100" s="19"/>
      <c r="AT100" s="19"/>
      <c r="AU100" s="19">
        <v>5</v>
      </c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>
        <v>3</v>
      </c>
      <c r="BJ100" s="19"/>
      <c r="BK100" s="19">
        <v>3</v>
      </c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>
        <v>3</v>
      </c>
      <c r="CA100" s="19"/>
      <c r="CB100" s="19"/>
      <c r="CC100" s="19"/>
      <c r="CD100" s="19">
        <v>8</v>
      </c>
      <c r="CE100" s="39" t="s">
        <v>318</v>
      </c>
      <c r="CF100" s="52" t="s">
        <v>236</v>
      </c>
      <c r="CG100" s="58" t="s">
        <v>237</v>
      </c>
      <c r="CH100" s="47">
        <f t="shared" si="39"/>
        <v>31.9</v>
      </c>
    </row>
    <row r="101" spans="1:86" s="24" customFormat="1" ht="15" customHeight="1">
      <c r="A101" s="17">
        <v>91</v>
      </c>
      <c r="B101" s="28" t="s">
        <v>238</v>
      </c>
      <c r="C101" s="2" t="s">
        <v>84</v>
      </c>
      <c r="D101" s="23">
        <v>14.2</v>
      </c>
      <c r="E101" s="23"/>
      <c r="F101" s="23"/>
      <c r="G101" s="23"/>
      <c r="H101" s="23">
        <v>36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42" t="s">
        <v>420</v>
      </c>
      <c r="CF101" s="51" t="s">
        <v>238</v>
      </c>
      <c r="CG101" s="57" t="s">
        <v>84</v>
      </c>
      <c r="CH101" s="47">
        <f t="shared" si="39"/>
        <v>50.2</v>
      </c>
    </row>
    <row r="102" spans="1:86" s="3" customFormat="1" ht="15" customHeight="1">
      <c r="A102" s="17"/>
      <c r="B102" s="13"/>
      <c r="C102" s="14"/>
      <c r="D102" s="14">
        <f aca="true" t="shared" si="40" ref="D102:O102">SUM(D95:D101)</f>
        <v>96.4</v>
      </c>
      <c r="E102" s="14">
        <f t="shared" si="40"/>
        <v>101.6</v>
      </c>
      <c r="F102" s="14">
        <f t="shared" si="40"/>
        <v>257.8</v>
      </c>
      <c r="G102" s="14">
        <f t="shared" si="40"/>
        <v>0</v>
      </c>
      <c r="H102" s="14">
        <f t="shared" si="40"/>
        <v>75.1</v>
      </c>
      <c r="I102" s="14">
        <f t="shared" si="40"/>
        <v>0</v>
      </c>
      <c r="J102" s="14">
        <f t="shared" si="40"/>
        <v>0</v>
      </c>
      <c r="K102" s="14">
        <f t="shared" si="40"/>
        <v>0</v>
      </c>
      <c r="L102" s="14">
        <f t="shared" si="40"/>
        <v>29.4</v>
      </c>
      <c r="M102" s="14">
        <f t="shared" si="40"/>
        <v>110.7</v>
      </c>
      <c r="N102" s="14">
        <f t="shared" si="40"/>
        <v>102</v>
      </c>
      <c r="O102" s="14">
        <f t="shared" si="40"/>
        <v>0</v>
      </c>
      <c r="P102" s="14">
        <f>SUM(P95:P101)</f>
        <v>308.5</v>
      </c>
      <c r="Q102" s="14">
        <f>SUM(Q95:Q101)</f>
        <v>0</v>
      </c>
      <c r="R102" s="14">
        <f>SUM(R95:R101)</f>
        <v>635.1000000000001</v>
      </c>
      <c r="S102" s="14">
        <f aca="true" t="shared" si="41" ref="S102:AB102">SUM(S95:S101)</f>
        <v>0</v>
      </c>
      <c r="T102" s="14">
        <f t="shared" si="41"/>
        <v>0</v>
      </c>
      <c r="U102" s="14">
        <f t="shared" si="41"/>
        <v>0</v>
      </c>
      <c r="V102" s="14">
        <f t="shared" si="41"/>
        <v>67.4</v>
      </c>
      <c r="W102" s="14">
        <f t="shared" si="41"/>
        <v>0</v>
      </c>
      <c r="X102" s="14">
        <f t="shared" si="41"/>
        <v>0</v>
      </c>
      <c r="Y102" s="14">
        <f t="shared" si="41"/>
        <v>0</v>
      </c>
      <c r="Z102" s="14">
        <f t="shared" si="41"/>
        <v>0</v>
      </c>
      <c r="AA102" s="14">
        <f t="shared" si="41"/>
        <v>0</v>
      </c>
      <c r="AB102" s="14">
        <f t="shared" si="41"/>
        <v>106</v>
      </c>
      <c r="AC102" s="14">
        <f aca="true" t="shared" si="42" ref="AC102:AK102">SUM(AC95:AC101)</f>
        <v>0</v>
      </c>
      <c r="AD102" s="14">
        <f t="shared" si="42"/>
        <v>109.1</v>
      </c>
      <c r="AE102" s="14">
        <f t="shared" si="42"/>
        <v>2</v>
      </c>
      <c r="AF102" s="14">
        <f t="shared" si="42"/>
        <v>18</v>
      </c>
      <c r="AG102" s="14">
        <f t="shared" si="42"/>
        <v>1</v>
      </c>
      <c r="AH102" s="14">
        <f t="shared" si="42"/>
        <v>2</v>
      </c>
      <c r="AI102" s="14">
        <f t="shared" si="42"/>
        <v>64</v>
      </c>
      <c r="AJ102" s="14">
        <f t="shared" si="42"/>
        <v>47.6</v>
      </c>
      <c r="AK102" s="14">
        <f t="shared" si="42"/>
        <v>3</v>
      </c>
      <c r="AL102" s="14">
        <f aca="true" t="shared" si="43" ref="AL102:AT102">SUM(AL95:AL101)</f>
        <v>20</v>
      </c>
      <c r="AM102" s="14">
        <f t="shared" si="43"/>
        <v>0</v>
      </c>
      <c r="AN102" s="14">
        <f t="shared" si="43"/>
        <v>0</v>
      </c>
      <c r="AO102" s="14">
        <f t="shared" si="43"/>
        <v>0</v>
      </c>
      <c r="AP102" s="14">
        <f t="shared" si="43"/>
        <v>0</v>
      </c>
      <c r="AQ102" s="14">
        <f t="shared" si="43"/>
        <v>0</v>
      </c>
      <c r="AR102" s="14">
        <f t="shared" si="43"/>
        <v>0</v>
      </c>
      <c r="AS102" s="14">
        <f t="shared" si="43"/>
        <v>0</v>
      </c>
      <c r="AT102" s="14">
        <f t="shared" si="43"/>
        <v>0</v>
      </c>
      <c r="AU102" s="14">
        <f aca="true" t="shared" si="44" ref="AU102:BC102">SUM(AU95:AU101)</f>
        <v>48</v>
      </c>
      <c r="AV102" s="14">
        <f t="shared" si="44"/>
        <v>16</v>
      </c>
      <c r="AW102" s="14">
        <f t="shared" si="44"/>
        <v>0</v>
      </c>
      <c r="AX102" s="14">
        <f t="shared" si="44"/>
        <v>53</v>
      </c>
      <c r="AY102" s="14">
        <f t="shared" si="44"/>
        <v>6</v>
      </c>
      <c r="AZ102" s="14">
        <f t="shared" si="44"/>
        <v>6</v>
      </c>
      <c r="BA102" s="14">
        <f t="shared" si="44"/>
        <v>0</v>
      </c>
      <c r="BB102" s="14">
        <f t="shared" si="44"/>
        <v>2</v>
      </c>
      <c r="BC102" s="14">
        <f t="shared" si="44"/>
        <v>0</v>
      </c>
      <c r="BD102" s="14">
        <f aca="true" t="shared" si="45" ref="BD102:BL102">SUM(BD95:BD101)</f>
        <v>0</v>
      </c>
      <c r="BE102" s="14">
        <f t="shared" si="45"/>
        <v>0</v>
      </c>
      <c r="BF102" s="14">
        <f t="shared" si="45"/>
        <v>73</v>
      </c>
      <c r="BG102" s="14">
        <f t="shared" si="45"/>
        <v>0</v>
      </c>
      <c r="BH102" s="14">
        <f t="shared" si="45"/>
        <v>10</v>
      </c>
      <c r="BI102" s="14">
        <f t="shared" si="45"/>
        <v>16</v>
      </c>
      <c r="BJ102" s="14">
        <f t="shared" si="45"/>
        <v>7</v>
      </c>
      <c r="BK102" s="14">
        <f t="shared" si="45"/>
        <v>22</v>
      </c>
      <c r="BL102" s="14">
        <f t="shared" si="45"/>
        <v>2</v>
      </c>
      <c r="BM102" s="14">
        <f aca="true" t="shared" si="46" ref="BM102:BU102">SUM(BM95:BM101)</f>
        <v>0</v>
      </c>
      <c r="BN102" s="14">
        <f t="shared" si="46"/>
        <v>0</v>
      </c>
      <c r="BO102" s="14">
        <f t="shared" si="46"/>
        <v>8</v>
      </c>
      <c r="BP102" s="14">
        <f t="shared" si="46"/>
        <v>0</v>
      </c>
      <c r="BQ102" s="14">
        <f t="shared" si="46"/>
        <v>38</v>
      </c>
      <c r="BR102" s="14">
        <f t="shared" si="46"/>
        <v>5</v>
      </c>
      <c r="BS102" s="14">
        <f t="shared" si="46"/>
        <v>0</v>
      </c>
      <c r="BT102" s="14">
        <f t="shared" si="46"/>
        <v>0</v>
      </c>
      <c r="BU102" s="14">
        <f t="shared" si="46"/>
        <v>0</v>
      </c>
      <c r="BV102" s="14">
        <f aca="true" t="shared" si="47" ref="BV102:CD102">SUM(BV95:BV101)</f>
        <v>0</v>
      </c>
      <c r="BW102" s="14">
        <f t="shared" si="47"/>
        <v>0</v>
      </c>
      <c r="BX102" s="14">
        <f t="shared" si="47"/>
        <v>0</v>
      </c>
      <c r="BY102" s="14">
        <f t="shared" si="47"/>
        <v>0</v>
      </c>
      <c r="BZ102" s="14">
        <f t="shared" si="47"/>
        <v>12</v>
      </c>
      <c r="CA102" s="14">
        <f t="shared" si="47"/>
        <v>0</v>
      </c>
      <c r="CB102" s="14">
        <f t="shared" si="47"/>
        <v>0</v>
      </c>
      <c r="CC102" s="14">
        <f t="shared" si="47"/>
        <v>2</v>
      </c>
      <c r="CD102" s="14">
        <f t="shared" si="47"/>
        <v>18</v>
      </c>
      <c r="CE102" s="41"/>
      <c r="CF102" s="50"/>
      <c r="CG102" s="56"/>
      <c r="CH102" s="56"/>
    </row>
    <row r="103" spans="1:86" s="3" customFormat="1" ht="15" customHeight="1">
      <c r="A103" s="17">
        <v>94</v>
      </c>
      <c r="B103" s="5" t="s">
        <v>239</v>
      </c>
      <c r="C103" s="2" t="s">
        <v>240</v>
      </c>
      <c r="D103" s="2"/>
      <c r="E103" s="2">
        <v>33.3</v>
      </c>
      <c r="F103" s="2"/>
      <c r="G103" s="2"/>
      <c r="H103" s="2">
        <v>0.9</v>
      </c>
      <c r="I103" s="2"/>
      <c r="J103" s="2"/>
      <c r="K103" s="2"/>
      <c r="L103" s="2"/>
      <c r="M103" s="2">
        <v>3.9</v>
      </c>
      <c r="N103" s="2"/>
      <c r="O103" s="2"/>
      <c r="P103" s="2"/>
      <c r="Q103" s="2">
        <v>17.3</v>
      </c>
      <c r="R103" s="2">
        <v>11.6</v>
      </c>
      <c r="S103" s="2"/>
      <c r="T103" s="2"/>
      <c r="U103" s="2"/>
      <c r="V103" s="2">
        <v>12</v>
      </c>
      <c r="W103" s="2"/>
      <c r="X103" s="2"/>
      <c r="Y103" s="2"/>
      <c r="Z103" s="2"/>
      <c r="AA103" s="2"/>
      <c r="AB103" s="2">
        <v>30</v>
      </c>
      <c r="AC103" s="2">
        <v>8</v>
      </c>
      <c r="AD103" s="2"/>
      <c r="AE103" s="2"/>
      <c r="AF103" s="2">
        <v>1</v>
      </c>
      <c r="AG103" s="2"/>
      <c r="AH103" s="2"/>
      <c r="AI103" s="2">
        <v>9</v>
      </c>
      <c r="AJ103" s="2"/>
      <c r="AK103" s="2"/>
      <c r="AL103" s="2">
        <v>5</v>
      </c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>
        <v>1</v>
      </c>
      <c r="AZ103" s="2">
        <v>1</v>
      </c>
      <c r="BA103" s="2"/>
      <c r="BB103" s="2"/>
      <c r="BC103" s="2"/>
      <c r="BD103" s="2"/>
      <c r="BE103" s="2"/>
      <c r="BF103" s="2"/>
      <c r="BG103" s="2"/>
      <c r="BH103" s="2"/>
      <c r="BI103" s="2">
        <v>3</v>
      </c>
      <c r="BJ103" s="2"/>
      <c r="BK103" s="2">
        <v>3</v>
      </c>
      <c r="BL103" s="2"/>
      <c r="BM103" s="2"/>
      <c r="BN103" s="2"/>
      <c r="BO103" s="2"/>
      <c r="BP103" s="2"/>
      <c r="BQ103" s="2">
        <v>4</v>
      </c>
      <c r="BR103" s="2"/>
      <c r="BS103" s="2">
        <v>11</v>
      </c>
      <c r="BT103" s="2">
        <f>2.4*2.86</f>
        <v>6.864</v>
      </c>
      <c r="BU103" s="2"/>
      <c r="BV103" s="2"/>
      <c r="BW103" s="2"/>
      <c r="BX103" s="2"/>
      <c r="BY103" s="2">
        <v>3.2</v>
      </c>
      <c r="BZ103" s="2"/>
      <c r="CA103" s="2"/>
      <c r="CB103" s="2"/>
      <c r="CC103" s="2"/>
      <c r="CD103" s="2">
        <v>4</v>
      </c>
      <c r="CE103" s="39" t="s">
        <v>318</v>
      </c>
      <c r="CF103" s="49" t="s">
        <v>239</v>
      </c>
      <c r="CG103" s="55" t="s">
        <v>240</v>
      </c>
      <c r="CH103" s="47">
        <f aca="true" t="shared" si="48" ref="CH103:CH110">SUM(D103:N103)</f>
        <v>38.099999999999994</v>
      </c>
    </row>
    <row r="104" spans="1:86" s="3" customFormat="1" ht="15" customHeight="1">
      <c r="A104" s="17">
        <v>65</v>
      </c>
      <c r="B104" s="5" t="s">
        <v>241</v>
      </c>
      <c r="C104" s="2" t="s">
        <v>242</v>
      </c>
      <c r="D104" s="2"/>
      <c r="E104" s="2">
        <v>47.6</v>
      </c>
      <c r="F104" s="2"/>
      <c r="G104" s="2"/>
      <c r="H104" s="2"/>
      <c r="I104" s="2"/>
      <c r="J104" s="2"/>
      <c r="K104" s="2"/>
      <c r="L104" s="2"/>
      <c r="M104" s="2">
        <f>44.1+96.5</f>
        <v>140.6</v>
      </c>
      <c r="N104" s="2"/>
      <c r="O104" s="2"/>
      <c r="P104" s="2"/>
      <c r="Q104" s="2">
        <v>77.4</v>
      </c>
      <c r="R104" s="2">
        <v>27.9</v>
      </c>
      <c r="S104" s="2"/>
      <c r="T104" s="2"/>
      <c r="U104" s="2"/>
      <c r="V104" s="2">
        <v>11.9</v>
      </c>
      <c r="W104" s="2"/>
      <c r="X104" s="2"/>
      <c r="Y104" s="2"/>
      <c r="Z104" s="2"/>
      <c r="AA104" s="2"/>
      <c r="AB104" s="2">
        <v>43</v>
      </c>
      <c r="AC104" s="2">
        <v>11</v>
      </c>
      <c r="AD104" s="2">
        <v>0</v>
      </c>
      <c r="AE104" s="2"/>
      <c r="AF104" s="2">
        <v>2</v>
      </c>
      <c r="AG104" s="2"/>
      <c r="AH104" s="2"/>
      <c r="AI104" s="2">
        <v>13.6</v>
      </c>
      <c r="AJ104" s="2"/>
      <c r="AK104" s="2">
        <v>2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>
        <v>15</v>
      </c>
      <c r="AV104" s="2">
        <v>5</v>
      </c>
      <c r="AW104" s="2"/>
      <c r="AX104" s="2"/>
      <c r="AY104" s="2">
        <v>1</v>
      </c>
      <c r="AZ104" s="2">
        <v>1</v>
      </c>
      <c r="BA104" s="2"/>
      <c r="BB104" s="2"/>
      <c r="BC104" s="2">
        <v>1</v>
      </c>
      <c r="BD104" s="2"/>
      <c r="BE104" s="2"/>
      <c r="BF104" s="2"/>
      <c r="BG104" s="2"/>
      <c r="BH104" s="2">
        <v>10</v>
      </c>
      <c r="BI104" s="2">
        <v>2</v>
      </c>
      <c r="BJ104" s="2"/>
      <c r="BK104" s="2">
        <v>6</v>
      </c>
      <c r="BL104" s="2"/>
      <c r="BM104" s="2"/>
      <c r="BN104" s="2"/>
      <c r="BO104" s="2">
        <v>0</v>
      </c>
      <c r="BP104" s="2"/>
      <c r="BQ104" s="2">
        <v>3</v>
      </c>
      <c r="BR104" s="2">
        <v>5</v>
      </c>
      <c r="BS104" s="2"/>
      <c r="BT104" s="2"/>
      <c r="BU104" s="2"/>
      <c r="BV104" s="2"/>
      <c r="BW104" s="2"/>
      <c r="BX104" s="2"/>
      <c r="BY104" s="2"/>
      <c r="BZ104" s="2">
        <v>2</v>
      </c>
      <c r="CA104" s="2"/>
      <c r="CB104" s="2"/>
      <c r="CC104" s="2"/>
      <c r="CD104" s="2">
        <v>26</v>
      </c>
      <c r="CE104" s="39" t="s">
        <v>318</v>
      </c>
      <c r="CF104" s="49" t="s">
        <v>241</v>
      </c>
      <c r="CG104" s="55" t="s">
        <v>242</v>
      </c>
      <c r="CH104" s="47">
        <f t="shared" si="48"/>
        <v>188.2</v>
      </c>
    </row>
    <row r="105" spans="1:86" s="3" customFormat="1" ht="15" customHeight="1">
      <c r="A105" s="17">
        <v>96</v>
      </c>
      <c r="B105" s="5" t="s">
        <v>243</v>
      </c>
      <c r="C105" s="2" t="s">
        <v>244</v>
      </c>
      <c r="D105" s="2"/>
      <c r="E105" s="2">
        <v>45.6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3</v>
      </c>
      <c r="S105" s="2"/>
      <c r="T105" s="2"/>
      <c r="U105" s="2"/>
      <c r="V105" s="2">
        <v>8.8</v>
      </c>
      <c r="W105" s="2"/>
      <c r="X105" s="2"/>
      <c r="Y105" s="2"/>
      <c r="Z105" s="2"/>
      <c r="AA105" s="2"/>
      <c r="AB105" s="2"/>
      <c r="AC105" s="2">
        <v>7.7</v>
      </c>
      <c r="AD105" s="2"/>
      <c r="AE105" s="2"/>
      <c r="AF105" s="2">
        <v>1</v>
      </c>
      <c r="AG105" s="2"/>
      <c r="AH105" s="2"/>
      <c r="AI105" s="2">
        <v>4.4</v>
      </c>
      <c r="AJ105" s="2"/>
      <c r="AK105" s="2">
        <v>2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>
        <v>10</v>
      </c>
      <c r="AV105" s="2">
        <v>1</v>
      </c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>
        <v>1</v>
      </c>
      <c r="BJ105" s="2"/>
      <c r="BK105" s="2">
        <v>7</v>
      </c>
      <c r="BL105" s="2"/>
      <c r="BM105" s="2"/>
      <c r="BN105" s="2"/>
      <c r="BO105" s="2"/>
      <c r="BP105" s="2"/>
      <c r="BQ105" s="2"/>
      <c r="BR105" s="2"/>
      <c r="BS105" s="2"/>
      <c r="BT105" s="2">
        <v>1</v>
      </c>
      <c r="BU105" s="2"/>
      <c r="BV105" s="2"/>
      <c r="BW105" s="2"/>
      <c r="BX105" s="2"/>
      <c r="BY105" s="2"/>
      <c r="BZ105" s="2">
        <v>2</v>
      </c>
      <c r="CA105" s="2"/>
      <c r="CB105" s="2"/>
      <c r="CC105" s="2"/>
      <c r="CD105" s="2">
        <v>9</v>
      </c>
      <c r="CE105" s="39" t="s">
        <v>318</v>
      </c>
      <c r="CF105" s="49" t="s">
        <v>243</v>
      </c>
      <c r="CG105" s="55" t="s">
        <v>244</v>
      </c>
      <c r="CH105" s="47">
        <f t="shared" si="48"/>
        <v>45.6</v>
      </c>
    </row>
    <row r="106" spans="1:86" s="3" customFormat="1" ht="15" customHeight="1">
      <c r="A106" s="17">
        <v>97</v>
      </c>
      <c r="B106" s="5" t="s">
        <v>245</v>
      </c>
      <c r="C106" s="2" t="s">
        <v>246</v>
      </c>
      <c r="D106" s="2">
        <v>3</v>
      </c>
      <c r="E106" s="2"/>
      <c r="F106" s="2"/>
      <c r="G106" s="2"/>
      <c r="H106" s="2">
        <v>1</v>
      </c>
      <c r="I106" s="2"/>
      <c r="J106" s="2"/>
      <c r="K106" s="2"/>
      <c r="L106" s="2"/>
      <c r="M106" s="2"/>
      <c r="N106" s="2"/>
      <c r="O106" s="2"/>
      <c r="P106" s="2"/>
      <c r="Q106" s="2">
        <v>6.7</v>
      </c>
      <c r="R106" s="2">
        <v>5.1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39" t="s">
        <v>318</v>
      </c>
      <c r="CF106" s="49" t="s">
        <v>245</v>
      </c>
      <c r="CG106" s="55" t="s">
        <v>246</v>
      </c>
      <c r="CH106" s="47">
        <f t="shared" si="48"/>
        <v>4</v>
      </c>
    </row>
    <row r="107" spans="1:86" s="3" customFormat="1" ht="15" customHeight="1">
      <c r="A107" s="17">
        <v>98</v>
      </c>
      <c r="B107" s="5" t="s">
        <v>247</v>
      </c>
      <c r="C107" s="2" t="s">
        <v>248</v>
      </c>
      <c r="D107" s="2">
        <v>59.38</v>
      </c>
      <c r="E107" s="2"/>
      <c r="F107" s="2"/>
      <c r="G107" s="2"/>
      <c r="H107" s="2">
        <v>59.91</v>
      </c>
      <c r="I107" s="2"/>
      <c r="J107" s="2"/>
      <c r="K107" s="2"/>
      <c r="L107" s="2"/>
      <c r="M107" s="2">
        <v>65.2</v>
      </c>
      <c r="N107" s="2"/>
      <c r="O107" s="2"/>
      <c r="P107" s="2"/>
      <c r="Q107" s="2">
        <v>149.15</v>
      </c>
      <c r="R107" s="2">
        <v>32.8</v>
      </c>
      <c r="S107" s="2"/>
      <c r="T107" s="2"/>
      <c r="U107" s="2"/>
      <c r="V107" s="2">
        <v>6.2</v>
      </c>
      <c r="W107" s="2"/>
      <c r="X107" s="2">
        <v>19.3</v>
      </c>
      <c r="Y107" s="2"/>
      <c r="Z107" s="2"/>
      <c r="AA107" s="2"/>
      <c r="AB107" s="2"/>
      <c r="AC107" s="2">
        <v>34.2</v>
      </c>
      <c r="AD107" s="2"/>
      <c r="AE107" s="2"/>
      <c r="AF107" s="2">
        <v>3</v>
      </c>
      <c r="AG107" s="2"/>
      <c r="AH107" s="2">
        <v>1</v>
      </c>
      <c r="AI107" s="2">
        <v>23.2</v>
      </c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>
        <v>25</v>
      </c>
      <c r="AV107" s="2">
        <v>4</v>
      </c>
      <c r="AW107" s="2"/>
      <c r="AX107" s="2"/>
      <c r="AY107" s="2">
        <v>2</v>
      </c>
      <c r="AZ107" s="2">
        <v>2</v>
      </c>
      <c r="BA107" s="2"/>
      <c r="BB107" s="2">
        <v>1</v>
      </c>
      <c r="BC107" s="2"/>
      <c r="BD107" s="2"/>
      <c r="BE107" s="2"/>
      <c r="BF107" s="2"/>
      <c r="BG107" s="2"/>
      <c r="BH107" s="2"/>
      <c r="BI107" s="2">
        <v>12</v>
      </c>
      <c r="BJ107" s="2"/>
      <c r="BK107" s="2">
        <v>5</v>
      </c>
      <c r="BL107" s="2"/>
      <c r="BM107" s="2"/>
      <c r="BN107" s="2"/>
      <c r="BO107" s="2"/>
      <c r="BP107" s="2"/>
      <c r="BQ107" s="2">
        <v>3</v>
      </c>
      <c r="BR107" s="2">
        <v>6</v>
      </c>
      <c r="BS107" s="2">
        <v>56</v>
      </c>
      <c r="BT107" s="2"/>
      <c r="BU107" s="2"/>
      <c r="BV107" s="2"/>
      <c r="BW107" s="2"/>
      <c r="BX107" s="2"/>
      <c r="BY107" s="2">
        <v>9.8</v>
      </c>
      <c r="BZ107" s="2">
        <v>3</v>
      </c>
      <c r="CA107" s="2"/>
      <c r="CB107" s="2"/>
      <c r="CC107" s="2"/>
      <c r="CD107" s="2">
        <v>25</v>
      </c>
      <c r="CE107" s="39" t="s">
        <v>318</v>
      </c>
      <c r="CF107" s="49" t="s">
        <v>247</v>
      </c>
      <c r="CG107" s="55" t="s">
        <v>248</v>
      </c>
      <c r="CH107" s="47">
        <f t="shared" si="48"/>
        <v>184.49</v>
      </c>
    </row>
    <row r="108" spans="1:86" s="3" customFormat="1" ht="15" customHeight="1">
      <c r="A108" s="17">
        <v>99</v>
      </c>
      <c r="B108" s="28" t="s">
        <v>249</v>
      </c>
      <c r="C108" s="25" t="s">
        <v>250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42" t="s">
        <v>365</v>
      </c>
      <c r="CF108" s="51" t="s">
        <v>249</v>
      </c>
      <c r="CG108" s="57" t="s">
        <v>250</v>
      </c>
      <c r="CH108" s="47">
        <f t="shared" si="48"/>
        <v>0</v>
      </c>
    </row>
    <row r="109" spans="1:86" s="3" customFormat="1" ht="15" customHeight="1">
      <c r="A109" s="17">
        <v>100</v>
      </c>
      <c r="B109" s="28" t="s">
        <v>251</v>
      </c>
      <c r="C109" s="25" t="s">
        <v>252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42" t="s">
        <v>365</v>
      </c>
      <c r="CF109" s="51" t="s">
        <v>251</v>
      </c>
      <c r="CG109" s="57" t="s">
        <v>252</v>
      </c>
      <c r="CH109" s="47">
        <f t="shared" si="48"/>
        <v>0</v>
      </c>
    </row>
    <row r="110" spans="1:86" s="3" customFormat="1" ht="15" customHeight="1">
      <c r="A110" s="17">
        <v>101</v>
      </c>
      <c r="B110" s="5" t="s">
        <v>253</v>
      </c>
      <c r="C110" s="2" t="s">
        <v>254</v>
      </c>
      <c r="D110" s="2"/>
      <c r="E110" s="2">
        <v>4</v>
      </c>
      <c r="F110" s="2"/>
      <c r="G110" s="2"/>
      <c r="H110" s="2">
        <v>2</v>
      </c>
      <c r="I110" s="2"/>
      <c r="J110" s="2"/>
      <c r="K110" s="2"/>
      <c r="L110" s="2"/>
      <c r="M110" s="2">
        <v>5</v>
      </c>
      <c r="N110" s="2"/>
      <c r="O110" s="2"/>
      <c r="P110" s="2"/>
      <c r="Q110" s="2">
        <v>12</v>
      </c>
      <c r="R110" s="2">
        <v>5</v>
      </c>
      <c r="S110" s="2"/>
      <c r="T110" s="2"/>
      <c r="U110" s="2"/>
      <c r="V110" s="2"/>
      <c r="W110" s="2"/>
      <c r="X110" s="2">
        <v>1</v>
      </c>
      <c r="Y110" s="2"/>
      <c r="Z110" s="2"/>
      <c r="AA110" s="2"/>
      <c r="AB110" s="2"/>
      <c r="AC110" s="2">
        <v>1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>
        <v>2</v>
      </c>
      <c r="CE110" s="39" t="s">
        <v>318</v>
      </c>
      <c r="CF110" s="49" t="s">
        <v>253</v>
      </c>
      <c r="CG110" s="55" t="s">
        <v>254</v>
      </c>
      <c r="CH110" s="47">
        <f t="shared" si="48"/>
        <v>11</v>
      </c>
    </row>
    <row r="111" spans="1:86" s="3" customFormat="1" ht="15" customHeight="1">
      <c r="A111" s="17"/>
      <c r="B111" s="13"/>
      <c r="C111" s="14"/>
      <c r="D111" s="14">
        <f>SUM(D103:D110)</f>
        <v>62.38</v>
      </c>
      <c r="E111" s="14">
        <f aca="true" t="shared" si="49" ref="E111:O111">SUM(E103:E110)</f>
        <v>130.5</v>
      </c>
      <c r="F111" s="14">
        <f t="shared" si="49"/>
        <v>0</v>
      </c>
      <c r="G111" s="14">
        <f t="shared" si="49"/>
        <v>0</v>
      </c>
      <c r="H111" s="14">
        <f t="shared" si="49"/>
        <v>63.809999999999995</v>
      </c>
      <c r="I111" s="14">
        <f t="shared" si="49"/>
        <v>0</v>
      </c>
      <c r="J111" s="14">
        <f t="shared" si="49"/>
        <v>0</v>
      </c>
      <c r="K111" s="14">
        <f t="shared" si="49"/>
        <v>0</v>
      </c>
      <c r="L111" s="14">
        <f t="shared" si="49"/>
        <v>0</v>
      </c>
      <c r="M111" s="14">
        <f t="shared" si="49"/>
        <v>214.7</v>
      </c>
      <c r="N111" s="14">
        <f t="shared" si="49"/>
        <v>0</v>
      </c>
      <c r="O111" s="14">
        <f t="shared" si="49"/>
        <v>0</v>
      </c>
      <c r="P111" s="14">
        <f>SUM(P103:P110)</f>
        <v>0</v>
      </c>
      <c r="Q111" s="14">
        <f>SUM(Q103:Q110)</f>
        <v>262.55</v>
      </c>
      <c r="R111" s="14">
        <f>SUM(R103:R110)</f>
        <v>85.4</v>
      </c>
      <c r="S111" s="14">
        <f>SUM(S103:S110)</f>
        <v>0</v>
      </c>
      <c r="T111" s="14">
        <f aca="true" t="shared" si="50" ref="T111:AW111">SUM(T103:T110)</f>
        <v>0</v>
      </c>
      <c r="U111" s="14">
        <f t="shared" si="50"/>
        <v>0</v>
      </c>
      <c r="V111" s="14">
        <f t="shared" si="50"/>
        <v>38.900000000000006</v>
      </c>
      <c r="W111" s="14">
        <f t="shared" si="50"/>
        <v>0</v>
      </c>
      <c r="X111" s="14">
        <f t="shared" si="50"/>
        <v>20.3</v>
      </c>
      <c r="Y111" s="14">
        <f t="shared" si="50"/>
        <v>0</v>
      </c>
      <c r="Z111" s="14">
        <f t="shared" si="50"/>
        <v>0</v>
      </c>
      <c r="AA111" s="14">
        <f t="shared" si="50"/>
        <v>0</v>
      </c>
      <c r="AB111" s="14">
        <f t="shared" si="50"/>
        <v>73</v>
      </c>
      <c r="AC111" s="14">
        <f t="shared" si="50"/>
        <v>61.900000000000006</v>
      </c>
      <c r="AD111" s="14">
        <f t="shared" si="50"/>
        <v>0</v>
      </c>
      <c r="AE111" s="14">
        <f t="shared" si="50"/>
        <v>0</v>
      </c>
      <c r="AF111" s="14">
        <f t="shared" si="50"/>
        <v>7</v>
      </c>
      <c r="AG111" s="14">
        <f t="shared" si="50"/>
        <v>0</v>
      </c>
      <c r="AH111" s="14">
        <f t="shared" si="50"/>
        <v>1</v>
      </c>
      <c r="AI111" s="14">
        <f t="shared" si="50"/>
        <v>50.2</v>
      </c>
      <c r="AJ111" s="14">
        <f t="shared" si="50"/>
        <v>0</v>
      </c>
      <c r="AK111" s="14">
        <f t="shared" si="50"/>
        <v>4</v>
      </c>
      <c r="AL111" s="14">
        <f t="shared" si="50"/>
        <v>5</v>
      </c>
      <c r="AM111" s="14">
        <f t="shared" si="50"/>
        <v>0</v>
      </c>
      <c r="AN111" s="14">
        <f t="shared" si="50"/>
        <v>0</v>
      </c>
      <c r="AO111" s="14">
        <f t="shared" si="50"/>
        <v>0</v>
      </c>
      <c r="AP111" s="14">
        <f t="shared" si="50"/>
        <v>0</v>
      </c>
      <c r="AQ111" s="14">
        <f t="shared" si="50"/>
        <v>0</v>
      </c>
      <c r="AR111" s="14">
        <f t="shared" si="50"/>
        <v>0</v>
      </c>
      <c r="AS111" s="14">
        <f t="shared" si="50"/>
        <v>0</v>
      </c>
      <c r="AT111" s="14">
        <f t="shared" si="50"/>
        <v>0</v>
      </c>
      <c r="AU111" s="14">
        <f t="shared" si="50"/>
        <v>50</v>
      </c>
      <c r="AV111" s="14">
        <f t="shared" si="50"/>
        <v>10</v>
      </c>
      <c r="AW111" s="14">
        <f t="shared" si="50"/>
        <v>0</v>
      </c>
      <c r="AX111" s="14">
        <f aca="true" t="shared" si="51" ref="AX111:BZ111">SUM(AX103:AX110)</f>
        <v>0</v>
      </c>
      <c r="AY111" s="14">
        <f t="shared" si="51"/>
        <v>4</v>
      </c>
      <c r="AZ111" s="14">
        <f t="shared" si="51"/>
        <v>4</v>
      </c>
      <c r="BA111" s="14">
        <f t="shared" si="51"/>
        <v>0</v>
      </c>
      <c r="BB111" s="14">
        <f t="shared" si="51"/>
        <v>1</v>
      </c>
      <c r="BC111" s="14">
        <f t="shared" si="51"/>
        <v>1</v>
      </c>
      <c r="BD111" s="14">
        <f t="shared" si="51"/>
        <v>0</v>
      </c>
      <c r="BE111" s="14">
        <f t="shared" si="51"/>
        <v>0</v>
      </c>
      <c r="BF111" s="14">
        <f t="shared" si="51"/>
        <v>0</v>
      </c>
      <c r="BG111" s="14">
        <f t="shared" si="51"/>
        <v>0</v>
      </c>
      <c r="BH111" s="14">
        <f t="shared" si="51"/>
        <v>10</v>
      </c>
      <c r="BI111" s="14">
        <f t="shared" si="51"/>
        <v>18</v>
      </c>
      <c r="BJ111" s="14">
        <f t="shared" si="51"/>
        <v>0</v>
      </c>
      <c r="BK111" s="14">
        <f t="shared" si="51"/>
        <v>21</v>
      </c>
      <c r="BL111" s="14">
        <f t="shared" si="51"/>
        <v>0</v>
      </c>
      <c r="BM111" s="14">
        <f t="shared" si="51"/>
        <v>0</v>
      </c>
      <c r="BN111" s="14">
        <f t="shared" si="51"/>
        <v>0</v>
      </c>
      <c r="BO111" s="14">
        <f t="shared" si="51"/>
        <v>0</v>
      </c>
      <c r="BP111" s="14">
        <f t="shared" si="51"/>
        <v>0</v>
      </c>
      <c r="BQ111" s="14">
        <f t="shared" si="51"/>
        <v>10</v>
      </c>
      <c r="BR111" s="14">
        <f t="shared" si="51"/>
        <v>11</v>
      </c>
      <c r="BS111" s="14">
        <f t="shared" si="51"/>
        <v>67</v>
      </c>
      <c r="BT111" s="14">
        <f t="shared" si="51"/>
        <v>7.864</v>
      </c>
      <c r="BU111" s="14">
        <f t="shared" si="51"/>
        <v>0</v>
      </c>
      <c r="BV111" s="14">
        <f t="shared" si="51"/>
        <v>0</v>
      </c>
      <c r="BW111" s="14">
        <f t="shared" si="51"/>
        <v>0</v>
      </c>
      <c r="BX111" s="14">
        <f t="shared" si="51"/>
        <v>0</v>
      </c>
      <c r="BY111" s="14">
        <f t="shared" si="51"/>
        <v>13</v>
      </c>
      <c r="BZ111" s="14">
        <f t="shared" si="51"/>
        <v>7</v>
      </c>
      <c r="CA111" s="14">
        <f>SUM(CA103:CA110)</f>
        <v>0</v>
      </c>
      <c r="CB111" s="14">
        <f>SUM(CB103:CB110)</f>
        <v>0</v>
      </c>
      <c r="CC111" s="14">
        <f>SUM(CC103:CC110)</f>
        <v>0</v>
      </c>
      <c r="CD111" s="14">
        <f>SUM(CD103:CD110)</f>
        <v>66</v>
      </c>
      <c r="CE111" s="41"/>
      <c r="CF111" s="50"/>
      <c r="CG111" s="56"/>
      <c r="CH111" s="56"/>
    </row>
    <row r="112" spans="1:86" s="3" customFormat="1" ht="15" customHeight="1">
      <c r="A112" s="17">
        <v>102</v>
      </c>
      <c r="B112" s="5" t="s">
        <v>255</v>
      </c>
      <c r="C112" s="2" t="s">
        <v>407</v>
      </c>
      <c r="D112" s="2"/>
      <c r="E112" s="2">
        <f>166.2</f>
        <v>166.2</v>
      </c>
      <c r="F112" s="2"/>
      <c r="G112" s="2"/>
      <c r="H112" s="2">
        <v>10.5</v>
      </c>
      <c r="I112" s="2"/>
      <c r="J112" s="2">
        <v>49.4</v>
      </c>
      <c r="K112" s="2">
        <v>176.7</v>
      </c>
      <c r="L112" s="2"/>
      <c r="M112" s="2">
        <f>216.4</f>
        <v>216.4</v>
      </c>
      <c r="N112" s="2">
        <v>18.1</v>
      </c>
      <c r="O112" s="2"/>
      <c r="P112" s="2"/>
      <c r="Q112" s="2">
        <v>182.5</v>
      </c>
      <c r="R112" s="2">
        <v>59</v>
      </c>
      <c r="S112" s="2">
        <v>15</v>
      </c>
      <c r="T112" s="2">
        <v>1.1</v>
      </c>
      <c r="U112" s="2"/>
      <c r="V112" s="2">
        <v>42.2</v>
      </c>
      <c r="W112" s="2"/>
      <c r="X112" s="2"/>
      <c r="Y112" s="2"/>
      <c r="Z112" s="2"/>
      <c r="AA112" s="2"/>
      <c r="AB112" s="2">
        <v>120</v>
      </c>
      <c r="AC112" s="2">
        <v>13.5</v>
      </c>
      <c r="AD112" s="2">
        <v>15.3</v>
      </c>
      <c r="AE112" s="2"/>
      <c r="AF112" s="2">
        <v>4</v>
      </c>
      <c r="AG112" s="2"/>
      <c r="AH112" s="2"/>
      <c r="AI112" s="2">
        <v>31</v>
      </c>
      <c r="AJ112" s="2"/>
      <c r="AK112" s="2">
        <v>9</v>
      </c>
      <c r="AL112" s="2">
        <v>8</v>
      </c>
      <c r="AM112" s="2"/>
      <c r="AN112" s="2"/>
      <c r="AO112" s="2"/>
      <c r="AP112" s="2"/>
      <c r="AQ112" s="2"/>
      <c r="AR112" s="2"/>
      <c r="AS112" s="2"/>
      <c r="AT112" s="2"/>
      <c r="AU112" s="2">
        <v>55</v>
      </c>
      <c r="AV112" s="2">
        <v>15</v>
      </c>
      <c r="AW112" s="2"/>
      <c r="AX112" s="2"/>
      <c r="AY112" s="2">
        <v>2</v>
      </c>
      <c r="AZ112" s="2">
        <v>2</v>
      </c>
      <c r="BA112" s="2"/>
      <c r="BB112" s="2"/>
      <c r="BC112" s="2"/>
      <c r="BD112" s="2"/>
      <c r="BE112" s="2"/>
      <c r="BF112" s="2"/>
      <c r="BG112" s="2"/>
      <c r="BH112" s="2">
        <v>3</v>
      </c>
      <c r="BI112" s="2">
        <v>201</v>
      </c>
      <c r="BJ112" s="2"/>
      <c r="BK112" s="2">
        <v>6</v>
      </c>
      <c r="BL112" s="2"/>
      <c r="BM112" s="2"/>
      <c r="BN112" s="2"/>
      <c r="BO112" s="2"/>
      <c r="BP112" s="2"/>
      <c r="BQ112" s="2">
        <v>10</v>
      </c>
      <c r="BR112" s="2">
        <v>13</v>
      </c>
      <c r="BS112" s="2"/>
      <c r="BT112" s="2">
        <v>27.3</v>
      </c>
      <c r="BU112" s="2"/>
      <c r="BV112" s="2"/>
      <c r="BW112" s="2"/>
      <c r="BX112" s="2"/>
      <c r="BY112" s="2"/>
      <c r="BZ112" s="2">
        <v>11</v>
      </c>
      <c r="CA112" s="2"/>
      <c r="CB112" s="2"/>
      <c r="CC112" s="2"/>
      <c r="CD112" s="2">
        <v>5</v>
      </c>
      <c r="CE112" s="39" t="s">
        <v>318</v>
      </c>
      <c r="CF112" s="49" t="s">
        <v>255</v>
      </c>
      <c r="CG112" s="55" t="s">
        <v>256</v>
      </c>
      <c r="CH112" s="47">
        <f aca="true" t="shared" si="52" ref="CH112:CH123">SUM(D112:N112)</f>
        <v>637.3</v>
      </c>
    </row>
    <row r="113" spans="1:86" s="3" customFormat="1" ht="15" customHeight="1">
      <c r="A113" s="17">
        <v>103</v>
      </c>
      <c r="B113" s="5" t="s">
        <v>257</v>
      </c>
      <c r="C113" s="2" t="s">
        <v>258</v>
      </c>
      <c r="D113" s="2"/>
      <c r="E113" s="2">
        <v>142.4</v>
      </c>
      <c r="F113" s="2">
        <v>155.4</v>
      </c>
      <c r="G113" s="2"/>
      <c r="H113" s="2">
        <v>13.7</v>
      </c>
      <c r="I113" s="2"/>
      <c r="J113" s="2"/>
      <c r="K113" s="2"/>
      <c r="L113" s="2"/>
      <c r="M113" s="2"/>
      <c r="N113" s="2"/>
      <c r="O113" s="2"/>
      <c r="P113" s="2"/>
      <c r="Q113" s="2">
        <v>82.6</v>
      </c>
      <c r="R113" s="2">
        <v>62</v>
      </c>
      <c r="S113" s="2"/>
      <c r="T113" s="2"/>
      <c r="U113" s="2"/>
      <c r="V113" s="2">
        <v>43.6</v>
      </c>
      <c r="W113" s="2"/>
      <c r="X113" s="2"/>
      <c r="Y113" s="2"/>
      <c r="Z113" s="2"/>
      <c r="AA113" s="2"/>
      <c r="AB113" s="2">
        <v>219</v>
      </c>
      <c r="AC113" s="2"/>
      <c r="AD113" s="2"/>
      <c r="AE113" s="2"/>
      <c r="AF113" s="2">
        <v>2</v>
      </c>
      <c r="AG113" s="2"/>
      <c r="AH113" s="2"/>
      <c r="AI113" s="2">
        <v>38.3</v>
      </c>
      <c r="AJ113" s="2"/>
      <c r="AK113" s="2"/>
      <c r="AL113" s="2">
        <v>20</v>
      </c>
      <c r="AM113" s="2"/>
      <c r="AN113" s="2"/>
      <c r="AO113" s="2"/>
      <c r="AP113" s="2"/>
      <c r="AQ113" s="2"/>
      <c r="AR113" s="2"/>
      <c r="AS113" s="2"/>
      <c r="AT113" s="2"/>
      <c r="AU113" s="2">
        <v>55</v>
      </c>
      <c r="AV113" s="2">
        <v>10</v>
      </c>
      <c r="AW113" s="2">
        <v>8</v>
      </c>
      <c r="AX113" s="2"/>
      <c r="AY113" s="2">
        <v>2</v>
      </c>
      <c r="AZ113" s="2">
        <v>2</v>
      </c>
      <c r="BA113" s="2"/>
      <c r="BB113" s="2"/>
      <c r="BC113" s="2"/>
      <c r="BD113" s="2"/>
      <c r="BE113" s="2"/>
      <c r="BF113" s="2"/>
      <c r="BG113" s="2"/>
      <c r="BH113" s="2"/>
      <c r="BI113" s="2">
        <v>24</v>
      </c>
      <c r="BJ113" s="2">
        <v>8</v>
      </c>
      <c r="BK113" s="2">
        <v>39</v>
      </c>
      <c r="BL113" s="2"/>
      <c r="BM113" s="2"/>
      <c r="BN113" s="2"/>
      <c r="BO113" s="2"/>
      <c r="BP113" s="2"/>
      <c r="BQ113" s="2">
        <v>12</v>
      </c>
      <c r="BR113" s="2">
        <v>3</v>
      </c>
      <c r="BS113" s="2"/>
      <c r="BT113" s="2">
        <v>17.9</v>
      </c>
      <c r="BU113" s="2"/>
      <c r="BV113" s="2"/>
      <c r="BW113" s="2"/>
      <c r="BX113" s="2"/>
      <c r="BY113" s="2">
        <v>5</v>
      </c>
      <c r="BZ113" s="2">
        <v>28</v>
      </c>
      <c r="CA113" s="2"/>
      <c r="CB113" s="2"/>
      <c r="CC113" s="2"/>
      <c r="CD113" s="2">
        <v>33</v>
      </c>
      <c r="CE113" s="39" t="s">
        <v>318</v>
      </c>
      <c r="CF113" s="49" t="s">
        <v>257</v>
      </c>
      <c r="CG113" s="55" t="s">
        <v>258</v>
      </c>
      <c r="CH113" s="47">
        <f t="shared" si="52"/>
        <v>311.5</v>
      </c>
    </row>
    <row r="114" spans="1:86" s="3" customFormat="1" ht="15" customHeight="1">
      <c r="A114" s="17">
        <v>104</v>
      </c>
      <c r="B114" s="5" t="s">
        <v>259</v>
      </c>
      <c r="C114" s="2" t="s">
        <v>416</v>
      </c>
      <c r="D114" s="2"/>
      <c r="E114" s="2">
        <v>41.2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>
        <v>7.2</v>
      </c>
      <c r="W114" s="2"/>
      <c r="X114" s="2"/>
      <c r="Y114" s="2"/>
      <c r="Z114" s="2"/>
      <c r="AA114" s="2"/>
      <c r="AB114" s="2">
        <v>42</v>
      </c>
      <c r="AC114" s="2"/>
      <c r="AD114" s="2"/>
      <c r="AE114" s="2"/>
      <c r="AF114" s="2"/>
      <c r="AG114" s="2"/>
      <c r="AH114" s="2"/>
      <c r="AI114" s="2">
        <v>4.8</v>
      </c>
      <c r="AJ114" s="2"/>
      <c r="AK114" s="2"/>
      <c r="AL114" s="2">
        <v>3</v>
      </c>
      <c r="AM114" s="2"/>
      <c r="AN114" s="2"/>
      <c r="AO114" s="2"/>
      <c r="AP114" s="2"/>
      <c r="AQ114" s="2"/>
      <c r="AR114" s="2"/>
      <c r="AS114" s="2"/>
      <c r="AT114" s="2"/>
      <c r="AU114" s="2">
        <v>8</v>
      </c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>
        <v>3</v>
      </c>
      <c r="BJ114" s="2"/>
      <c r="BK114" s="2">
        <v>5</v>
      </c>
      <c r="BL114" s="2"/>
      <c r="BM114" s="2"/>
      <c r="BN114" s="2"/>
      <c r="BO114" s="2"/>
      <c r="BP114" s="2"/>
      <c r="BQ114" s="2">
        <v>3</v>
      </c>
      <c r="BR114" s="2"/>
      <c r="BS114" s="2"/>
      <c r="BT114" s="2">
        <v>3</v>
      </c>
      <c r="BU114" s="2"/>
      <c r="BV114" s="2"/>
      <c r="BW114" s="2"/>
      <c r="BX114" s="2"/>
      <c r="BY114" s="2"/>
      <c r="BZ114" s="2">
        <v>5</v>
      </c>
      <c r="CA114" s="2"/>
      <c r="CB114" s="2"/>
      <c r="CC114" s="2"/>
      <c r="CD114" s="2">
        <v>7</v>
      </c>
      <c r="CE114" s="39" t="s">
        <v>318</v>
      </c>
      <c r="CF114" s="49" t="s">
        <v>259</v>
      </c>
      <c r="CG114" s="55" t="s">
        <v>260</v>
      </c>
      <c r="CH114" s="47">
        <f t="shared" si="52"/>
        <v>41.2</v>
      </c>
    </row>
    <row r="115" spans="1:86" s="3" customFormat="1" ht="15" customHeight="1">
      <c r="A115" s="17">
        <v>105</v>
      </c>
      <c r="B115" s="5" t="s">
        <v>261</v>
      </c>
      <c r="C115" s="2" t="s">
        <v>262</v>
      </c>
      <c r="D115" s="2">
        <v>142.15</v>
      </c>
      <c r="E115" s="2">
        <v>75.2</v>
      </c>
      <c r="F115" s="2"/>
      <c r="G115" s="2"/>
      <c r="H115" s="2">
        <v>34.1</v>
      </c>
      <c r="I115" s="2">
        <v>49.5</v>
      </c>
      <c r="J115" s="2"/>
      <c r="K115" s="2"/>
      <c r="L115" s="2"/>
      <c r="M115" s="2">
        <v>102</v>
      </c>
      <c r="N115" s="2"/>
      <c r="O115" s="2"/>
      <c r="P115" s="2"/>
      <c r="Q115" s="2">
        <v>70.2</v>
      </c>
      <c r="R115" s="2">
        <v>23.2</v>
      </c>
      <c r="S115" s="2"/>
      <c r="T115" s="2"/>
      <c r="U115" s="2"/>
      <c r="V115" s="2">
        <v>27.8</v>
      </c>
      <c r="W115" s="2"/>
      <c r="X115" s="2"/>
      <c r="Y115" s="2"/>
      <c r="Z115" s="2"/>
      <c r="AA115" s="2"/>
      <c r="AB115" s="2">
        <v>90</v>
      </c>
      <c r="AC115" s="2"/>
      <c r="AD115" s="2"/>
      <c r="AE115" s="2"/>
      <c r="AF115" s="2">
        <v>2</v>
      </c>
      <c r="AG115" s="2"/>
      <c r="AH115" s="2">
        <v>1</v>
      </c>
      <c r="AI115" s="2">
        <v>21.6</v>
      </c>
      <c r="AJ115" s="2"/>
      <c r="AK115" s="2"/>
      <c r="AL115" s="2">
        <v>14</v>
      </c>
      <c r="AM115" s="2"/>
      <c r="AN115" s="2"/>
      <c r="AO115" s="2"/>
      <c r="AP115" s="2"/>
      <c r="AQ115" s="2"/>
      <c r="AR115" s="2"/>
      <c r="AS115" s="2"/>
      <c r="AT115" s="2"/>
      <c r="AU115" s="2">
        <v>12</v>
      </c>
      <c r="AV115" s="2">
        <v>10</v>
      </c>
      <c r="AW115" s="2"/>
      <c r="AX115" s="2"/>
      <c r="AY115" s="2">
        <v>1</v>
      </c>
      <c r="AZ115" s="2">
        <v>1</v>
      </c>
      <c r="BA115" s="2"/>
      <c r="BB115" s="2"/>
      <c r="BC115" s="2"/>
      <c r="BD115" s="2"/>
      <c r="BE115" s="2"/>
      <c r="BF115" s="2"/>
      <c r="BG115" s="2"/>
      <c r="BH115" s="2"/>
      <c r="BI115" s="2">
        <v>4</v>
      </c>
      <c r="BJ115" s="2">
        <v>2</v>
      </c>
      <c r="BK115" s="2">
        <v>9</v>
      </c>
      <c r="BL115" s="2"/>
      <c r="BM115" s="2"/>
      <c r="BN115" s="2"/>
      <c r="BO115" s="2"/>
      <c r="BP115" s="2"/>
      <c r="BQ115" s="2">
        <v>4</v>
      </c>
      <c r="BR115" s="2"/>
      <c r="BS115" s="2">
        <v>17</v>
      </c>
      <c r="BT115" s="2"/>
      <c r="BU115" s="2"/>
      <c r="BV115" s="2">
        <v>2.8</v>
      </c>
      <c r="BW115" s="2"/>
      <c r="BX115" s="2"/>
      <c r="BY115" s="2"/>
      <c r="BZ115" s="2">
        <v>6</v>
      </c>
      <c r="CA115" s="2"/>
      <c r="CB115" s="2"/>
      <c r="CC115" s="2"/>
      <c r="CD115" s="2">
        <v>5</v>
      </c>
      <c r="CE115" s="39" t="s">
        <v>318</v>
      </c>
      <c r="CF115" s="49" t="s">
        <v>261</v>
      </c>
      <c r="CG115" s="55" t="s">
        <v>262</v>
      </c>
      <c r="CH115" s="47">
        <f t="shared" si="52"/>
        <v>402.95000000000005</v>
      </c>
    </row>
    <row r="116" spans="1:86" s="3" customFormat="1" ht="15" customHeight="1">
      <c r="A116" s="17">
        <v>106</v>
      </c>
      <c r="B116" s="5" t="s">
        <v>263</v>
      </c>
      <c r="C116" s="2" t="s">
        <v>264</v>
      </c>
      <c r="D116" s="2"/>
      <c r="E116" s="2">
        <v>65.4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>
        <v>7.2</v>
      </c>
      <c r="W116" s="2"/>
      <c r="X116" s="2"/>
      <c r="Y116" s="2">
        <v>3.3</v>
      </c>
      <c r="Z116" s="2"/>
      <c r="AA116" s="2"/>
      <c r="AB116" s="2">
        <v>51</v>
      </c>
      <c r="AC116" s="2"/>
      <c r="AD116" s="2"/>
      <c r="AE116" s="2"/>
      <c r="AF116" s="2"/>
      <c r="AG116" s="2"/>
      <c r="AH116" s="2"/>
      <c r="AI116" s="2">
        <v>6.4</v>
      </c>
      <c r="AJ116" s="2"/>
      <c r="AK116" s="2"/>
      <c r="AL116" s="2">
        <v>3</v>
      </c>
      <c r="AM116" s="2"/>
      <c r="AN116" s="2"/>
      <c r="AO116" s="2"/>
      <c r="AP116" s="2"/>
      <c r="AQ116" s="2"/>
      <c r="AR116" s="2"/>
      <c r="AS116" s="2"/>
      <c r="AT116" s="2"/>
      <c r="AU116" s="2">
        <v>12</v>
      </c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>
        <v>2</v>
      </c>
      <c r="BJ116" s="2"/>
      <c r="BK116" s="2">
        <v>7</v>
      </c>
      <c r="BL116" s="2"/>
      <c r="BM116" s="2"/>
      <c r="BN116" s="2"/>
      <c r="BO116" s="2"/>
      <c r="BP116" s="2"/>
      <c r="BQ116" s="2">
        <v>4</v>
      </c>
      <c r="BR116" s="2">
        <v>1</v>
      </c>
      <c r="BS116" s="2"/>
      <c r="BT116" s="2"/>
      <c r="BU116" s="2"/>
      <c r="BV116" s="2"/>
      <c r="BW116" s="2">
        <v>3.3</v>
      </c>
      <c r="BX116" s="2"/>
      <c r="BY116" s="2"/>
      <c r="BZ116" s="2">
        <v>7</v>
      </c>
      <c r="CA116" s="2"/>
      <c r="CB116" s="2"/>
      <c r="CC116" s="2"/>
      <c r="CD116" s="2">
        <v>7</v>
      </c>
      <c r="CE116" s="39" t="s">
        <v>318</v>
      </c>
      <c r="CF116" s="49" t="s">
        <v>263</v>
      </c>
      <c r="CG116" s="55" t="s">
        <v>264</v>
      </c>
      <c r="CH116" s="47">
        <f t="shared" si="52"/>
        <v>65.4</v>
      </c>
    </row>
    <row r="117" spans="1:86" s="3" customFormat="1" ht="15" customHeight="1">
      <c r="A117" s="17">
        <v>107</v>
      </c>
      <c r="B117" s="5" t="s">
        <v>265</v>
      </c>
      <c r="C117" s="2" t="s">
        <v>266</v>
      </c>
      <c r="D117" s="2"/>
      <c r="E117" s="2">
        <v>29.9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>
        <v>4</v>
      </c>
      <c r="W117" s="2"/>
      <c r="X117" s="2"/>
      <c r="Y117" s="2"/>
      <c r="Z117" s="2"/>
      <c r="AA117" s="2"/>
      <c r="AB117" s="2">
        <v>30</v>
      </c>
      <c r="AC117" s="2"/>
      <c r="AD117" s="2"/>
      <c r="AE117" s="2"/>
      <c r="AF117" s="2"/>
      <c r="AG117" s="2"/>
      <c r="AH117" s="2"/>
      <c r="AI117" s="2">
        <v>3.2</v>
      </c>
      <c r="AJ117" s="2"/>
      <c r="AK117" s="2"/>
      <c r="AL117" s="2">
        <v>2</v>
      </c>
      <c r="AM117" s="2"/>
      <c r="AN117" s="2"/>
      <c r="AO117" s="2"/>
      <c r="AP117" s="2"/>
      <c r="AQ117" s="2"/>
      <c r="AR117" s="2"/>
      <c r="AS117" s="2"/>
      <c r="AT117" s="2"/>
      <c r="AU117" s="2"/>
      <c r="AV117" s="2">
        <v>5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>
        <v>3</v>
      </c>
      <c r="BJ117" s="2"/>
      <c r="BK117" s="2">
        <v>3</v>
      </c>
      <c r="BL117" s="2"/>
      <c r="BM117" s="2"/>
      <c r="BN117" s="2"/>
      <c r="BO117" s="2"/>
      <c r="BP117" s="2"/>
      <c r="BQ117" s="2">
        <v>2</v>
      </c>
      <c r="BR117" s="2">
        <v>1</v>
      </c>
      <c r="BS117" s="2"/>
      <c r="BT117" s="2"/>
      <c r="BU117" s="2"/>
      <c r="BV117" s="2"/>
      <c r="BW117" s="2"/>
      <c r="BX117" s="2"/>
      <c r="BY117" s="2"/>
      <c r="BZ117" s="2">
        <v>4</v>
      </c>
      <c r="CA117" s="2"/>
      <c r="CB117" s="2"/>
      <c r="CC117" s="2"/>
      <c r="CD117" s="2">
        <v>7</v>
      </c>
      <c r="CE117" s="39" t="s">
        <v>318</v>
      </c>
      <c r="CF117" s="49" t="s">
        <v>265</v>
      </c>
      <c r="CG117" s="55" t="s">
        <v>266</v>
      </c>
      <c r="CH117" s="47">
        <f t="shared" si="52"/>
        <v>29.9</v>
      </c>
    </row>
    <row r="118" spans="1:86" s="3" customFormat="1" ht="15" customHeight="1">
      <c r="A118" s="17">
        <v>108</v>
      </c>
      <c r="B118" s="5" t="s">
        <v>267</v>
      </c>
      <c r="C118" s="2" t="s">
        <v>268</v>
      </c>
      <c r="D118" s="2"/>
      <c r="E118" s="2"/>
      <c r="F118" s="2">
        <v>14.5</v>
      </c>
      <c r="G118" s="2"/>
      <c r="H118" s="2">
        <v>14.5</v>
      </c>
      <c r="I118" s="2"/>
      <c r="J118" s="2"/>
      <c r="K118" s="2"/>
      <c r="L118" s="2"/>
      <c r="M118" s="2"/>
      <c r="N118" s="2"/>
      <c r="O118" s="2"/>
      <c r="P118" s="2"/>
      <c r="Q118" s="2"/>
      <c r="R118" s="2">
        <v>26.3</v>
      </c>
      <c r="S118" s="2"/>
      <c r="T118" s="2"/>
      <c r="U118" s="2"/>
      <c r="V118" s="2">
        <v>7.8</v>
      </c>
      <c r="W118" s="2"/>
      <c r="X118" s="2"/>
      <c r="Y118" s="2"/>
      <c r="Z118" s="2"/>
      <c r="AA118" s="2"/>
      <c r="AB118" s="2">
        <v>38</v>
      </c>
      <c r="AC118" s="2"/>
      <c r="AD118" s="2"/>
      <c r="AE118" s="2"/>
      <c r="AF118" s="2">
        <v>2</v>
      </c>
      <c r="AG118" s="2"/>
      <c r="AH118" s="2"/>
      <c r="AI118" s="2">
        <v>7.6</v>
      </c>
      <c r="AJ118" s="2"/>
      <c r="AK118" s="2">
        <v>2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>
        <v>6</v>
      </c>
      <c r="AV118" s="2">
        <v>2</v>
      </c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>
        <v>2</v>
      </c>
      <c r="BJ118" s="2">
        <v>1</v>
      </c>
      <c r="BK118" s="2">
        <v>2</v>
      </c>
      <c r="BL118" s="2"/>
      <c r="BM118" s="2">
        <v>1</v>
      </c>
      <c r="BN118" s="2"/>
      <c r="BO118" s="2">
        <v>2</v>
      </c>
      <c r="BP118" s="2">
        <v>1</v>
      </c>
      <c r="BQ118" s="2">
        <v>3</v>
      </c>
      <c r="BR118" s="2"/>
      <c r="BS118" s="2"/>
      <c r="BT118" s="2"/>
      <c r="BU118" s="2"/>
      <c r="BV118" s="2"/>
      <c r="BW118" s="2"/>
      <c r="BX118" s="2"/>
      <c r="BY118" s="2"/>
      <c r="BZ118" s="2">
        <v>2</v>
      </c>
      <c r="CA118" s="2"/>
      <c r="CB118" s="2"/>
      <c r="CC118" s="2"/>
      <c r="CD118" s="2">
        <v>2</v>
      </c>
      <c r="CE118" s="39" t="s">
        <v>318</v>
      </c>
      <c r="CF118" s="49" t="s">
        <v>267</v>
      </c>
      <c r="CG118" s="55" t="s">
        <v>268</v>
      </c>
      <c r="CH118" s="47">
        <f t="shared" si="52"/>
        <v>29</v>
      </c>
    </row>
    <row r="119" spans="1:86" s="3" customFormat="1" ht="15" customHeight="1">
      <c r="A119" s="17">
        <v>109</v>
      </c>
      <c r="B119" s="5" t="s">
        <v>269</v>
      </c>
      <c r="C119" s="2" t="s">
        <v>270</v>
      </c>
      <c r="D119" s="2"/>
      <c r="E119" s="2">
        <v>73</v>
      </c>
      <c r="F119" s="2"/>
      <c r="G119" s="2"/>
      <c r="H119" s="2">
        <v>2.2</v>
      </c>
      <c r="I119" s="2"/>
      <c r="J119" s="2"/>
      <c r="K119" s="2"/>
      <c r="L119" s="2"/>
      <c r="M119" s="2"/>
      <c r="N119" s="2"/>
      <c r="O119" s="2"/>
      <c r="P119" s="2"/>
      <c r="Q119" s="2"/>
      <c r="R119" s="2">
        <v>20.8</v>
      </c>
      <c r="S119" s="2"/>
      <c r="T119" s="2"/>
      <c r="U119" s="2"/>
      <c r="V119" s="2">
        <v>9.6</v>
      </c>
      <c r="W119" s="2"/>
      <c r="X119" s="2"/>
      <c r="Y119" s="2"/>
      <c r="Z119" s="2"/>
      <c r="AA119" s="2"/>
      <c r="AB119" s="2">
        <v>70</v>
      </c>
      <c r="AC119" s="2"/>
      <c r="AD119" s="2"/>
      <c r="AE119" s="2"/>
      <c r="AF119" s="2">
        <v>2</v>
      </c>
      <c r="AG119" s="2"/>
      <c r="AH119" s="2"/>
      <c r="AI119" s="2">
        <v>9.8</v>
      </c>
      <c r="AJ119" s="2"/>
      <c r="AK119" s="2"/>
      <c r="AL119" s="2">
        <v>4</v>
      </c>
      <c r="AM119" s="2"/>
      <c r="AN119" s="2"/>
      <c r="AO119" s="2"/>
      <c r="AP119" s="2"/>
      <c r="AQ119" s="2"/>
      <c r="AR119" s="2"/>
      <c r="AS119" s="2"/>
      <c r="AT119" s="2"/>
      <c r="AU119" s="2">
        <v>1</v>
      </c>
      <c r="AV119" s="2">
        <v>13</v>
      </c>
      <c r="AW119" s="2"/>
      <c r="AX119" s="2"/>
      <c r="AY119" s="2">
        <v>1</v>
      </c>
      <c r="AZ119" s="2">
        <v>1</v>
      </c>
      <c r="BA119" s="2">
        <v>1</v>
      </c>
      <c r="BB119" s="2"/>
      <c r="BC119" s="2"/>
      <c r="BD119" s="2"/>
      <c r="BE119" s="2"/>
      <c r="BF119" s="2"/>
      <c r="BG119" s="2"/>
      <c r="BH119" s="2"/>
      <c r="BI119" s="2">
        <v>8</v>
      </c>
      <c r="BJ119" s="2"/>
      <c r="BK119" s="2">
        <v>7</v>
      </c>
      <c r="BL119" s="2"/>
      <c r="BM119" s="2"/>
      <c r="BN119" s="2"/>
      <c r="BO119" s="2">
        <v>1</v>
      </c>
      <c r="BP119" s="2"/>
      <c r="BQ119" s="2">
        <v>4</v>
      </c>
      <c r="BR119" s="2"/>
      <c r="BS119" s="2"/>
      <c r="BT119" s="2">
        <v>10.2</v>
      </c>
      <c r="BU119" s="2"/>
      <c r="BV119" s="2"/>
      <c r="BW119" s="2"/>
      <c r="BX119" s="2"/>
      <c r="BY119" s="2"/>
      <c r="BZ119" s="2">
        <v>6</v>
      </c>
      <c r="CA119" s="2"/>
      <c r="CB119" s="2"/>
      <c r="CC119" s="2"/>
      <c r="CD119" s="2">
        <v>6</v>
      </c>
      <c r="CE119" s="39" t="s">
        <v>318</v>
      </c>
      <c r="CF119" s="49" t="s">
        <v>269</v>
      </c>
      <c r="CG119" s="55" t="s">
        <v>270</v>
      </c>
      <c r="CH119" s="47">
        <f t="shared" si="52"/>
        <v>75.2</v>
      </c>
    </row>
    <row r="120" spans="1:86" s="3" customFormat="1" ht="15" customHeight="1">
      <c r="A120" s="17">
        <v>110</v>
      </c>
      <c r="B120" s="5" t="s">
        <v>271</v>
      </c>
      <c r="C120" s="2" t="s">
        <v>272</v>
      </c>
      <c r="D120" s="2"/>
      <c r="E120" s="2"/>
      <c r="F120" s="2">
        <v>33.6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>
        <v>1.2</v>
      </c>
      <c r="S120" s="2"/>
      <c r="T120" s="2"/>
      <c r="U120" s="2"/>
      <c r="V120" s="2">
        <v>7.8</v>
      </c>
      <c r="W120" s="2"/>
      <c r="X120" s="2"/>
      <c r="Y120" s="2">
        <v>1.9</v>
      </c>
      <c r="Z120" s="2"/>
      <c r="AA120" s="2"/>
      <c r="AB120" s="2"/>
      <c r="AC120" s="2"/>
      <c r="AD120" s="2"/>
      <c r="AE120" s="2">
        <v>2</v>
      </c>
      <c r="AF120" s="2">
        <v>1</v>
      </c>
      <c r="AG120" s="2"/>
      <c r="AH120" s="2"/>
      <c r="AI120" s="2">
        <v>4.8</v>
      </c>
      <c r="AJ120" s="2"/>
      <c r="AK120" s="2"/>
      <c r="AL120" s="2"/>
      <c r="AM120" s="2">
        <v>2</v>
      </c>
      <c r="AN120" s="2"/>
      <c r="AO120" s="2"/>
      <c r="AP120" s="2"/>
      <c r="AQ120" s="2"/>
      <c r="AR120" s="2"/>
      <c r="AS120" s="2"/>
      <c r="AT120" s="2"/>
      <c r="AU120" s="2">
        <v>6</v>
      </c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>
        <v>2</v>
      </c>
      <c r="BJ120" s="2"/>
      <c r="BK120" s="2">
        <v>3</v>
      </c>
      <c r="BL120" s="2"/>
      <c r="BM120" s="2"/>
      <c r="BN120" s="2"/>
      <c r="BO120" s="2"/>
      <c r="BP120" s="2"/>
      <c r="BQ120" s="2">
        <v>2</v>
      </c>
      <c r="BR120" s="2"/>
      <c r="BS120" s="2"/>
      <c r="BT120" s="2">
        <v>7.8</v>
      </c>
      <c r="BU120" s="2"/>
      <c r="BV120" s="2"/>
      <c r="BW120" s="2"/>
      <c r="BX120" s="2"/>
      <c r="BY120" s="2"/>
      <c r="BZ120" s="2">
        <v>3</v>
      </c>
      <c r="CA120" s="2"/>
      <c r="CB120" s="2"/>
      <c r="CC120" s="2"/>
      <c r="CD120" s="2">
        <v>6</v>
      </c>
      <c r="CE120" s="39" t="s">
        <v>318</v>
      </c>
      <c r="CF120" s="49" t="s">
        <v>271</v>
      </c>
      <c r="CG120" s="55" t="s">
        <v>272</v>
      </c>
      <c r="CH120" s="47">
        <f t="shared" si="52"/>
        <v>33.6</v>
      </c>
    </row>
    <row r="121" spans="1:86" s="3" customFormat="1" ht="15" customHeight="1">
      <c r="A121" s="17">
        <v>111</v>
      </c>
      <c r="B121" s="5" t="s">
        <v>273</v>
      </c>
      <c r="C121" s="2" t="s">
        <v>274</v>
      </c>
      <c r="D121" s="2"/>
      <c r="E121" s="2">
        <v>23.5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>
        <v>4.8</v>
      </c>
      <c r="W121" s="2"/>
      <c r="X121" s="2"/>
      <c r="Y121" s="2"/>
      <c r="Z121" s="2"/>
      <c r="AA121" s="2"/>
      <c r="AB121" s="2">
        <v>22</v>
      </c>
      <c r="AC121" s="2"/>
      <c r="AD121" s="2"/>
      <c r="AE121" s="2"/>
      <c r="AF121" s="2"/>
      <c r="AG121" s="2"/>
      <c r="AH121" s="2"/>
      <c r="AI121" s="2">
        <v>3.2</v>
      </c>
      <c r="AJ121" s="2"/>
      <c r="AK121" s="2"/>
      <c r="AL121" s="2">
        <v>2</v>
      </c>
      <c r="AM121" s="2"/>
      <c r="AN121" s="2"/>
      <c r="AO121" s="2"/>
      <c r="AP121" s="2"/>
      <c r="AQ121" s="2"/>
      <c r="AR121" s="2"/>
      <c r="AS121" s="2"/>
      <c r="AT121" s="2"/>
      <c r="AU121" s="2">
        <v>4</v>
      </c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>
        <v>2</v>
      </c>
      <c r="BJ121" s="2"/>
      <c r="BK121" s="2">
        <v>2</v>
      </c>
      <c r="BL121" s="2"/>
      <c r="BM121" s="2"/>
      <c r="BN121" s="2"/>
      <c r="BO121" s="2"/>
      <c r="BP121" s="2"/>
      <c r="BQ121" s="2">
        <v>2</v>
      </c>
      <c r="BR121" s="2"/>
      <c r="BS121" s="2"/>
      <c r="BT121" s="2"/>
      <c r="BU121" s="2"/>
      <c r="BV121" s="2"/>
      <c r="BW121" s="2"/>
      <c r="BX121" s="2"/>
      <c r="BY121" s="2"/>
      <c r="BZ121" s="2">
        <v>3</v>
      </c>
      <c r="CA121" s="2"/>
      <c r="CB121" s="2"/>
      <c r="CC121" s="2"/>
      <c r="CD121" s="2">
        <v>6</v>
      </c>
      <c r="CE121" s="39" t="s">
        <v>318</v>
      </c>
      <c r="CF121" s="49" t="s">
        <v>273</v>
      </c>
      <c r="CG121" s="55" t="s">
        <v>274</v>
      </c>
      <c r="CH121" s="47">
        <f t="shared" si="52"/>
        <v>23.5</v>
      </c>
    </row>
    <row r="122" spans="1:86" s="3" customFormat="1" ht="15" customHeight="1">
      <c r="A122" s="17">
        <v>112</v>
      </c>
      <c r="B122" s="5" t="s">
        <v>275</v>
      </c>
      <c r="C122" s="2" t="s">
        <v>276</v>
      </c>
      <c r="D122" s="2"/>
      <c r="E122" s="2">
        <v>17.4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>
        <v>1.1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>
        <v>3.4</v>
      </c>
      <c r="AJ122" s="2"/>
      <c r="AK122" s="2"/>
      <c r="AL122" s="2">
        <v>1</v>
      </c>
      <c r="AM122" s="2"/>
      <c r="AN122" s="2"/>
      <c r="AO122" s="2"/>
      <c r="AP122" s="2"/>
      <c r="AQ122" s="2"/>
      <c r="AR122" s="2"/>
      <c r="AS122" s="2"/>
      <c r="AT122" s="2"/>
      <c r="AU122" s="2">
        <v>3</v>
      </c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>
        <v>2</v>
      </c>
      <c r="BJ122" s="2"/>
      <c r="BK122" s="2">
        <v>3</v>
      </c>
      <c r="BL122" s="2"/>
      <c r="BM122" s="2"/>
      <c r="BN122" s="2"/>
      <c r="BO122" s="2"/>
      <c r="BP122" s="2"/>
      <c r="BQ122" s="2">
        <v>1</v>
      </c>
      <c r="BR122" s="2"/>
      <c r="BS122" s="2"/>
      <c r="BT122" s="2"/>
      <c r="BU122" s="2"/>
      <c r="BV122" s="2"/>
      <c r="BW122" s="2"/>
      <c r="BX122" s="2"/>
      <c r="BY122" s="2"/>
      <c r="BZ122" s="2">
        <v>1</v>
      </c>
      <c r="CA122" s="2"/>
      <c r="CB122" s="2"/>
      <c r="CC122" s="2"/>
      <c r="CD122" s="2">
        <v>3</v>
      </c>
      <c r="CE122" s="39" t="s">
        <v>318</v>
      </c>
      <c r="CF122" s="49" t="s">
        <v>275</v>
      </c>
      <c r="CG122" s="55" t="s">
        <v>276</v>
      </c>
      <c r="CH122" s="47">
        <f t="shared" si="52"/>
        <v>17.4</v>
      </c>
    </row>
    <row r="123" spans="1:86" s="3" customFormat="1" ht="15" customHeight="1">
      <c r="A123" s="17">
        <v>113</v>
      </c>
      <c r="B123" s="5" t="s">
        <v>288</v>
      </c>
      <c r="C123" s="2" t="s">
        <v>289</v>
      </c>
      <c r="D123" s="2"/>
      <c r="E123" s="2"/>
      <c r="F123" s="2">
        <v>104.5</v>
      </c>
      <c r="G123" s="2"/>
      <c r="H123" s="2">
        <v>47.3</v>
      </c>
      <c r="I123" s="2"/>
      <c r="J123" s="2"/>
      <c r="K123" s="2"/>
      <c r="L123" s="2"/>
      <c r="M123" s="2">
        <v>10.2</v>
      </c>
      <c r="N123" s="2">
        <v>48.5</v>
      </c>
      <c r="O123" s="2"/>
      <c r="P123" s="2"/>
      <c r="Q123" s="2">
        <v>164.3</v>
      </c>
      <c r="R123" s="2">
        <v>141.1</v>
      </c>
      <c r="S123" s="2"/>
      <c r="T123" s="2"/>
      <c r="U123" s="2"/>
      <c r="V123" s="2">
        <v>8.2</v>
      </c>
      <c r="W123" s="2"/>
      <c r="X123" s="2"/>
      <c r="Y123" s="2"/>
      <c r="Z123" s="2"/>
      <c r="AA123" s="2"/>
      <c r="AB123" s="2">
        <v>40</v>
      </c>
      <c r="AC123" s="2"/>
      <c r="AD123" s="2"/>
      <c r="AE123" s="2"/>
      <c r="AF123" s="2">
        <v>4</v>
      </c>
      <c r="AG123" s="2"/>
      <c r="AH123" s="2"/>
      <c r="AI123" s="2">
        <v>1.6</v>
      </c>
      <c r="AJ123" s="2">
        <v>10.9</v>
      </c>
      <c r="AK123" s="2"/>
      <c r="AL123" s="2">
        <v>4</v>
      </c>
      <c r="AM123" s="2"/>
      <c r="AN123" s="2"/>
      <c r="AO123" s="2"/>
      <c r="AP123" s="2"/>
      <c r="AQ123" s="2"/>
      <c r="AR123" s="2"/>
      <c r="AS123" s="2"/>
      <c r="AT123" s="2"/>
      <c r="AU123" s="2">
        <v>16</v>
      </c>
      <c r="AV123" s="2">
        <v>11</v>
      </c>
      <c r="AW123" s="2"/>
      <c r="AX123" s="2"/>
      <c r="AY123" s="2">
        <v>3</v>
      </c>
      <c r="AZ123" s="2">
        <v>3</v>
      </c>
      <c r="BA123" s="2"/>
      <c r="BB123" s="2">
        <v>1</v>
      </c>
      <c r="BC123" s="2">
        <v>1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>
        <v>4</v>
      </c>
      <c r="BR123" s="2"/>
      <c r="BS123" s="2">
        <v>46</v>
      </c>
      <c r="BT123" s="2"/>
      <c r="BU123" s="2"/>
      <c r="BV123" s="2"/>
      <c r="BW123" s="2"/>
      <c r="BX123" s="2"/>
      <c r="BY123" s="2">
        <v>8.5</v>
      </c>
      <c r="BZ123" s="2"/>
      <c r="CA123" s="2"/>
      <c r="CB123" s="2"/>
      <c r="CC123" s="2">
        <v>1</v>
      </c>
      <c r="CD123" s="2"/>
      <c r="CE123" s="39" t="s">
        <v>318</v>
      </c>
      <c r="CF123" s="49" t="s">
        <v>288</v>
      </c>
      <c r="CG123" s="55" t="s">
        <v>289</v>
      </c>
      <c r="CH123" s="47">
        <f t="shared" si="52"/>
        <v>210.5</v>
      </c>
    </row>
    <row r="124" spans="1:86" s="3" customFormat="1" ht="15" customHeight="1">
      <c r="A124" s="17"/>
      <c r="B124" s="13"/>
      <c r="C124" s="14"/>
      <c r="D124" s="14">
        <f>SUM(D112:D123)</f>
        <v>142.15</v>
      </c>
      <c r="E124" s="14">
        <f aca="true" t="shared" si="53" ref="E124:O124">SUM(E112:E123)</f>
        <v>634.1999999999999</v>
      </c>
      <c r="F124" s="14">
        <f t="shared" si="53"/>
        <v>308</v>
      </c>
      <c r="G124" s="14">
        <f t="shared" si="53"/>
        <v>0</v>
      </c>
      <c r="H124" s="14">
        <f t="shared" si="53"/>
        <v>122.3</v>
      </c>
      <c r="I124" s="14">
        <f t="shared" si="53"/>
        <v>49.5</v>
      </c>
      <c r="J124" s="14">
        <f t="shared" si="53"/>
        <v>49.4</v>
      </c>
      <c r="K124" s="14">
        <f t="shared" si="53"/>
        <v>176.7</v>
      </c>
      <c r="L124" s="14">
        <f t="shared" si="53"/>
        <v>0</v>
      </c>
      <c r="M124" s="14">
        <f t="shared" si="53"/>
        <v>328.59999999999997</v>
      </c>
      <c r="N124" s="14">
        <f t="shared" si="53"/>
        <v>66.6</v>
      </c>
      <c r="O124" s="14">
        <f t="shared" si="53"/>
        <v>0</v>
      </c>
      <c r="P124" s="14">
        <f>SUM(P112:P123)</f>
        <v>0</v>
      </c>
      <c r="Q124" s="14">
        <f>SUM(Q112:Q123)</f>
        <v>499.6</v>
      </c>
      <c r="R124" s="14">
        <f>SUM(R112:R123)</f>
        <v>333.6</v>
      </c>
      <c r="S124" s="14">
        <f>SUM(S112:S123)</f>
        <v>15</v>
      </c>
      <c r="T124" s="14">
        <f aca="true" t="shared" si="54" ref="T124:AW124">SUM(T112:T123)</f>
        <v>1.1</v>
      </c>
      <c r="U124" s="14">
        <f t="shared" si="54"/>
        <v>0</v>
      </c>
      <c r="V124" s="14">
        <f t="shared" si="54"/>
        <v>171.3</v>
      </c>
      <c r="W124" s="14">
        <f t="shared" si="54"/>
        <v>0</v>
      </c>
      <c r="X124" s="14">
        <f t="shared" si="54"/>
        <v>0</v>
      </c>
      <c r="Y124" s="14">
        <f t="shared" si="54"/>
        <v>5.199999999999999</v>
      </c>
      <c r="Z124" s="14">
        <f t="shared" si="54"/>
        <v>0</v>
      </c>
      <c r="AA124" s="14">
        <f t="shared" si="54"/>
        <v>0</v>
      </c>
      <c r="AB124" s="14">
        <f t="shared" si="54"/>
        <v>722</v>
      </c>
      <c r="AC124" s="14">
        <f t="shared" si="54"/>
        <v>13.5</v>
      </c>
      <c r="AD124" s="14">
        <f t="shared" si="54"/>
        <v>15.3</v>
      </c>
      <c r="AE124" s="14">
        <f t="shared" si="54"/>
        <v>2</v>
      </c>
      <c r="AF124" s="14">
        <f t="shared" si="54"/>
        <v>17</v>
      </c>
      <c r="AG124" s="14">
        <f t="shared" si="54"/>
        <v>0</v>
      </c>
      <c r="AH124" s="14">
        <f t="shared" si="54"/>
        <v>1</v>
      </c>
      <c r="AI124" s="14">
        <f t="shared" si="54"/>
        <v>135.7</v>
      </c>
      <c r="AJ124" s="14">
        <f t="shared" si="54"/>
        <v>10.9</v>
      </c>
      <c r="AK124" s="14">
        <f t="shared" si="54"/>
        <v>11</v>
      </c>
      <c r="AL124" s="14">
        <f t="shared" si="54"/>
        <v>61</v>
      </c>
      <c r="AM124" s="14">
        <f t="shared" si="54"/>
        <v>2</v>
      </c>
      <c r="AN124" s="14">
        <f t="shared" si="54"/>
        <v>0</v>
      </c>
      <c r="AO124" s="14">
        <f t="shared" si="54"/>
        <v>0</v>
      </c>
      <c r="AP124" s="14">
        <f t="shared" si="54"/>
        <v>0</v>
      </c>
      <c r="AQ124" s="14">
        <f t="shared" si="54"/>
        <v>0</v>
      </c>
      <c r="AR124" s="14">
        <f t="shared" si="54"/>
        <v>0</v>
      </c>
      <c r="AS124" s="14">
        <f t="shared" si="54"/>
        <v>0</v>
      </c>
      <c r="AT124" s="14">
        <f t="shared" si="54"/>
        <v>0</v>
      </c>
      <c r="AU124" s="14">
        <f t="shared" si="54"/>
        <v>178</v>
      </c>
      <c r="AV124" s="14">
        <f t="shared" si="54"/>
        <v>66</v>
      </c>
      <c r="AW124" s="14">
        <f t="shared" si="54"/>
        <v>8</v>
      </c>
      <c r="AX124" s="14">
        <f aca="true" t="shared" si="55" ref="AX124:BZ124">SUM(AX112:AX123)</f>
        <v>0</v>
      </c>
      <c r="AY124" s="14">
        <f t="shared" si="55"/>
        <v>9</v>
      </c>
      <c r="AZ124" s="14">
        <f t="shared" si="55"/>
        <v>9</v>
      </c>
      <c r="BA124" s="14">
        <f t="shared" si="55"/>
        <v>1</v>
      </c>
      <c r="BB124" s="14">
        <f t="shared" si="55"/>
        <v>1</v>
      </c>
      <c r="BC124" s="14">
        <f t="shared" si="55"/>
        <v>1</v>
      </c>
      <c r="BD124" s="14">
        <f t="shared" si="55"/>
        <v>0</v>
      </c>
      <c r="BE124" s="14">
        <f t="shared" si="55"/>
        <v>0</v>
      </c>
      <c r="BF124" s="14">
        <f t="shared" si="55"/>
        <v>0</v>
      </c>
      <c r="BG124" s="14">
        <f t="shared" si="55"/>
        <v>0</v>
      </c>
      <c r="BH124" s="14">
        <f t="shared" si="55"/>
        <v>3</v>
      </c>
      <c r="BI124" s="14">
        <f t="shared" si="55"/>
        <v>253</v>
      </c>
      <c r="BJ124" s="14">
        <f t="shared" si="55"/>
        <v>11</v>
      </c>
      <c r="BK124" s="14">
        <f t="shared" si="55"/>
        <v>86</v>
      </c>
      <c r="BL124" s="14">
        <f t="shared" si="55"/>
        <v>0</v>
      </c>
      <c r="BM124" s="14">
        <f t="shared" si="55"/>
        <v>1</v>
      </c>
      <c r="BN124" s="14">
        <f t="shared" si="55"/>
        <v>0</v>
      </c>
      <c r="BO124" s="14">
        <f t="shared" si="55"/>
        <v>3</v>
      </c>
      <c r="BP124" s="14">
        <f t="shared" si="55"/>
        <v>1</v>
      </c>
      <c r="BQ124" s="14">
        <f t="shared" si="55"/>
        <v>51</v>
      </c>
      <c r="BR124" s="14">
        <f t="shared" si="55"/>
        <v>18</v>
      </c>
      <c r="BS124" s="14">
        <f t="shared" si="55"/>
        <v>63</v>
      </c>
      <c r="BT124" s="14">
        <f t="shared" si="55"/>
        <v>66.2</v>
      </c>
      <c r="BU124" s="14">
        <f t="shared" si="55"/>
        <v>0</v>
      </c>
      <c r="BV124" s="14">
        <f t="shared" si="55"/>
        <v>2.8</v>
      </c>
      <c r="BW124" s="14">
        <f t="shared" si="55"/>
        <v>3.3</v>
      </c>
      <c r="BX124" s="14">
        <f t="shared" si="55"/>
        <v>0</v>
      </c>
      <c r="BY124" s="14">
        <f t="shared" si="55"/>
        <v>13.5</v>
      </c>
      <c r="BZ124" s="14">
        <f t="shared" si="55"/>
        <v>76</v>
      </c>
      <c r="CA124" s="14">
        <f>SUM(CA112:CA123)</f>
        <v>0</v>
      </c>
      <c r="CB124" s="14">
        <f>SUM(CB112:CB123)</f>
        <v>0</v>
      </c>
      <c r="CC124" s="14">
        <f>SUM(CC112:CC123)</f>
        <v>1</v>
      </c>
      <c r="CD124" s="14">
        <f>SUM(CD112:CD123)</f>
        <v>87</v>
      </c>
      <c r="CE124" s="41"/>
      <c r="CF124" s="50"/>
      <c r="CG124" s="56"/>
      <c r="CH124" s="56"/>
    </row>
    <row r="125" spans="1:86" s="3" customFormat="1" ht="15" customHeight="1">
      <c r="A125" s="17">
        <v>114</v>
      </c>
      <c r="B125" s="5" t="s">
        <v>277</v>
      </c>
      <c r="C125" s="2" t="s">
        <v>278</v>
      </c>
      <c r="D125" s="2" t="s">
        <v>61</v>
      </c>
      <c r="E125" s="2">
        <v>14.5</v>
      </c>
      <c r="F125" s="2">
        <v>75</v>
      </c>
      <c r="G125" s="2"/>
      <c r="H125" s="2">
        <v>10.12</v>
      </c>
      <c r="I125" s="2"/>
      <c r="J125" s="2">
        <v>85.9</v>
      </c>
      <c r="K125" s="2"/>
      <c r="L125" s="2"/>
      <c r="M125" s="2"/>
      <c r="N125" s="2"/>
      <c r="O125" s="2"/>
      <c r="P125" s="2"/>
      <c r="Q125" s="2"/>
      <c r="R125" s="2">
        <v>46.8</v>
      </c>
      <c r="S125" s="2">
        <v>6</v>
      </c>
      <c r="T125" s="2"/>
      <c r="U125" s="2"/>
      <c r="V125" s="2">
        <v>33.9</v>
      </c>
      <c r="W125" s="2"/>
      <c r="X125" s="2"/>
      <c r="Y125" s="2">
        <v>5.9</v>
      </c>
      <c r="Z125" s="2"/>
      <c r="AA125" s="2"/>
      <c r="AB125" s="2">
        <v>96</v>
      </c>
      <c r="AC125" s="2"/>
      <c r="AD125" s="2"/>
      <c r="AE125" s="2">
        <v>2</v>
      </c>
      <c r="AF125" s="2">
        <v>3</v>
      </c>
      <c r="AG125" s="2">
        <v>1</v>
      </c>
      <c r="AH125" s="2"/>
      <c r="AI125" s="2">
        <v>15.2</v>
      </c>
      <c r="AJ125" s="2"/>
      <c r="AK125" s="2">
        <v>9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>
        <v>4</v>
      </c>
      <c r="AV125" s="2">
        <v>23</v>
      </c>
      <c r="AW125" s="2">
        <v>2</v>
      </c>
      <c r="AX125" s="2">
        <v>5</v>
      </c>
      <c r="AY125" s="2">
        <v>1</v>
      </c>
      <c r="AZ125" s="2">
        <v>1</v>
      </c>
      <c r="BA125" s="2"/>
      <c r="BB125" s="2">
        <v>1</v>
      </c>
      <c r="BC125" s="2"/>
      <c r="BD125" s="2"/>
      <c r="BE125" s="2"/>
      <c r="BF125" s="2"/>
      <c r="BG125" s="2"/>
      <c r="BH125" s="2"/>
      <c r="BI125" s="2">
        <v>24</v>
      </c>
      <c r="BJ125" s="2"/>
      <c r="BK125" s="2">
        <v>20</v>
      </c>
      <c r="BL125" s="2">
        <v>1</v>
      </c>
      <c r="BM125" s="2"/>
      <c r="BN125" s="2"/>
      <c r="BO125" s="2">
        <v>3</v>
      </c>
      <c r="BP125" s="2"/>
      <c r="BQ125" s="2">
        <v>7</v>
      </c>
      <c r="BR125" s="2">
        <v>13</v>
      </c>
      <c r="BS125" s="2">
        <v>45</v>
      </c>
      <c r="BT125" s="2">
        <v>27.4</v>
      </c>
      <c r="BU125" s="2"/>
      <c r="BV125" s="2"/>
      <c r="BW125" s="2"/>
      <c r="BX125" s="2"/>
      <c r="BY125" s="2">
        <v>9.6</v>
      </c>
      <c r="BZ125" s="2">
        <v>7</v>
      </c>
      <c r="CA125" s="2"/>
      <c r="CB125" s="2"/>
      <c r="CC125" s="2">
        <v>2</v>
      </c>
      <c r="CD125" s="2">
        <v>35</v>
      </c>
      <c r="CE125" s="39" t="s">
        <v>318</v>
      </c>
      <c r="CF125" s="49" t="s">
        <v>277</v>
      </c>
      <c r="CG125" s="55" t="s">
        <v>278</v>
      </c>
      <c r="CH125" s="47">
        <f>SUM(D125:N125)</f>
        <v>185.52</v>
      </c>
    </row>
    <row r="126" spans="1:86" s="3" customFormat="1" ht="15" customHeight="1">
      <c r="A126" s="17"/>
      <c r="B126" s="13"/>
      <c r="C126" s="14"/>
      <c r="D126" s="14">
        <f aca="true" t="shared" si="56" ref="D126:AF126">SUM(D125:D125)</f>
        <v>0</v>
      </c>
      <c r="E126" s="14">
        <f t="shared" si="56"/>
        <v>14.5</v>
      </c>
      <c r="F126" s="14">
        <f t="shared" si="56"/>
        <v>75</v>
      </c>
      <c r="G126" s="14">
        <f t="shared" si="56"/>
        <v>0</v>
      </c>
      <c r="H126" s="14">
        <f t="shared" si="56"/>
        <v>10.12</v>
      </c>
      <c r="I126" s="14">
        <f t="shared" si="56"/>
        <v>0</v>
      </c>
      <c r="J126" s="14">
        <f t="shared" si="56"/>
        <v>85.9</v>
      </c>
      <c r="K126" s="14">
        <f t="shared" si="56"/>
        <v>0</v>
      </c>
      <c r="L126" s="14">
        <f t="shared" si="56"/>
        <v>0</v>
      </c>
      <c r="M126" s="14">
        <f t="shared" si="56"/>
        <v>0</v>
      </c>
      <c r="N126" s="14">
        <f t="shared" si="56"/>
        <v>0</v>
      </c>
      <c r="O126" s="14">
        <f t="shared" si="56"/>
        <v>0</v>
      </c>
      <c r="P126" s="14">
        <f t="shared" si="56"/>
        <v>0</v>
      </c>
      <c r="Q126" s="14">
        <f t="shared" si="56"/>
        <v>0</v>
      </c>
      <c r="R126" s="14">
        <f t="shared" si="56"/>
        <v>46.8</v>
      </c>
      <c r="S126" s="14">
        <f t="shared" si="56"/>
        <v>6</v>
      </c>
      <c r="T126" s="14">
        <f t="shared" si="56"/>
        <v>0</v>
      </c>
      <c r="U126" s="14">
        <f t="shared" si="56"/>
        <v>0</v>
      </c>
      <c r="V126" s="14">
        <f t="shared" si="56"/>
        <v>33.9</v>
      </c>
      <c r="W126" s="14">
        <f t="shared" si="56"/>
        <v>0</v>
      </c>
      <c r="X126" s="14">
        <f t="shared" si="56"/>
        <v>0</v>
      </c>
      <c r="Y126" s="14">
        <f t="shared" si="56"/>
        <v>5.9</v>
      </c>
      <c r="Z126" s="14">
        <f t="shared" si="56"/>
        <v>0</v>
      </c>
      <c r="AA126" s="14">
        <f t="shared" si="56"/>
        <v>0</v>
      </c>
      <c r="AB126" s="14">
        <f t="shared" si="56"/>
        <v>96</v>
      </c>
      <c r="AC126" s="14">
        <f t="shared" si="56"/>
        <v>0</v>
      </c>
      <c r="AD126" s="14">
        <f t="shared" si="56"/>
        <v>0</v>
      </c>
      <c r="AE126" s="14">
        <f t="shared" si="56"/>
        <v>2</v>
      </c>
      <c r="AF126" s="14">
        <f t="shared" si="56"/>
        <v>3</v>
      </c>
      <c r="AG126" s="14">
        <f aca="true" t="shared" si="57" ref="AG126:BL126">SUM(AG125:AG125)</f>
        <v>1</v>
      </c>
      <c r="AH126" s="14">
        <f t="shared" si="57"/>
        <v>0</v>
      </c>
      <c r="AI126" s="14">
        <f t="shared" si="57"/>
        <v>15.2</v>
      </c>
      <c r="AJ126" s="14">
        <f t="shared" si="57"/>
        <v>0</v>
      </c>
      <c r="AK126" s="14">
        <f t="shared" si="57"/>
        <v>9</v>
      </c>
      <c r="AL126" s="14">
        <f t="shared" si="57"/>
        <v>0</v>
      </c>
      <c r="AM126" s="14">
        <f t="shared" si="57"/>
        <v>0</v>
      </c>
      <c r="AN126" s="14">
        <f t="shared" si="57"/>
        <v>0</v>
      </c>
      <c r="AO126" s="14">
        <f t="shared" si="57"/>
        <v>0</v>
      </c>
      <c r="AP126" s="14">
        <f t="shared" si="57"/>
        <v>0</v>
      </c>
      <c r="AQ126" s="14">
        <f t="shared" si="57"/>
        <v>0</v>
      </c>
      <c r="AR126" s="14">
        <f t="shared" si="57"/>
        <v>0</v>
      </c>
      <c r="AS126" s="14">
        <f t="shared" si="57"/>
        <v>0</v>
      </c>
      <c r="AT126" s="14">
        <f t="shared" si="57"/>
        <v>0</v>
      </c>
      <c r="AU126" s="14">
        <f t="shared" si="57"/>
        <v>4</v>
      </c>
      <c r="AV126" s="14">
        <f t="shared" si="57"/>
        <v>23</v>
      </c>
      <c r="AW126" s="14">
        <f t="shared" si="57"/>
        <v>2</v>
      </c>
      <c r="AX126" s="14">
        <f t="shared" si="57"/>
        <v>5</v>
      </c>
      <c r="AY126" s="14">
        <f t="shared" si="57"/>
        <v>1</v>
      </c>
      <c r="AZ126" s="14">
        <f t="shared" si="57"/>
        <v>1</v>
      </c>
      <c r="BA126" s="14">
        <f t="shared" si="57"/>
        <v>0</v>
      </c>
      <c r="BB126" s="14">
        <f t="shared" si="57"/>
        <v>1</v>
      </c>
      <c r="BC126" s="14">
        <f t="shared" si="57"/>
        <v>0</v>
      </c>
      <c r="BD126" s="14">
        <f t="shared" si="57"/>
        <v>0</v>
      </c>
      <c r="BE126" s="14">
        <f t="shared" si="57"/>
        <v>0</v>
      </c>
      <c r="BF126" s="14">
        <f t="shared" si="57"/>
        <v>0</v>
      </c>
      <c r="BG126" s="14">
        <f t="shared" si="57"/>
        <v>0</v>
      </c>
      <c r="BH126" s="14">
        <f t="shared" si="57"/>
        <v>0</v>
      </c>
      <c r="BI126" s="14">
        <f t="shared" si="57"/>
        <v>24</v>
      </c>
      <c r="BJ126" s="14">
        <f t="shared" si="57"/>
        <v>0</v>
      </c>
      <c r="BK126" s="14">
        <f t="shared" si="57"/>
        <v>20</v>
      </c>
      <c r="BL126" s="14">
        <f t="shared" si="57"/>
        <v>1</v>
      </c>
      <c r="BM126" s="14">
        <f aca="true" t="shared" si="58" ref="BM126:CD126">SUM(BM125:BM125)</f>
        <v>0</v>
      </c>
      <c r="BN126" s="14">
        <f t="shared" si="58"/>
        <v>0</v>
      </c>
      <c r="BO126" s="14">
        <f t="shared" si="58"/>
        <v>3</v>
      </c>
      <c r="BP126" s="14">
        <f t="shared" si="58"/>
        <v>0</v>
      </c>
      <c r="BQ126" s="14">
        <f t="shared" si="58"/>
        <v>7</v>
      </c>
      <c r="BR126" s="14">
        <f t="shared" si="58"/>
        <v>13</v>
      </c>
      <c r="BS126" s="14">
        <f t="shared" si="58"/>
        <v>45</v>
      </c>
      <c r="BT126" s="14">
        <f t="shared" si="58"/>
        <v>27.4</v>
      </c>
      <c r="BU126" s="14">
        <f t="shared" si="58"/>
        <v>0</v>
      </c>
      <c r="BV126" s="14">
        <f t="shared" si="58"/>
        <v>0</v>
      </c>
      <c r="BW126" s="14">
        <f t="shared" si="58"/>
        <v>0</v>
      </c>
      <c r="BX126" s="14">
        <f t="shared" si="58"/>
        <v>0</v>
      </c>
      <c r="BY126" s="14">
        <f t="shared" si="58"/>
        <v>9.6</v>
      </c>
      <c r="BZ126" s="14">
        <f t="shared" si="58"/>
        <v>7</v>
      </c>
      <c r="CA126" s="14">
        <f t="shared" si="58"/>
        <v>0</v>
      </c>
      <c r="CB126" s="14">
        <f t="shared" si="58"/>
        <v>0</v>
      </c>
      <c r="CC126" s="14">
        <f t="shared" si="58"/>
        <v>2</v>
      </c>
      <c r="CD126" s="14">
        <f t="shared" si="58"/>
        <v>35</v>
      </c>
      <c r="CE126" s="41"/>
      <c r="CF126" s="50"/>
      <c r="CG126" s="56"/>
      <c r="CH126" s="56"/>
    </row>
    <row r="127" spans="1:86" s="3" customFormat="1" ht="21.75" customHeight="1">
      <c r="A127" s="17">
        <v>115</v>
      </c>
      <c r="B127" s="5" t="s">
        <v>279</v>
      </c>
      <c r="C127" s="2" t="s">
        <v>410</v>
      </c>
      <c r="D127" s="2"/>
      <c r="E127" s="2">
        <v>33.2</v>
      </c>
      <c r="F127" s="2"/>
      <c r="G127" s="2"/>
      <c r="H127" s="2">
        <v>2.6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9.8</v>
      </c>
      <c r="W127" s="2"/>
      <c r="X127" s="2"/>
      <c r="Y127" s="2"/>
      <c r="Z127" s="2"/>
      <c r="AA127" s="2"/>
      <c r="AB127" s="2">
        <v>12</v>
      </c>
      <c r="AC127" s="2"/>
      <c r="AD127" s="2"/>
      <c r="AE127" s="2"/>
      <c r="AF127" s="2">
        <v>1</v>
      </c>
      <c r="AG127" s="2"/>
      <c r="AH127" s="2"/>
      <c r="AI127" s="2">
        <v>3.2</v>
      </c>
      <c r="AJ127" s="2"/>
      <c r="AK127" s="2"/>
      <c r="AL127" s="2"/>
      <c r="AM127" s="2">
        <v>4</v>
      </c>
      <c r="AN127" s="2"/>
      <c r="AO127" s="2"/>
      <c r="AP127" s="2"/>
      <c r="AQ127" s="2"/>
      <c r="AR127" s="2"/>
      <c r="AS127" s="2"/>
      <c r="AT127" s="2"/>
      <c r="AU127" s="2">
        <v>8</v>
      </c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>
        <v>9</v>
      </c>
      <c r="BJ127" s="2"/>
      <c r="BK127" s="2">
        <v>3</v>
      </c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>
        <v>5</v>
      </c>
      <c r="CC127" s="2"/>
      <c r="CD127" s="2">
        <v>21</v>
      </c>
      <c r="CE127" s="39" t="s">
        <v>318</v>
      </c>
      <c r="CF127" s="49" t="s">
        <v>279</v>
      </c>
      <c r="CG127" s="55" t="s">
        <v>280</v>
      </c>
      <c r="CH127" s="47">
        <f>SUM(D127:N127)</f>
        <v>35.800000000000004</v>
      </c>
    </row>
    <row r="128" spans="1:86" s="3" customFormat="1" ht="21" customHeight="1">
      <c r="A128" s="17">
        <v>116</v>
      </c>
      <c r="B128" s="5" t="s">
        <v>281</v>
      </c>
      <c r="C128" s="2" t="s">
        <v>411</v>
      </c>
      <c r="D128" s="2"/>
      <c r="E128" s="2">
        <v>19.2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>
        <v>2.8</v>
      </c>
      <c r="W128" s="2"/>
      <c r="X128" s="2"/>
      <c r="Y128" s="2"/>
      <c r="Z128" s="2"/>
      <c r="AA128" s="2"/>
      <c r="AB128" s="2">
        <v>22</v>
      </c>
      <c r="AC128" s="2"/>
      <c r="AD128" s="2">
        <v>4.5</v>
      </c>
      <c r="AE128" s="2"/>
      <c r="AF128" s="2">
        <v>2</v>
      </c>
      <c r="AG128" s="2"/>
      <c r="AH128" s="2"/>
      <c r="AI128" s="2">
        <v>5</v>
      </c>
      <c r="AJ128" s="2"/>
      <c r="AK128" s="2"/>
      <c r="AL128" s="2"/>
      <c r="AM128" s="2">
        <v>6</v>
      </c>
      <c r="AN128" s="2"/>
      <c r="AO128" s="2"/>
      <c r="AP128" s="2"/>
      <c r="AQ128" s="2"/>
      <c r="AR128" s="2"/>
      <c r="AS128" s="2"/>
      <c r="AT128" s="2"/>
      <c r="AU128" s="2">
        <v>12</v>
      </c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>
        <v>3</v>
      </c>
      <c r="BJ128" s="2"/>
      <c r="BK128" s="2"/>
      <c r="BL128" s="2"/>
      <c r="BM128" s="2">
        <v>2</v>
      </c>
      <c r="BN128" s="2"/>
      <c r="BO128" s="2">
        <v>2</v>
      </c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>
        <v>20</v>
      </c>
      <c r="CE128" s="39" t="s">
        <v>318</v>
      </c>
      <c r="CF128" s="49" t="s">
        <v>281</v>
      </c>
      <c r="CG128" s="55" t="s">
        <v>282</v>
      </c>
      <c r="CH128" s="47">
        <f>SUM(D128:N128)</f>
        <v>19.2</v>
      </c>
    </row>
    <row r="129" spans="1:86" s="3" customFormat="1" ht="21" customHeight="1">
      <c r="A129" s="17">
        <v>117</v>
      </c>
      <c r="B129" s="5" t="s">
        <v>283</v>
      </c>
      <c r="C129" s="2" t="s">
        <v>412</v>
      </c>
      <c r="D129" s="2"/>
      <c r="E129" s="2"/>
      <c r="F129" s="2">
        <v>115.9</v>
      </c>
      <c r="G129" s="2"/>
      <c r="H129" s="2">
        <v>8.9</v>
      </c>
      <c r="I129" s="2"/>
      <c r="J129" s="2"/>
      <c r="K129" s="2"/>
      <c r="L129" s="2"/>
      <c r="M129" s="2">
        <v>17.8</v>
      </c>
      <c r="N129" s="2">
        <v>21</v>
      </c>
      <c r="O129" s="2">
        <v>357.3</v>
      </c>
      <c r="P129" s="2">
        <v>50.1</v>
      </c>
      <c r="Q129" s="2"/>
      <c r="R129" s="2">
        <v>227.8</v>
      </c>
      <c r="S129" s="2"/>
      <c r="T129" s="2"/>
      <c r="U129" s="2"/>
      <c r="V129" s="2">
        <v>19.3</v>
      </c>
      <c r="W129" s="2"/>
      <c r="X129" s="2"/>
      <c r="Y129" s="2">
        <v>14.9</v>
      </c>
      <c r="Z129" s="2"/>
      <c r="AA129" s="2"/>
      <c r="AB129" s="2">
        <v>84</v>
      </c>
      <c r="AC129" s="2"/>
      <c r="AD129" s="2"/>
      <c r="AE129" s="2"/>
      <c r="AF129" s="2">
        <v>8</v>
      </c>
      <c r="AG129" s="2">
        <v>2</v>
      </c>
      <c r="AH129" s="2">
        <v>1</v>
      </c>
      <c r="AI129" s="2">
        <v>28.8</v>
      </c>
      <c r="AJ129" s="2"/>
      <c r="AK129" s="2"/>
      <c r="AL129" s="2"/>
      <c r="AM129" s="2">
        <v>6</v>
      </c>
      <c r="AN129" s="2"/>
      <c r="AO129" s="2"/>
      <c r="AP129" s="2"/>
      <c r="AQ129" s="2"/>
      <c r="AR129" s="2"/>
      <c r="AS129" s="2"/>
      <c r="AT129" s="2"/>
      <c r="AU129" s="2">
        <v>37</v>
      </c>
      <c r="AV129" s="2">
        <v>8</v>
      </c>
      <c r="AW129" s="2"/>
      <c r="AX129" s="2"/>
      <c r="AY129" s="2">
        <v>2</v>
      </c>
      <c r="AZ129" s="2">
        <v>2</v>
      </c>
      <c r="BA129" s="2"/>
      <c r="BB129" s="2"/>
      <c r="BC129" s="2"/>
      <c r="BD129" s="2"/>
      <c r="BE129" s="2"/>
      <c r="BF129" s="2"/>
      <c r="BG129" s="2"/>
      <c r="BH129" s="2">
        <v>12</v>
      </c>
      <c r="BI129" s="2"/>
      <c r="BJ129" s="2"/>
      <c r="BK129" s="2">
        <v>11</v>
      </c>
      <c r="BL129" s="2"/>
      <c r="BM129" s="2">
        <v>3</v>
      </c>
      <c r="BN129" s="2"/>
      <c r="BO129" s="2">
        <v>24</v>
      </c>
      <c r="BP129" s="2">
        <v>22.8</v>
      </c>
      <c r="BQ129" s="2">
        <v>9</v>
      </c>
      <c r="BR129" s="2">
        <v>1</v>
      </c>
      <c r="BS129" s="2"/>
      <c r="BT129" s="2"/>
      <c r="BU129" s="2"/>
      <c r="BV129" s="2"/>
      <c r="BW129" s="2"/>
      <c r="BX129" s="2"/>
      <c r="BY129" s="2"/>
      <c r="BZ129" s="2">
        <v>6</v>
      </c>
      <c r="CA129" s="2"/>
      <c r="CB129" s="2"/>
      <c r="CC129" s="2"/>
      <c r="CD129" s="2">
        <v>16</v>
      </c>
      <c r="CE129" s="39" t="s">
        <v>382</v>
      </c>
      <c r="CF129" s="49" t="s">
        <v>283</v>
      </c>
      <c r="CG129" s="55" t="s">
        <v>376</v>
      </c>
      <c r="CH129" s="47">
        <f>SUM(D129:N129)</f>
        <v>163.60000000000002</v>
      </c>
    </row>
    <row r="130" spans="1:86" s="3" customFormat="1" ht="24" customHeight="1">
      <c r="A130" s="17">
        <v>118</v>
      </c>
      <c r="B130" s="5" t="s">
        <v>284</v>
      </c>
      <c r="C130" s="2" t="s">
        <v>413</v>
      </c>
      <c r="D130" s="2"/>
      <c r="E130" s="2">
        <v>154.7</v>
      </c>
      <c r="F130" s="2"/>
      <c r="G130" s="2"/>
      <c r="H130" s="2">
        <v>156.8</v>
      </c>
      <c r="I130" s="2"/>
      <c r="J130" s="2">
        <v>21.8</v>
      </c>
      <c r="K130" s="2"/>
      <c r="L130" s="2"/>
      <c r="M130" s="2">
        <v>44.1</v>
      </c>
      <c r="N130" s="2">
        <v>7</v>
      </c>
      <c r="O130" s="2"/>
      <c r="P130" s="2"/>
      <c r="Q130" s="2">
        <v>216.7</v>
      </c>
      <c r="R130" s="2">
        <v>89.4</v>
      </c>
      <c r="S130" s="2"/>
      <c r="T130" s="2"/>
      <c r="U130" s="2"/>
      <c r="V130" s="2">
        <v>46.4</v>
      </c>
      <c r="W130" s="2"/>
      <c r="X130" s="2"/>
      <c r="Y130" s="2"/>
      <c r="Z130" s="2">
        <v>1</v>
      </c>
      <c r="AA130" s="2"/>
      <c r="AB130" s="2">
        <v>148</v>
      </c>
      <c r="AC130" s="2"/>
      <c r="AD130" s="2">
        <v>22.5</v>
      </c>
      <c r="AE130" s="2"/>
      <c r="AF130" s="2">
        <v>14</v>
      </c>
      <c r="AG130" s="2">
        <v>1</v>
      </c>
      <c r="AH130" s="2"/>
      <c r="AI130" s="2">
        <v>35.2</v>
      </c>
      <c r="AJ130" s="2">
        <v>2</v>
      </c>
      <c r="AK130" s="2"/>
      <c r="AL130" s="2">
        <v>8</v>
      </c>
      <c r="AM130" s="2">
        <v>11</v>
      </c>
      <c r="AN130" s="2"/>
      <c r="AO130" s="2"/>
      <c r="AP130" s="2">
        <v>3</v>
      </c>
      <c r="AQ130" s="2"/>
      <c r="AR130" s="2"/>
      <c r="AS130" s="2"/>
      <c r="AT130" s="2"/>
      <c r="AU130" s="2">
        <v>36</v>
      </c>
      <c r="AV130" s="2">
        <v>14</v>
      </c>
      <c r="AW130" s="2"/>
      <c r="AX130" s="2"/>
      <c r="AY130" s="2">
        <v>4</v>
      </c>
      <c r="AZ130" s="2">
        <v>4</v>
      </c>
      <c r="BA130" s="2">
        <v>2</v>
      </c>
      <c r="BB130" s="2"/>
      <c r="BC130" s="2">
        <v>2</v>
      </c>
      <c r="BD130" s="2"/>
      <c r="BE130" s="2"/>
      <c r="BF130" s="2"/>
      <c r="BG130" s="2">
        <v>12.1</v>
      </c>
      <c r="BH130" s="2"/>
      <c r="BI130" s="2"/>
      <c r="BJ130" s="2"/>
      <c r="BK130" s="2"/>
      <c r="BL130" s="2">
        <v>5</v>
      </c>
      <c r="BM130" s="2"/>
      <c r="BN130" s="2"/>
      <c r="BO130" s="2">
        <v>11</v>
      </c>
      <c r="BP130" s="2"/>
      <c r="BQ130" s="2">
        <v>10</v>
      </c>
      <c r="BR130" s="2"/>
      <c r="BS130" s="2">
        <v>38</v>
      </c>
      <c r="BT130" s="2"/>
      <c r="BU130" s="2"/>
      <c r="BV130" s="2"/>
      <c r="BW130" s="2"/>
      <c r="BX130" s="2"/>
      <c r="BY130" s="2"/>
      <c r="BZ130" s="2">
        <v>1</v>
      </c>
      <c r="CA130" s="2"/>
      <c r="CB130" s="2"/>
      <c r="CC130" s="2"/>
      <c r="CD130" s="2">
        <v>43</v>
      </c>
      <c r="CE130" s="39" t="s">
        <v>318</v>
      </c>
      <c r="CF130" s="49" t="s">
        <v>284</v>
      </c>
      <c r="CG130" s="55" t="s">
        <v>285</v>
      </c>
      <c r="CH130" s="47">
        <f>SUM(D130:N130)</f>
        <v>384.40000000000003</v>
      </c>
    </row>
    <row r="131" spans="1:86" s="3" customFormat="1" ht="15" customHeight="1">
      <c r="A131" s="17">
        <v>119</v>
      </c>
      <c r="B131" s="5" t="s">
        <v>286</v>
      </c>
      <c r="C131" s="2" t="s">
        <v>287</v>
      </c>
      <c r="D131" s="2"/>
      <c r="E131" s="2">
        <v>13.9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v>17.2</v>
      </c>
      <c r="R131" s="2"/>
      <c r="S131" s="2"/>
      <c r="T131" s="2"/>
      <c r="U131" s="2"/>
      <c r="V131" s="2">
        <v>10.5</v>
      </c>
      <c r="W131" s="2"/>
      <c r="X131" s="2"/>
      <c r="Y131" s="2"/>
      <c r="Z131" s="2"/>
      <c r="AA131" s="2"/>
      <c r="AB131" s="2">
        <v>20</v>
      </c>
      <c r="AC131" s="2"/>
      <c r="AD131" s="2"/>
      <c r="AE131" s="2"/>
      <c r="AF131" s="2">
        <v>1</v>
      </c>
      <c r="AG131" s="2"/>
      <c r="AH131" s="2"/>
      <c r="AI131" s="2">
        <v>4.9</v>
      </c>
      <c r="AJ131" s="2"/>
      <c r="AK131" s="2"/>
      <c r="AL131" s="2"/>
      <c r="AM131" s="2">
        <v>3</v>
      </c>
      <c r="AN131" s="2"/>
      <c r="AO131" s="2"/>
      <c r="AP131" s="2"/>
      <c r="AQ131" s="2"/>
      <c r="AR131" s="2"/>
      <c r="AS131" s="2"/>
      <c r="AT131" s="2"/>
      <c r="AU131" s="2">
        <v>3</v>
      </c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>
        <v>2</v>
      </c>
      <c r="BL131" s="2"/>
      <c r="BM131" s="2"/>
      <c r="BN131" s="2"/>
      <c r="BO131" s="2">
        <v>1</v>
      </c>
      <c r="BP131" s="2"/>
      <c r="BQ131" s="2">
        <v>1</v>
      </c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>
        <v>8</v>
      </c>
      <c r="CE131" s="39" t="s">
        <v>318</v>
      </c>
      <c r="CF131" s="49" t="s">
        <v>286</v>
      </c>
      <c r="CG131" s="55" t="s">
        <v>287</v>
      </c>
      <c r="CH131" s="47">
        <f>SUM(D131:N131)</f>
        <v>13.9</v>
      </c>
    </row>
    <row r="132" spans="1:86" s="3" customFormat="1" ht="15" customHeight="1">
      <c r="A132" s="17"/>
      <c r="B132" s="13"/>
      <c r="C132" s="14"/>
      <c r="D132" s="14">
        <f>SUM(D127:D131)</f>
        <v>0</v>
      </c>
      <c r="E132" s="14">
        <f aca="true" t="shared" si="59" ref="E132:O132">SUM(E127:E131)</f>
        <v>221</v>
      </c>
      <c r="F132" s="14">
        <f t="shared" si="59"/>
        <v>115.9</v>
      </c>
      <c r="G132" s="14">
        <f t="shared" si="59"/>
        <v>0</v>
      </c>
      <c r="H132" s="14">
        <f t="shared" si="59"/>
        <v>168.3</v>
      </c>
      <c r="I132" s="14">
        <f t="shared" si="59"/>
        <v>0</v>
      </c>
      <c r="J132" s="14">
        <f t="shared" si="59"/>
        <v>21.8</v>
      </c>
      <c r="K132" s="14">
        <f t="shared" si="59"/>
        <v>0</v>
      </c>
      <c r="L132" s="14">
        <f t="shared" si="59"/>
        <v>0</v>
      </c>
      <c r="M132" s="14">
        <f t="shared" si="59"/>
        <v>61.900000000000006</v>
      </c>
      <c r="N132" s="14">
        <f t="shared" si="59"/>
        <v>28</v>
      </c>
      <c r="O132" s="14">
        <f t="shared" si="59"/>
        <v>357.3</v>
      </c>
      <c r="P132" s="14">
        <f>SUM(P127:P131)</f>
        <v>50.1</v>
      </c>
      <c r="Q132" s="14">
        <f>SUM(Q127:Q131)</f>
        <v>233.89999999999998</v>
      </c>
      <c r="R132" s="14">
        <f>SUM(R127:R131)</f>
        <v>317.20000000000005</v>
      </c>
      <c r="S132" s="14">
        <f>SUM(S127:S131)</f>
        <v>0</v>
      </c>
      <c r="T132" s="14">
        <f aca="true" t="shared" si="60" ref="T132:AW132">SUM(T127:T131)</f>
        <v>0</v>
      </c>
      <c r="U132" s="14">
        <f t="shared" si="60"/>
        <v>0</v>
      </c>
      <c r="V132" s="14">
        <f t="shared" si="60"/>
        <v>88.8</v>
      </c>
      <c r="W132" s="14">
        <f t="shared" si="60"/>
        <v>0</v>
      </c>
      <c r="X132" s="14">
        <f t="shared" si="60"/>
        <v>0</v>
      </c>
      <c r="Y132" s="14">
        <f t="shared" si="60"/>
        <v>14.9</v>
      </c>
      <c r="Z132" s="14">
        <f t="shared" si="60"/>
        <v>1</v>
      </c>
      <c r="AA132" s="14">
        <f t="shared" si="60"/>
        <v>0</v>
      </c>
      <c r="AB132" s="14">
        <f t="shared" si="60"/>
        <v>286</v>
      </c>
      <c r="AC132" s="14">
        <f t="shared" si="60"/>
        <v>0</v>
      </c>
      <c r="AD132" s="14">
        <f t="shared" si="60"/>
        <v>27</v>
      </c>
      <c r="AE132" s="14">
        <f t="shared" si="60"/>
        <v>0</v>
      </c>
      <c r="AF132" s="14">
        <f t="shared" si="60"/>
        <v>26</v>
      </c>
      <c r="AG132" s="14">
        <f t="shared" si="60"/>
        <v>3</v>
      </c>
      <c r="AH132" s="14">
        <f t="shared" si="60"/>
        <v>1</v>
      </c>
      <c r="AI132" s="14">
        <f t="shared" si="60"/>
        <v>77.10000000000001</v>
      </c>
      <c r="AJ132" s="14">
        <f t="shared" si="60"/>
        <v>2</v>
      </c>
      <c r="AK132" s="14">
        <f t="shared" si="60"/>
        <v>0</v>
      </c>
      <c r="AL132" s="14">
        <f t="shared" si="60"/>
        <v>8</v>
      </c>
      <c r="AM132" s="14">
        <f t="shared" si="60"/>
        <v>30</v>
      </c>
      <c r="AN132" s="14">
        <f t="shared" si="60"/>
        <v>0</v>
      </c>
      <c r="AO132" s="14">
        <f t="shared" si="60"/>
        <v>0</v>
      </c>
      <c r="AP132" s="14">
        <f t="shared" si="60"/>
        <v>3</v>
      </c>
      <c r="AQ132" s="14">
        <f t="shared" si="60"/>
        <v>0</v>
      </c>
      <c r="AR132" s="14">
        <f t="shared" si="60"/>
        <v>0</v>
      </c>
      <c r="AS132" s="14">
        <f t="shared" si="60"/>
        <v>0</v>
      </c>
      <c r="AT132" s="14">
        <f t="shared" si="60"/>
        <v>0</v>
      </c>
      <c r="AU132" s="14">
        <f t="shared" si="60"/>
        <v>96</v>
      </c>
      <c r="AV132" s="14">
        <f t="shared" si="60"/>
        <v>22</v>
      </c>
      <c r="AW132" s="14">
        <f t="shared" si="60"/>
        <v>0</v>
      </c>
      <c r="AX132" s="14">
        <f aca="true" t="shared" si="61" ref="AX132:BZ132">SUM(AX127:AX131)</f>
        <v>0</v>
      </c>
      <c r="AY132" s="14">
        <f t="shared" si="61"/>
        <v>6</v>
      </c>
      <c r="AZ132" s="14">
        <f t="shared" si="61"/>
        <v>6</v>
      </c>
      <c r="BA132" s="14">
        <f t="shared" si="61"/>
        <v>2</v>
      </c>
      <c r="BB132" s="14">
        <f t="shared" si="61"/>
        <v>0</v>
      </c>
      <c r="BC132" s="14">
        <f t="shared" si="61"/>
        <v>2</v>
      </c>
      <c r="BD132" s="14">
        <f t="shared" si="61"/>
        <v>0</v>
      </c>
      <c r="BE132" s="14">
        <f t="shared" si="61"/>
        <v>0</v>
      </c>
      <c r="BF132" s="14">
        <f t="shared" si="61"/>
        <v>0</v>
      </c>
      <c r="BG132" s="14">
        <f t="shared" si="61"/>
        <v>12.1</v>
      </c>
      <c r="BH132" s="14">
        <f t="shared" si="61"/>
        <v>12</v>
      </c>
      <c r="BI132" s="14">
        <f t="shared" si="61"/>
        <v>12</v>
      </c>
      <c r="BJ132" s="14">
        <f t="shared" si="61"/>
        <v>0</v>
      </c>
      <c r="BK132" s="14">
        <f t="shared" si="61"/>
        <v>16</v>
      </c>
      <c r="BL132" s="14">
        <f t="shared" si="61"/>
        <v>5</v>
      </c>
      <c r="BM132" s="14">
        <f t="shared" si="61"/>
        <v>5</v>
      </c>
      <c r="BN132" s="14">
        <f t="shared" si="61"/>
        <v>0</v>
      </c>
      <c r="BO132" s="14">
        <f t="shared" si="61"/>
        <v>38</v>
      </c>
      <c r="BP132" s="14">
        <f t="shared" si="61"/>
        <v>22.8</v>
      </c>
      <c r="BQ132" s="14">
        <f t="shared" si="61"/>
        <v>20</v>
      </c>
      <c r="BR132" s="14">
        <f t="shared" si="61"/>
        <v>1</v>
      </c>
      <c r="BS132" s="14">
        <f t="shared" si="61"/>
        <v>38</v>
      </c>
      <c r="BT132" s="14">
        <f t="shared" si="61"/>
        <v>0</v>
      </c>
      <c r="BU132" s="14">
        <f t="shared" si="61"/>
        <v>0</v>
      </c>
      <c r="BV132" s="14">
        <f t="shared" si="61"/>
        <v>0</v>
      </c>
      <c r="BW132" s="14">
        <f t="shared" si="61"/>
        <v>0</v>
      </c>
      <c r="BX132" s="14">
        <f t="shared" si="61"/>
        <v>0</v>
      </c>
      <c r="BY132" s="14">
        <f t="shared" si="61"/>
        <v>0</v>
      </c>
      <c r="BZ132" s="14">
        <f t="shared" si="61"/>
        <v>7</v>
      </c>
      <c r="CA132" s="14">
        <f>SUM(CA127:CA131)</f>
        <v>0</v>
      </c>
      <c r="CB132" s="14">
        <f>SUM(CB127:CB131)</f>
        <v>5</v>
      </c>
      <c r="CC132" s="14">
        <f>SUM(CC127:CC131)</f>
        <v>0</v>
      </c>
      <c r="CD132" s="14">
        <f>SUM(CD127:CD131)</f>
        <v>108</v>
      </c>
      <c r="CE132" s="41"/>
      <c r="CF132" s="50"/>
      <c r="CG132" s="56"/>
      <c r="CH132" s="56"/>
    </row>
    <row r="133" spans="1:86" s="3" customFormat="1" ht="11.25" customHeight="1">
      <c r="A133" s="17">
        <v>120</v>
      </c>
      <c r="B133" s="5" t="s">
        <v>290</v>
      </c>
      <c r="C133" s="2" t="s">
        <v>414</v>
      </c>
      <c r="D133" s="2"/>
      <c r="E133" s="2">
        <v>3.2</v>
      </c>
      <c r="F133" s="2"/>
      <c r="G133" s="2"/>
      <c r="H133" s="2">
        <v>3.3</v>
      </c>
      <c r="I133" s="2"/>
      <c r="J133" s="2"/>
      <c r="K133" s="2"/>
      <c r="L133" s="2"/>
      <c r="M133" s="2"/>
      <c r="N133" s="2"/>
      <c r="O133" s="2"/>
      <c r="P133" s="2"/>
      <c r="Q133" s="2">
        <v>6.3</v>
      </c>
      <c r="R133" s="2">
        <v>2.1</v>
      </c>
      <c r="S133" s="2"/>
      <c r="T133" s="2"/>
      <c r="U133" s="2"/>
      <c r="V133" s="2">
        <v>1.2</v>
      </c>
      <c r="W133" s="2"/>
      <c r="X133" s="2"/>
      <c r="Y133" s="2"/>
      <c r="Z133" s="2"/>
      <c r="AA133" s="2"/>
      <c r="AB133" s="2">
        <v>3</v>
      </c>
      <c r="AC133" s="2"/>
      <c r="AD133" s="2"/>
      <c r="AE133" s="2"/>
      <c r="AF133" s="2"/>
      <c r="AG133" s="2"/>
      <c r="AH133" s="2"/>
      <c r="AI133" s="2">
        <v>1</v>
      </c>
      <c r="AJ133" s="2"/>
      <c r="AK133" s="2"/>
      <c r="AL133" s="2"/>
      <c r="AM133" s="2">
        <v>1</v>
      </c>
      <c r="AN133" s="2"/>
      <c r="AO133" s="2"/>
      <c r="AP133" s="2"/>
      <c r="AQ133" s="2"/>
      <c r="AR133" s="2"/>
      <c r="AS133" s="2"/>
      <c r="AT133" s="2"/>
      <c r="AU133" s="2">
        <v>1</v>
      </c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>
        <v>1</v>
      </c>
      <c r="CE133" s="39" t="s">
        <v>318</v>
      </c>
      <c r="CF133" s="49" t="s">
        <v>290</v>
      </c>
      <c r="CG133" s="55" t="s">
        <v>291</v>
      </c>
      <c r="CH133" s="47">
        <f>SUM(D133:N133)</f>
        <v>6.5</v>
      </c>
    </row>
    <row r="134" spans="1:86" s="3" customFormat="1" ht="19.5" customHeight="1">
      <c r="A134" s="17">
        <v>121</v>
      </c>
      <c r="B134" s="5" t="s">
        <v>292</v>
      </c>
      <c r="C134" s="2" t="s">
        <v>415</v>
      </c>
      <c r="D134" s="2"/>
      <c r="E134" s="2">
        <v>9.8</v>
      </c>
      <c r="F134" s="2"/>
      <c r="G134" s="2"/>
      <c r="H134" s="2">
        <v>10.1</v>
      </c>
      <c r="I134" s="2"/>
      <c r="J134" s="2"/>
      <c r="K134" s="2"/>
      <c r="L134" s="2"/>
      <c r="M134" s="2"/>
      <c r="N134" s="2"/>
      <c r="O134" s="2"/>
      <c r="P134" s="2"/>
      <c r="Q134" s="2">
        <v>21.2</v>
      </c>
      <c r="R134" s="2">
        <v>9.2</v>
      </c>
      <c r="S134" s="2"/>
      <c r="T134" s="2"/>
      <c r="U134" s="2"/>
      <c r="V134" s="2">
        <v>2.8</v>
      </c>
      <c r="W134" s="2"/>
      <c r="X134" s="2"/>
      <c r="Y134" s="2"/>
      <c r="Z134" s="2"/>
      <c r="AA134" s="2"/>
      <c r="AB134" s="2">
        <v>10</v>
      </c>
      <c r="AC134" s="2"/>
      <c r="AD134" s="2"/>
      <c r="AE134" s="2"/>
      <c r="AF134" s="2"/>
      <c r="AG134" s="2"/>
      <c r="AH134" s="2"/>
      <c r="AI134" s="2">
        <v>1.8</v>
      </c>
      <c r="AJ134" s="2"/>
      <c r="AK134" s="2"/>
      <c r="AL134" s="2"/>
      <c r="AM134" s="2">
        <v>2</v>
      </c>
      <c r="AN134" s="2"/>
      <c r="AO134" s="2"/>
      <c r="AP134" s="2"/>
      <c r="AQ134" s="2"/>
      <c r="AR134" s="2"/>
      <c r="AS134" s="2"/>
      <c r="AT134" s="2"/>
      <c r="AU134" s="2">
        <v>3</v>
      </c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>
        <v>1</v>
      </c>
      <c r="BJ134" s="2"/>
      <c r="BK134" s="2"/>
      <c r="BL134" s="2"/>
      <c r="BM134" s="2"/>
      <c r="BN134" s="2"/>
      <c r="BO134" s="2"/>
      <c r="BP134" s="2"/>
      <c r="BQ134" s="2">
        <v>1</v>
      </c>
      <c r="BR134" s="2"/>
      <c r="BS134" s="2">
        <v>800</v>
      </c>
      <c r="BT134" s="2"/>
      <c r="BU134" s="2"/>
      <c r="BV134" s="2"/>
      <c r="BW134" s="2"/>
      <c r="BX134" s="2"/>
      <c r="BY134" s="2">
        <v>8.3</v>
      </c>
      <c r="BZ134" s="2"/>
      <c r="CA134" s="2">
        <v>3.5</v>
      </c>
      <c r="CB134" s="2"/>
      <c r="CC134" s="2"/>
      <c r="CD134" s="2">
        <v>2</v>
      </c>
      <c r="CE134" s="39" t="s">
        <v>318</v>
      </c>
      <c r="CF134" s="49" t="s">
        <v>292</v>
      </c>
      <c r="CG134" s="55" t="s">
        <v>293</v>
      </c>
      <c r="CH134" s="47">
        <f>SUM(D134:N134)</f>
        <v>19.9</v>
      </c>
    </row>
    <row r="135" spans="1:86" s="3" customFormat="1" ht="15" customHeight="1">
      <c r="A135" s="17"/>
      <c r="B135" s="13"/>
      <c r="C135" s="14"/>
      <c r="D135" s="14">
        <f>SUM(D133:D134)</f>
        <v>0</v>
      </c>
      <c r="E135" s="14">
        <f aca="true" t="shared" si="62" ref="E135:S135">SUM(E133:E134)</f>
        <v>13</v>
      </c>
      <c r="F135" s="14">
        <f t="shared" si="62"/>
        <v>0</v>
      </c>
      <c r="G135" s="14">
        <f t="shared" si="62"/>
        <v>0</v>
      </c>
      <c r="H135" s="14">
        <f t="shared" si="62"/>
        <v>13.399999999999999</v>
      </c>
      <c r="I135" s="14">
        <f t="shared" si="62"/>
        <v>0</v>
      </c>
      <c r="J135" s="14">
        <f t="shared" si="62"/>
        <v>0</v>
      </c>
      <c r="K135" s="14">
        <f t="shared" si="62"/>
        <v>0</v>
      </c>
      <c r="L135" s="14">
        <f t="shared" si="62"/>
        <v>0</v>
      </c>
      <c r="M135" s="14">
        <f t="shared" si="62"/>
        <v>0</v>
      </c>
      <c r="N135" s="14">
        <f t="shared" si="62"/>
        <v>0</v>
      </c>
      <c r="O135" s="14">
        <f t="shared" si="62"/>
        <v>0</v>
      </c>
      <c r="P135" s="14">
        <f t="shared" si="62"/>
        <v>0</v>
      </c>
      <c r="Q135" s="14">
        <f t="shared" si="62"/>
        <v>27.5</v>
      </c>
      <c r="R135" s="14">
        <f t="shared" si="62"/>
        <v>11.299999999999999</v>
      </c>
      <c r="S135" s="14">
        <f t="shared" si="62"/>
        <v>0</v>
      </c>
      <c r="T135" s="14">
        <f aca="true" t="shared" si="63" ref="T135:AW135">SUM(T133:T134)</f>
        <v>0</v>
      </c>
      <c r="U135" s="14">
        <f t="shared" si="63"/>
        <v>0</v>
      </c>
      <c r="V135" s="14">
        <f t="shared" si="63"/>
        <v>4</v>
      </c>
      <c r="W135" s="14">
        <f t="shared" si="63"/>
        <v>0</v>
      </c>
      <c r="X135" s="14">
        <f t="shared" si="63"/>
        <v>0</v>
      </c>
      <c r="Y135" s="14">
        <f t="shared" si="63"/>
        <v>0</v>
      </c>
      <c r="Z135" s="14">
        <f t="shared" si="63"/>
        <v>0</v>
      </c>
      <c r="AA135" s="14">
        <f t="shared" si="63"/>
        <v>0</v>
      </c>
      <c r="AB135" s="14">
        <f t="shared" si="63"/>
        <v>13</v>
      </c>
      <c r="AC135" s="14">
        <f t="shared" si="63"/>
        <v>0</v>
      </c>
      <c r="AD135" s="14">
        <f t="shared" si="63"/>
        <v>0</v>
      </c>
      <c r="AE135" s="14">
        <f t="shared" si="63"/>
        <v>0</v>
      </c>
      <c r="AF135" s="14">
        <f t="shared" si="63"/>
        <v>0</v>
      </c>
      <c r="AG135" s="14">
        <f t="shared" si="63"/>
        <v>0</v>
      </c>
      <c r="AH135" s="14">
        <f t="shared" si="63"/>
        <v>0</v>
      </c>
      <c r="AI135" s="14">
        <f t="shared" si="63"/>
        <v>2.8</v>
      </c>
      <c r="AJ135" s="14">
        <f t="shared" si="63"/>
        <v>0</v>
      </c>
      <c r="AK135" s="14">
        <f t="shared" si="63"/>
        <v>0</v>
      </c>
      <c r="AL135" s="14">
        <f t="shared" si="63"/>
        <v>0</v>
      </c>
      <c r="AM135" s="14">
        <f t="shared" si="63"/>
        <v>3</v>
      </c>
      <c r="AN135" s="14">
        <f t="shared" si="63"/>
        <v>0</v>
      </c>
      <c r="AO135" s="14">
        <f t="shared" si="63"/>
        <v>0</v>
      </c>
      <c r="AP135" s="14">
        <f t="shared" si="63"/>
        <v>0</v>
      </c>
      <c r="AQ135" s="14">
        <f t="shared" si="63"/>
        <v>0</v>
      </c>
      <c r="AR135" s="14">
        <f t="shared" si="63"/>
        <v>0</v>
      </c>
      <c r="AS135" s="14">
        <f t="shared" si="63"/>
        <v>0</v>
      </c>
      <c r="AT135" s="14">
        <f t="shared" si="63"/>
        <v>0</v>
      </c>
      <c r="AU135" s="14">
        <f t="shared" si="63"/>
        <v>4</v>
      </c>
      <c r="AV135" s="14">
        <f t="shared" si="63"/>
        <v>0</v>
      </c>
      <c r="AW135" s="14">
        <f t="shared" si="63"/>
        <v>0</v>
      </c>
      <c r="AX135" s="14">
        <f aca="true" t="shared" si="64" ref="AX135:BZ135">SUM(AX133:AX134)</f>
        <v>0</v>
      </c>
      <c r="AY135" s="14">
        <f t="shared" si="64"/>
        <v>0</v>
      </c>
      <c r="AZ135" s="14">
        <f t="shared" si="64"/>
        <v>0</v>
      </c>
      <c r="BA135" s="14">
        <f t="shared" si="64"/>
        <v>0</v>
      </c>
      <c r="BB135" s="14">
        <f t="shared" si="64"/>
        <v>0</v>
      </c>
      <c r="BC135" s="14">
        <f t="shared" si="64"/>
        <v>0</v>
      </c>
      <c r="BD135" s="14">
        <f t="shared" si="64"/>
        <v>0</v>
      </c>
      <c r="BE135" s="14">
        <f t="shared" si="64"/>
        <v>0</v>
      </c>
      <c r="BF135" s="14">
        <f t="shared" si="64"/>
        <v>0</v>
      </c>
      <c r="BG135" s="14">
        <f t="shared" si="64"/>
        <v>0</v>
      </c>
      <c r="BH135" s="14">
        <f t="shared" si="64"/>
        <v>0</v>
      </c>
      <c r="BI135" s="14">
        <f t="shared" si="64"/>
        <v>1</v>
      </c>
      <c r="BJ135" s="14">
        <f t="shared" si="64"/>
        <v>0</v>
      </c>
      <c r="BK135" s="14">
        <f t="shared" si="64"/>
        <v>0</v>
      </c>
      <c r="BL135" s="14">
        <f t="shared" si="64"/>
        <v>0</v>
      </c>
      <c r="BM135" s="14">
        <f t="shared" si="64"/>
        <v>0</v>
      </c>
      <c r="BN135" s="14">
        <f t="shared" si="64"/>
        <v>0</v>
      </c>
      <c r="BO135" s="14">
        <f t="shared" si="64"/>
        <v>0</v>
      </c>
      <c r="BP135" s="14">
        <f t="shared" si="64"/>
        <v>0</v>
      </c>
      <c r="BQ135" s="14">
        <f t="shared" si="64"/>
        <v>1</v>
      </c>
      <c r="BR135" s="14">
        <f t="shared" si="64"/>
        <v>0</v>
      </c>
      <c r="BS135" s="14">
        <f t="shared" si="64"/>
        <v>800</v>
      </c>
      <c r="BT135" s="14">
        <f t="shared" si="64"/>
        <v>0</v>
      </c>
      <c r="BU135" s="14">
        <f t="shared" si="64"/>
        <v>0</v>
      </c>
      <c r="BV135" s="14">
        <f t="shared" si="64"/>
        <v>0</v>
      </c>
      <c r="BW135" s="14">
        <f t="shared" si="64"/>
        <v>0</v>
      </c>
      <c r="BX135" s="14">
        <f t="shared" si="64"/>
        <v>0</v>
      </c>
      <c r="BY135" s="14">
        <f t="shared" si="64"/>
        <v>8.3</v>
      </c>
      <c r="BZ135" s="14">
        <f t="shared" si="64"/>
        <v>0</v>
      </c>
      <c r="CA135" s="14">
        <f>SUM(CA133:CA134)</f>
        <v>3.5</v>
      </c>
      <c r="CB135" s="14">
        <f>SUM(CB133:CB134)</f>
        <v>0</v>
      </c>
      <c r="CC135" s="14">
        <f>SUM(CC133:CC134)</f>
        <v>0</v>
      </c>
      <c r="CD135" s="14">
        <f>SUM(CD133:CD134)</f>
        <v>3</v>
      </c>
      <c r="CE135" s="41"/>
      <c r="CF135" s="50"/>
      <c r="CG135" s="56"/>
      <c r="CH135" s="56"/>
    </row>
    <row r="136" spans="1:86" s="3" customFormat="1" ht="15" customHeight="1">
      <c r="A136" s="17"/>
      <c r="B136" s="5"/>
      <c r="C136" s="2" t="s">
        <v>69</v>
      </c>
      <c r="D136" s="36">
        <f aca="true" t="shared" si="65" ref="D136:I136">SUM(D135,D132,D126,D124,D111,D102,D94,D91,D75,D63,D59,D57,D23)</f>
        <v>6445.1</v>
      </c>
      <c r="E136" s="36">
        <f t="shared" si="65"/>
        <v>2100.9700000000003</v>
      </c>
      <c r="F136" s="36">
        <f t="shared" si="65"/>
        <v>8889.400000000001</v>
      </c>
      <c r="G136" s="36">
        <f t="shared" si="65"/>
        <v>1065.5</v>
      </c>
      <c r="H136" s="36">
        <f t="shared" si="65"/>
        <v>4870.24</v>
      </c>
      <c r="I136" s="36">
        <f t="shared" si="65"/>
        <v>62.9</v>
      </c>
      <c r="J136" s="36">
        <f aca="true" t="shared" si="66" ref="J136:R136">SUM(J135,J132,J126,J124,J111,J102,J94,J91,J75,J63,J59,J57,J23)</f>
        <v>174.1</v>
      </c>
      <c r="K136" s="36">
        <f t="shared" si="66"/>
        <v>376.6</v>
      </c>
      <c r="L136" s="36">
        <f t="shared" si="66"/>
        <v>661.6</v>
      </c>
      <c r="M136" s="36">
        <f t="shared" si="66"/>
        <v>2725</v>
      </c>
      <c r="N136" s="36">
        <f t="shared" si="66"/>
        <v>386.3</v>
      </c>
      <c r="O136" s="7">
        <f t="shared" si="66"/>
        <v>16534.780000000002</v>
      </c>
      <c r="P136" s="7">
        <f t="shared" si="66"/>
        <v>2357.4000000000005</v>
      </c>
      <c r="Q136" s="7">
        <f t="shared" si="66"/>
        <v>8130.549999999999</v>
      </c>
      <c r="R136" s="7">
        <f t="shared" si="66"/>
        <v>14577.14</v>
      </c>
      <c r="S136" s="7">
        <f aca="true" t="shared" si="67" ref="S136:AB136">SUM(S135,S132,S126,S124,S111,S102,S94,S91,S75,S63,S59,S57,S23)</f>
        <v>895.82</v>
      </c>
      <c r="T136" s="7">
        <f t="shared" si="67"/>
        <v>134.3</v>
      </c>
      <c r="U136" s="7">
        <f t="shared" si="67"/>
        <v>293.29999999999995</v>
      </c>
      <c r="V136" s="7">
        <f t="shared" si="67"/>
        <v>3446.3450000000003</v>
      </c>
      <c r="W136" s="7">
        <f t="shared" si="67"/>
        <v>219.7</v>
      </c>
      <c r="X136" s="7">
        <f t="shared" si="67"/>
        <v>294.8</v>
      </c>
      <c r="Y136" s="7">
        <f t="shared" si="67"/>
        <v>1240.6599999999999</v>
      </c>
      <c r="Z136" s="7">
        <f t="shared" si="67"/>
        <v>9</v>
      </c>
      <c r="AA136" s="7">
        <f t="shared" si="67"/>
        <v>21</v>
      </c>
      <c r="AB136" s="7">
        <f t="shared" si="67"/>
        <v>11968</v>
      </c>
      <c r="AC136" s="7">
        <f aca="true" t="shared" si="68" ref="AC136:AK136">SUM(AC135,AC132,AC126,AC124,AC111,AC102,AC94,AC91,AC75,AC63,AC59,AC57,AC23)</f>
        <v>79.80000000000001</v>
      </c>
      <c r="AD136" s="7">
        <f t="shared" si="68"/>
        <v>337.2</v>
      </c>
      <c r="AE136" s="7">
        <f t="shared" si="68"/>
        <v>140.4</v>
      </c>
      <c r="AF136" s="7">
        <f t="shared" si="68"/>
        <v>787</v>
      </c>
      <c r="AG136" s="7">
        <f t="shared" si="68"/>
        <v>66</v>
      </c>
      <c r="AH136" s="7">
        <f t="shared" si="68"/>
        <v>59</v>
      </c>
      <c r="AI136" s="7">
        <f t="shared" si="68"/>
        <v>2286.2000000000003</v>
      </c>
      <c r="AJ136" s="7">
        <f t="shared" si="68"/>
        <v>413.9</v>
      </c>
      <c r="AK136" s="7">
        <f t="shared" si="68"/>
        <v>733</v>
      </c>
      <c r="AL136" s="7">
        <f aca="true" t="shared" si="69" ref="AL136:AT136">SUM(AL135,AL132,AL126,AL124,AL111,AL102,AL94,AL91,AL75,AL63,AL59,AL57,AL23)</f>
        <v>188</v>
      </c>
      <c r="AM136" s="7">
        <f t="shared" si="69"/>
        <v>92</v>
      </c>
      <c r="AN136" s="7">
        <f t="shared" si="69"/>
        <v>326</v>
      </c>
      <c r="AO136" s="7">
        <f t="shared" si="69"/>
        <v>546</v>
      </c>
      <c r="AP136" s="7">
        <f t="shared" si="69"/>
        <v>485</v>
      </c>
      <c r="AQ136" s="7">
        <f t="shared" si="69"/>
        <v>12</v>
      </c>
      <c r="AR136" s="7">
        <f t="shared" si="69"/>
        <v>92</v>
      </c>
      <c r="AS136" s="7">
        <f t="shared" si="69"/>
        <v>91</v>
      </c>
      <c r="AT136" s="7">
        <f t="shared" si="69"/>
        <v>412.9</v>
      </c>
      <c r="AU136" s="7">
        <f aca="true" t="shared" si="70" ref="AU136:BC136">SUM(AU135,AU132,AU126,AU124,AU111,AU102,AU94,AU91,AU75,AU63,AU59,AU57,AU23)</f>
        <v>3061</v>
      </c>
      <c r="AV136" s="7">
        <f t="shared" si="70"/>
        <v>1321</v>
      </c>
      <c r="AW136" s="7">
        <f t="shared" si="70"/>
        <v>10</v>
      </c>
      <c r="AX136" s="7">
        <f t="shared" si="70"/>
        <v>226</v>
      </c>
      <c r="AY136" s="7">
        <f t="shared" si="70"/>
        <v>214</v>
      </c>
      <c r="AZ136" s="7">
        <f t="shared" si="70"/>
        <v>212</v>
      </c>
      <c r="BA136" s="7">
        <f t="shared" si="70"/>
        <v>40</v>
      </c>
      <c r="BB136" s="7">
        <f t="shared" si="70"/>
        <v>70</v>
      </c>
      <c r="BC136" s="7">
        <f t="shared" si="70"/>
        <v>22</v>
      </c>
      <c r="BD136" s="7">
        <f aca="true" t="shared" si="71" ref="BD136:BL136">SUM(BD135,BD132,BD126,BD124,BD111,BD102,BD94,BD91,BD75,BD63,BD59,BD57,BD23)</f>
        <v>3</v>
      </c>
      <c r="BE136" s="7">
        <f t="shared" si="71"/>
        <v>455</v>
      </c>
      <c r="BF136" s="7">
        <f t="shared" si="71"/>
        <v>73</v>
      </c>
      <c r="BG136" s="7">
        <f t="shared" si="71"/>
        <v>385</v>
      </c>
      <c r="BH136" s="7">
        <f t="shared" si="71"/>
        <v>892</v>
      </c>
      <c r="BI136" s="7">
        <f t="shared" si="71"/>
        <v>709</v>
      </c>
      <c r="BJ136" s="7">
        <f t="shared" si="71"/>
        <v>222</v>
      </c>
      <c r="BK136" s="7">
        <f t="shared" si="71"/>
        <v>640</v>
      </c>
      <c r="BL136" s="7">
        <f t="shared" si="71"/>
        <v>57</v>
      </c>
      <c r="BM136" s="7">
        <f aca="true" t="shared" si="72" ref="BM136:BU136">SUM(BM135,BM132,BM126,BM124,BM111,BM102,BM94,BM91,BM75,BM63,BM59,BM57,BM23)</f>
        <v>85</v>
      </c>
      <c r="BN136" s="7">
        <f t="shared" si="72"/>
        <v>11</v>
      </c>
      <c r="BO136" s="7">
        <f t="shared" si="72"/>
        <v>823</v>
      </c>
      <c r="BP136" s="7">
        <f t="shared" si="72"/>
        <v>780.8999999999999</v>
      </c>
      <c r="BQ136" s="7">
        <f t="shared" si="72"/>
        <v>1010</v>
      </c>
      <c r="BR136" s="7">
        <f t="shared" si="72"/>
        <v>93</v>
      </c>
      <c r="BS136" s="7">
        <f t="shared" si="72"/>
        <v>1910</v>
      </c>
      <c r="BT136" s="7">
        <f t="shared" si="72"/>
        <v>317.96400000000006</v>
      </c>
      <c r="BU136" s="7">
        <f t="shared" si="72"/>
        <v>45</v>
      </c>
      <c r="BV136" s="7">
        <f aca="true" t="shared" si="73" ref="BV136:CD136">SUM(BV135,BV132,BV126,BV124,BV111,BV102,BV94,BV91,BV75,BV63,BV59,BV57,BV23)</f>
        <v>81.8</v>
      </c>
      <c r="BW136" s="7">
        <f t="shared" si="73"/>
        <v>142.10000000000002</v>
      </c>
      <c r="BX136" s="7">
        <f t="shared" si="73"/>
        <v>13</v>
      </c>
      <c r="BY136" s="7">
        <f t="shared" si="73"/>
        <v>390.59999999999997</v>
      </c>
      <c r="BZ136" s="7">
        <f t="shared" si="73"/>
        <v>335</v>
      </c>
      <c r="CA136" s="7">
        <f t="shared" si="73"/>
        <v>88.80000000000001</v>
      </c>
      <c r="CB136" s="7">
        <f t="shared" si="73"/>
        <v>41.9</v>
      </c>
      <c r="CC136" s="7">
        <f t="shared" si="73"/>
        <v>31</v>
      </c>
      <c r="CD136" s="7">
        <f t="shared" si="73"/>
        <v>899</v>
      </c>
      <c r="CE136" s="43"/>
      <c r="CF136" s="49"/>
      <c r="CG136" s="55" t="s">
        <v>69</v>
      </c>
      <c r="CH136" s="67">
        <v>27757.709999999995</v>
      </c>
    </row>
    <row r="137" spans="1:85" s="3" customFormat="1" ht="15" customHeight="1">
      <c r="A137" s="17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39"/>
      <c r="CF137" s="48"/>
      <c r="CG137" s="54"/>
    </row>
    <row r="138" spans="1:86" s="3" customFormat="1" ht="15" customHeight="1">
      <c r="A138" s="17"/>
      <c r="B138" s="5"/>
      <c r="C138" s="2" t="s">
        <v>74</v>
      </c>
      <c r="D138" s="71">
        <f>SUM(D136:N136)</f>
        <v>27757.709999999995</v>
      </c>
      <c r="E138" s="71"/>
      <c r="F138" s="71"/>
      <c r="G138" s="2"/>
      <c r="H138" s="2"/>
      <c r="I138" s="2"/>
      <c r="J138" s="2"/>
      <c r="K138" s="2"/>
      <c r="L138" s="2"/>
      <c r="M138" s="72" t="s">
        <v>73</v>
      </c>
      <c r="N138" s="72"/>
      <c r="O138" s="71">
        <f>SUM(O136:T136)</f>
        <v>42629.990000000005</v>
      </c>
      <c r="P138" s="71"/>
      <c r="Q138" s="7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39"/>
      <c r="CF138" s="48"/>
      <c r="CG138" s="54"/>
      <c r="CH138" s="3" t="s">
        <v>418</v>
      </c>
    </row>
    <row r="139" spans="1:86" s="3" customFormat="1" ht="15" customHeight="1">
      <c r="A139" s="17"/>
      <c r="B139" s="5"/>
      <c r="C139" s="2" t="s">
        <v>33</v>
      </c>
      <c r="D139" s="2">
        <v>101.2</v>
      </c>
      <c r="E139" s="2"/>
      <c r="F139" s="2"/>
      <c r="G139" s="2"/>
      <c r="H139" s="2">
        <v>296.8</v>
      </c>
      <c r="I139" s="2"/>
      <c r="J139" s="2">
        <v>42.5</v>
      </c>
      <c r="K139" s="2"/>
      <c r="L139" s="2">
        <v>10.3</v>
      </c>
      <c r="M139" s="2">
        <v>108.6</v>
      </c>
      <c r="N139" s="2"/>
      <c r="O139" s="2">
        <v>484.3</v>
      </c>
      <c r="P139" s="2"/>
      <c r="Q139" s="2">
        <v>582.3</v>
      </c>
      <c r="R139" s="2">
        <v>167.9</v>
      </c>
      <c r="S139" s="2"/>
      <c r="T139" s="2">
        <v>0.9</v>
      </c>
      <c r="U139" s="2"/>
      <c r="V139" s="2">
        <v>42.1</v>
      </c>
      <c r="W139" s="2"/>
      <c r="X139" s="2"/>
      <c r="Y139" s="2">
        <v>68.7</v>
      </c>
      <c r="Z139" s="2">
        <v>5</v>
      </c>
      <c r="AA139" s="2"/>
      <c r="AB139" s="2">
        <v>183</v>
      </c>
      <c r="AC139" s="2"/>
      <c r="AD139" s="2"/>
      <c r="AE139" s="2"/>
      <c r="AF139" s="2">
        <v>3</v>
      </c>
      <c r="AG139" s="2" t="s">
        <v>61</v>
      </c>
      <c r="AH139" s="2">
        <v>4</v>
      </c>
      <c r="AI139" s="2">
        <v>29.1</v>
      </c>
      <c r="AJ139" s="2"/>
      <c r="AK139" s="2">
        <v>22</v>
      </c>
      <c r="AL139" s="2"/>
      <c r="AM139" s="2"/>
      <c r="AN139" s="2">
        <v>5</v>
      </c>
      <c r="AO139" s="2"/>
      <c r="AP139" s="2"/>
      <c r="AQ139" s="2"/>
      <c r="AR139" s="2"/>
      <c r="AS139" s="2"/>
      <c r="AT139" s="2">
        <v>2</v>
      </c>
      <c r="AU139" s="2">
        <v>77</v>
      </c>
      <c r="AV139" s="2">
        <v>31</v>
      </c>
      <c r="AW139" s="2"/>
      <c r="AX139" s="2"/>
      <c r="AY139" s="2">
        <v>1</v>
      </c>
      <c r="AZ139" s="2">
        <v>1</v>
      </c>
      <c r="BA139" s="2"/>
      <c r="BB139" s="2"/>
      <c r="BC139" s="2"/>
      <c r="BD139" s="2"/>
      <c r="BE139" s="2"/>
      <c r="BF139" s="2"/>
      <c r="BG139" s="2">
        <v>2.4</v>
      </c>
      <c r="BH139" s="2">
        <v>10</v>
      </c>
      <c r="BI139" s="2">
        <v>26</v>
      </c>
      <c r="BJ139" s="2">
        <v>9</v>
      </c>
      <c r="BK139" s="2">
        <v>9</v>
      </c>
      <c r="BL139" s="2"/>
      <c r="BM139" s="2"/>
      <c r="BN139" s="2"/>
      <c r="BO139" s="2">
        <v>3</v>
      </c>
      <c r="BP139" s="2"/>
      <c r="BQ139" s="2">
        <v>17</v>
      </c>
      <c r="BR139" s="2">
        <v>7</v>
      </c>
      <c r="BS139" s="2">
        <v>20</v>
      </c>
      <c r="BT139" s="2"/>
      <c r="BU139" s="2">
        <v>2.9</v>
      </c>
      <c r="BV139" s="2"/>
      <c r="BW139" s="2"/>
      <c r="BX139" s="2"/>
      <c r="BY139" s="2">
        <v>3.8</v>
      </c>
      <c r="BZ139" s="2">
        <v>12</v>
      </c>
      <c r="CA139" s="2"/>
      <c r="CB139" s="2"/>
      <c r="CC139" s="2"/>
      <c r="CD139" s="21"/>
      <c r="CE139" s="44" t="s">
        <v>61</v>
      </c>
      <c r="CF139" s="48"/>
      <c r="CG139" s="54"/>
      <c r="CH139" s="67">
        <v>27757.709999999995</v>
      </c>
    </row>
    <row r="140" spans="1:86" s="3" customFormat="1" ht="15" customHeight="1">
      <c r="A140" s="17">
        <v>32</v>
      </c>
      <c r="B140" s="10"/>
      <c r="C140" s="11" t="s">
        <v>87</v>
      </c>
      <c r="D140" s="11">
        <v>136.2</v>
      </c>
      <c r="E140" s="11"/>
      <c r="F140" s="11"/>
      <c r="G140" s="11"/>
      <c r="H140" s="11">
        <v>422.8</v>
      </c>
      <c r="I140" s="11"/>
      <c r="J140" s="11">
        <v>9.6</v>
      </c>
      <c r="K140" s="11"/>
      <c r="L140" s="11"/>
      <c r="M140" s="11">
        <v>127.2</v>
      </c>
      <c r="N140" s="11"/>
      <c r="O140" s="11">
        <v>520.4</v>
      </c>
      <c r="P140" s="11"/>
      <c r="Q140" s="11">
        <v>116.2</v>
      </c>
      <c r="R140" s="11">
        <v>747.1</v>
      </c>
      <c r="S140" s="11"/>
      <c r="T140" s="11">
        <v>1.2</v>
      </c>
      <c r="U140" s="11"/>
      <c r="V140" s="11">
        <v>60.2</v>
      </c>
      <c r="W140" s="11"/>
      <c r="X140" s="11"/>
      <c r="Y140" s="11">
        <v>19.8</v>
      </c>
      <c r="Z140" s="11">
        <v>6</v>
      </c>
      <c r="AA140" s="11"/>
      <c r="AB140" s="11">
        <v>28</v>
      </c>
      <c r="AC140" s="11"/>
      <c r="AD140" s="11">
        <v>195.8</v>
      </c>
      <c r="AE140" s="11"/>
      <c r="AF140" s="11">
        <v>10</v>
      </c>
      <c r="AG140" s="11">
        <v>10</v>
      </c>
      <c r="AH140" s="11">
        <v>3</v>
      </c>
      <c r="AI140" s="11">
        <v>41.4</v>
      </c>
      <c r="AJ140" s="11"/>
      <c r="AK140" s="11">
        <v>1</v>
      </c>
      <c r="AL140" s="11">
        <v>5</v>
      </c>
      <c r="AM140" s="11"/>
      <c r="AN140" s="11">
        <v>30</v>
      </c>
      <c r="AO140" s="11"/>
      <c r="AP140" s="11"/>
      <c r="AQ140" s="11"/>
      <c r="AR140" s="11"/>
      <c r="AS140" s="11"/>
      <c r="AT140" s="11"/>
      <c r="AU140" s="11">
        <v>112</v>
      </c>
      <c r="AV140" s="11">
        <v>45</v>
      </c>
      <c r="AW140" s="11"/>
      <c r="AX140" s="11"/>
      <c r="AY140" s="11">
        <v>1</v>
      </c>
      <c r="AZ140" s="11">
        <v>1</v>
      </c>
      <c r="BA140" s="11"/>
      <c r="BB140" s="11">
        <v>1</v>
      </c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>
        <v>16</v>
      </c>
      <c r="BP140" s="11"/>
      <c r="BQ140" s="11">
        <v>1</v>
      </c>
      <c r="BR140" s="11"/>
      <c r="BS140" s="11"/>
      <c r="BT140" s="11">
        <v>3.9</v>
      </c>
      <c r="BU140" s="11"/>
      <c r="BV140" s="11"/>
      <c r="BW140" s="11"/>
      <c r="BX140" s="11"/>
      <c r="BY140" s="11"/>
      <c r="BZ140" s="11"/>
      <c r="CA140" s="11"/>
      <c r="CB140" s="11"/>
      <c r="CC140" s="11"/>
      <c r="CD140" s="22"/>
      <c r="CE140" s="45"/>
      <c r="CF140" s="53"/>
      <c r="CG140" s="59"/>
      <c r="CH140" s="67">
        <v>27748.999999999996</v>
      </c>
    </row>
    <row r="141" spans="1:85" s="12" customFormat="1" ht="15" customHeight="1">
      <c r="A141" s="17">
        <v>33.892857142857146</v>
      </c>
      <c r="B141" s="5"/>
      <c r="C141" s="2" t="s">
        <v>72</v>
      </c>
      <c r="D141" s="2"/>
      <c r="E141" s="2">
        <v>19.8</v>
      </c>
      <c r="F141" s="2"/>
      <c r="G141" s="2"/>
      <c r="H141" s="2">
        <v>42.8</v>
      </c>
      <c r="I141" s="2"/>
      <c r="J141" s="2">
        <v>17</v>
      </c>
      <c r="K141" s="2"/>
      <c r="L141" s="2"/>
      <c r="M141" s="2"/>
      <c r="N141" s="2"/>
      <c r="O141" s="2">
        <v>104.9</v>
      </c>
      <c r="P141" s="2">
        <v>68.2</v>
      </c>
      <c r="Q141" s="2"/>
      <c r="R141" s="2">
        <v>63.7</v>
      </c>
      <c r="S141" s="2"/>
      <c r="T141" s="2"/>
      <c r="U141" s="2"/>
      <c r="V141" s="2">
        <v>12.2</v>
      </c>
      <c r="W141" s="2"/>
      <c r="X141" s="2"/>
      <c r="Y141" s="2">
        <v>3.6</v>
      </c>
      <c r="Z141" s="2"/>
      <c r="AA141" s="2"/>
      <c r="AB141" s="2">
        <v>37</v>
      </c>
      <c r="AC141" s="2"/>
      <c r="AD141" s="2"/>
      <c r="AE141" s="2"/>
      <c r="AF141" s="2">
        <v>1</v>
      </c>
      <c r="AG141" s="2"/>
      <c r="AH141" s="2"/>
      <c r="AI141" s="2">
        <v>6.2</v>
      </c>
      <c r="AJ141" s="2"/>
      <c r="AK141" s="2">
        <v>3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>
        <v>14</v>
      </c>
      <c r="AV141" s="2">
        <v>2</v>
      </c>
      <c r="AW141" s="2">
        <v>24</v>
      </c>
      <c r="AX141" s="2"/>
      <c r="AY141" s="2">
        <v>1</v>
      </c>
      <c r="AZ141" s="2">
        <v>1</v>
      </c>
      <c r="BA141" s="2"/>
      <c r="BB141" s="2"/>
      <c r="BC141" s="2"/>
      <c r="BD141" s="2"/>
      <c r="BE141" s="2"/>
      <c r="BF141" s="2"/>
      <c r="BG141" s="2"/>
      <c r="BH141" s="2"/>
      <c r="BI141" s="2">
        <v>7</v>
      </c>
      <c r="BJ141" s="2"/>
      <c r="BK141" s="2"/>
      <c r="BL141" s="2">
        <v>1</v>
      </c>
      <c r="BM141" s="2"/>
      <c r="BN141" s="2"/>
      <c r="BO141" s="2"/>
      <c r="BP141" s="2"/>
      <c r="BQ141" s="2"/>
      <c r="BR141" s="2">
        <v>1</v>
      </c>
      <c r="BS141" s="2"/>
      <c r="BT141" s="2">
        <v>12.2</v>
      </c>
      <c r="BU141" s="2"/>
      <c r="BV141" s="2"/>
      <c r="BW141" s="2"/>
      <c r="BX141" s="2"/>
      <c r="BY141" s="2"/>
      <c r="BZ141" s="2">
        <v>2</v>
      </c>
      <c r="CA141" s="2"/>
      <c r="CB141" s="2"/>
      <c r="CC141" s="2"/>
      <c r="CD141" s="21"/>
      <c r="CE141" s="44"/>
      <c r="CF141" s="48"/>
      <c r="CG141" s="54"/>
    </row>
    <row r="142" spans="1:85" s="3" customFormat="1" ht="39" customHeight="1">
      <c r="A142" s="17">
        <v>122</v>
      </c>
      <c r="B142" s="35" t="s">
        <v>409</v>
      </c>
      <c r="C142" s="2" t="s">
        <v>408</v>
      </c>
      <c r="D142" s="2"/>
      <c r="F142" s="30">
        <v>341.9</v>
      </c>
      <c r="H142" s="3">
        <v>18.6</v>
      </c>
      <c r="J142" s="74" t="s">
        <v>384</v>
      </c>
      <c r="K142" s="75"/>
      <c r="L142" s="75"/>
      <c r="M142" s="75"/>
      <c r="N142" s="75"/>
      <c r="O142" s="75"/>
      <c r="P142" s="75"/>
      <c r="Q142" s="75"/>
      <c r="R142" s="76"/>
      <c r="CE142" s="44"/>
      <c r="CF142" s="48"/>
      <c r="CG142" s="54"/>
    </row>
    <row r="143" spans="1:85" s="3" customFormat="1" ht="11.25">
      <c r="A143" s="17">
        <v>123</v>
      </c>
      <c r="B143" s="35" t="s">
        <v>230</v>
      </c>
      <c r="C143" s="2" t="s">
        <v>386</v>
      </c>
      <c r="D143" s="34">
        <v>417.49</v>
      </c>
      <c r="E143" s="31"/>
      <c r="F143" s="32"/>
      <c r="G143" s="32"/>
      <c r="H143" s="32"/>
      <c r="I143" s="32"/>
      <c r="J143" s="74" t="s">
        <v>385</v>
      </c>
      <c r="K143" s="75"/>
      <c r="L143" s="75"/>
      <c r="M143" s="75"/>
      <c r="N143" s="75"/>
      <c r="O143" s="75"/>
      <c r="P143" s="75"/>
      <c r="Q143" s="75"/>
      <c r="R143" s="76"/>
      <c r="CE143" s="44"/>
      <c r="CF143" s="48"/>
      <c r="CG143" s="54"/>
    </row>
    <row r="144" spans="1:85" s="3" customFormat="1" ht="11.25">
      <c r="A144" s="17">
        <v>124</v>
      </c>
      <c r="B144" s="5" t="s">
        <v>203</v>
      </c>
      <c r="C144" s="2" t="s">
        <v>387</v>
      </c>
      <c r="D144" s="32"/>
      <c r="E144" s="32"/>
      <c r="F144" s="32">
        <v>125</v>
      </c>
      <c r="G144" s="32"/>
      <c r="H144" s="32">
        <v>17</v>
      </c>
      <c r="I144" s="34"/>
      <c r="J144" s="74" t="s">
        <v>388</v>
      </c>
      <c r="K144" s="75"/>
      <c r="L144" s="75"/>
      <c r="M144" s="75"/>
      <c r="N144" s="75"/>
      <c r="O144" s="75"/>
      <c r="P144" s="75"/>
      <c r="Q144" s="75"/>
      <c r="R144" s="76"/>
      <c r="CE144" s="44"/>
      <c r="CF144" s="48"/>
      <c r="CG144" s="54"/>
    </row>
    <row r="145" spans="1:85" s="3" customFormat="1" ht="11.25">
      <c r="A145" s="17">
        <v>125</v>
      </c>
      <c r="B145" s="5" t="s">
        <v>389</v>
      </c>
      <c r="C145" s="2" t="s">
        <v>390</v>
      </c>
      <c r="D145" s="32"/>
      <c r="E145" s="32">
        <v>43.5</v>
      </c>
      <c r="F145" s="32"/>
      <c r="G145" s="33" t="s">
        <v>392</v>
      </c>
      <c r="H145" s="32"/>
      <c r="I145" s="34"/>
      <c r="J145" s="74" t="s">
        <v>391</v>
      </c>
      <c r="K145" s="75"/>
      <c r="L145" s="75"/>
      <c r="M145" s="75"/>
      <c r="N145" s="75"/>
      <c r="O145" s="75"/>
      <c r="P145" s="75"/>
      <c r="Q145" s="75"/>
      <c r="R145" s="76"/>
      <c r="CE145" s="44"/>
      <c r="CF145" s="48"/>
      <c r="CG145" s="54"/>
    </row>
    <row r="146" spans="1:85" s="3" customFormat="1" ht="11.25">
      <c r="A146" s="18"/>
      <c r="B146" s="6"/>
      <c r="CE146" s="44"/>
      <c r="CF146" s="48"/>
      <c r="CG146" s="54"/>
    </row>
    <row r="147" spans="1:85" s="3" customFormat="1" ht="11.25">
      <c r="A147" s="17">
        <v>126</v>
      </c>
      <c r="B147" s="5"/>
      <c r="C147" s="2" t="s">
        <v>393</v>
      </c>
      <c r="D147" s="2"/>
      <c r="E147" s="2">
        <v>41</v>
      </c>
      <c r="F147" s="2"/>
      <c r="G147" s="2"/>
      <c r="H147" s="2">
        <v>10</v>
      </c>
      <c r="I147" s="2"/>
      <c r="J147" s="77" t="s">
        <v>396</v>
      </c>
      <c r="K147" s="78"/>
      <c r="L147" s="78"/>
      <c r="M147" s="78"/>
      <c r="N147" s="78"/>
      <c r="O147" s="78"/>
      <c r="P147" s="78"/>
      <c r="CE147" s="44"/>
      <c r="CF147" s="48"/>
      <c r="CG147" s="54"/>
    </row>
    <row r="148" spans="1:85" s="3" customFormat="1" ht="11.25">
      <c r="A148" s="17">
        <v>127</v>
      </c>
      <c r="B148" s="5"/>
      <c r="C148" s="2" t="s">
        <v>394</v>
      </c>
      <c r="D148" s="2"/>
      <c r="E148" s="2">
        <v>12.1</v>
      </c>
      <c r="F148" s="2"/>
      <c r="G148" s="2"/>
      <c r="H148" s="2"/>
      <c r="I148" s="2"/>
      <c r="J148" s="77" t="s">
        <v>391</v>
      </c>
      <c r="K148" s="78"/>
      <c r="L148" s="78"/>
      <c r="M148" s="78"/>
      <c r="N148" s="78"/>
      <c r="O148" s="78"/>
      <c r="CE148" s="44"/>
      <c r="CF148" s="48"/>
      <c r="CG148" s="54"/>
    </row>
    <row r="149" spans="1:85" s="3" customFormat="1" ht="11.25">
      <c r="A149" s="17">
        <v>128</v>
      </c>
      <c r="B149" s="5"/>
      <c r="C149" s="2" t="s">
        <v>395</v>
      </c>
      <c r="D149" s="2"/>
      <c r="E149" s="2">
        <v>11.3</v>
      </c>
      <c r="F149" s="2"/>
      <c r="G149" s="2"/>
      <c r="H149" s="2"/>
      <c r="I149" s="2"/>
      <c r="J149" s="77" t="s">
        <v>391</v>
      </c>
      <c r="K149" s="78"/>
      <c r="L149" s="78"/>
      <c r="M149" s="78"/>
      <c r="N149" s="78"/>
      <c r="O149" s="78"/>
      <c r="CE149" s="44"/>
      <c r="CF149" s="48"/>
      <c r="CG149" s="54"/>
    </row>
    <row r="150" spans="1:85" s="3" customFormat="1" ht="12">
      <c r="A150" s="18"/>
      <c r="B150" s="4"/>
      <c r="C150" s="1"/>
      <c r="D150" s="1"/>
      <c r="E150" s="79" t="s">
        <v>397</v>
      </c>
      <c r="F150" s="79"/>
      <c r="G150" s="79"/>
      <c r="H150" s="79"/>
      <c r="I150" s="7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38"/>
      <c r="CF150" s="48"/>
      <c r="CG150" s="54"/>
    </row>
    <row r="161" ht="12">
      <c r="C161" s="3">
        <f>SUM(D136:I136,J136:N136,F142,H142,D143,F144,H144,E145)</f>
        <v>28721.199999999997</v>
      </c>
    </row>
  </sheetData>
  <sheetProtection/>
  <mergeCells count="12">
    <mergeCell ref="J144:R144"/>
    <mergeCell ref="J145:R145"/>
    <mergeCell ref="J147:P147"/>
    <mergeCell ref="J148:O148"/>
    <mergeCell ref="J149:O149"/>
    <mergeCell ref="E150:I150"/>
    <mergeCell ref="D138:F138"/>
    <mergeCell ref="O138:Q138"/>
    <mergeCell ref="M138:N138"/>
    <mergeCell ref="C1:I1"/>
    <mergeCell ref="J142:R142"/>
    <mergeCell ref="J143:R143"/>
  </mergeCells>
  <printOptions/>
  <pageMargins left="0.63" right="0.22" top="0.39" bottom="0.54" header="0" footer="0.5118110236220472"/>
  <pageSetup fitToHeight="0" fitToWidth="1" horizontalDpi="180" verticalDpi="18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2019-12-09T16:31:43Z</cp:lastPrinted>
  <dcterms:created xsi:type="dcterms:W3CDTF">2001-03-22T08:53:38Z</dcterms:created>
  <dcterms:modified xsi:type="dcterms:W3CDTF">2019-12-12T10:10:48Z</dcterms:modified>
  <cp:category/>
  <cp:version/>
  <cp:contentType/>
  <cp:contentStatus/>
</cp:coreProperties>
</file>