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0620" windowHeight="7950" tabRatio="661"/>
  </bookViews>
  <sheets>
    <sheet name="Strona tytułowa" sheetId="1" r:id="rId1"/>
    <sheet name="Kosztorys oferowy - I" sheetId="2" r:id="rId2"/>
    <sheet name="Kosztorys oferowy - II" sheetId="3" r:id="rId3"/>
  </sheets>
  <definedNames>
    <definedName name="_xlnm.Print_Area" localSheetId="1">'Kosztorys oferowy - I'!$A$1:$I$82</definedName>
    <definedName name="_xlnm.Print_Area" localSheetId="2">'Kosztorys oferowy - II'!$A$1:$I$75</definedName>
    <definedName name="_xlnm.Print_Area" localSheetId="0">'Strona tytułowa'!$A$1:$D$28</definedName>
  </definedNames>
  <calcPr calcId="124519"/>
</workbook>
</file>

<file path=xl/calcChain.xml><?xml version="1.0" encoding="utf-8"?>
<calcChain xmlns="http://schemas.openxmlformats.org/spreadsheetml/2006/main">
  <c r="B47" i="3"/>
  <c r="F63"/>
  <c r="H63" s="1"/>
  <c r="F59"/>
  <c r="H59" s="1"/>
  <c r="F58"/>
  <c r="H58" s="1"/>
  <c r="B47" i="2"/>
  <c r="F69" i="3"/>
  <c r="H69" s="1"/>
  <c r="H70" s="1"/>
  <c r="F65"/>
  <c r="H65" s="1"/>
  <c r="F41"/>
  <c r="F31"/>
  <c r="F21"/>
  <c r="F26" s="1"/>
  <c r="H26" s="1"/>
  <c r="F76" i="2"/>
  <c r="H76" s="1"/>
  <c r="H77" s="1"/>
  <c r="F72"/>
  <c r="F70"/>
  <c r="H70" s="1"/>
  <c r="F67"/>
  <c r="H67" s="1"/>
  <c r="F64"/>
  <c r="H64" s="1"/>
  <c r="F54"/>
  <c r="F60"/>
  <c r="H60" s="1"/>
  <c r="F40"/>
  <c r="F26"/>
  <c r="H26" s="1"/>
  <c r="F21"/>
  <c r="F25" s="1"/>
  <c r="H25" s="1"/>
  <c r="F22"/>
  <c r="F31" s="1"/>
  <c r="F23"/>
  <c r="F18"/>
  <c r="H18" s="1"/>
  <c r="H46" i="3"/>
  <c r="F45"/>
  <c r="H45" s="1"/>
  <c r="F44"/>
  <c r="H44" s="1"/>
  <c r="H27"/>
  <c r="H24"/>
  <c r="H23"/>
  <c r="H22"/>
  <c r="H20"/>
  <c r="H18"/>
  <c r="B18"/>
  <c r="B20" s="1"/>
  <c r="B21" s="1"/>
  <c r="B22" s="1"/>
  <c r="B23" s="1"/>
  <c r="B24" s="1"/>
  <c r="B25" s="1"/>
  <c r="B26" s="1"/>
  <c r="B27" s="1"/>
  <c r="H8"/>
  <c r="H15" s="1"/>
  <c r="H72" i="2"/>
  <c r="F68"/>
  <c r="H68" s="1"/>
  <c r="F65"/>
  <c r="H65" s="1"/>
  <c r="F38"/>
  <c r="H66"/>
  <c r="H59"/>
  <c r="H46"/>
  <c r="F45"/>
  <c r="H45" s="1"/>
  <c r="F44"/>
  <c r="H44" s="1"/>
  <c r="H27"/>
  <c r="H21"/>
  <c r="H20"/>
  <c r="B18"/>
  <c r="B20" s="1"/>
  <c r="B21" s="1"/>
  <c r="B22" s="1"/>
  <c r="B23" s="1"/>
  <c r="H8"/>
  <c r="H15" s="1"/>
  <c r="F25" i="3" l="1"/>
  <c r="F24" i="2"/>
  <c r="F51" i="3"/>
  <c r="B31"/>
  <c r="B32" s="1"/>
  <c r="B33" s="1"/>
  <c r="H25"/>
  <c r="H60"/>
  <c r="H21"/>
  <c r="F51" i="2"/>
  <c r="F53" s="1"/>
  <c r="H24"/>
  <c r="B24"/>
  <c r="B25" s="1"/>
  <c r="B26" s="1"/>
  <c r="H22"/>
  <c r="H23"/>
  <c r="H66" i="3"/>
  <c r="F47"/>
  <c r="H47" s="1"/>
  <c r="H58" i="2"/>
  <c r="H61" s="1"/>
  <c r="F41"/>
  <c r="H41" s="1"/>
  <c r="F39"/>
  <c r="H39" s="1"/>
  <c r="H40"/>
  <c r="H38"/>
  <c r="H73"/>
  <c r="F47"/>
  <c r="H47" s="1"/>
  <c r="B27" l="1"/>
  <c r="B31" s="1"/>
  <c r="B32" s="1"/>
  <c r="B33" s="1"/>
  <c r="F53" i="3"/>
  <c r="F54"/>
  <c r="H54" s="1"/>
  <c r="B38"/>
  <c r="B39" s="1"/>
  <c r="H51"/>
  <c r="H53"/>
  <c r="H28"/>
  <c r="F42" i="2"/>
  <c r="H42" s="1"/>
  <c r="H48" s="1"/>
  <c r="H51"/>
  <c r="H28"/>
  <c r="F33" i="3"/>
  <c r="H33" s="1"/>
  <c r="F32"/>
  <c r="H32" s="1"/>
  <c r="H31"/>
  <c r="H53" i="2"/>
  <c r="H54"/>
  <c r="H31"/>
  <c r="F33"/>
  <c r="H33" s="1"/>
  <c r="F32"/>
  <c r="H32" s="1"/>
  <c r="H55" i="3" l="1"/>
  <c r="B41"/>
  <c r="B42" s="1"/>
  <c r="B44" s="1"/>
  <c r="B45" s="1"/>
  <c r="B46" s="1"/>
  <c r="B51" s="1"/>
  <c r="B53" s="1"/>
  <c r="B54" s="1"/>
  <c r="B58" s="1"/>
  <c r="B40"/>
  <c r="B39" i="2"/>
  <c r="B40" s="1"/>
  <c r="B41" s="1"/>
  <c r="B42" s="1"/>
  <c r="B44" s="1"/>
  <c r="B45" s="1"/>
  <c r="B46" s="1"/>
  <c r="B51" s="1"/>
  <c r="B53" s="1"/>
  <c r="B54" s="1"/>
  <c r="B58" s="1"/>
  <c r="B38"/>
  <c r="H55"/>
  <c r="H34" i="3"/>
  <c r="H34" i="2"/>
  <c r="H78" s="1"/>
  <c r="B59" i="3" l="1"/>
  <c r="B59" i="2"/>
  <c r="B60" s="1"/>
  <c r="H79"/>
  <c r="H80" s="1"/>
  <c r="B65" i="3" l="1"/>
  <c r="B69" s="1"/>
  <c r="B63"/>
  <c r="C23" i="1"/>
  <c r="B65" i="2"/>
  <c r="B64"/>
  <c r="B72" l="1"/>
  <c r="B76" s="1"/>
  <c r="B66"/>
  <c r="B67" s="1"/>
  <c r="B68" s="1"/>
  <c r="B70" s="1"/>
  <c r="H41" i="3"/>
  <c r="F39"/>
  <c r="H39" s="1"/>
  <c r="H40"/>
  <c r="F38" l="1"/>
  <c r="H38" l="1"/>
  <c r="H48" s="1"/>
  <c r="H71" s="1"/>
  <c r="F42"/>
  <c r="H42" s="1"/>
  <c r="H72" l="1"/>
  <c r="H73" s="1"/>
  <c r="C24" i="1" s="1"/>
  <c r="C25" s="1"/>
</calcChain>
</file>

<file path=xl/sharedStrings.xml><?xml version="1.0" encoding="utf-8"?>
<sst xmlns="http://schemas.openxmlformats.org/spreadsheetml/2006/main" count="526" uniqueCount="136">
  <si>
    <t>Ceny jednostkowe i wartości należy podawać z dokładnością do 2 miejsc po przecinku</t>
  </si>
  <si>
    <t>Lp.</t>
  </si>
  <si>
    <t>Numer</t>
  </si>
  <si>
    <t>Wyszczególnienie</t>
  </si>
  <si>
    <t>Jednostka</t>
  </si>
  <si>
    <t>Cena</t>
  </si>
  <si>
    <t>Wartość</t>
  </si>
  <si>
    <t>SST</t>
  </si>
  <si>
    <t>elementów rozliczeniowych</t>
  </si>
  <si>
    <t>Nazwa</t>
  </si>
  <si>
    <t>Ilość</t>
  </si>
  <si>
    <t>jedn.
PLN</t>
  </si>
  <si>
    <t>PLN</t>
  </si>
  <si>
    <t>*</t>
  </si>
  <si>
    <t>D.00.00.00</t>
  </si>
  <si>
    <t>WYMAGANIA OGÓLNE</t>
  </si>
  <si>
    <t>___</t>
  </si>
  <si>
    <t>Wymagania ogólne:</t>
  </si>
  <si>
    <t>ryczałt</t>
  </si>
  <si>
    <t xml:space="preserve"> - zapewnienie nadzoru archeologicznego,</t>
  </si>
  <si>
    <t xml:space="preserve"> - zabezpieczenie istniejącej osnowy geodezyjnej,</t>
  </si>
  <si>
    <t xml:space="preserve"> - otworzenie osnowy geodezyjnej wynikającej prac rozbiórkowych,</t>
  </si>
  <si>
    <t xml:space="preserve"> - nadzór nad pracami dla poszczególnych sieci,</t>
  </si>
  <si>
    <t xml:space="preserve"> - zapewnienie tymczasowej organizacji ruchu,</t>
  </si>
  <si>
    <t xml:space="preserve"> - wykonanie inwentaryzacji powykonawczej,</t>
  </si>
  <si>
    <t>RAZEM_WYMAGANIA OGÓLNE</t>
  </si>
  <si>
    <t>D.01.00.00</t>
  </si>
  <si>
    <t>ROBOTY PRZYGOTOWAWCZE</t>
  </si>
  <si>
    <t>D.01.01.01</t>
  </si>
  <si>
    <t>Roboty odtworzeniowe</t>
  </si>
  <si>
    <t xml:space="preserve"> - odtworzenie trasy i punktów wysokościowych</t>
  </si>
  <si>
    <t>km</t>
  </si>
  <si>
    <t>D.01.02.04</t>
  </si>
  <si>
    <t>Roboty rozbiórkowe</t>
  </si>
  <si>
    <t xml:space="preserve"> - frezowanie mechanicznie nawierzchni z masy mineralno-bitumicznej, średnia gr. 8cm</t>
  </si>
  <si>
    <t>m2</t>
  </si>
  <si>
    <t xml:space="preserve"> - rozebranie nawierzchni betonowej na wjazdach do posesji o grubości średnio ok. 15cm</t>
  </si>
  <si>
    <t xml:space="preserve"> - rozebranie krawężnika betonowego wraz z ławą betonową</t>
  </si>
  <si>
    <t>m</t>
  </si>
  <si>
    <t xml:space="preserve"> - demontaż wpustów deszczowych żeliwnych z osadnikiem</t>
  </si>
  <si>
    <t>szt.</t>
  </si>
  <si>
    <r>
      <t xml:space="preserve"> - załadunek i transport rozebranych elementów </t>
    </r>
    <r>
      <rPr>
        <b/>
        <sz val="10"/>
        <rFont val="Times New Roman"/>
        <family val="1"/>
        <charset val="238"/>
      </rPr>
      <t>(pkt. 3</t>
    </r>
    <r>
      <rPr>
        <b/>
        <sz val="10"/>
        <rFont val="Czcionka tekstu podstawowego"/>
        <charset val="238"/>
      </rPr>
      <t>÷7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wraz z utylizacją</t>
    </r>
  </si>
  <si>
    <t>t</t>
  </si>
  <si>
    <t xml:space="preserve"> - demontaż obrzeży betonowych i przekazanie ich właścicielom przyległych posesji</t>
  </si>
  <si>
    <t xml:space="preserve"> - demontaż nawierzchni z kostki betonowej i przekazanie ich właścielom przyległych posesji</t>
  </si>
  <si>
    <t>RAZEM_ROBOTY PRZYGOTOWAWCZE</t>
  </si>
  <si>
    <t>D.02.00.00.</t>
  </si>
  <si>
    <t>ROBOTY ZIEMNE</t>
  </si>
  <si>
    <t>D.02.01.01</t>
  </si>
  <si>
    <t>Wykonanie wykopów</t>
  </si>
  <si>
    <t xml:space="preserve"> - wykonanie wykopów w gruntach kat. I - III (transport do 10km) pod  konstrukcję drogi, miejsc postojowych, wjazdów</t>
  </si>
  <si>
    <t>m3</t>
  </si>
  <si>
    <t xml:space="preserve"> - dodatek za dalsze rozpoczęty 1km transportu</t>
  </si>
  <si>
    <t>RAZEM_ROBOTY ZIEMNE</t>
  </si>
  <si>
    <t>D.03.00.00</t>
  </si>
  <si>
    <t>ODWODNIENIE KORPUSU DROGOWEGO</t>
  </si>
  <si>
    <t>D.03.01.01</t>
  </si>
  <si>
    <t>Kanalizacja deszczowa</t>
  </si>
  <si>
    <t>__</t>
  </si>
  <si>
    <t xml:space="preserve"> - zasypywanie wykopów o ścianach pionowych o szerokości 0.8-2.5 m i głęb.do 3.0 m w gr.kat. I-III , zasyp  ręcznie na wysokość 30 cm ponad wierzch rur - piasek średni</t>
  </si>
  <si>
    <t>Wykonanie przykanalików</t>
  </si>
  <si>
    <t xml:space="preserve"> - wykonanie wykopów pod kanał o szerokość 0,5m (średnia głębokość 1m)</t>
  </si>
  <si>
    <r>
      <t xml:space="preserve"> - wykonanie </t>
    </r>
    <r>
      <rPr>
        <b/>
        <sz val="10"/>
        <rFont val="Times New Roman"/>
        <family val="1"/>
        <charset val="238"/>
      </rPr>
      <t>podsypki</t>
    </r>
    <r>
      <rPr>
        <sz val="10"/>
        <rFont val="Times New Roman"/>
        <family val="1"/>
        <charset val="238"/>
      </rPr>
      <t xml:space="preserve"> pod kanał z piasku średniego o grubości 0,1m i szerokości 0,5m</t>
    </r>
  </si>
  <si>
    <t xml:space="preserve"> - kanały z rur PVC łączonych na wcisk o śr. zewn. 200 mm - wykopy umocnione</t>
  </si>
  <si>
    <t xml:space="preserve"> - mechaniczne czyszczenie kanałów kołowych sieci zewnętrznej o Ø160 po robotach montażowych, przygotowanie do odbioru</t>
  </si>
  <si>
    <t>Wykonanie wpustów</t>
  </si>
  <si>
    <t xml:space="preserve"> - wykonanie wykopu pod wpusty deszczowe</t>
  </si>
  <si>
    <t xml:space="preserve"> - podłoża pod studnie z mieszannki C3/4 grub. 10cm</t>
  </si>
  <si>
    <t xml:space="preserve"> - ułożenie studzienek ściekowych betonowe o śr.500 mm z osadnikiem bez syfonu i wpustem - krawężnikowe</t>
  </si>
  <si>
    <t xml:space="preserve"> - zasypywanie wykopów o ścianach pionowych o szerokości 0.8-2.5 m i głęb.do 3.0 m piaskiem średnim</t>
  </si>
  <si>
    <t>RAZEM_ODWODNIENIE KORPUSU DROGOWEGO</t>
  </si>
  <si>
    <t>D.04.00.00</t>
  </si>
  <si>
    <t>PODBUDOWY</t>
  </si>
  <si>
    <t>D.04.01.01</t>
  </si>
  <si>
    <t>Profilowanie i zagęszczanie podłoża w korycie</t>
  </si>
  <si>
    <t>D.04.05.01</t>
  </si>
  <si>
    <t>Podbudowa z mieszanki związanej cementem</t>
  </si>
  <si>
    <t>RAZEM_PODBUDOWY</t>
  </si>
  <si>
    <t>D.05.00.00</t>
  </si>
  <si>
    <t>NAWIERZCHNIE</t>
  </si>
  <si>
    <t>D.05.03.23</t>
  </si>
  <si>
    <t>Nawierzchnia z betonowej kostki brukowej</t>
  </si>
  <si>
    <r>
      <t xml:space="preserve"> - </t>
    </r>
    <r>
      <rPr>
        <i/>
        <sz val="10"/>
        <rFont val="Times New Roman"/>
        <family val="1"/>
        <charset val="238"/>
      </rPr>
      <t xml:space="preserve">ciągu głównego drogi </t>
    </r>
    <r>
      <rPr>
        <sz val="10"/>
        <rFont val="Times New Roman"/>
        <family val="1"/>
        <charset val="238"/>
      </rPr>
      <t xml:space="preserve">gr. 8cm na podsypce cementowo-piaskowej gr. 3cm (kolor szary)
</t>
    </r>
  </si>
  <si>
    <r>
      <t xml:space="preserve"> - </t>
    </r>
    <r>
      <rPr>
        <i/>
        <sz val="10"/>
        <rFont val="Times New Roman"/>
        <family val="1"/>
        <charset val="238"/>
      </rPr>
      <t xml:space="preserve">ciągu głównego drogi (miejsca postojowe) </t>
    </r>
    <r>
      <rPr>
        <sz val="10"/>
        <rFont val="Times New Roman"/>
        <family val="1"/>
        <charset val="238"/>
      </rPr>
      <t xml:space="preserve">gr. 8cm na podsypce cementowo-piaskowej gr. 3cm (kolor szary)
</t>
    </r>
  </si>
  <si>
    <t xml:space="preserve"> - chodnika gr. 8cm na podsypce cementowo-piaskowej gr. 3cm (kolor grafitowy)</t>
  </si>
  <si>
    <t>RAZEM_NAWIERZCHNIE</t>
  </si>
  <si>
    <t>D.08.00.00</t>
  </si>
  <si>
    <t>ELEMENTY ULIC</t>
  </si>
  <si>
    <t>D.08.01.01</t>
  </si>
  <si>
    <t>Roboty krawężnikowe</t>
  </si>
  <si>
    <t xml:space="preserve"> - ustawienie krawężników betonowych o wym. 15x30 cm na ławie betonowej z betonu B15 z oporem</t>
  </si>
  <si>
    <t xml:space="preserve"> - ustawienie krawężników betonowych o wym. 15x30 cm na ławie betonowej z betonu B15 z oporem (R=0,5m)</t>
  </si>
  <si>
    <t xml:space="preserve"> - ustawienie krawężników betonowych o wym. 15x30 cm na ławie betonowej z betonu B15 z oporem (R=1,5m)</t>
  </si>
  <si>
    <t xml:space="preserve"> - ustawienie krawężników betonowych o wym. 15x22 cm na ławie betonowej z betonu B15 z oporem</t>
  </si>
  <si>
    <t xml:space="preserve"> - ustawienie krawężników betonowych o wym. 15x22 cm na ławie betonowej z betonu B15 z oporem (R=1,5m)</t>
  </si>
  <si>
    <t>D.08.03.01</t>
  </si>
  <si>
    <t xml:space="preserve">Obrzeża betonowe </t>
  </si>
  <si>
    <t xml:space="preserve"> - ustawienie obrzeży betonowych o wymiarach 8x30cm na ławie betonowej B15 z wypełnieniem spoin zaprawą cementową</t>
  </si>
  <si>
    <t>D.08.05.01</t>
  </si>
  <si>
    <t>Ściek</t>
  </si>
  <si>
    <t xml:space="preserve"> - ułożenie ścieku drogowego z betonowej kostki typu holand (kolor - szary) na ławie betonowej z betonu B-15, szerokość ścieku 20cm</t>
  </si>
  <si>
    <t>RAZEM_ELEMENTY ULIC</t>
  </si>
  <si>
    <t>D.09.00.00</t>
  </si>
  <si>
    <t>ZIELEŃ DROGOWA</t>
  </si>
  <si>
    <t>D.09.01.01.</t>
  </si>
  <si>
    <t>Zieleń drogowa</t>
  </si>
  <si>
    <t xml:space="preserve"> - rozłożenie ziemi urodzajnej (grubości 5cm) pod trawniki na terenie płaskim wraz z założeniem trawnika</t>
  </si>
  <si>
    <t>RAZEM_ZIELEŃ</t>
  </si>
  <si>
    <t>RAZEM_(netto)</t>
  </si>
  <si>
    <t>VAT_23%</t>
  </si>
  <si>
    <t>RAZEM_(brutto)</t>
  </si>
  <si>
    <t>Nazwa obiektów:</t>
  </si>
  <si>
    <t>Podstawa opracowania - kody CPV:</t>
  </si>
  <si>
    <r>
      <rPr>
        <b/>
        <sz val="7"/>
        <rFont val="Arial"/>
        <family val="2"/>
        <charset val="238"/>
      </rPr>
      <t>45.23.00.00-8</t>
    </r>
    <r>
      <rPr>
        <sz val="7"/>
        <rFont val="Arial"/>
        <family val="2"/>
        <charset val="238"/>
      </rPr>
      <t xml:space="preserve">
Roboty budowlane dotyczące budowy rurociągów, ciągów komunikacyjnych i energetycznych do autostrad, dróg, lotnisk, kolei oraz wyrównania terenu.
</t>
    </r>
    <r>
      <rPr>
        <b/>
        <sz val="7"/>
        <rFont val="Arial"/>
        <family val="2"/>
        <charset val="238"/>
      </rPr>
      <t>45.23.30.00-9</t>
    </r>
    <r>
      <rPr>
        <sz val="7"/>
        <rFont val="Arial"/>
        <family val="2"/>
        <charset val="238"/>
      </rPr>
      <t xml:space="preserve">
Roboty w zakresie konstruowania, fundamentowania oraz powierzchniowe autostrad, dróg.
</t>
    </r>
    <r>
      <rPr>
        <b/>
        <sz val="7"/>
        <rFont val="Arial"/>
        <family val="2"/>
        <charset val="238"/>
      </rPr>
      <t>45.23.13.00-8</t>
    </r>
    <r>
      <rPr>
        <sz val="7"/>
        <rFont val="Arial"/>
        <family val="2"/>
        <charset val="238"/>
      </rPr>
      <t xml:space="preserve">
Roboty budowlane w zakresie budowy wodociągów i rurociągów do odprowadzenia ścieków.
</t>
    </r>
    <r>
      <rPr>
        <b/>
        <sz val="7"/>
        <rFont val="Arial"/>
        <family val="2"/>
        <charset val="238"/>
      </rPr>
      <t>45.23.31.40-2</t>
    </r>
    <r>
      <rPr>
        <sz val="7"/>
        <rFont val="Arial"/>
        <family val="2"/>
        <charset val="238"/>
      </rPr>
      <t xml:space="preserve">
Roboty drogowe
</t>
    </r>
    <r>
      <rPr>
        <b/>
        <sz val="7"/>
        <rFont val="Arial"/>
        <family val="2"/>
        <charset val="238"/>
      </rPr>
      <t>71.32.00.00-7</t>
    </r>
    <r>
      <rPr>
        <sz val="7"/>
        <rFont val="Arial"/>
        <family val="2"/>
        <charset val="238"/>
      </rPr>
      <t xml:space="preserve">
Usługi inżynieryjne w zakresie projektowania
</t>
    </r>
  </si>
  <si>
    <t>Nazwa i adres zamawiającego:</t>
  </si>
  <si>
    <t>Miasto Leszno
64-100 Leszno, ul. Kazimierza Karasia 15</t>
  </si>
  <si>
    <t>Nazwa i adres jednostki opracowującej kosztorys:</t>
  </si>
  <si>
    <t>ProManLab - Piotr Mańkowski
64-100 Leszno, ul. Orłowskiego 8
NIP: 697-216-15-73</t>
  </si>
  <si>
    <t>Imię i nazwisko opracowującego kosztorys:</t>
  </si>
  <si>
    <t>mgr inż. Piotr Mańkowski</t>
  </si>
  <si>
    <t>Wartość kosztorysowa robót (brutto):</t>
  </si>
  <si>
    <t>KOSZTORYS  OFEERTOWY / PRZEDMIAR</t>
  </si>
  <si>
    <t xml:space="preserve"> - profilowanie i zagęszczanie podłoża</t>
  </si>
  <si>
    <t xml:space="preserve"> - warstwa z mieszanki związanej cementem C3/4 MPa o gr. 15cm (stabilizacja gruntu w mieszarce)</t>
  </si>
  <si>
    <t xml:space="preserve"> - warstwa z mieszanki związanej cementem C5/6 MPa o gr. 20cm (stabilizacja gruntu w mieszarce)</t>
  </si>
  <si>
    <t>"Remont ulicy Uroczej"</t>
  </si>
  <si>
    <t>"Remont ulicy Uroczej" na odcinku od ul. księdza Ignacego Skorupki do ul. Bajkowej</t>
  </si>
  <si>
    <r>
      <t xml:space="preserve"> - załadunek i transport rozebranych elementów </t>
    </r>
    <r>
      <rPr>
        <b/>
        <sz val="10"/>
        <rFont val="Times New Roman"/>
        <family val="1"/>
        <charset val="238"/>
      </rPr>
      <t>(pkt. 3</t>
    </r>
    <r>
      <rPr>
        <b/>
        <sz val="10"/>
        <rFont val="Czcionka tekstu podstawowego"/>
        <charset val="238"/>
      </rPr>
      <t>÷6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wraz z utylizacją</t>
    </r>
  </si>
  <si>
    <r>
      <t xml:space="preserve"> - utylizacja gruntu z </t>
    </r>
    <r>
      <rPr>
        <b/>
        <sz val="10"/>
        <rFont val="Times New Roman"/>
        <family val="1"/>
        <charset val="238"/>
      </rPr>
      <t>pkt. 10</t>
    </r>
  </si>
  <si>
    <t xml:space="preserve"> - ul. Urocza odc. I</t>
  </si>
  <si>
    <t xml:space="preserve"> - ul. Urocza odc. II</t>
  </si>
  <si>
    <t>"Remont ulicy Uroczej" na odcinku od ul. Bajkowej do ul. Andersena</t>
  </si>
  <si>
    <t xml:space="preserve"> - kanały z rur PVC łączonych na wcisk o śr. zewn. 160 mm - wykopy umocnione</t>
  </si>
  <si>
    <t xml:space="preserve"> - rozebranie utwardzonej podbudowy o grubości ok. 20cm</t>
  </si>
  <si>
    <r>
      <t xml:space="preserve"> - utylizacja gruntu z </t>
    </r>
    <r>
      <rPr>
        <b/>
        <sz val="10"/>
        <rFont val="Times New Roman"/>
        <family val="1"/>
        <charset val="238"/>
      </rPr>
      <t>pkt. 11</t>
    </r>
  </si>
  <si>
    <t>Data opracowania:     12.2024r.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</si>
</sst>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0000"/>
    <numFmt numFmtId="165" formatCode="0.0"/>
  </numFmts>
  <fonts count="27">
    <font>
      <sz val="11"/>
      <color theme="1"/>
      <name val="Czcionka tekstu podstawowego"/>
      <family val="2"/>
      <charset val="238"/>
    </font>
    <font>
      <sz val="10"/>
      <name val="Arial CE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Czcionka tekstu podstawowego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161">
    <xf numFmtId="0" fontId="0" fillId="0" borderId="0" xfId="0"/>
    <xf numFmtId="0" fontId="2" fillId="0" borderId="0" xfId="1" applyFont="1" applyFill="1" applyBorder="1" applyAlignment="1">
      <alignment vertical="center" wrapText="1"/>
    </xf>
    <xf numFmtId="2" fontId="2" fillId="2" borderId="0" xfId="1" applyNumberFormat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2" fontId="2" fillId="0" borderId="0" xfId="2" applyNumberFormat="1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center" wrapText="1"/>
    </xf>
    <xf numFmtId="1" fontId="8" fillId="3" borderId="4" xfId="1" applyNumberFormat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2" fontId="2" fillId="4" borderId="0" xfId="1" applyNumberFormat="1" applyFont="1" applyFill="1" applyBorder="1" applyAlignment="1">
      <alignment vertical="center" wrapText="1"/>
    </xf>
    <xf numFmtId="0" fontId="2" fillId="4" borderId="0" xfId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/>
    </xf>
    <xf numFmtId="1" fontId="8" fillId="0" borderId="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" fontId="2" fillId="2" borderId="4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left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right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0" fontId="8" fillId="2" borderId="8" xfId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left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left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vertical="center" wrapText="1"/>
    </xf>
    <xf numFmtId="0" fontId="8" fillId="2" borderId="5" xfId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9" fontId="2" fillId="5" borderId="5" xfId="1" applyNumberFormat="1" applyFont="1" applyFill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8" fillId="2" borderId="5" xfId="1" applyNumberFormat="1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8" fillId="0" borderId="6" xfId="1" applyNumberFormat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left" vertical="center" wrapText="1"/>
    </xf>
    <xf numFmtId="1" fontId="2" fillId="0" borderId="4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13" xfId="4" applyFont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right" vertical="center" wrapText="1"/>
    </xf>
    <xf numFmtId="0" fontId="8" fillId="0" borderId="7" xfId="4" applyFont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right" vertical="center" wrapText="1"/>
    </xf>
    <xf numFmtId="0" fontId="8" fillId="0" borderId="16" xfId="4" applyFont="1" applyBorder="1" applyAlignment="1">
      <alignment horizontal="center" vertical="center" wrapText="1"/>
    </xf>
    <xf numFmtId="4" fontId="14" fillId="0" borderId="18" xfId="2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quotePrefix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9" fontId="5" fillId="2" borderId="0" xfId="1" applyNumberFormat="1" applyFont="1" applyFill="1" applyBorder="1" applyAlignment="1">
      <alignment horizontal="left" vertical="center" wrapText="1"/>
    </xf>
    <xf numFmtId="0" fontId="2" fillId="2" borderId="0" xfId="1" applyNumberFormat="1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20" fillId="0" borderId="0" xfId="0" applyFont="1"/>
    <xf numFmtId="44" fontId="22" fillId="0" borderId="0" xfId="0" applyNumberFormat="1" applyFont="1"/>
    <xf numFmtId="4" fontId="0" fillId="0" borderId="0" xfId="0" applyNumberFormat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top" wrapText="1"/>
    </xf>
    <xf numFmtId="2" fontId="2" fillId="0" borderId="0" xfId="2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6" fillId="3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26" fillId="0" borderId="5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10" fillId="0" borderId="5" xfId="0" applyFont="1" applyFill="1" applyBorder="1" applyAlignment="1">
      <alignment horizontal="right" vertical="center"/>
    </xf>
    <xf numFmtId="1" fontId="3" fillId="2" borderId="0" xfId="1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3" fillId="0" borderId="14" xfId="4" applyFont="1" applyBorder="1" applyAlignment="1">
      <alignment horizontal="right" vertical="center" wrapText="1"/>
    </xf>
    <xf numFmtId="0" fontId="10" fillId="0" borderId="14" xfId="4" applyFont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4" fontId="13" fillId="0" borderId="17" xfId="2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2" borderId="10" xfId="1" applyFont="1" applyFill="1" applyBorder="1" applyAlignment="1">
      <alignment horizontal="right" vertical="center" wrapText="1"/>
    </xf>
    <xf numFmtId="0" fontId="10" fillId="2" borderId="11" xfId="1" applyFont="1" applyFill="1" applyBorder="1" applyAlignment="1">
      <alignment horizontal="right" vertical="center" wrapText="1"/>
    </xf>
    <xf numFmtId="0" fontId="10" fillId="2" borderId="12" xfId="1" applyFont="1" applyFill="1" applyBorder="1" applyAlignment="1">
      <alignment horizontal="right" vertical="center" wrapText="1"/>
    </xf>
    <xf numFmtId="0" fontId="10" fillId="2" borderId="5" xfId="1" applyFont="1" applyFill="1" applyBorder="1" applyAlignment="1">
      <alignment horizontal="right" vertical="center" wrapText="1"/>
    </xf>
    <xf numFmtId="0" fontId="2" fillId="2" borderId="5" xfId="1" applyFont="1" applyFill="1" applyBorder="1" applyAlignment="1">
      <alignment horizontal="right" vertical="center" wrapText="1"/>
    </xf>
  </cellXfs>
  <cellStyles count="5">
    <cellStyle name="Normalny" xfId="0" builtinId="0"/>
    <cellStyle name="Normalny_Droga S5 - przedmiar drogowy wersja 30_09" xfId="1"/>
    <cellStyle name="Normalny_KOSZTORYS OFERTOWY - roboty elektryczne" xfId="2"/>
    <cellStyle name="Normalny_POL" xfId="3"/>
    <cellStyle name="Normalny_WC_PRZEDMI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28"/>
  <sheetViews>
    <sheetView tabSelected="1" view="pageBreakPreview" topLeftCell="A10" zoomScale="110" zoomScaleSheetLayoutView="110" workbookViewId="0">
      <selection activeCell="B29" sqref="B29"/>
    </sheetView>
  </sheetViews>
  <sheetFormatPr defaultRowHeight="14.25"/>
  <cols>
    <col min="1" max="1" width="4.625" customWidth="1"/>
    <col min="2" max="2" width="47.75" style="108" customWidth="1"/>
    <col min="3" max="3" width="17.75" customWidth="1"/>
    <col min="4" max="4" width="2.125" customWidth="1"/>
  </cols>
  <sheetData>
    <row r="2" spans="2:4" ht="18">
      <c r="B2" s="137" t="s">
        <v>121</v>
      </c>
      <c r="C2" s="137"/>
    </row>
    <row r="4" spans="2:4">
      <c r="B4" s="109" t="s">
        <v>111</v>
      </c>
    </row>
    <row r="6" spans="2:4" ht="28.5" customHeight="1">
      <c r="B6" s="138" t="s">
        <v>125</v>
      </c>
      <c r="C6" s="138"/>
    </row>
    <row r="8" spans="2:4">
      <c r="B8" s="109" t="s">
        <v>112</v>
      </c>
    </row>
    <row r="9" spans="2:4" ht="146.25" customHeight="1">
      <c r="B9" s="139" t="s">
        <v>113</v>
      </c>
      <c r="C9" s="139"/>
      <c r="D9" s="116"/>
    </row>
    <row r="11" spans="2:4">
      <c r="B11" s="109" t="s">
        <v>114</v>
      </c>
    </row>
    <row r="13" spans="2:4" ht="25.5">
      <c r="B13" s="110" t="s">
        <v>115</v>
      </c>
    </row>
    <row r="15" spans="2:4">
      <c r="B15" s="109" t="s">
        <v>116</v>
      </c>
    </row>
    <row r="17" spans="2:3" ht="38.25">
      <c r="B17" s="111" t="s">
        <v>117</v>
      </c>
    </row>
    <row r="19" spans="2:3">
      <c r="B19" s="109" t="s">
        <v>118</v>
      </c>
    </row>
    <row r="20" spans="2:3">
      <c r="B20" s="112"/>
    </row>
    <row r="21" spans="2:3">
      <c r="B21" s="112" t="s">
        <v>119</v>
      </c>
    </row>
    <row r="22" spans="2:3">
      <c r="B22" s="112"/>
    </row>
    <row r="23" spans="2:3">
      <c r="B23" s="112" t="s">
        <v>129</v>
      </c>
      <c r="C23" s="114">
        <f>'Kosztorys oferowy - I'!H80</f>
        <v>0</v>
      </c>
    </row>
    <row r="24" spans="2:3">
      <c r="B24" s="112" t="s">
        <v>130</v>
      </c>
      <c r="C24" s="114">
        <f>'Kosztorys oferowy - II'!H73</f>
        <v>0</v>
      </c>
    </row>
    <row r="25" spans="2:3">
      <c r="B25" s="109" t="s">
        <v>120</v>
      </c>
      <c r="C25" s="113">
        <f>C23+C24</f>
        <v>0</v>
      </c>
    </row>
    <row r="26" spans="2:3">
      <c r="B26" s="109"/>
      <c r="C26" s="114"/>
    </row>
    <row r="28" spans="2:3">
      <c r="B28" s="115" t="s">
        <v>135</v>
      </c>
    </row>
  </sheetData>
  <mergeCells count="3">
    <mergeCell ref="B2:C2"/>
    <mergeCell ref="B6:C6"/>
    <mergeCell ref="B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6"/>
  <sheetViews>
    <sheetView view="pageBreakPreview" topLeftCell="A43" zoomScale="80" zoomScaleNormal="80" zoomScaleSheetLayoutView="80" workbookViewId="0">
      <selection activeCell="J47" sqref="J47"/>
    </sheetView>
  </sheetViews>
  <sheetFormatPr defaultColWidth="23.625" defaultRowHeight="12.75"/>
  <cols>
    <col min="1" max="1" width="1.375" style="1" customWidth="1"/>
    <col min="2" max="2" width="4.5" style="101" customWidth="1"/>
    <col min="3" max="3" width="12.25" style="102" customWidth="1"/>
    <col min="4" max="4" width="64.875" style="103" customWidth="1"/>
    <col min="5" max="5" width="6.75" style="104" customWidth="1"/>
    <col min="6" max="6" width="8.625" style="105" customWidth="1"/>
    <col min="7" max="7" width="9.625" style="131" customWidth="1"/>
    <col min="8" max="8" width="13.625" style="107" customWidth="1"/>
    <col min="9" max="9" width="2.875" style="72" customWidth="1"/>
    <col min="10" max="11" width="23.625" style="2"/>
    <col min="12" max="16384" width="23.625" style="3"/>
  </cols>
  <sheetData>
    <row r="1" spans="1:11" ht="51.75" customHeight="1">
      <c r="B1" s="141" t="s">
        <v>126</v>
      </c>
      <c r="C1" s="141"/>
      <c r="D1" s="141"/>
      <c r="E1" s="141"/>
      <c r="F1" s="141"/>
      <c r="G1" s="141"/>
      <c r="H1" s="141"/>
    </row>
    <row r="2" spans="1:11" s="6" customFormat="1" ht="15" customHeight="1">
      <c r="A2" s="4"/>
      <c r="B2" s="142" t="s">
        <v>0</v>
      </c>
      <c r="C2" s="143"/>
      <c r="D2" s="143"/>
      <c r="E2" s="143"/>
      <c r="F2" s="143"/>
      <c r="G2" s="143"/>
      <c r="H2" s="143"/>
      <c r="I2" s="117"/>
      <c r="J2" s="5"/>
      <c r="K2" s="5"/>
    </row>
    <row r="3" spans="1:11" s="6" customFormat="1" ht="13.5" thickBot="1">
      <c r="A3" s="4"/>
      <c r="B3" s="7"/>
      <c r="C3" s="8"/>
      <c r="D3" s="9"/>
      <c r="E3" s="8"/>
      <c r="F3" s="10"/>
      <c r="G3" s="118"/>
      <c r="H3" s="11"/>
      <c r="I3" s="117"/>
      <c r="J3" s="5"/>
      <c r="K3" s="5"/>
    </row>
    <row r="4" spans="1:11" s="12" customFormat="1" ht="12">
      <c r="B4" s="144" t="s">
        <v>1</v>
      </c>
      <c r="C4" s="13" t="s">
        <v>2</v>
      </c>
      <c r="D4" s="14" t="s">
        <v>3</v>
      </c>
      <c r="E4" s="146" t="s">
        <v>4</v>
      </c>
      <c r="F4" s="146"/>
      <c r="G4" s="15" t="s">
        <v>5</v>
      </c>
      <c r="H4" s="16" t="s">
        <v>6</v>
      </c>
      <c r="I4" s="17"/>
      <c r="J4" s="17"/>
      <c r="K4" s="17"/>
    </row>
    <row r="5" spans="1:11" s="12" customFormat="1" ht="24">
      <c r="B5" s="145"/>
      <c r="C5" s="18" t="s">
        <v>7</v>
      </c>
      <c r="D5" s="19" t="s">
        <v>8</v>
      </c>
      <c r="E5" s="18" t="s">
        <v>9</v>
      </c>
      <c r="F5" s="20" t="s">
        <v>10</v>
      </c>
      <c r="G5" s="20" t="s">
        <v>11</v>
      </c>
      <c r="H5" s="21" t="s">
        <v>12</v>
      </c>
      <c r="I5" s="17"/>
      <c r="J5" s="17"/>
      <c r="K5" s="17"/>
    </row>
    <row r="6" spans="1:11" s="22" customFormat="1">
      <c r="B6" s="23">
        <v>1</v>
      </c>
      <c r="C6" s="24">
        <v>2</v>
      </c>
      <c r="D6" s="24">
        <v>3</v>
      </c>
      <c r="E6" s="24">
        <v>4</v>
      </c>
      <c r="F6" s="25">
        <v>5</v>
      </c>
      <c r="G6" s="26">
        <v>6</v>
      </c>
      <c r="H6" s="27">
        <v>7</v>
      </c>
      <c r="I6" s="28"/>
      <c r="J6" s="28"/>
      <c r="K6" s="28"/>
    </row>
    <row r="7" spans="1:11" s="36" customFormat="1" ht="20.100000000000001" customHeight="1">
      <c r="A7" s="1"/>
      <c r="B7" s="29" t="s">
        <v>13</v>
      </c>
      <c r="C7" s="30" t="s">
        <v>14</v>
      </c>
      <c r="D7" s="31" t="s">
        <v>15</v>
      </c>
      <c r="E7" s="32" t="s">
        <v>16</v>
      </c>
      <c r="F7" s="33" t="s">
        <v>16</v>
      </c>
      <c r="G7" s="33" t="s">
        <v>16</v>
      </c>
      <c r="H7" s="34" t="s">
        <v>16</v>
      </c>
      <c r="I7" s="72"/>
      <c r="J7" s="35"/>
      <c r="K7" s="35"/>
    </row>
    <row r="8" spans="1:11" s="22" customFormat="1" ht="20.100000000000001" customHeight="1">
      <c r="B8" s="37">
        <v>1</v>
      </c>
      <c r="C8" s="24"/>
      <c r="D8" s="38" t="s">
        <v>17</v>
      </c>
      <c r="E8" s="39" t="s">
        <v>18</v>
      </c>
      <c r="F8" s="39">
        <v>1</v>
      </c>
      <c r="G8" s="120">
        <v>0</v>
      </c>
      <c r="H8" s="40">
        <f>F8*G8</f>
        <v>0</v>
      </c>
      <c r="I8" s="28"/>
      <c r="J8" s="28"/>
      <c r="K8" s="28"/>
    </row>
    <row r="9" spans="1:11" s="22" customFormat="1" ht="20.100000000000001" customHeight="1">
      <c r="B9" s="37" t="s">
        <v>13</v>
      </c>
      <c r="C9" s="24"/>
      <c r="D9" s="38" t="s">
        <v>19</v>
      </c>
      <c r="E9" s="39"/>
      <c r="F9" s="135"/>
      <c r="G9" s="121"/>
      <c r="H9" s="41"/>
      <c r="I9" s="28"/>
      <c r="J9" s="28"/>
      <c r="K9" s="28"/>
    </row>
    <row r="10" spans="1:11" s="22" customFormat="1" ht="20.100000000000001" customHeight="1">
      <c r="B10" s="37" t="s">
        <v>13</v>
      </c>
      <c r="C10" s="24"/>
      <c r="D10" s="38" t="s">
        <v>20</v>
      </c>
      <c r="E10" s="39"/>
      <c r="F10" s="135"/>
      <c r="G10" s="121"/>
      <c r="H10" s="41"/>
      <c r="I10" s="28"/>
      <c r="J10" s="28"/>
      <c r="K10" s="28"/>
    </row>
    <row r="11" spans="1:11" s="22" customFormat="1" ht="20.100000000000001" customHeight="1">
      <c r="B11" s="37" t="s">
        <v>13</v>
      </c>
      <c r="C11" s="24"/>
      <c r="D11" s="38" t="s">
        <v>21</v>
      </c>
      <c r="E11" s="39"/>
      <c r="F11" s="135"/>
      <c r="G11" s="121"/>
      <c r="H11" s="41"/>
      <c r="I11" s="28"/>
      <c r="J11" s="28"/>
      <c r="K11" s="28"/>
    </row>
    <row r="12" spans="1:11" s="22" customFormat="1" ht="20.100000000000001" customHeight="1">
      <c r="B12" s="37" t="s">
        <v>13</v>
      </c>
      <c r="C12" s="24"/>
      <c r="D12" s="38" t="s">
        <v>22</v>
      </c>
      <c r="E12" s="39"/>
      <c r="F12" s="135"/>
      <c r="G12" s="121"/>
      <c r="H12" s="41"/>
      <c r="I12" s="28"/>
      <c r="J12" s="28"/>
      <c r="K12" s="28"/>
    </row>
    <row r="13" spans="1:11" s="22" customFormat="1" ht="20.100000000000001" customHeight="1">
      <c r="B13" s="37" t="s">
        <v>13</v>
      </c>
      <c r="C13" s="24"/>
      <c r="D13" s="38" t="s">
        <v>23</v>
      </c>
      <c r="E13" s="39"/>
      <c r="F13" s="135"/>
      <c r="G13" s="121"/>
      <c r="H13" s="41"/>
      <c r="I13" s="28"/>
      <c r="J13" s="28"/>
      <c r="K13" s="28"/>
    </row>
    <row r="14" spans="1:11" s="22" customFormat="1" ht="20.100000000000001" customHeight="1">
      <c r="B14" s="37" t="s">
        <v>13</v>
      </c>
      <c r="C14" s="24"/>
      <c r="D14" s="38" t="s">
        <v>24</v>
      </c>
      <c r="E14" s="39"/>
      <c r="F14" s="135"/>
      <c r="G14" s="121"/>
      <c r="H14" s="41"/>
      <c r="I14" s="28"/>
      <c r="J14" s="28"/>
      <c r="K14" s="28"/>
    </row>
    <row r="15" spans="1:11" s="22" customFormat="1" ht="20.100000000000001" customHeight="1">
      <c r="B15" s="42" t="s">
        <v>13</v>
      </c>
      <c r="C15" s="140" t="s">
        <v>25</v>
      </c>
      <c r="D15" s="140"/>
      <c r="E15" s="140"/>
      <c r="F15" s="140"/>
      <c r="G15" s="140"/>
      <c r="H15" s="43">
        <f>H8</f>
        <v>0</v>
      </c>
      <c r="I15" s="28"/>
      <c r="J15" s="28"/>
      <c r="K15" s="28"/>
    </row>
    <row r="16" spans="1:11" s="36" customFormat="1" ht="20.100000000000001" customHeight="1">
      <c r="A16" s="1"/>
      <c r="B16" s="29" t="s">
        <v>13</v>
      </c>
      <c r="C16" s="30" t="s">
        <v>26</v>
      </c>
      <c r="D16" s="31" t="s">
        <v>27</v>
      </c>
      <c r="E16" s="32" t="s">
        <v>16</v>
      </c>
      <c r="F16" s="33" t="s">
        <v>16</v>
      </c>
      <c r="G16" s="119" t="s">
        <v>16</v>
      </c>
      <c r="H16" s="34" t="s">
        <v>16</v>
      </c>
      <c r="I16" s="72"/>
      <c r="J16" s="35"/>
      <c r="K16" s="35"/>
    </row>
    <row r="17" spans="1:13" s="22" customFormat="1" ht="20.100000000000001" customHeight="1">
      <c r="B17" s="42" t="s">
        <v>13</v>
      </c>
      <c r="C17" s="24" t="s">
        <v>28</v>
      </c>
      <c r="D17" s="44" t="s">
        <v>29</v>
      </c>
      <c r="E17" s="45" t="s">
        <v>16</v>
      </c>
      <c r="F17" s="45" t="s">
        <v>16</v>
      </c>
      <c r="G17" s="122" t="s">
        <v>16</v>
      </c>
      <c r="H17" s="47" t="s">
        <v>16</v>
      </c>
      <c r="I17" s="28"/>
      <c r="J17" s="28"/>
      <c r="K17" s="28"/>
    </row>
    <row r="18" spans="1:13" ht="20.100000000000001" customHeight="1">
      <c r="B18" s="48">
        <f>B8+1</f>
        <v>2</v>
      </c>
      <c r="C18" s="49"/>
      <c r="D18" s="50" t="s">
        <v>30</v>
      </c>
      <c r="E18" s="51" t="s">
        <v>31</v>
      </c>
      <c r="F18" s="52">
        <f>0.0668</f>
        <v>6.6799999999999998E-2</v>
      </c>
      <c r="G18" s="123">
        <v>0</v>
      </c>
      <c r="H18" s="53">
        <f>F18*G18</f>
        <v>0</v>
      </c>
    </row>
    <row r="19" spans="1:13" s="22" customFormat="1" ht="20.100000000000001" customHeight="1">
      <c r="B19" s="42" t="s">
        <v>13</v>
      </c>
      <c r="C19" s="24" t="s">
        <v>32</v>
      </c>
      <c r="D19" s="44" t="s">
        <v>33</v>
      </c>
      <c r="E19" s="45" t="s">
        <v>16</v>
      </c>
      <c r="F19" s="46" t="s">
        <v>16</v>
      </c>
      <c r="G19" s="122" t="s">
        <v>16</v>
      </c>
      <c r="H19" s="47" t="s">
        <v>16</v>
      </c>
      <c r="I19" s="28"/>
      <c r="J19" s="28"/>
      <c r="K19" s="28"/>
    </row>
    <row r="20" spans="1:13" s="22" customFormat="1" ht="20.100000000000001" customHeight="1">
      <c r="B20" s="54">
        <f>B18+1</f>
        <v>3</v>
      </c>
      <c r="C20" s="55"/>
      <c r="D20" s="56" t="s">
        <v>34</v>
      </c>
      <c r="E20" s="55" t="s">
        <v>35</v>
      </c>
      <c r="F20" s="57">
        <v>333</v>
      </c>
      <c r="G20" s="124">
        <v>0</v>
      </c>
      <c r="H20" s="58">
        <f t="shared" ref="H20:H27" si="0">F20*G20</f>
        <v>0</v>
      </c>
      <c r="I20" s="28"/>
      <c r="J20" s="28"/>
      <c r="K20" s="28"/>
    </row>
    <row r="21" spans="1:13" ht="20.100000000000001" customHeight="1">
      <c r="B21" s="54">
        <f t="shared" ref="B21:B27" si="1">B20+1</f>
        <v>4</v>
      </c>
      <c r="C21" s="59"/>
      <c r="D21" s="60" t="s">
        <v>133</v>
      </c>
      <c r="E21" s="61" t="s">
        <v>35</v>
      </c>
      <c r="F21" s="57">
        <f>F20</f>
        <v>333</v>
      </c>
      <c r="G21" s="125">
        <v>0</v>
      </c>
      <c r="H21" s="62">
        <f t="shared" si="0"/>
        <v>0</v>
      </c>
    </row>
    <row r="22" spans="1:13" ht="19.5" customHeight="1">
      <c r="B22" s="54">
        <f t="shared" si="1"/>
        <v>5</v>
      </c>
      <c r="C22" s="59"/>
      <c r="D22" s="60" t="s">
        <v>36</v>
      </c>
      <c r="E22" s="61" t="s">
        <v>35</v>
      </c>
      <c r="F22" s="57">
        <f>19.5+5</f>
        <v>24.5</v>
      </c>
      <c r="G22" s="125">
        <v>0</v>
      </c>
      <c r="H22" s="62">
        <f t="shared" si="0"/>
        <v>0</v>
      </c>
    </row>
    <row r="23" spans="1:13" ht="20.100000000000001" customHeight="1">
      <c r="B23" s="54">
        <f t="shared" si="1"/>
        <v>6</v>
      </c>
      <c r="C23" s="59"/>
      <c r="D23" s="60" t="s">
        <v>37</v>
      </c>
      <c r="E23" s="61" t="s">
        <v>38</v>
      </c>
      <c r="F23" s="57">
        <f>16+4</f>
        <v>20</v>
      </c>
      <c r="G23" s="125">
        <v>0</v>
      </c>
      <c r="H23" s="62">
        <f>F23*G23</f>
        <v>0</v>
      </c>
    </row>
    <row r="24" spans="1:13" s="22" customFormat="1" ht="20.100000000000001" customHeight="1">
      <c r="B24" s="54">
        <f t="shared" si="1"/>
        <v>7</v>
      </c>
      <c r="C24" s="39"/>
      <c r="D24" s="38" t="s">
        <v>127</v>
      </c>
      <c r="E24" s="39" t="s">
        <v>42</v>
      </c>
      <c r="F24" s="63">
        <f>F20*0.08*2.2+F21*0.15*2+F22*0.1*2.2+F23*0.1*2.2</f>
        <v>168.29799999999997</v>
      </c>
      <c r="G24" s="126">
        <v>0</v>
      </c>
      <c r="H24" s="62">
        <f>F24*G24</f>
        <v>0</v>
      </c>
      <c r="I24" s="28"/>
      <c r="J24" s="28"/>
      <c r="K24" s="28"/>
    </row>
    <row r="25" spans="1:13" ht="20.100000000000001" customHeight="1">
      <c r="B25" s="54">
        <f t="shared" si="1"/>
        <v>8</v>
      </c>
      <c r="C25" s="49"/>
      <c r="D25" s="64" t="s">
        <v>52</v>
      </c>
      <c r="E25" s="65" t="s">
        <v>51</v>
      </c>
      <c r="F25" s="63">
        <f>F20*0.08+F21*0.15+F22*0.1+F23*0.1</f>
        <v>81.040000000000006</v>
      </c>
      <c r="G25" s="126">
        <v>0</v>
      </c>
      <c r="H25" s="40">
        <f>F25*G25</f>
        <v>0</v>
      </c>
      <c r="L25" s="2"/>
      <c r="M25" s="2"/>
    </row>
    <row r="26" spans="1:13" ht="20.100000000000001" customHeight="1">
      <c r="B26" s="54">
        <f t="shared" si="1"/>
        <v>9</v>
      </c>
      <c r="C26" s="59"/>
      <c r="D26" s="60" t="s">
        <v>43</v>
      </c>
      <c r="E26" s="61" t="s">
        <v>38</v>
      </c>
      <c r="F26" s="57">
        <f>15+12</f>
        <v>27</v>
      </c>
      <c r="G26" s="126">
        <v>0</v>
      </c>
      <c r="H26" s="62">
        <f>F26*G26</f>
        <v>0</v>
      </c>
    </row>
    <row r="27" spans="1:13" ht="29.1" customHeight="1">
      <c r="B27" s="54">
        <f t="shared" si="1"/>
        <v>10</v>
      </c>
      <c r="C27" s="59"/>
      <c r="D27" s="60" t="s">
        <v>44</v>
      </c>
      <c r="E27" s="61" t="s">
        <v>35</v>
      </c>
      <c r="F27" s="57">
        <v>45</v>
      </c>
      <c r="G27" s="125">
        <v>0</v>
      </c>
      <c r="H27" s="62">
        <f t="shared" si="0"/>
        <v>0</v>
      </c>
    </row>
    <row r="28" spans="1:13" s="22" customFormat="1" ht="20.100000000000001" customHeight="1">
      <c r="B28" s="42" t="s">
        <v>13</v>
      </c>
      <c r="C28" s="140" t="s">
        <v>45</v>
      </c>
      <c r="D28" s="140"/>
      <c r="E28" s="140"/>
      <c r="F28" s="140"/>
      <c r="G28" s="140"/>
      <c r="H28" s="43">
        <f>SUM(H18:H27)</f>
        <v>0</v>
      </c>
      <c r="I28" s="28"/>
      <c r="J28" s="28"/>
      <c r="K28" s="28"/>
    </row>
    <row r="29" spans="1:13" s="36" customFormat="1" ht="20.100000000000001" customHeight="1">
      <c r="A29" s="1"/>
      <c r="B29" s="29" t="s">
        <v>13</v>
      </c>
      <c r="C29" s="30" t="s">
        <v>46</v>
      </c>
      <c r="D29" s="31" t="s">
        <v>47</v>
      </c>
      <c r="E29" s="32" t="s">
        <v>16</v>
      </c>
      <c r="F29" s="33" t="s">
        <v>16</v>
      </c>
      <c r="G29" s="119" t="s">
        <v>16</v>
      </c>
      <c r="H29" s="34" t="s">
        <v>16</v>
      </c>
      <c r="I29" s="72"/>
      <c r="J29" s="35"/>
      <c r="K29" s="35"/>
    </row>
    <row r="30" spans="1:13" s="22" customFormat="1" ht="20.100000000000001" customHeight="1">
      <c r="B30" s="42" t="s">
        <v>13</v>
      </c>
      <c r="C30" s="24" t="s">
        <v>48</v>
      </c>
      <c r="D30" s="44" t="s">
        <v>49</v>
      </c>
      <c r="E30" s="45" t="s">
        <v>16</v>
      </c>
      <c r="F30" s="46" t="s">
        <v>16</v>
      </c>
      <c r="G30" s="122" t="s">
        <v>16</v>
      </c>
      <c r="H30" s="47" t="s">
        <v>16</v>
      </c>
      <c r="I30" s="28"/>
      <c r="J30" s="28"/>
      <c r="K30" s="28"/>
    </row>
    <row r="31" spans="1:13" ht="29.1" customHeight="1">
      <c r="B31" s="48">
        <f>B27+1</f>
        <v>11</v>
      </c>
      <c r="C31" s="49"/>
      <c r="D31" s="64" t="s">
        <v>50</v>
      </c>
      <c r="E31" s="65" t="s">
        <v>51</v>
      </c>
      <c r="F31" s="63">
        <f>F20*0.23+F22*0.31+0.46*(44+69)+F27*0.36+0.26*70.3</f>
        <v>170.643</v>
      </c>
      <c r="G31" s="126">
        <v>0</v>
      </c>
      <c r="H31" s="40">
        <f>F31*G31</f>
        <v>0</v>
      </c>
    </row>
    <row r="32" spans="1:13" ht="20.100000000000001" customHeight="1">
      <c r="B32" s="48">
        <f>B31+1</f>
        <v>12</v>
      </c>
      <c r="C32" s="49"/>
      <c r="D32" s="64" t="s">
        <v>52</v>
      </c>
      <c r="E32" s="65" t="s">
        <v>51</v>
      </c>
      <c r="F32" s="63">
        <f>F31</f>
        <v>170.643</v>
      </c>
      <c r="G32" s="126">
        <v>0</v>
      </c>
      <c r="H32" s="40">
        <f>F32*G32</f>
        <v>0</v>
      </c>
      <c r="L32" s="2"/>
      <c r="M32" s="2"/>
    </row>
    <row r="33" spans="1:12" ht="20.100000000000001" customHeight="1">
      <c r="B33" s="48">
        <f>B32+1</f>
        <v>13</v>
      </c>
      <c r="C33" s="49"/>
      <c r="D33" s="64" t="s">
        <v>128</v>
      </c>
      <c r="E33" s="65" t="s">
        <v>42</v>
      </c>
      <c r="F33" s="63">
        <f>(F31)*2</f>
        <v>341.286</v>
      </c>
      <c r="G33" s="126">
        <v>0</v>
      </c>
      <c r="H33" s="40">
        <f>F33*G33</f>
        <v>0</v>
      </c>
    </row>
    <row r="34" spans="1:12" s="22" customFormat="1" ht="20.100000000000001" customHeight="1">
      <c r="B34" s="42" t="s">
        <v>13</v>
      </c>
      <c r="C34" s="39"/>
      <c r="D34" s="154" t="s">
        <v>53</v>
      </c>
      <c r="E34" s="155"/>
      <c r="F34" s="155"/>
      <c r="G34" s="155"/>
      <c r="H34" s="43">
        <f>SUM(H31:H33)</f>
        <v>0</v>
      </c>
      <c r="I34" s="28"/>
      <c r="J34" s="28"/>
      <c r="K34" s="28"/>
    </row>
    <row r="35" spans="1:12" s="36" customFormat="1" ht="20.100000000000001" customHeight="1">
      <c r="A35" s="1"/>
      <c r="B35" s="29" t="s">
        <v>13</v>
      </c>
      <c r="C35" s="30" t="s">
        <v>54</v>
      </c>
      <c r="D35" s="31" t="s">
        <v>55</v>
      </c>
      <c r="E35" s="32" t="s">
        <v>16</v>
      </c>
      <c r="F35" s="33" t="s">
        <v>16</v>
      </c>
      <c r="G35" s="119" t="s">
        <v>16</v>
      </c>
      <c r="H35" s="34" t="s">
        <v>16</v>
      </c>
      <c r="I35" s="72"/>
      <c r="J35" s="35"/>
      <c r="K35" s="35"/>
    </row>
    <row r="36" spans="1:12" s="1" customFormat="1" ht="20.100000000000001" customHeight="1">
      <c r="B36" s="66" t="s">
        <v>13</v>
      </c>
      <c r="C36" s="67" t="s">
        <v>56</v>
      </c>
      <c r="D36" s="68" t="s">
        <v>57</v>
      </c>
      <c r="E36" s="69" t="s">
        <v>16</v>
      </c>
      <c r="F36" s="70" t="s">
        <v>16</v>
      </c>
      <c r="G36" s="127" t="s">
        <v>16</v>
      </c>
      <c r="H36" s="71" t="s">
        <v>16</v>
      </c>
      <c r="I36" s="72"/>
      <c r="J36" s="72"/>
      <c r="K36" s="72"/>
      <c r="L36" s="72"/>
    </row>
    <row r="37" spans="1:12" s="22" customFormat="1" ht="20.100000000000001" customHeight="1">
      <c r="B37" s="42" t="s">
        <v>13</v>
      </c>
      <c r="C37" s="24"/>
      <c r="D37" s="44" t="s">
        <v>60</v>
      </c>
      <c r="E37" s="74" t="s">
        <v>58</v>
      </c>
      <c r="F37" s="74" t="s">
        <v>58</v>
      </c>
      <c r="G37" s="128" t="s">
        <v>58</v>
      </c>
      <c r="H37" s="75" t="s">
        <v>58</v>
      </c>
      <c r="I37" s="72"/>
      <c r="J37" s="28"/>
      <c r="K37" s="28"/>
      <c r="L37" s="28"/>
    </row>
    <row r="38" spans="1:12" s="22" customFormat="1" ht="20.100000000000001" customHeight="1">
      <c r="B38" s="78">
        <f>B33+1</f>
        <v>14</v>
      </c>
      <c r="C38" s="39"/>
      <c r="D38" s="79" t="s">
        <v>61</v>
      </c>
      <c r="E38" s="39" t="s">
        <v>51</v>
      </c>
      <c r="F38" s="63">
        <f>0.5*0.54*F40</f>
        <v>8.7479999999999993</v>
      </c>
      <c r="G38" s="126">
        <v>0</v>
      </c>
      <c r="H38" s="53">
        <f>F38*G38</f>
        <v>0</v>
      </c>
      <c r="I38" s="72"/>
      <c r="J38" s="28"/>
      <c r="K38" s="28"/>
      <c r="L38" s="28"/>
    </row>
    <row r="39" spans="1:12" s="22" customFormat="1" ht="20.100000000000001" customHeight="1">
      <c r="B39" s="78">
        <f>B38+1</f>
        <v>15</v>
      </c>
      <c r="C39" s="39"/>
      <c r="D39" s="79" t="s">
        <v>62</v>
      </c>
      <c r="E39" s="39" t="s">
        <v>51</v>
      </c>
      <c r="F39" s="63">
        <f>0.5*0.1*F40</f>
        <v>1.62</v>
      </c>
      <c r="G39" s="126">
        <v>0</v>
      </c>
      <c r="H39" s="53">
        <f>F39*G39</f>
        <v>0</v>
      </c>
      <c r="I39" s="28"/>
      <c r="J39" s="28"/>
      <c r="K39" s="28"/>
      <c r="L39" s="28"/>
    </row>
    <row r="40" spans="1:12" ht="20.100000000000001" customHeight="1">
      <c r="B40" s="78">
        <f>B39+1</f>
        <v>16</v>
      </c>
      <c r="C40" s="49"/>
      <c r="D40" s="76" t="s">
        <v>63</v>
      </c>
      <c r="E40" s="51" t="s">
        <v>38</v>
      </c>
      <c r="F40" s="77">
        <f>10+10+1.6+1.9+1.8+7.1</f>
        <v>32.4</v>
      </c>
      <c r="G40" s="126">
        <v>0</v>
      </c>
      <c r="H40" s="53">
        <f>F40*G40</f>
        <v>0</v>
      </c>
      <c r="L40" s="2"/>
    </row>
    <row r="41" spans="1:12" ht="29.1" customHeight="1">
      <c r="B41" s="78">
        <f>B40+1</f>
        <v>17</v>
      </c>
      <c r="C41" s="49"/>
      <c r="D41" s="76" t="s">
        <v>64</v>
      </c>
      <c r="E41" s="51" t="s">
        <v>38</v>
      </c>
      <c r="F41" s="63">
        <f>F40</f>
        <v>32.4</v>
      </c>
      <c r="G41" s="123">
        <v>0</v>
      </c>
      <c r="H41" s="53">
        <f>F41*G41</f>
        <v>0</v>
      </c>
      <c r="L41" s="2"/>
    </row>
    <row r="42" spans="1:12" ht="29.1" customHeight="1">
      <c r="B42" s="78">
        <f>B41+1</f>
        <v>18</v>
      </c>
      <c r="C42" s="49"/>
      <c r="D42" s="76" t="s">
        <v>59</v>
      </c>
      <c r="E42" s="51" t="s">
        <v>51</v>
      </c>
      <c r="F42" s="63">
        <f>F38-F39-(3.14*0.1^2)*F40</f>
        <v>6.1106399999999992</v>
      </c>
      <c r="G42" s="123">
        <v>0</v>
      </c>
      <c r="H42" s="53">
        <f>F42*G42</f>
        <v>0</v>
      </c>
      <c r="L42" s="2"/>
    </row>
    <row r="43" spans="1:12" s="22" customFormat="1" ht="20.100000000000001" customHeight="1">
      <c r="B43" s="42" t="s">
        <v>13</v>
      </c>
      <c r="C43" s="24"/>
      <c r="D43" s="44" t="s">
        <v>65</v>
      </c>
      <c r="E43" s="74" t="s">
        <v>58</v>
      </c>
      <c r="F43" s="74" t="s">
        <v>58</v>
      </c>
      <c r="G43" s="128" t="s">
        <v>58</v>
      </c>
      <c r="H43" s="75" t="s">
        <v>58</v>
      </c>
      <c r="I43" s="72"/>
      <c r="J43" s="28"/>
      <c r="K43" s="28"/>
      <c r="L43" s="28"/>
    </row>
    <row r="44" spans="1:12" s="22" customFormat="1" ht="20.100000000000001" customHeight="1">
      <c r="B44" s="78">
        <f>B42+1</f>
        <v>19</v>
      </c>
      <c r="C44" s="39"/>
      <c r="D44" s="79" t="s">
        <v>66</v>
      </c>
      <c r="E44" s="39" t="s">
        <v>51</v>
      </c>
      <c r="F44" s="63">
        <f>(1.5*1.5)*1*F46</f>
        <v>6.75</v>
      </c>
      <c r="G44" s="126">
        <v>0</v>
      </c>
      <c r="H44" s="53">
        <f>F44*G44</f>
        <v>0</v>
      </c>
      <c r="I44" s="72"/>
      <c r="J44" s="28"/>
      <c r="K44" s="28"/>
      <c r="L44" s="28"/>
    </row>
    <row r="45" spans="1:12" s="22" customFormat="1" ht="20.100000000000001" customHeight="1">
      <c r="B45" s="78">
        <f>B44+1</f>
        <v>20</v>
      </c>
      <c r="C45" s="39"/>
      <c r="D45" s="79" t="s">
        <v>67</v>
      </c>
      <c r="E45" s="39" t="s">
        <v>35</v>
      </c>
      <c r="F45" s="63">
        <f>(1*1)*F46</f>
        <v>3</v>
      </c>
      <c r="G45" s="126">
        <v>0</v>
      </c>
      <c r="H45" s="53">
        <f>F45*G45</f>
        <v>0</v>
      </c>
      <c r="I45" s="72"/>
      <c r="J45" s="28"/>
      <c r="K45" s="28"/>
      <c r="L45" s="28"/>
    </row>
    <row r="46" spans="1:12" ht="29.1" customHeight="1">
      <c r="B46" s="78">
        <f>B45+1</f>
        <v>21</v>
      </c>
      <c r="C46" s="49"/>
      <c r="D46" s="76" t="s">
        <v>68</v>
      </c>
      <c r="E46" s="51" t="s">
        <v>40</v>
      </c>
      <c r="F46" s="25">
        <v>3</v>
      </c>
      <c r="G46" s="126">
        <v>0</v>
      </c>
      <c r="H46" s="53">
        <f>F46*G46</f>
        <v>0</v>
      </c>
      <c r="L46" s="2"/>
    </row>
    <row r="47" spans="1:12" ht="29.1" customHeight="1">
      <c r="B47" s="78">
        <f>B46+1</f>
        <v>22</v>
      </c>
      <c r="C47" s="49"/>
      <c r="D47" s="76" t="s">
        <v>69</v>
      </c>
      <c r="E47" s="51" t="s">
        <v>51</v>
      </c>
      <c r="F47" s="63">
        <f>F44-F45-(3.14*0.3^2)*F46</f>
        <v>2.9021999999999997</v>
      </c>
      <c r="G47" s="123">
        <v>0</v>
      </c>
      <c r="H47" s="53">
        <f>F47*G47</f>
        <v>0</v>
      </c>
      <c r="L47" s="2"/>
    </row>
    <row r="48" spans="1:12" s="22" customFormat="1" ht="20.100000000000001" customHeight="1">
      <c r="B48" s="78" t="s">
        <v>13</v>
      </c>
      <c r="C48" s="147" t="s">
        <v>70</v>
      </c>
      <c r="D48" s="148"/>
      <c r="E48" s="148"/>
      <c r="F48" s="148"/>
      <c r="G48" s="149"/>
      <c r="H48" s="43">
        <f>SUM(H37:H47)</f>
        <v>0</v>
      </c>
      <c r="I48" s="28"/>
      <c r="J48" s="28"/>
      <c r="K48" s="28"/>
    </row>
    <row r="49" spans="1:11" s="36" customFormat="1" ht="20.100000000000001" customHeight="1">
      <c r="A49" s="1"/>
      <c r="B49" s="29" t="s">
        <v>13</v>
      </c>
      <c r="C49" s="30" t="s">
        <v>71</v>
      </c>
      <c r="D49" s="31" t="s">
        <v>72</v>
      </c>
      <c r="E49" s="32" t="s">
        <v>16</v>
      </c>
      <c r="F49" s="33" t="s">
        <v>16</v>
      </c>
      <c r="G49" s="119" t="s">
        <v>16</v>
      </c>
      <c r="H49" s="34" t="s">
        <v>16</v>
      </c>
      <c r="I49" s="72"/>
      <c r="J49" s="35"/>
      <c r="K49" s="35"/>
    </row>
    <row r="50" spans="1:11" s="22" customFormat="1" ht="20.100000000000001" customHeight="1">
      <c r="B50" s="42" t="s">
        <v>13</v>
      </c>
      <c r="C50" s="24" t="s">
        <v>73</v>
      </c>
      <c r="D50" s="44" t="s">
        <v>74</v>
      </c>
      <c r="E50" s="45" t="s">
        <v>16</v>
      </c>
      <c r="F50" s="46" t="s">
        <v>16</v>
      </c>
      <c r="G50" s="128" t="s">
        <v>58</v>
      </c>
      <c r="H50" s="75" t="s">
        <v>58</v>
      </c>
      <c r="I50" s="28"/>
      <c r="J50" s="28"/>
      <c r="K50" s="28"/>
    </row>
    <row r="51" spans="1:11" ht="20.25" customHeight="1">
      <c r="B51" s="48">
        <f>B47+1</f>
        <v>23</v>
      </c>
      <c r="C51" s="67"/>
      <c r="D51" s="64" t="s">
        <v>122</v>
      </c>
      <c r="E51" s="65" t="s">
        <v>35</v>
      </c>
      <c r="F51" s="63">
        <f>F58+F59+F60</f>
        <v>594.20000000000005</v>
      </c>
      <c r="G51" s="123">
        <v>0</v>
      </c>
      <c r="H51" s="53">
        <f>F51*G51</f>
        <v>0</v>
      </c>
    </row>
    <row r="52" spans="1:11" ht="20.100000000000001" customHeight="1">
      <c r="B52" s="78" t="s">
        <v>13</v>
      </c>
      <c r="C52" s="73" t="s">
        <v>75</v>
      </c>
      <c r="D52" s="80" t="s">
        <v>76</v>
      </c>
      <c r="E52" s="45" t="s">
        <v>16</v>
      </c>
      <c r="F52" s="46" t="s">
        <v>16</v>
      </c>
      <c r="G52" s="122" t="s">
        <v>16</v>
      </c>
      <c r="H52" s="47" t="s">
        <v>16</v>
      </c>
    </row>
    <row r="53" spans="1:11" ht="29.1" customHeight="1">
      <c r="B53" s="78">
        <f>B51+1</f>
        <v>24</v>
      </c>
      <c r="C53" s="73"/>
      <c r="D53" s="50" t="s">
        <v>123</v>
      </c>
      <c r="E53" s="51" t="s">
        <v>35</v>
      </c>
      <c r="F53" s="81">
        <f>F51</f>
        <v>594.20000000000005</v>
      </c>
      <c r="G53" s="129">
        <v>0</v>
      </c>
      <c r="H53" s="41">
        <f>F53*G53</f>
        <v>0</v>
      </c>
    </row>
    <row r="54" spans="1:11" ht="29.1" customHeight="1">
      <c r="B54" s="78">
        <f>B53+1</f>
        <v>25</v>
      </c>
      <c r="C54" s="73"/>
      <c r="D54" s="50" t="s">
        <v>124</v>
      </c>
      <c r="E54" s="51" t="s">
        <v>35</v>
      </c>
      <c r="F54" s="81">
        <f>F58+F59</f>
        <v>388.3</v>
      </c>
      <c r="G54" s="129">
        <v>0</v>
      </c>
      <c r="H54" s="41">
        <f>F54*G54</f>
        <v>0</v>
      </c>
    </row>
    <row r="55" spans="1:11" ht="20.100000000000001" customHeight="1">
      <c r="B55" s="78" t="s">
        <v>13</v>
      </c>
      <c r="C55" s="156" t="s">
        <v>77</v>
      </c>
      <c r="D55" s="157"/>
      <c r="E55" s="157"/>
      <c r="F55" s="157"/>
      <c r="G55" s="158"/>
      <c r="H55" s="82">
        <f>SUM(H51:H54)</f>
        <v>0</v>
      </c>
    </row>
    <row r="56" spans="1:11" s="36" customFormat="1" ht="20.100000000000001" customHeight="1">
      <c r="A56" s="1"/>
      <c r="B56" s="29" t="s">
        <v>13</v>
      </c>
      <c r="C56" s="30" t="s">
        <v>78</v>
      </c>
      <c r="D56" s="31" t="s">
        <v>79</v>
      </c>
      <c r="E56" s="32" t="s">
        <v>16</v>
      </c>
      <c r="F56" s="33" t="s">
        <v>16</v>
      </c>
      <c r="G56" s="119" t="s">
        <v>16</v>
      </c>
      <c r="H56" s="34" t="s">
        <v>16</v>
      </c>
      <c r="I56" s="72"/>
      <c r="J56" s="35"/>
      <c r="K56" s="35"/>
    </row>
    <row r="57" spans="1:11" s="22" customFormat="1" ht="20.100000000000001" customHeight="1">
      <c r="B57" s="42" t="s">
        <v>13</v>
      </c>
      <c r="C57" s="24" t="s">
        <v>80</v>
      </c>
      <c r="D57" s="44" t="s">
        <v>81</v>
      </c>
      <c r="E57" s="45" t="s">
        <v>16</v>
      </c>
      <c r="F57" s="46" t="s">
        <v>16</v>
      </c>
      <c r="G57" s="122" t="s">
        <v>16</v>
      </c>
      <c r="H57" s="47" t="s">
        <v>16</v>
      </c>
      <c r="I57" s="28"/>
      <c r="J57" s="28"/>
      <c r="K57" s="28"/>
    </row>
    <row r="58" spans="1:11" ht="29.1" customHeight="1">
      <c r="B58" s="54">
        <f>B54+1</f>
        <v>26</v>
      </c>
      <c r="C58" s="83"/>
      <c r="D58" s="84" t="s">
        <v>82</v>
      </c>
      <c r="E58" s="55" t="s">
        <v>35</v>
      </c>
      <c r="F58" s="57">
        <v>320</v>
      </c>
      <c r="G58" s="124">
        <v>0</v>
      </c>
      <c r="H58" s="53">
        <f>F58*G58</f>
        <v>0</v>
      </c>
    </row>
    <row r="59" spans="1:11" s="1" customFormat="1" ht="29.1" customHeight="1">
      <c r="B59" s="54">
        <f>B58+1</f>
        <v>27</v>
      </c>
      <c r="C59" s="136"/>
      <c r="D59" s="60" t="s">
        <v>83</v>
      </c>
      <c r="E59" s="55" t="s">
        <v>35</v>
      </c>
      <c r="F59" s="57">
        <v>68.3</v>
      </c>
      <c r="G59" s="124">
        <v>0</v>
      </c>
      <c r="H59" s="53">
        <f>F59*G59</f>
        <v>0</v>
      </c>
      <c r="I59" s="72"/>
      <c r="J59" s="72"/>
      <c r="K59" s="72"/>
    </row>
    <row r="60" spans="1:11" ht="20.100000000000001" customHeight="1">
      <c r="B60" s="54">
        <f>B59+1</f>
        <v>28</v>
      </c>
      <c r="C60" s="83"/>
      <c r="D60" s="84" t="s">
        <v>84</v>
      </c>
      <c r="E60" s="55" t="s">
        <v>35</v>
      </c>
      <c r="F60" s="57">
        <f>51.8+70.3+83.8</f>
        <v>205.89999999999998</v>
      </c>
      <c r="G60" s="124">
        <v>0</v>
      </c>
      <c r="H60" s="53">
        <f>F60*G60</f>
        <v>0</v>
      </c>
    </row>
    <row r="61" spans="1:11" ht="20.100000000000001" customHeight="1">
      <c r="B61" s="48" t="s">
        <v>13</v>
      </c>
      <c r="C61" s="159" t="s">
        <v>85</v>
      </c>
      <c r="D61" s="160"/>
      <c r="E61" s="160"/>
      <c r="F61" s="160"/>
      <c r="G61" s="160"/>
      <c r="H61" s="82">
        <f>SUM(H58:H60)</f>
        <v>0</v>
      </c>
    </row>
    <row r="62" spans="1:11" s="36" customFormat="1" ht="20.100000000000001" customHeight="1">
      <c r="A62" s="1"/>
      <c r="B62" s="29" t="s">
        <v>13</v>
      </c>
      <c r="C62" s="30" t="s">
        <v>86</v>
      </c>
      <c r="D62" s="31" t="s">
        <v>87</v>
      </c>
      <c r="E62" s="32" t="s">
        <v>16</v>
      </c>
      <c r="F62" s="33" t="s">
        <v>16</v>
      </c>
      <c r="G62" s="119" t="s">
        <v>16</v>
      </c>
      <c r="H62" s="34" t="s">
        <v>16</v>
      </c>
      <c r="I62" s="72"/>
      <c r="J62" s="35"/>
      <c r="K62" s="35"/>
    </row>
    <row r="63" spans="1:11" s="36" customFormat="1" ht="20.100000000000001" customHeight="1">
      <c r="A63" s="1"/>
      <c r="B63" s="66" t="s">
        <v>13</v>
      </c>
      <c r="C63" s="67" t="s">
        <v>88</v>
      </c>
      <c r="D63" s="68" t="s">
        <v>89</v>
      </c>
      <c r="E63" s="45" t="s">
        <v>16</v>
      </c>
      <c r="F63" s="46" t="s">
        <v>16</v>
      </c>
      <c r="G63" s="122" t="s">
        <v>16</v>
      </c>
      <c r="H63" s="47" t="s">
        <v>16</v>
      </c>
      <c r="I63" s="72"/>
      <c r="J63" s="35"/>
      <c r="K63" s="35"/>
    </row>
    <row r="64" spans="1:11" s="36" customFormat="1" ht="29.1" customHeight="1">
      <c r="A64" s="1"/>
      <c r="B64" s="85">
        <f>B60+1</f>
        <v>29</v>
      </c>
      <c r="C64" s="67"/>
      <c r="D64" s="64" t="s">
        <v>90</v>
      </c>
      <c r="E64" s="39" t="s">
        <v>38</v>
      </c>
      <c r="F64" s="63">
        <f>16+1.9</f>
        <v>17.899999999999999</v>
      </c>
      <c r="G64" s="126">
        <v>0</v>
      </c>
      <c r="H64" s="40">
        <f t="shared" ref="H64:H68" si="2">F64*G64</f>
        <v>0</v>
      </c>
      <c r="I64" s="72"/>
      <c r="J64" s="35"/>
      <c r="K64" s="35"/>
    </row>
    <row r="65" spans="1:11" s="36" customFormat="1" ht="29.1" customHeight="1">
      <c r="A65" s="1"/>
      <c r="B65" s="85">
        <f>B64+1</f>
        <v>30</v>
      </c>
      <c r="C65" s="67"/>
      <c r="D65" s="64" t="s">
        <v>91</v>
      </c>
      <c r="E65" s="39" t="s">
        <v>38</v>
      </c>
      <c r="F65" s="63">
        <f>0.7</f>
        <v>0.7</v>
      </c>
      <c r="G65" s="126">
        <v>0</v>
      </c>
      <c r="H65" s="40">
        <f t="shared" si="2"/>
        <v>0</v>
      </c>
      <c r="I65" s="72"/>
      <c r="J65" s="35"/>
      <c r="K65" s="35"/>
    </row>
    <row r="66" spans="1:11" s="36" customFormat="1" ht="29.1" customHeight="1">
      <c r="A66" s="1"/>
      <c r="B66" s="85">
        <f>B65+1</f>
        <v>31</v>
      </c>
      <c r="C66" s="67"/>
      <c r="D66" s="64" t="s">
        <v>92</v>
      </c>
      <c r="E66" s="39" t="s">
        <v>38</v>
      </c>
      <c r="F66" s="63">
        <v>4.4000000000000004</v>
      </c>
      <c r="G66" s="126">
        <v>0</v>
      </c>
      <c r="H66" s="40">
        <f t="shared" si="2"/>
        <v>0</v>
      </c>
      <c r="I66" s="72"/>
      <c r="J66" s="35"/>
      <c r="K66" s="35"/>
    </row>
    <row r="67" spans="1:11" s="36" customFormat="1" ht="29.1" customHeight="1">
      <c r="A67" s="1"/>
      <c r="B67" s="85">
        <f t="shared" ref="B67:B68" si="3">B66+1</f>
        <v>32</v>
      </c>
      <c r="C67" s="67"/>
      <c r="D67" s="64" t="s">
        <v>93</v>
      </c>
      <c r="E67" s="39" t="s">
        <v>38</v>
      </c>
      <c r="F67" s="63">
        <f>8.7+32.1+10+15.8+31.4</f>
        <v>98</v>
      </c>
      <c r="G67" s="126">
        <v>0</v>
      </c>
      <c r="H67" s="40">
        <f t="shared" si="2"/>
        <v>0</v>
      </c>
      <c r="I67" s="72"/>
      <c r="J67" s="35"/>
      <c r="K67" s="35"/>
    </row>
    <row r="68" spans="1:11" s="36" customFormat="1" ht="29.1" customHeight="1">
      <c r="A68" s="1"/>
      <c r="B68" s="85">
        <f t="shared" si="3"/>
        <v>33</v>
      </c>
      <c r="C68" s="67"/>
      <c r="D68" s="64" t="s">
        <v>94</v>
      </c>
      <c r="E68" s="39" t="s">
        <v>38</v>
      </c>
      <c r="F68" s="63">
        <f>2.5+2.5</f>
        <v>5</v>
      </c>
      <c r="G68" s="126">
        <v>0</v>
      </c>
      <c r="H68" s="40">
        <f t="shared" si="2"/>
        <v>0</v>
      </c>
      <c r="I68" s="72"/>
      <c r="J68" s="35"/>
      <c r="K68" s="35"/>
    </row>
    <row r="69" spans="1:11" s="22" customFormat="1" ht="20.100000000000001" customHeight="1">
      <c r="B69" s="42" t="s">
        <v>13</v>
      </c>
      <c r="C69" s="24" t="s">
        <v>95</v>
      </c>
      <c r="D69" s="44" t="s">
        <v>96</v>
      </c>
      <c r="E69" s="45" t="s">
        <v>16</v>
      </c>
      <c r="F69" s="46" t="s">
        <v>16</v>
      </c>
      <c r="G69" s="122" t="s">
        <v>16</v>
      </c>
      <c r="H69" s="47" t="s">
        <v>16</v>
      </c>
      <c r="I69" s="28"/>
      <c r="J69" s="28"/>
      <c r="K69" s="28"/>
    </row>
    <row r="70" spans="1:11" ht="29.1" customHeight="1">
      <c r="B70" s="48">
        <f>B68+1</f>
        <v>34</v>
      </c>
      <c r="C70" s="49"/>
      <c r="D70" s="50" t="s">
        <v>97</v>
      </c>
      <c r="E70" s="51" t="s">
        <v>38</v>
      </c>
      <c r="F70" s="63">
        <f>2.8+26.7+2.7</f>
        <v>32.200000000000003</v>
      </c>
      <c r="G70" s="123">
        <v>0</v>
      </c>
      <c r="H70" s="53">
        <f>F70*G70</f>
        <v>0</v>
      </c>
    </row>
    <row r="71" spans="1:11" s="22" customFormat="1" ht="20.100000000000001" customHeight="1">
      <c r="B71" s="42" t="s">
        <v>13</v>
      </c>
      <c r="C71" s="24" t="s">
        <v>98</v>
      </c>
      <c r="D71" s="44" t="s">
        <v>99</v>
      </c>
      <c r="E71" s="45" t="s">
        <v>16</v>
      </c>
      <c r="F71" s="46" t="s">
        <v>16</v>
      </c>
      <c r="G71" s="122" t="s">
        <v>16</v>
      </c>
      <c r="H71" s="47" t="s">
        <v>16</v>
      </c>
      <c r="I71" s="28"/>
      <c r="J71" s="28"/>
      <c r="K71" s="28"/>
    </row>
    <row r="72" spans="1:11" ht="29.1" customHeight="1">
      <c r="B72" s="78">
        <f>B70+1</f>
        <v>35</v>
      </c>
      <c r="C72" s="49"/>
      <c r="D72" s="50" t="s">
        <v>100</v>
      </c>
      <c r="E72" s="51" t="s">
        <v>38</v>
      </c>
      <c r="F72" s="63">
        <f>20.7+11.5+16.3</f>
        <v>48.5</v>
      </c>
      <c r="G72" s="123">
        <v>0</v>
      </c>
      <c r="H72" s="53">
        <f>F72*G72</f>
        <v>0</v>
      </c>
    </row>
    <row r="73" spans="1:11" ht="20.100000000000001" customHeight="1">
      <c r="B73" s="78" t="s">
        <v>13</v>
      </c>
      <c r="C73" s="159" t="s">
        <v>101</v>
      </c>
      <c r="D73" s="160"/>
      <c r="E73" s="160"/>
      <c r="F73" s="160"/>
      <c r="G73" s="160"/>
      <c r="H73" s="82">
        <f>SUM(H64:H72)</f>
        <v>0</v>
      </c>
    </row>
    <row r="74" spans="1:11" s="36" customFormat="1" ht="20.100000000000001" customHeight="1">
      <c r="A74" s="1"/>
      <c r="B74" s="29" t="s">
        <v>13</v>
      </c>
      <c r="C74" s="30" t="s">
        <v>102</v>
      </c>
      <c r="D74" s="31" t="s">
        <v>103</v>
      </c>
      <c r="E74" s="32" t="s">
        <v>16</v>
      </c>
      <c r="F74" s="33" t="s">
        <v>16</v>
      </c>
      <c r="G74" s="119" t="s">
        <v>16</v>
      </c>
      <c r="H74" s="34" t="s">
        <v>16</v>
      </c>
      <c r="I74" s="72"/>
      <c r="J74" s="35"/>
      <c r="K74" s="35"/>
    </row>
    <row r="75" spans="1:11" s="22" customFormat="1" ht="20.100000000000001" customHeight="1">
      <c r="B75" s="42" t="s">
        <v>13</v>
      </c>
      <c r="C75" s="24" t="s">
        <v>104</v>
      </c>
      <c r="D75" s="86" t="s">
        <v>105</v>
      </c>
      <c r="E75" s="45" t="s">
        <v>16</v>
      </c>
      <c r="F75" s="46" t="s">
        <v>16</v>
      </c>
      <c r="G75" s="122" t="s">
        <v>16</v>
      </c>
      <c r="H75" s="47" t="s">
        <v>16</v>
      </c>
      <c r="I75" s="28"/>
      <c r="J75" s="28"/>
      <c r="K75" s="28"/>
    </row>
    <row r="76" spans="1:11" s="22" customFormat="1" ht="29.1" customHeight="1">
      <c r="B76" s="78">
        <f>B72+1</f>
        <v>36</v>
      </c>
      <c r="C76" s="39"/>
      <c r="D76" s="38" t="s">
        <v>106</v>
      </c>
      <c r="E76" s="39" t="s">
        <v>35</v>
      </c>
      <c r="F76" s="63">
        <f>40.3+12.8</f>
        <v>53.099999999999994</v>
      </c>
      <c r="G76" s="126">
        <v>0</v>
      </c>
      <c r="H76" s="40">
        <f>F76*G76</f>
        <v>0</v>
      </c>
      <c r="I76" s="28"/>
      <c r="J76" s="28"/>
      <c r="K76" s="28"/>
    </row>
    <row r="77" spans="1:11" s="22" customFormat="1" ht="20.100000000000001" customHeight="1" thickBot="1">
      <c r="B77" s="42" t="s">
        <v>13</v>
      </c>
      <c r="C77" s="147" t="s">
        <v>107</v>
      </c>
      <c r="D77" s="148"/>
      <c r="E77" s="148"/>
      <c r="F77" s="148"/>
      <c r="G77" s="149"/>
      <c r="H77" s="43">
        <f>SUM(H76:H76)</f>
        <v>0</v>
      </c>
      <c r="I77" s="28"/>
      <c r="J77" s="28"/>
      <c r="K77" s="28"/>
    </row>
    <row r="78" spans="1:11" s="6" customFormat="1" ht="20.100000000000001" customHeight="1">
      <c r="A78" s="4"/>
      <c r="B78" s="87" t="s">
        <v>13</v>
      </c>
      <c r="C78" s="150" t="s">
        <v>108</v>
      </c>
      <c r="D78" s="151"/>
      <c r="E78" s="151"/>
      <c r="F78" s="151"/>
      <c r="G78" s="151"/>
      <c r="H78" s="88">
        <f>H15+H28+H34+H48+H55+H61+H73+H77</f>
        <v>0</v>
      </c>
      <c r="I78" s="117"/>
      <c r="J78" s="5"/>
      <c r="K78" s="5"/>
    </row>
    <row r="79" spans="1:11" ht="20.100000000000001" customHeight="1">
      <c r="B79" s="89" t="s">
        <v>13</v>
      </c>
      <c r="C79" s="152" t="s">
        <v>109</v>
      </c>
      <c r="D79" s="152"/>
      <c r="E79" s="152"/>
      <c r="F79" s="152"/>
      <c r="G79" s="152"/>
      <c r="H79" s="90">
        <f>H78*0.23</f>
        <v>0</v>
      </c>
    </row>
    <row r="80" spans="1:11" ht="20.100000000000001" customHeight="1" thickBot="1">
      <c r="B80" s="91" t="s">
        <v>13</v>
      </c>
      <c r="C80" s="153" t="s">
        <v>110</v>
      </c>
      <c r="D80" s="153"/>
      <c r="E80" s="153"/>
      <c r="F80" s="153"/>
      <c r="G80" s="153"/>
      <c r="H80" s="92">
        <f>H78+H79</f>
        <v>0</v>
      </c>
    </row>
    <row r="81" spans="2:11" s="93" customFormat="1">
      <c r="B81" s="94"/>
      <c r="C81" s="95"/>
      <c r="D81" s="96"/>
      <c r="E81" s="97"/>
      <c r="F81" s="98"/>
      <c r="G81" s="130"/>
      <c r="H81" s="99"/>
      <c r="I81" s="100"/>
      <c r="J81" s="100"/>
      <c r="K81" s="100"/>
    </row>
    <row r="85" spans="2:11">
      <c r="H85" s="106"/>
    </row>
    <row r="86" spans="2:11">
      <c r="H86" s="106"/>
    </row>
  </sheetData>
  <mergeCells count="15">
    <mergeCell ref="C77:G77"/>
    <mergeCell ref="C78:G78"/>
    <mergeCell ref="C79:G79"/>
    <mergeCell ref="C80:G80"/>
    <mergeCell ref="D34:G34"/>
    <mergeCell ref="C48:G48"/>
    <mergeCell ref="C55:G55"/>
    <mergeCell ref="C61:G61"/>
    <mergeCell ref="C73:G73"/>
    <mergeCell ref="C28:G28"/>
    <mergeCell ref="B1:H1"/>
    <mergeCell ref="B2:H2"/>
    <mergeCell ref="B4:B5"/>
    <mergeCell ref="E4:F4"/>
    <mergeCell ref="C15:G15"/>
  </mergeCells>
  <pageMargins left="0.7" right="0.7" top="0.75" bottom="0.75" header="0.3" footer="0.3"/>
  <pageSetup paperSize="9" scale="64" orientation="portrait" r:id="rId1"/>
  <rowBreaks count="1" manualBreakCount="1">
    <brk id="34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79"/>
  <sheetViews>
    <sheetView view="pageBreakPreview" topLeftCell="A47" zoomScale="70" zoomScaleNormal="80" zoomScaleSheetLayoutView="70" workbookViewId="0">
      <selection activeCell="C59" sqref="C59"/>
    </sheetView>
  </sheetViews>
  <sheetFormatPr defaultColWidth="23.625" defaultRowHeight="12.75"/>
  <cols>
    <col min="1" max="1" width="1.375" style="1" customWidth="1"/>
    <col min="2" max="2" width="4.5" style="101" customWidth="1"/>
    <col min="3" max="3" width="12.25" style="102" customWidth="1"/>
    <col min="4" max="4" width="64.875" style="103" customWidth="1"/>
    <col min="5" max="5" width="6.75" style="104" customWidth="1"/>
    <col min="6" max="6" width="8.625" style="105" customWidth="1"/>
    <col min="7" max="7" width="9.625" style="131" customWidth="1"/>
    <col min="8" max="8" width="13.625" style="107" customWidth="1"/>
    <col min="9" max="9" width="2.875" style="72" customWidth="1"/>
    <col min="10" max="11" width="23.625" style="2"/>
    <col min="12" max="16384" width="23.625" style="3"/>
  </cols>
  <sheetData>
    <row r="1" spans="1:11" ht="51.75" customHeight="1">
      <c r="B1" s="141" t="s">
        <v>131</v>
      </c>
      <c r="C1" s="141"/>
      <c r="D1" s="141"/>
      <c r="E1" s="141"/>
      <c r="F1" s="141"/>
      <c r="G1" s="141"/>
      <c r="H1" s="141"/>
    </row>
    <row r="2" spans="1:11" s="6" customFormat="1" ht="15" customHeight="1">
      <c r="A2" s="4"/>
      <c r="B2" s="142" t="s">
        <v>0</v>
      </c>
      <c r="C2" s="143"/>
      <c r="D2" s="143"/>
      <c r="E2" s="143"/>
      <c r="F2" s="143"/>
      <c r="G2" s="143"/>
      <c r="H2" s="143"/>
      <c r="I2" s="117"/>
      <c r="J2" s="5"/>
      <c r="K2" s="5"/>
    </row>
    <row r="3" spans="1:11" s="6" customFormat="1" ht="13.5" thickBot="1">
      <c r="A3" s="4"/>
      <c r="B3" s="132"/>
      <c r="C3" s="133"/>
      <c r="D3" s="9"/>
      <c r="E3" s="133"/>
      <c r="F3" s="10"/>
      <c r="G3" s="118"/>
      <c r="H3" s="11"/>
      <c r="I3" s="117"/>
      <c r="J3" s="5"/>
      <c r="K3" s="5"/>
    </row>
    <row r="4" spans="1:11" s="12" customFormat="1" ht="12">
      <c r="B4" s="144" t="s">
        <v>1</v>
      </c>
      <c r="C4" s="134" t="s">
        <v>2</v>
      </c>
      <c r="D4" s="14" t="s">
        <v>3</v>
      </c>
      <c r="E4" s="146" t="s">
        <v>4</v>
      </c>
      <c r="F4" s="146"/>
      <c r="G4" s="15" t="s">
        <v>5</v>
      </c>
      <c r="H4" s="16" t="s">
        <v>6</v>
      </c>
      <c r="I4" s="17"/>
      <c r="J4" s="17"/>
      <c r="K4" s="17"/>
    </row>
    <row r="5" spans="1:11" s="12" customFormat="1" ht="24">
      <c r="B5" s="145"/>
      <c r="C5" s="18" t="s">
        <v>7</v>
      </c>
      <c r="D5" s="19" t="s">
        <v>8</v>
      </c>
      <c r="E5" s="18" t="s">
        <v>9</v>
      </c>
      <c r="F5" s="20" t="s">
        <v>10</v>
      </c>
      <c r="G5" s="20" t="s">
        <v>11</v>
      </c>
      <c r="H5" s="21" t="s">
        <v>12</v>
      </c>
      <c r="I5" s="17"/>
      <c r="J5" s="17"/>
      <c r="K5" s="17"/>
    </row>
    <row r="6" spans="1:11" s="22" customFormat="1">
      <c r="B6" s="23">
        <v>1</v>
      </c>
      <c r="C6" s="24">
        <v>2</v>
      </c>
      <c r="D6" s="24">
        <v>3</v>
      </c>
      <c r="E6" s="24">
        <v>4</v>
      </c>
      <c r="F6" s="25">
        <v>5</v>
      </c>
      <c r="G6" s="26">
        <v>6</v>
      </c>
      <c r="H6" s="27">
        <v>7</v>
      </c>
      <c r="I6" s="28"/>
      <c r="J6" s="28"/>
      <c r="K6" s="28"/>
    </row>
    <row r="7" spans="1:11" s="36" customFormat="1" ht="20.100000000000001" customHeight="1">
      <c r="A7" s="1"/>
      <c r="B7" s="29" t="s">
        <v>13</v>
      </c>
      <c r="C7" s="30" t="s">
        <v>14</v>
      </c>
      <c r="D7" s="31" t="s">
        <v>15</v>
      </c>
      <c r="E7" s="32" t="s">
        <v>16</v>
      </c>
      <c r="F7" s="33" t="s">
        <v>16</v>
      </c>
      <c r="G7" s="33" t="s">
        <v>16</v>
      </c>
      <c r="H7" s="34" t="s">
        <v>16</v>
      </c>
      <c r="I7" s="72"/>
      <c r="J7" s="35"/>
      <c r="K7" s="35"/>
    </row>
    <row r="8" spans="1:11" s="22" customFormat="1" ht="20.100000000000001" customHeight="1">
      <c r="B8" s="37">
        <v>1</v>
      </c>
      <c r="C8" s="24"/>
      <c r="D8" s="38" t="s">
        <v>17</v>
      </c>
      <c r="E8" s="39" t="s">
        <v>18</v>
      </c>
      <c r="F8" s="39">
        <v>1</v>
      </c>
      <c r="G8" s="120">
        <v>0</v>
      </c>
      <c r="H8" s="40">
        <f>F8*G8</f>
        <v>0</v>
      </c>
      <c r="I8" s="28"/>
      <c r="J8" s="28"/>
      <c r="K8" s="28"/>
    </row>
    <row r="9" spans="1:11" s="22" customFormat="1" ht="20.100000000000001" customHeight="1">
      <c r="B9" s="37" t="s">
        <v>13</v>
      </c>
      <c r="C9" s="24"/>
      <c r="D9" s="38" t="s">
        <v>19</v>
      </c>
      <c r="E9" s="39"/>
      <c r="F9" s="135"/>
      <c r="G9" s="121"/>
      <c r="H9" s="41"/>
      <c r="I9" s="28"/>
      <c r="J9" s="28"/>
      <c r="K9" s="28"/>
    </row>
    <row r="10" spans="1:11" s="22" customFormat="1" ht="20.100000000000001" customHeight="1">
      <c r="B10" s="37" t="s">
        <v>13</v>
      </c>
      <c r="C10" s="24"/>
      <c r="D10" s="38" t="s">
        <v>20</v>
      </c>
      <c r="E10" s="39"/>
      <c r="F10" s="135"/>
      <c r="G10" s="121"/>
      <c r="H10" s="41"/>
      <c r="I10" s="28"/>
      <c r="J10" s="28"/>
      <c r="K10" s="28"/>
    </row>
    <row r="11" spans="1:11" s="22" customFormat="1" ht="20.100000000000001" customHeight="1">
      <c r="B11" s="37" t="s">
        <v>13</v>
      </c>
      <c r="C11" s="24"/>
      <c r="D11" s="38" t="s">
        <v>21</v>
      </c>
      <c r="E11" s="39"/>
      <c r="F11" s="135"/>
      <c r="G11" s="121"/>
      <c r="H11" s="41"/>
      <c r="I11" s="28"/>
      <c r="J11" s="28"/>
      <c r="K11" s="28"/>
    </row>
    <row r="12" spans="1:11" s="22" customFormat="1" ht="20.100000000000001" customHeight="1">
      <c r="B12" s="37" t="s">
        <v>13</v>
      </c>
      <c r="C12" s="24"/>
      <c r="D12" s="38" t="s">
        <v>22</v>
      </c>
      <c r="E12" s="39"/>
      <c r="F12" s="135"/>
      <c r="G12" s="121"/>
      <c r="H12" s="41"/>
      <c r="I12" s="28"/>
      <c r="J12" s="28"/>
      <c r="K12" s="28"/>
    </row>
    <row r="13" spans="1:11" s="22" customFormat="1" ht="20.100000000000001" customHeight="1">
      <c r="B13" s="37" t="s">
        <v>13</v>
      </c>
      <c r="C13" s="24"/>
      <c r="D13" s="38" t="s">
        <v>23</v>
      </c>
      <c r="E13" s="39"/>
      <c r="F13" s="135"/>
      <c r="G13" s="121"/>
      <c r="H13" s="41"/>
      <c r="I13" s="28"/>
      <c r="J13" s="28"/>
      <c r="K13" s="28"/>
    </row>
    <row r="14" spans="1:11" s="22" customFormat="1" ht="20.100000000000001" customHeight="1">
      <c r="B14" s="37" t="s">
        <v>13</v>
      </c>
      <c r="C14" s="24"/>
      <c r="D14" s="38" t="s">
        <v>24</v>
      </c>
      <c r="E14" s="39"/>
      <c r="F14" s="135"/>
      <c r="G14" s="121"/>
      <c r="H14" s="41"/>
      <c r="I14" s="28"/>
      <c r="J14" s="28"/>
      <c r="K14" s="28"/>
    </row>
    <row r="15" spans="1:11" s="22" customFormat="1" ht="20.100000000000001" customHeight="1">
      <c r="B15" s="42" t="s">
        <v>13</v>
      </c>
      <c r="C15" s="140" t="s">
        <v>25</v>
      </c>
      <c r="D15" s="140"/>
      <c r="E15" s="140"/>
      <c r="F15" s="140"/>
      <c r="G15" s="140"/>
      <c r="H15" s="43">
        <f>H8</f>
        <v>0</v>
      </c>
      <c r="I15" s="28"/>
      <c r="J15" s="28"/>
      <c r="K15" s="28"/>
    </row>
    <row r="16" spans="1:11" s="36" customFormat="1" ht="20.100000000000001" customHeight="1">
      <c r="A16" s="1"/>
      <c r="B16" s="29" t="s">
        <v>13</v>
      </c>
      <c r="C16" s="30" t="s">
        <v>26</v>
      </c>
      <c r="D16" s="31" t="s">
        <v>27</v>
      </c>
      <c r="E16" s="32" t="s">
        <v>16</v>
      </c>
      <c r="F16" s="33" t="s">
        <v>16</v>
      </c>
      <c r="G16" s="119" t="s">
        <v>16</v>
      </c>
      <c r="H16" s="34" t="s">
        <v>16</v>
      </c>
      <c r="I16" s="72"/>
      <c r="J16" s="35"/>
      <c r="K16" s="35"/>
    </row>
    <row r="17" spans="1:13" s="22" customFormat="1" ht="20.100000000000001" customHeight="1">
      <c r="B17" s="42" t="s">
        <v>13</v>
      </c>
      <c r="C17" s="24" t="s">
        <v>28</v>
      </c>
      <c r="D17" s="44" t="s">
        <v>29</v>
      </c>
      <c r="E17" s="45" t="s">
        <v>16</v>
      </c>
      <c r="F17" s="45" t="s">
        <v>16</v>
      </c>
      <c r="G17" s="122" t="s">
        <v>16</v>
      </c>
      <c r="H17" s="47" t="s">
        <v>16</v>
      </c>
      <c r="I17" s="28"/>
      <c r="J17" s="28"/>
      <c r="K17" s="28"/>
    </row>
    <row r="18" spans="1:13" ht="20.100000000000001" customHeight="1">
      <c r="B18" s="48">
        <f>B8+1</f>
        <v>2</v>
      </c>
      <c r="C18" s="49"/>
      <c r="D18" s="50" t="s">
        <v>30</v>
      </c>
      <c r="E18" s="51" t="s">
        <v>31</v>
      </c>
      <c r="F18" s="52">
        <v>9.11E-2</v>
      </c>
      <c r="G18" s="123">
        <v>0</v>
      </c>
      <c r="H18" s="53">
        <f>F18*G18</f>
        <v>0</v>
      </c>
    </row>
    <row r="19" spans="1:13" s="22" customFormat="1" ht="20.100000000000001" customHeight="1">
      <c r="B19" s="42" t="s">
        <v>13</v>
      </c>
      <c r="C19" s="24" t="s">
        <v>32</v>
      </c>
      <c r="D19" s="44" t="s">
        <v>33</v>
      </c>
      <c r="E19" s="45" t="s">
        <v>16</v>
      </c>
      <c r="F19" s="46" t="s">
        <v>16</v>
      </c>
      <c r="G19" s="122" t="s">
        <v>16</v>
      </c>
      <c r="H19" s="47" t="s">
        <v>16</v>
      </c>
      <c r="I19" s="28"/>
      <c r="J19" s="28"/>
      <c r="K19" s="28"/>
    </row>
    <row r="20" spans="1:13" s="22" customFormat="1" ht="20.100000000000001" customHeight="1">
      <c r="B20" s="54">
        <f>B18+1</f>
        <v>3</v>
      </c>
      <c r="C20" s="55"/>
      <c r="D20" s="56" t="s">
        <v>34</v>
      </c>
      <c r="E20" s="55" t="s">
        <v>35</v>
      </c>
      <c r="F20" s="57">
        <v>525.5</v>
      </c>
      <c r="G20" s="124">
        <v>0</v>
      </c>
      <c r="H20" s="58">
        <f t="shared" ref="H20:H27" si="0">F20*G20</f>
        <v>0</v>
      </c>
      <c r="I20" s="28"/>
      <c r="J20" s="28"/>
      <c r="K20" s="28"/>
    </row>
    <row r="21" spans="1:13" ht="20.100000000000001" customHeight="1">
      <c r="B21" s="54">
        <f t="shared" ref="B21:B27" si="1">B20+1</f>
        <v>4</v>
      </c>
      <c r="C21" s="59"/>
      <c r="D21" s="60" t="s">
        <v>133</v>
      </c>
      <c r="E21" s="61" t="s">
        <v>35</v>
      </c>
      <c r="F21" s="57">
        <f>F20</f>
        <v>525.5</v>
      </c>
      <c r="G21" s="125">
        <v>0</v>
      </c>
      <c r="H21" s="62">
        <f t="shared" si="0"/>
        <v>0</v>
      </c>
    </row>
    <row r="22" spans="1:13" ht="19.5" customHeight="1">
      <c r="B22" s="54">
        <f t="shared" si="1"/>
        <v>5</v>
      </c>
      <c r="C22" s="59"/>
      <c r="D22" s="60" t="s">
        <v>36</v>
      </c>
      <c r="E22" s="61" t="s">
        <v>35</v>
      </c>
      <c r="F22" s="57">
        <v>23.5</v>
      </c>
      <c r="G22" s="125">
        <v>0</v>
      </c>
      <c r="H22" s="62">
        <f t="shared" si="0"/>
        <v>0</v>
      </c>
    </row>
    <row r="23" spans="1:13" ht="20.100000000000001" customHeight="1">
      <c r="B23" s="54">
        <f t="shared" si="1"/>
        <v>6</v>
      </c>
      <c r="C23" s="59"/>
      <c r="D23" s="60" t="s">
        <v>37</v>
      </c>
      <c r="E23" s="61" t="s">
        <v>38</v>
      </c>
      <c r="F23" s="57">
        <v>10.5</v>
      </c>
      <c r="G23" s="125">
        <v>0</v>
      </c>
      <c r="H23" s="62">
        <f>F23*G23</f>
        <v>0</v>
      </c>
    </row>
    <row r="24" spans="1:13" ht="20.100000000000001" customHeight="1">
      <c r="B24" s="54">
        <f t="shared" si="1"/>
        <v>7</v>
      </c>
      <c r="C24" s="59"/>
      <c r="D24" s="60" t="s">
        <v>39</v>
      </c>
      <c r="E24" s="61" t="s">
        <v>40</v>
      </c>
      <c r="F24" s="57">
        <v>4</v>
      </c>
      <c r="G24" s="125">
        <v>0</v>
      </c>
      <c r="H24" s="62">
        <f>F24*G24</f>
        <v>0</v>
      </c>
    </row>
    <row r="25" spans="1:13" s="22" customFormat="1" ht="20.100000000000001" customHeight="1">
      <c r="B25" s="54">
        <f t="shared" si="1"/>
        <v>8</v>
      </c>
      <c r="C25" s="39"/>
      <c r="D25" s="38" t="s">
        <v>41</v>
      </c>
      <c r="E25" s="39" t="s">
        <v>42</v>
      </c>
      <c r="F25" s="63">
        <f>F20*0.08*2.2+F21*0.15*2+F22*0.1*2.2+F23*0.1*2.2+F24*0.3*2.2</f>
        <v>260.25799999999998</v>
      </c>
      <c r="G25" s="126">
        <v>0</v>
      </c>
      <c r="H25" s="62">
        <f>F25*G25</f>
        <v>0</v>
      </c>
      <c r="I25" s="28"/>
      <c r="J25" s="28"/>
      <c r="K25" s="28"/>
    </row>
    <row r="26" spans="1:13" ht="20.100000000000001" customHeight="1">
      <c r="B26" s="54">
        <f t="shared" si="1"/>
        <v>9</v>
      </c>
      <c r="C26" s="49"/>
      <c r="D26" s="64" t="s">
        <v>52</v>
      </c>
      <c r="E26" s="65" t="s">
        <v>51</v>
      </c>
      <c r="F26" s="63">
        <f>F20*0.08+F21*0.15+F22*0.1+F23*0.1+F24*0.3</f>
        <v>125.465</v>
      </c>
      <c r="G26" s="126">
        <v>0</v>
      </c>
      <c r="H26" s="40">
        <f>F26*G26</f>
        <v>0</v>
      </c>
      <c r="L26" s="2"/>
      <c r="M26" s="2"/>
    </row>
    <row r="27" spans="1:13" ht="29.1" customHeight="1">
      <c r="B27" s="54">
        <f t="shared" si="1"/>
        <v>10</v>
      </c>
      <c r="C27" s="59"/>
      <c r="D27" s="60" t="s">
        <v>44</v>
      </c>
      <c r="E27" s="61" t="s">
        <v>35</v>
      </c>
      <c r="F27" s="57">
        <v>18.8</v>
      </c>
      <c r="G27" s="125">
        <v>0</v>
      </c>
      <c r="H27" s="62">
        <f t="shared" si="0"/>
        <v>0</v>
      </c>
    </row>
    <row r="28" spans="1:13" s="22" customFormat="1" ht="20.100000000000001" customHeight="1">
      <c r="B28" s="42" t="s">
        <v>13</v>
      </c>
      <c r="C28" s="140" t="s">
        <v>45</v>
      </c>
      <c r="D28" s="140"/>
      <c r="E28" s="140"/>
      <c r="F28" s="140"/>
      <c r="G28" s="140"/>
      <c r="H28" s="43">
        <f>SUM(H18:H27)</f>
        <v>0</v>
      </c>
      <c r="I28" s="28"/>
      <c r="J28" s="28"/>
      <c r="K28" s="28"/>
    </row>
    <row r="29" spans="1:13" s="36" customFormat="1" ht="20.100000000000001" customHeight="1">
      <c r="A29" s="1"/>
      <c r="B29" s="29" t="s">
        <v>13</v>
      </c>
      <c r="C29" s="30" t="s">
        <v>46</v>
      </c>
      <c r="D29" s="31" t="s">
        <v>47</v>
      </c>
      <c r="E29" s="32" t="s">
        <v>16</v>
      </c>
      <c r="F29" s="33" t="s">
        <v>16</v>
      </c>
      <c r="G29" s="119" t="s">
        <v>16</v>
      </c>
      <c r="H29" s="34" t="s">
        <v>16</v>
      </c>
      <c r="I29" s="72"/>
      <c r="J29" s="35"/>
      <c r="K29" s="35"/>
    </row>
    <row r="30" spans="1:13" s="22" customFormat="1" ht="20.100000000000001" customHeight="1">
      <c r="B30" s="42" t="s">
        <v>13</v>
      </c>
      <c r="C30" s="24" t="s">
        <v>48</v>
      </c>
      <c r="D30" s="44" t="s">
        <v>49</v>
      </c>
      <c r="E30" s="45" t="s">
        <v>16</v>
      </c>
      <c r="F30" s="46" t="s">
        <v>16</v>
      </c>
      <c r="G30" s="122" t="s">
        <v>16</v>
      </c>
      <c r="H30" s="47" t="s">
        <v>16</v>
      </c>
      <c r="I30" s="28"/>
      <c r="J30" s="28"/>
      <c r="K30" s="28"/>
    </row>
    <row r="31" spans="1:13" ht="29.1" customHeight="1">
      <c r="B31" s="48">
        <f>B27+1</f>
        <v>11</v>
      </c>
      <c r="C31" s="49"/>
      <c r="D31" s="64" t="s">
        <v>50</v>
      </c>
      <c r="E31" s="65" t="s">
        <v>51</v>
      </c>
      <c r="F31" s="63">
        <f>F20*0.23+F22*0.31+0.46*(264.7+151.3)+F27*0.36</f>
        <v>326.27799999999996</v>
      </c>
      <c r="G31" s="126">
        <v>0</v>
      </c>
      <c r="H31" s="40">
        <f>F31*G31</f>
        <v>0</v>
      </c>
    </row>
    <row r="32" spans="1:13" ht="20.100000000000001" customHeight="1">
      <c r="B32" s="48">
        <f>B31+1</f>
        <v>12</v>
      </c>
      <c r="C32" s="49"/>
      <c r="D32" s="64" t="s">
        <v>52</v>
      </c>
      <c r="E32" s="65" t="s">
        <v>51</v>
      </c>
      <c r="F32" s="63">
        <f>F31</f>
        <v>326.27799999999996</v>
      </c>
      <c r="G32" s="126">
        <v>0</v>
      </c>
      <c r="H32" s="40">
        <f>F32*G32</f>
        <v>0</v>
      </c>
      <c r="L32" s="2"/>
      <c r="M32" s="2"/>
    </row>
    <row r="33" spans="1:12" ht="20.100000000000001" customHeight="1">
      <c r="B33" s="48">
        <f>B32+1</f>
        <v>13</v>
      </c>
      <c r="C33" s="49"/>
      <c r="D33" s="64" t="s">
        <v>134</v>
      </c>
      <c r="E33" s="65" t="s">
        <v>42</v>
      </c>
      <c r="F33" s="63">
        <f>(F31)*2</f>
        <v>652.55599999999993</v>
      </c>
      <c r="G33" s="126">
        <v>0</v>
      </c>
      <c r="H33" s="40">
        <f>F33*G33</f>
        <v>0</v>
      </c>
    </row>
    <row r="34" spans="1:12" s="22" customFormat="1" ht="20.100000000000001" customHeight="1">
      <c r="B34" s="42" t="s">
        <v>13</v>
      </c>
      <c r="C34" s="39"/>
      <c r="D34" s="154" t="s">
        <v>53</v>
      </c>
      <c r="E34" s="155"/>
      <c r="F34" s="155"/>
      <c r="G34" s="155"/>
      <c r="H34" s="43">
        <f>SUM(H31:H33)</f>
        <v>0</v>
      </c>
      <c r="I34" s="28"/>
      <c r="J34" s="28"/>
      <c r="K34" s="28"/>
    </row>
    <row r="35" spans="1:12" s="36" customFormat="1" ht="20.100000000000001" customHeight="1">
      <c r="A35" s="1"/>
      <c r="B35" s="29" t="s">
        <v>13</v>
      </c>
      <c r="C35" s="30" t="s">
        <v>54</v>
      </c>
      <c r="D35" s="31" t="s">
        <v>55</v>
      </c>
      <c r="E35" s="32" t="s">
        <v>16</v>
      </c>
      <c r="F35" s="33" t="s">
        <v>16</v>
      </c>
      <c r="G35" s="119" t="s">
        <v>16</v>
      </c>
      <c r="H35" s="34" t="s">
        <v>16</v>
      </c>
      <c r="I35" s="72"/>
      <c r="J35" s="35"/>
      <c r="K35" s="35"/>
    </row>
    <row r="36" spans="1:12" s="1" customFormat="1" ht="20.100000000000001" customHeight="1">
      <c r="B36" s="66" t="s">
        <v>13</v>
      </c>
      <c r="C36" s="67" t="s">
        <v>56</v>
      </c>
      <c r="D36" s="68" t="s">
        <v>57</v>
      </c>
      <c r="E36" s="69" t="s">
        <v>16</v>
      </c>
      <c r="F36" s="70" t="s">
        <v>16</v>
      </c>
      <c r="G36" s="127" t="s">
        <v>16</v>
      </c>
      <c r="H36" s="71" t="s">
        <v>16</v>
      </c>
      <c r="I36" s="72"/>
      <c r="J36" s="72"/>
      <c r="K36" s="72"/>
      <c r="L36" s="72"/>
    </row>
    <row r="37" spans="1:12" s="22" customFormat="1" ht="20.100000000000001" customHeight="1">
      <c r="B37" s="42" t="s">
        <v>13</v>
      </c>
      <c r="C37" s="24"/>
      <c r="D37" s="44" t="s">
        <v>60</v>
      </c>
      <c r="E37" s="74" t="s">
        <v>58</v>
      </c>
      <c r="F37" s="74" t="s">
        <v>58</v>
      </c>
      <c r="G37" s="128" t="s">
        <v>58</v>
      </c>
      <c r="H37" s="75" t="s">
        <v>58</v>
      </c>
      <c r="I37" s="72"/>
      <c r="J37" s="28"/>
      <c r="K37" s="28"/>
      <c r="L37" s="28"/>
    </row>
    <row r="38" spans="1:12" s="22" customFormat="1" ht="20.100000000000001" customHeight="1">
      <c r="B38" s="78">
        <f>B33+1</f>
        <v>14</v>
      </c>
      <c r="C38" s="39"/>
      <c r="D38" s="79" t="s">
        <v>61</v>
      </c>
      <c r="E38" s="39" t="s">
        <v>51</v>
      </c>
      <c r="F38" s="63">
        <f>0.5*0.54*F40</f>
        <v>0.54</v>
      </c>
      <c r="G38" s="126">
        <v>0</v>
      </c>
      <c r="H38" s="53">
        <f>F38*G38</f>
        <v>0</v>
      </c>
      <c r="I38" s="72"/>
      <c r="J38" s="28"/>
      <c r="K38" s="28"/>
      <c r="L38" s="28"/>
    </row>
    <row r="39" spans="1:12" s="22" customFormat="1" ht="20.100000000000001" customHeight="1">
      <c r="B39" s="78">
        <f>B38+1</f>
        <v>15</v>
      </c>
      <c r="C39" s="39"/>
      <c r="D39" s="79" t="s">
        <v>62</v>
      </c>
      <c r="E39" s="39" t="s">
        <v>51</v>
      </c>
      <c r="F39" s="63">
        <f>0.5*0.1*F40</f>
        <v>0.1</v>
      </c>
      <c r="G39" s="126">
        <v>0</v>
      </c>
      <c r="H39" s="53">
        <f>F39*G39</f>
        <v>0</v>
      </c>
      <c r="I39" s="28"/>
      <c r="J39" s="28"/>
      <c r="K39" s="28"/>
      <c r="L39" s="28"/>
    </row>
    <row r="40" spans="1:12" ht="20.100000000000001" customHeight="1">
      <c r="B40" s="78">
        <f>B39+1</f>
        <v>16</v>
      </c>
      <c r="C40" s="49"/>
      <c r="D40" s="76" t="s">
        <v>132</v>
      </c>
      <c r="E40" s="51" t="s">
        <v>38</v>
      </c>
      <c r="F40" s="77">
        <v>2</v>
      </c>
      <c r="G40" s="126">
        <v>0</v>
      </c>
      <c r="H40" s="53">
        <f>F40*G40</f>
        <v>0</v>
      </c>
      <c r="L40" s="2"/>
    </row>
    <row r="41" spans="1:12" ht="29.1" customHeight="1">
      <c r="B41" s="78">
        <f>B40+1</f>
        <v>17</v>
      </c>
      <c r="C41" s="49"/>
      <c r="D41" s="76" t="s">
        <v>64</v>
      </c>
      <c r="E41" s="51" t="s">
        <v>38</v>
      </c>
      <c r="F41" s="63">
        <f>F40</f>
        <v>2</v>
      </c>
      <c r="G41" s="123">
        <v>0</v>
      </c>
      <c r="H41" s="53">
        <f>F41*G41</f>
        <v>0</v>
      </c>
      <c r="L41" s="2"/>
    </row>
    <row r="42" spans="1:12" ht="29.1" customHeight="1">
      <c r="B42" s="78">
        <f>B41+1</f>
        <v>18</v>
      </c>
      <c r="C42" s="49"/>
      <c r="D42" s="76" t="s">
        <v>59</v>
      </c>
      <c r="E42" s="51" t="s">
        <v>51</v>
      </c>
      <c r="F42" s="63">
        <f>F38-F39-(3.14*0.1^2)*F40</f>
        <v>0.37720000000000004</v>
      </c>
      <c r="G42" s="123">
        <v>0</v>
      </c>
      <c r="H42" s="53">
        <f>F42*G42</f>
        <v>0</v>
      </c>
      <c r="L42" s="2"/>
    </row>
    <row r="43" spans="1:12" s="22" customFormat="1" ht="20.100000000000001" customHeight="1">
      <c r="B43" s="42" t="s">
        <v>13</v>
      </c>
      <c r="C43" s="24"/>
      <c r="D43" s="44" t="s">
        <v>65</v>
      </c>
      <c r="E43" s="74" t="s">
        <v>58</v>
      </c>
      <c r="F43" s="74" t="s">
        <v>58</v>
      </c>
      <c r="G43" s="128" t="s">
        <v>58</v>
      </c>
      <c r="H43" s="75" t="s">
        <v>58</v>
      </c>
      <c r="I43" s="72"/>
      <c r="J43" s="28"/>
      <c r="K43" s="28"/>
      <c r="L43" s="28"/>
    </row>
    <row r="44" spans="1:12" s="22" customFormat="1" ht="20.100000000000001" customHeight="1">
      <c r="B44" s="78">
        <f>B42+1</f>
        <v>19</v>
      </c>
      <c r="C44" s="39"/>
      <c r="D44" s="79" t="s">
        <v>66</v>
      </c>
      <c r="E44" s="39" t="s">
        <v>51</v>
      </c>
      <c r="F44" s="63">
        <f>(1.5*1.5)*1*F46</f>
        <v>4.5</v>
      </c>
      <c r="G44" s="126">
        <v>0</v>
      </c>
      <c r="H44" s="53">
        <f>F44*G44</f>
        <v>0</v>
      </c>
      <c r="I44" s="72"/>
      <c r="J44" s="28"/>
      <c r="K44" s="28"/>
      <c r="L44" s="28"/>
    </row>
    <row r="45" spans="1:12" s="22" customFormat="1" ht="20.100000000000001" customHeight="1">
      <c r="B45" s="78">
        <f>B44+1</f>
        <v>20</v>
      </c>
      <c r="C45" s="39"/>
      <c r="D45" s="79" t="s">
        <v>67</v>
      </c>
      <c r="E45" s="39" t="s">
        <v>35</v>
      </c>
      <c r="F45" s="63">
        <f>(1*1)*F46</f>
        <v>2</v>
      </c>
      <c r="G45" s="126">
        <v>0</v>
      </c>
      <c r="H45" s="53">
        <f>F45*G45</f>
        <v>0</v>
      </c>
      <c r="I45" s="72"/>
      <c r="J45" s="28"/>
      <c r="K45" s="28"/>
      <c r="L45" s="28"/>
    </row>
    <row r="46" spans="1:12" ht="29.1" customHeight="1">
      <c r="B46" s="78">
        <f>B45+1</f>
        <v>21</v>
      </c>
      <c r="C46" s="49"/>
      <c r="D46" s="76" t="s">
        <v>68</v>
      </c>
      <c r="E46" s="51" t="s">
        <v>40</v>
      </c>
      <c r="F46" s="25">
        <v>2</v>
      </c>
      <c r="G46" s="126">
        <v>0</v>
      </c>
      <c r="H46" s="53">
        <f>F46*G46</f>
        <v>0</v>
      </c>
      <c r="L46" s="2"/>
    </row>
    <row r="47" spans="1:12" ht="29.1" customHeight="1">
      <c r="B47" s="78">
        <f>B46+1</f>
        <v>22</v>
      </c>
      <c r="C47" s="49"/>
      <c r="D47" s="76" t="s">
        <v>69</v>
      </c>
      <c r="E47" s="51" t="s">
        <v>51</v>
      </c>
      <c r="F47" s="63">
        <f>F44-F45-(3.14*0.3^2)*F46</f>
        <v>1.9348000000000001</v>
      </c>
      <c r="G47" s="123">
        <v>0</v>
      </c>
      <c r="H47" s="53">
        <f>F47*G47</f>
        <v>0</v>
      </c>
      <c r="L47" s="2"/>
    </row>
    <row r="48" spans="1:12" s="22" customFormat="1" ht="20.100000000000001" customHeight="1">
      <c r="B48" s="78" t="s">
        <v>13</v>
      </c>
      <c r="C48" s="147" t="s">
        <v>70</v>
      </c>
      <c r="D48" s="148"/>
      <c r="E48" s="148"/>
      <c r="F48" s="148"/>
      <c r="G48" s="149"/>
      <c r="H48" s="43">
        <f>SUM(H37:H47)</f>
        <v>0</v>
      </c>
      <c r="I48" s="28"/>
      <c r="J48" s="28"/>
      <c r="K48" s="28"/>
    </row>
    <row r="49" spans="1:11" s="36" customFormat="1" ht="20.100000000000001" customHeight="1">
      <c r="A49" s="1"/>
      <c r="B49" s="29" t="s">
        <v>13</v>
      </c>
      <c r="C49" s="30" t="s">
        <v>71</v>
      </c>
      <c r="D49" s="31" t="s">
        <v>72</v>
      </c>
      <c r="E49" s="32" t="s">
        <v>16</v>
      </c>
      <c r="F49" s="33" t="s">
        <v>16</v>
      </c>
      <c r="G49" s="119" t="s">
        <v>16</v>
      </c>
      <c r="H49" s="34" t="s">
        <v>16</v>
      </c>
      <c r="I49" s="72"/>
      <c r="J49" s="35"/>
      <c r="K49" s="35"/>
    </row>
    <row r="50" spans="1:11" s="22" customFormat="1" ht="20.100000000000001" customHeight="1">
      <c r="B50" s="42" t="s">
        <v>13</v>
      </c>
      <c r="C50" s="24" t="s">
        <v>73</v>
      </c>
      <c r="D50" s="44" t="s">
        <v>74</v>
      </c>
      <c r="E50" s="45" t="s">
        <v>16</v>
      </c>
      <c r="F50" s="46" t="s">
        <v>16</v>
      </c>
      <c r="G50" s="128" t="s">
        <v>58</v>
      </c>
      <c r="H50" s="75" t="s">
        <v>58</v>
      </c>
      <c r="I50" s="28"/>
      <c r="J50" s="28"/>
      <c r="K50" s="28"/>
    </row>
    <row r="51" spans="1:11" ht="20.25" customHeight="1">
      <c r="B51" s="48">
        <f>B47+1</f>
        <v>23</v>
      </c>
      <c r="C51" s="67"/>
      <c r="D51" s="64" t="s">
        <v>122</v>
      </c>
      <c r="E51" s="65" t="s">
        <v>35</v>
      </c>
      <c r="F51" s="63">
        <f>F58+F59</f>
        <v>910.21</v>
      </c>
      <c r="G51" s="123">
        <v>0</v>
      </c>
      <c r="H51" s="53">
        <f>F51*G51</f>
        <v>0</v>
      </c>
    </row>
    <row r="52" spans="1:11" ht="20.100000000000001" customHeight="1">
      <c r="B52" s="78" t="s">
        <v>13</v>
      </c>
      <c r="C52" s="73" t="s">
        <v>75</v>
      </c>
      <c r="D52" s="80" t="s">
        <v>76</v>
      </c>
      <c r="E52" s="45" t="s">
        <v>16</v>
      </c>
      <c r="F52" s="46" t="s">
        <v>16</v>
      </c>
      <c r="G52" s="122" t="s">
        <v>16</v>
      </c>
      <c r="H52" s="47" t="s">
        <v>16</v>
      </c>
    </row>
    <row r="53" spans="1:11" ht="29.1" customHeight="1">
      <c r="B53" s="78">
        <f>B51+1</f>
        <v>24</v>
      </c>
      <c r="C53" s="73"/>
      <c r="D53" s="50" t="s">
        <v>123</v>
      </c>
      <c r="E53" s="51" t="s">
        <v>35</v>
      </c>
      <c r="F53" s="81">
        <f>F51</f>
        <v>910.21</v>
      </c>
      <c r="G53" s="129">
        <v>0</v>
      </c>
      <c r="H53" s="41">
        <f>F53*G53</f>
        <v>0</v>
      </c>
    </row>
    <row r="54" spans="1:11" ht="29.1" customHeight="1">
      <c r="B54" s="78">
        <f>B53+1</f>
        <v>25</v>
      </c>
      <c r="C54" s="73"/>
      <c r="D54" s="50" t="s">
        <v>124</v>
      </c>
      <c r="E54" s="51" t="s">
        <v>35</v>
      </c>
      <c r="F54" s="81">
        <f>F51</f>
        <v>910.21</v>
      </c>
      <c r="G54" s="129">
        <v>0</v>
      </c>
      <c r="H54" s="41">
        <f>F54*G54</f>
        <v>0</v>
      </c>
    </row>
    <row r="55" spans="1:11" ht="20.100000000000001" customHeight="1">
      <c r="B55" s="78" t="s">
        <v>13</v>
      </c>
      <c r="C55" s="156" t="s">
        <v>77</v>
      </c>
      <c r="D55" s="157"/>
      <c r="E55" s="157"/>
      <c r="F55" s="157"/>
      <c r="G55" s="158"/>
      <c r="H55" s="82">
        <f>SUM(H51:H54)</f>
        <v>0</v>
      </c>
    </row>
    <row r="56" spans="1:11" s="36" customFormat="1" ht="20.100000000000001" customHeight="1">
      <c r="A56" s="1"/>
      <c r="B56" s="29" t="s">
        <v>13</v>
      </c>
      <c r="C56" s="30" t="s">
        <v>78</v>
      </c>
      <c r="D56" s="31" t="s">
        <v>79</v>
      </c>
      <c r="E56" s="32" t="s">
        <v>16</v>
      </c>
      <c r="F56" s="33" t="s">
        <v>16</v>
      </c>
      <c r="G56" s="119" t="s">
        <v>16</v>
      </c>
      <c r="H56" s="34" t="s">
        <v>16</v>
      </c>
      <c r="I56" s="72"/>
      <c r="J56" s="35"/>
      <c r="K56" s="35"/>
    </row>
    <row r="57" spans="1:11" s="22" customFormat="1" ht="20.100000000000001" customHeight="1">
      <c r="B57" s="42" t="s">
        <v>13</v>
      </c>
      <c r="C57" s="24" t="s">
        <v>80</v>
      </c>
      <c r="D57" s="44" t="s">
        <v>81</v>
      </c>
      <c r="E57" s="45" t="s">
        <v>16</v>
      </c>
      <c r="F57" s="46" t="s">
        <v>16</v>
      </c>
      <c r="G57" s="122" t="s">
        <v>16</v>
      </c>
      <c r="H57" s="47" t="s">
        <v>16</v>
      </c>
      <c r="I57" s="28"/>
      <c r="J57" s="28"/>
      <c r="K57" s="28"/>
    </row>
    <row r="58" spans="1:11" ht="18.75" customHeight="1">
      <c r="B58" s="54">
        <f>B54+1</f>
        <v>26</v>
      </c>
      <c r="C58" s="83"/>
      <c r="D58" s="84" t="s">
        <v>82</v>
      </c>
      <c r="E58" s="55" t="s">
        <v>35</v>
      </c>
      <c r="F58" s="57">
        <f>219.05+218.1</f>
        <v>437.15</v>
      </c>
      <c r="G58" s="124">
        <v>0</v>
      </c>
      <c r="H58" s="53">
        <f>F58*G58</f>
        <v>0</v>
      </c>
    </row>
    <row r="59" spans="1:11" ht="20.100000000000001" customHeight="1">
      <c r="B59" s="54">
        <f>B58+1</f>
        <v>27</v>
      </c>
      <c r="C59" s="83"/>
      <c r="D59" s="84" t="s">
        <v>84</v>
      </c>
      <c r="E59" s="55" t="s">
        <v>35</v>
      </c>
      <c r="F59" s="57">
        <f>299.11+173.95</f>
        <v>473.06</v>
      </c>
      <c r="G59" s="124">
        <v>0</v>
      </c>
      <c r="H59" s="53">
        <f>F59*G59</f>
        <v>0</v>
      </c>
    </row>
    <row r="60" spans="1:11" ht="20.100000000000001" customHeight="1">
      <c r="B60" s="48" t="s">
        <v>13</v>
      </c>
      <c r="C60" s="159" t="s">
        <v>85</v>
      </c>
      <c r="D60" s="160"/>
      <c r="E60" s="160"/>
      <c r="F60" s="160"/>
      <c r="G60" s="160"/>
      <c r="H60" s="82">
        <f>SUM(H58:H59)</f>
        <v>0</v>
      </c>
    </row>
    <row r="61" spans="1:11" s="36" customFormat="1" ht="20.100000000000001" customHeight="1">
      <c r="A61" s="1"/>
      <c r="B61" s="29" t="s">
        <v>13</v>
      </c>
      <c r="C61" s="30" t="s">
        <v>86</v>
      </c>
      <c r="D61" s="31" t="s">
        <v>87</v>
      </c>
      <c r="E61" s="32" t="s">
        <v>16</v>
      </c>
      <c r="F61" s="33" t="s">
        <v>16</v>
      </c>
      <c r="G61" s="119" t="s">
        <v>16</v>
      </c>
      <c r="H61" s="34" t="s">
        <v>16</v>
      </c>
      <c r="I61" s="72"/>
      <c r="J61" s="35"/>
      <c r="K61" s="35"/>
    </row>
    <row r="62" spans="1:11" s="22" customFormat="1" ht="20.100000000000001" customHeight="1">
      <c r="B62" s="42" t="s">
        <v>13</v>
      </c>
      <c r="C62" s="24" t="s">
        <v>95</v>
      </c>
      <c r="D62" s="44" t="s">
        <v>96</v>
      </c>
      <c r="E62" s="45" t="s">
        <v>16</v>
      </c>
      <c r="F62" s="46" t="s">
        <v>16</v>
      </c>
      <c r="G62" s="122" t="s">
        <v>16</v>
      </c>
      <c r="H62" s="47" t="s">
        <v>16</v>
      </c>
      <c r="I62" s="28"/>
      <c r="J62" s="28"/>
      <c r="K62" s="28"/>
    </row>
    <row r="63" spans="1:11" ht="29.1" customHeight="1">
      <c r="B63" s="48">
        <f>B59+1</f>
        <v>28</v>
      </c>
      <c r="C63" s="49"/>
      <c r="D63" s="50" t="s">
        <v>97</v>
      </c>
      <c r="E63" s="51" t="s">
        <v>38</v>
      </c>
      <c r="F63" s="63">
        <f>(1.7+4+1.7+4)+(1+3.6+1)</f>
        <v>17</v>
      </c>
      <c r="G63" s="123">
        <v>0</v>
      </c>
      <c r="H63" s="53">
        <f>F63*G63</f>
        <v>0</v>
      </c>
    </row>
    <row r="64" spans="1:11" s="22" customFormat="1" ht="20.100000000000001" customHeight="1">
      <c r="B64" s="42" t="s">
        <v>13</v>
      </c>
      <c r="C64" s="24" t="s">
        <v>98</v>
      </c>
      <c r="D64" s="44" t="s">
        <v>99</v>
      </c>
      <c r="E64" s="45" t="s">
        <v>16</v>
      </c>
      <c r="F64" s="46" t="s">
        <v>16</v>
      </c>
      <c r="G64" s="122" t="s">
        <v>16</v>
      </c>
      <c r="H64" s="47" t="s">
        <v>16</v>
      </c>
      <c r="I64" s="28"/>
      <c r="J64" s="28"/>
      <c r="K64" s="28"/>
    </row>
    <row r="65" spans="1:14" ht="29.1" customHeight="1">
      <c r="B65" s="78">
        <f>B63+1</f>
        <v>29</v>
      </c>
      <c r="C65" s="49"/>
      <c r="D65" s="50" t="s">
        <v>100</v>
      </c>
      <c r="E65" s="51" t="s">
        <v>38</v>
      </c>
      <c r="F65" s="63">
        <f>91.1</f>
        <v>91.1</v>
      </c>
      <c r="G65" s="123">
        <v>0</v>
      </c>
      <c r="H65" s="53">
        <f>F65*G65</f>
        <v>0</v>
      </c>
    </row>
    <row r="66" spans="1:14" ht="20.100000000000001" customHeight="1">
      <c r="B66" s="78" t="s">
        <v>13</v>
      </c>
      <c r="C66" s="159" t="s">
        <v>101</v>
      </c>
      <c r="D66" s="160"/>
      <c r="E66" s="160"/>
      <c r="F66" s="160"/>
      <c r="G66" s="160"/>
      <c r="H66" s="82">
        <f>SUM(H62:H65)</f>
        <v>0</v>
      </c>
    </row>
    <row r="67" spans="1:14" s="36" customFormat="1" ht="20.100000000000001" customHeight="1">
      <c r="A67" s="1"/>
      <c r="B67" s="29" t="s">
        <v>13</v>
      </c>
      <c r="C67" s="30" t="s">
        <v>102</v>
      </c>
      <c r="D67" s="31" t="s">
        <v>103</v>
      </c>
      <c r="E67" s="32" t="s">
        <v>16</v>
      </c>
      <c r="F67" s="33" t="s">
        <v>16</v>
      </c>
      <c r="G67" s="119" t="s">
        <v>16</v>
      </c>
      <c r="H67" s="34" t="s">
        <v>16</v>
      </c>
      <c r="I67" s="72"/>
      <c r="J67" s="35"/>
      <c r="K67" s="35"/>
    </row>
    <row r="68" spans="1:14" s="22" customFormat="1" ht="20.100000000000001" customHeight="1">
      <c r="B68" s="42" t="s">
        <v>13</v>
      </c>
      <c r="C68" s="24" t="s">
        <v>104</v>
      </c>
      <c r="D68" s="86" t="s">
        <v>105</v>
      </c>
      <c r="E68" s="45" t="s">
        <v>16</v>
      </c>
      <c r="F68" s="46" t="s">
        <v>16</v>
      </c>
      <c r="G68" s="122" t="s">
        <v>16</v>
      </c>
      <c r="H68" s="47" t="s">
        <v>16</v>
      </c>
      <c r="I68" s="28"/>
      <c r="J68" s="28"/>
      <c r="K68" s="28"/>
    </row>
    <row r="69" spans="1:14" s="22" customFormat="1" ht="29.1" customHeight="1">
      <c r="B69" s="78">
        <f>B65+1</f>
        <v>30</v>
      </c>
      <c r="C69" s="39"/>
      <c r="D69" s="38" t="s">
        <v>106</v>
      </c>
      <c r="E69" s="39" t="s">
        <v>35</v>
      </c>
      <c r="F69" s="63">
        <f>3.2+6.8</f>
        <v>10</v>
      </c>
      <c r="G69" s="126">
        <v>0</v>
      </c>
      <c r="H69" s="40">
        <f>F69*G69</f>
        <v>0</v>
      </c>
      <c r="I69" s="28"/>
      <c r="J69" s="28"/>
      <c r="K69" s="28"/>
    </row>
    <row r="70" spans="1:14" s="22" customFormat="1" ht="20.100000000000001" customHeight="1" thickBot="1">
      <c r="B70" s="42" t="s">
        <v>13</v>
      </c>
      <c r="C70" s="147" t="s">
        <v>107</v>
      </c>
      <c r="D70" s="148"/>
      <c r="E70" s="148"/>
      <c r="F70" s="148"/>
      <c r="G70" s="149"/>
      <c r="H70" s="43">
        <f>SUM(H69:H69)</f>
        <v>0</v>
      </c>
      <c r="I70" s="28"/>
      <c r="J70" s="28"/>
      <c r="K70" s="28"/>
    </row>
    <row r="71" spans="1:14" s="6" customFormat="1" ht="20.100000000000001" customHeight="1">
      <c r="A71" s="4"/>
      <c r="B71" s="87" t="s">
        <v>13</v>
      </c>
      <c r="C71" s="150" t="s">
        <v>108</v>
      </c>
      <c r="D71" s="151"/>
      <c r="E71" s="151"/>
      <c r="F71" s="151"/>
      <c r="G71" s="151"/>
      <c r="H71" s="88">
        <f>H15+H28+H34+H48+H55+H60+H66+H70</f>
        <v>0</v>
      </c>
      <c r="I71" s="117"/>
      <c r="J71" s="5"/>
      <c r="K71" s="5"/>
    </row>
    <row r="72" spans="1:14" ht="20.100000000000001" customHeight="1">
      <c r="B72" s="89" t="s">
        <v>13</v>
      </c>
      <c r="C72" s="152" t="s">
        <v>109</v>
      </c>
      <c r="D72" s="152"/>
      <c r="E72" s="152"/>
      <c r="F72" s="152"/>
      <c r="G72" s="152"/>
      <c r="H72" s="90">
        <f>H71*0.23</f>
        <v>0</v>
      </c>
    </row>
    <row r="73" spans="1:14" ht="20.100000000000001" customHeight="1" thickBot="1">
      <c r="B73" s="91" t="s">
        <v>13</v>
      </c>
      <c r="C73" s="153" t="s">
        <v>110</v>
      </c>
      <c r="D73" s="153"/>
      <c r="E73" s="153"/>
      <c r="F73" s="153"/>
      <c r="G73" s="153"/>
      <c r="H73" s="92">
        <f>H71+H72</f>
        <v>0</v>
      </c>
    </row>
    <row r="74" spans="1:14" s="93" customFormat="1">
      <c r="B74" s="94"/>
      <c r="C74" s="95"/>
      <c r="D74" s="96"/>
      <c r="E74" s="97"/>
      <c r="F74" s="98"/>
      <c r="G74" s="130"/>
      <c r="H74" s="99"/>
      <c r="I74" s="100"/>
      <c r="J74" s="100"/>
      <c r="K74" s="100"/>
    </row>
    <row r="78" spans="1:14" s="72" customFormat="1">
      <c r="A78" s="1"/>
      <c r="B78" s="101"/>
      <c r="C78" s="102"/>
      <c r="D78" s="103"/>
      <c r="E78" s="104"/>
      <c r="F78" s="105"/>
      <c r="G78" s="131"/>
      <c r="H78" s="106"/>
      <c r="J78" s="2"/>
      <c r="K78" s="2"/>
      <c r="L78" s="3"/>
      <c r="M78" s="3"/>
      <c r="N78" s="3"/>
    </row>
    <row r="79" spans="1:14" s="72" customFormat="1">
      <c r="A79" s="1"/>
      <c r="B79" s="101"/>
      <c r="C79" s="102"/>
      <c r="D79" s="103"/>
      <c r="E79" s="104"/>
      <c r="F79" s="105"/>
      <c r="G79" s="131"/>
      <c r="H79" s="106"/>
      <c r="J79" s="2"/>
      <c r="K79" s="2"/>
      <c r="L79" s="3"/>
      <c r="M79" s="3"/>
      <c r="N79" s="3"/>
    </row>
  </sheetData>
  <mergeCells count="15">
    <mergeCell ref="C28:G28"/>
    <mergeCell ref="B1:H1"/>
    <mergeCell ref="B2:H2"/>
    <mergeCell ref="B4:B5"/>
    <mergeCell ref="E4:F4"/>
    <mergeCell ref="C15:G15"/>
    <mergeCell ref="C70:G70"/>
    <mergeCell ref="C71:G71"/>
    <mergeCell ref="C72:G72"/>
    <mergeCell ref="C73:G73"/>
    <mergeCell ref="D34:G34"/>
    <mergeCell ref="C48:G48"/>
    <mergeCell ref="C55:G55"/>
    <mergeCell ref="C60:G60"/>
    <mergeCell ref="C66:G66"/>
  </mergeCells>
  <pageMargins left="0.7" right="0.7" top="0.75" bottom="0.75" header="0.3" footer="0.3"/>
  <pageSetup paperSize="9" scale="64" orientation="portrait" r:id="rId1"/>
  <rowBreaks count="1" manualBreakCount="1">
    <brk id="34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Strona tytułowa</vt:lpstr>
      <vt:lpstr>Kosztorys oferowy - I</vt:lpstr>
      <vt:lpstr>Kosztorys oferowy - II</vt:lpstr>
      <vt:lpstr>'Kosztorys oferowy - I'!Obszar_wydruku</vt:lpstr>
      <vt:lpstr>'Kosztorys oferowy - II'!Obszar_wydruku</vt:lpstr>
      <vt:lpstr>'Strona tytułowa'!Obszar_wydruku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2024-11-29T23:42:41Z</cp:lastPrinted>
  <dcterms:created xsi:type="dcterms:W3CDTF">2024-11-26T16:29:09Z</dcterms:created>
  <dcterms:modified xsi:type="dcterms:W3CDTF">2024-12-12T22:03:06Z</dcterms:modified>
</cp:coreProperties>
</file>