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wieliczka\PS Kozmice Wlk\II\"/>
    </mc:Choice>
  </mc:AlternateContent>
  <xr:revisionPtr revIDLastSave="0" documentId="13_ncr:1_{68B3A21E-D75E-4D03-9601-A90929ED9F90}" xr6:coauthVersionLast="47" xr6:coauthVersionMax="47" xr10:uidLastSave="{00000000-0000-0000-0000-000000000000}"/>
  <bookViews>
    <workbookView xWindow="-108" yWindow="-108" windowWidth="23256" windowHeight="12456" tabRatio="821" activeTab="6" xr2:uid="{00000000-000D-0000-FFFF-FFFF00000000}"/>
  </bookViews>
  <sheets>
    <sheet name="Formularz oferty" sheetId="1" r:id="rId1"/>
    <sheet name="Cz. 1 pieczywo i art. cuki." sheetId="2" r:id="rId2"/>
    <sheet name="Arkusz1" sheetId="9" state="hidden" r:id="rId3"/>
    <sheet name="Cz. 2 Warzywa i owoce" sheetId="3" r:id="rId4"/>
    <sheet name="Cz. 3 Mięso i wędliny" sheetId="4" r:id="rId5"/>
    <sheet name="Cz. 4 Nabiał" sheetId="5" r:id="rId6"/>
    <sheet name="Cz. 5 Suche" sheetId="6" r:id="rId7"/>
    <sheet name="Arkusz2" sheetId="10" state="hidden" r:id="rId8"/>
  </sheets>
  <definedNames>
    <definedName name="_xlnm.Print_Area" localSheetId="1">'Cz. 1 pieczywo i art. cuki.'!$A$1:$H$24</definedName>
    <definedName name="_xlnm.Print_Area" localSheetId="3">'Cz. 2 Warzywa i owoce'!$A$1:$H$72</definedName>
    <definedName name="_xlnm.Print_Area" localSheetId="4">'Cz. 3 Mięso i wędliny'!$A$1:$I$30</definedName>
    <definedName name="_xlnm.Print_Area" localSheetId="5">'Cz. 4 Nabiał'!$A$1:$I$33</definedName>
    <definedName name="_xlnm.Print_Area" localSheetId="6">'Cz. 5 Suche'!$A$1:$I$106</definedName>
    <definedName name="Z_84B8FA77_AE35_4870_A1B4_CD3D8EA9555F_.wvu.PrintArea" localSheetId="1" hidden="1">'Cz. 1 pieczywo i art. cuki.'!$A$1:$H$24</definedName>
    <definedName name="Z_84B8FA77_AE35_4870_A1B4_CD3D8EA9555F_.wvu.PrintArea" localSheetId="3" hidden="1">'Cz. 2 Warzywa i owoce'!$A$1:$H$72</definedName>
    <definedName name="Z_84B8FA77_AE35_4870_A1B4_CD3D8EA9555F_.wvu.PrintArea" localSheetId="4" hidden="1">'Cz. 3 Mięso i wędliny'!$A$1:$I$30</definedName>
    <definedName name="Z_84B8FA77_AE35_4870_A1B4_CD3D8EA9555F_.wvu.PrintArea" localSheetId="5" hidden="1">'Cz. 4 Nabiał'!$A$1:$I$33</definedName>
    <definedName name="Z_84B8FA77_AE35_4870_A1B4_CD3D8EA9555F_.wvu.PrintArea" localSheetId="6" hidden="1">'Cz. 5 Suche'!$A$1:$I$106</definedName>
    <definedName name="Z_BDD2EFA5_319A_44D2_B9F1_2950626BDBE4_.wvu.PrintArea" localSheetId="1" hidden="1">'Cz. 1 pieczywo i art. cuki.'!$A$1:$H$24</definedName>
    <definedName name="Z_BDD2EFA5_319A_44D2_B9F1_2950626BDBE4_.wvu.PrintArea" localSheetId="3" hidden="1">'Cz. 2 Warzywa i owoce'!$A$1:$H$72</definedName>
    <definedName name="Z_BDD2EFA5_319A_44D2_B9F1_2950626BDBE4_.wvu.PrintArea" localSheetId="4" hidden="1">'Cz. 3 Mięso i wędliny'!$A$1:$I$30</definedName>
    <definedName name="Z_BDD2EFA5_319A_44D2_B9F1_2950626BDBE4_.wvu.PrintArea" localSheetId="5" hidden="1">'Cz. 4 Nabiał'!$A$1:$I$33</definedName>
    <definedName name="Z_BDD2EFA5_319A_44D2_B9F1_2950626BDBE4_.wvu.PrintArea" localSheetId="6" hidden="1">'Cz. 5 Suche'!$A$1:$I$106</definedName>
  </definedNames>
  <calcPr calcId="191029" concurrentCalc="0"/>
  <customWorkbookViews>
    <customWorkbookView name="Użytkownik - Widok osobisty" guid="{84B8FA77-AE35-4870-A1B4-CD3D8EA9555F}" mergeInterval="0" personalView="1" maximized="1" xWindow="-9" yWindow="-9" windowWidth="1938" windowHeight="1038" tabRatio="821" activeSheetId="3"/>
    <customWorkbookView name="jagod - Widok osobisty" guid="{BDD2EFA5-319A-44D2-B9F1-2950626BDBE4}" mergeInterval="0" personalView="1" maximized="1" xWindow="-9" yWindow="-9" windowWidth="1938" windowHeight="1038" tabRatio="821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G11" i="2"/>
  <c r="G12" i="2"/>
  <c r="G13" i="2"/>
  <c r="G14" i="2"/>
  <c r="G15" i="2"/>
  <c r="G16" i="2"/>
  <c r="G17" i="2"/>
  <c r="G18" i="2"/>
  <c r="G19" i="2"/>
  <c r="D9" i="6"/>
  <c r="D10" i="6"/>
  <c r="D11" i="6"/>
  <c r="D12" i="6"/>
  <c r="D14" i="6"/>
  <c r="D16" i="6"/>
  <c r="D18" i="6"/>
  <c r="D19" i="6"/>
  <c r="D20" i="6"/>
  <c r="D21" i="6"/>
  <c r="D22" i="6"/>
  <c r="D24" i="6"/>
  <c r="D25" i="6"/>
  <c r="D26" i="6"/>
  <c r="D27" i="6"/>
  <c r="D28" i="6"/>
  <c r="D29" i="6"/>
  <c r="D30" i="6"/>
  <c r="D33" i="6"/>
  <c r="D34" i="6"/>
  <c r="D36" i="6"/>
  <c r="D38" i="6"/>
  <c r="D39" i="6"/>
  <c r="D41" i="6"/>
  <c r="D42" i="6"/>
  <c r="D43" i="6"/>
  <c r="D44" i="6"/>
  <c r="D45" i="6"/>
  <c r="D46" i="6"/>
  <c r="D47" i="6"/>
  <c r="D49" i="6"/>
  <c r="D50" i="6"/>
  <c r="D52" i="6"/>
  <c r="D53" i="6"/>
  <c r="D55" i="6"/>
  <c r="D57" i="6"/>
  <c r="D58" i="6"/>
  <c r="D59" i="6"/>
  <c r="D60" i="6"/>
  <c r="D61" i="6"/>
  <c r="D63" i="6"/>
  <c r="D65" i="6"/>
  <c r="D67" i="6"/>
  <c r="D73" i="6"/>
  <c r="D74" i="6"/>
  <c r="D75" i="6"/>
  <c r="D76" i="6"/>
  <c r="D78" i="6"/>
  <c r="D79" i="6"/>
  <c r="D80" i="6"/>
  <c r="D81" i="6"/>
  <c r="D82" i="6"/>
  <c r="D83" i="6"/>
  <c r="D84" i="6"/>
  <c r="D86" i="6"/>
  <c r="D87" i="6"/>
  <c r="D89" i="6"/>
  <c r="D90" i="6"/>
  <c r="D91" i="6"/>
  <c r="D92" i="6"/>
  <c r="D93" i="6"/>
  <c r="D95" i="6"/>
  <c r="D96" i="6"/>
  <c r="D97" i="6"/>
  <c r="D98" i="6"/>
  <c r="D99" i="6"/>
  <c r="D100" i="6"/>
  <c r="D101" i="6"/>
  <c r="D102" i="6"/>
  <c r="D9" i="4"/>
  <c r="D11" i="4"/>
  <c r="D12" i="4"/>
  <c r="D13" i="4"/>
  <c r="D14" i="4"/>
  <c r="D16" i="4"/>
  <c r="D17" i="4"/>
  <c r="D20" i="4"/>
  <c r="D23" i="4"/>
  <c r="D25" i="4"/>
  <c r="D11" i="2"/>
  <c r="D12" i="2"/>
  <c r="D13" i="2"/>
  <c r="D14" i="2"/>
  <c r="D15" i="2"/>
  <c r="D16" i="2"/>
  <c r="D17" i="2"/>
  <c r="D56" i="3"/>
  <c r="D62" i="3"/>
  <c r="D65" i="3"/>
  <c r="D58" i="3"/>
  <c r="D10" i="3"/>
  <c r="D12" i="3"/>
  <c r="D16" i="5"/>
  <c r="D12" i="5"/>
  <c r="D17" i="3"/>
  <c r="D19" i="3"/>
  <c r="D20" i="3"/>
  <c r="D25" i="3"/>
  <c r="D27" i="3"/>
  <c r="D32" i="3"/>
  <c r="D41" i="3"/>
  <c r="D35" i="3"/>
  <c r="D37" i="3"/>
  <c r="D38" i="3"/>
  <c r="D39" i="3"/>
  <c r="D44" i="3"/>
  <c r="D54" i="3"/>
  <c r="D55" i="3"/>
  <c r="D11" i="3"/>
  <c r="D13" i="3"/>
  <c r="D15" i="3"/>
  <c r="D17" i="5"/>
  <c r="D66" i="3"/>
  <c r="D18" i="3"/>
  <c r="D40" i="3"/>
  <c r="D50" i="3"/>
  <c r="D49" i="3"/>
  <c r="D36" i="3"/>
  <c r="D23" i="3"/>
  <c r="D31" i="3"/>
  <c r="D33" i="3"/>
  <c r="D43" i="3"/>
  <c r="D48" i="3"/>
  <c r="D47" i="3"/>
  <c r="D46" i="3"/>
  <c r="D42" i="3"/>
  <c r="D52" i="3"/>
  <c r="H52" i="3"/>
  <c r="H65" i="3"/>
  <c r="H64" i="3"/>
  <c r="H63" i="3"/>
  <c r="H62" i="3"/>
  <c r="H61" i="3"/>
  <c r="H60" i="3"/>
  <c r="H59" i="3"/>
  <c r="H58" i="3"/>
  <c r="H57" i="3"/>
  <c r="H56" i="3"/>
  <c r="H55" i="3"/>
  <c r="I102" i="6"/>
  <c r="I101" i="6"/>
  <c r="I100" i="6"/>
  <c r="I98" i="6"/>
  <c r="I99" i="6"/>
  <c r="I96" i="6"/>
  <c r="I97" i="6"/>
  <c r="I95" i="6"/>
  <c r="I94" i="6"/>
  <c r="I92" i="6"/>
  <c r="I93" i="6"/>
  <c r="I91" i="6"/>
  <c r="I90" i="6"/>
  <c r="I88" i="6"/>
  <c r="I89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7" i="6"/>
  <c r="I68" i="6"/>
  <c r="I66" i="6"/>
  <c r="I64" i="6"/>
  <c r="I65" i="6"/>
  <c r="I63" i="6"/>
  <c r="I62" i="6"/>
  <c r="I61" i="6"/>
  <c r="I60" i="6"/>
  <c r="I59" i="6"/>
  <c r="I58" i="6"/>
  <c r="I57" i="6"/>
  <c r="I56" i="6"/>
  <c r="I24" i="4"/>
  <c r="I23" i="4"/>
  <c r="I22" i="4"/>
  <c r="I21" i="4"/>
  <c r="D10" i="5"/>
  <c r="D25" i="5"/>
  <c r="I25" i="5"/>
  <c r="D24" i="5"/>
  <c r="I24" i="5"/>
  <c r="D23" i="5"/>
  <c r="I23" i="5"/>
  <c r="D22" i="5"/>
  <c r="I22" i="5"/>
  <c r="D21" i="5"/>
  <c r="I21" i="5"/>
  <c r="D20" i="5"/>
  <c r="I20" i="5"/>
  <c r="D19" i="5"/>
  <c r="I19" i="5"/>
  <c r="D15" i="5"/>
  <c r="D26" i="5"/>
  <c r="D18" i="5"/>
  <c r="D14" i="5"/>
  <c r="D13" i="5"/>
  <c r="I25" i="4"/>
  <c r="H10" i="3"/>
  <c r="D21" i="3"/>
  <c r="D9" i="5"/>
  <c r="D24" i="3"/>
  <c r="D26" i="3"/>
  <c r="D11" i="5"/>
  <c r="D22" i="3"/>
  <c r="D16" i="3"/>
  <c r="D51" i="3"/>
  <c r="H11" i="2"/>
  <c r="H12" i="2"/>
  <c r="H13" i="2"/>
  <c r="H14" i="2"/>
  <c r="H15" i="2"/>
  <c r="H16" i="2"/>
  <c r="H17" i="2"/>
  <c r="H18" i="2"/>
  <c r="H19" i="2"/>
  <c r="G50" i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3" i="3"/>
  <c r="H54" i="3"/>
  <c r="H66" i="3"/>
  <c r="H67" i="3"/>
  <c r="G53" i="1"/>
  <c r="I9" i="4"/>
  <c r="I10" i="4"/>
  <c r="I11" i="4"/>
  <c r="I12" i="4"/>
  <c r="I13" i="4"/>
  <c r="I14" i="4"/>
  <c r="I15" i="4"/>
  <c r="I16" i="4"/>
  <c r="I17" i="4"/>
  <c r="I18" i="4"/>
  <c r="I19" i="4"/>
  <c r="I20" i="4"/>
  <c r="I26" i="4"/>
  <c r="I27" i="4"/>
  <c r="G56" i="1"/>
  <c r="I9" i="5"/>
  <c r="I10" i="5"/>
  <c r="I11" i="5"/>
  <c r="I12" i="5"/>
  <c r="I13" i="5"/>
  <c r="I14" i="5"/>
  <c r="I15" i="5"/>
  <c r="I16" i="5"/>
  <c r="I17" i="5"/>
  <c r="I18" i="5"/>
  <c r="I26" i="5"/>
  <c r="I27" i="5"/>
  <c r="G59" i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103" i="6"/>
  <c r="G62" i="1"/>
  <c r="B7" i="2"/>
</calcChain>
</file>

<file path=xl/sharedStrings.xml><?xml version="1.0" encoding="utf-8"?>
<sst xmlns="http://schemas.openxmlformats.org/spreadsheetml/2006/main" count="608" uniqueCount="316">
  <si>
    <t>L.p.</t>
  </si>
  <si>
    <t>Nazwa produktu</t>
  </si>
  <si>
    <t>Jednostka miary/wagi</t>
  </si>
  <si>
    <t>Ilość</t>
  </si>
  <si>
    <t>kg</t>
  </si>
  <si>
    <t>szt</t>
  </si>
  <si>
    <t>L.p</t>
  </si>
  <si>
    <t>pęczek</t>
  </si>
  <si>
    <t>szt.</t>
  </si>
  <si>
    <t>Pomidor koktajlowy</t>
  </si>
  <si>
    <t>Bazylia świeża, w doniczkach, pakowana w folię</t>
  </si>
  <si>
    <t>borówka ogrodowa świeża gat. I</t>
  </si>
  <si>
    <t>szt,</t>
  </si>
  <si>
    <t>Melon miodowy świeży, bez oznak zepsucia, dojrzały</t>
  </si>
  <si>
    <t xml:space="preserve">Budyń w proszku o smaku waniliowym bez cukru, opakowanie: 35-45g, skrobia kukurydziana, skrobia ziemniaczana, aromaty, barwnik (karoteny), ekstrakt wanilii </t>
  </si>
  <si>
    <t xml:space="preserve">Budyń w proszku o smaku czekoladowym bez cukru, opakowanie: 35-45g, skrobia kukurydziana, skrobia ziemniaczana, kakao o obniżonej zawartości tłuszczu, 1,1% czekolada w proszku (kakao w proszku, cukier, dekstroza), aromat  kukurydziana, skrobia ziemniaczana, aromaty, barwnik (karoteny), ekstrakt wanilii </t>
  </si>
  <si>
    <t>cukier puder, opakowanie 400-500g</t>
  </si>
  <si>
    <t>Wartość brutto w zł</t>
  </si>
  <si>
    <t>ziemniaki wczesne</t>
  </si>
  <si>
    <t>soda oczyszczona 100g</t>
  </si>
  <si>
    <t>Woda mineralna niegazowana, Ogólna mineralizacja 742 mg/l. Pojemność 1,5 litra. Butelki pet</t>
  </si>
  <si>
    <t>Biszkopty tradycyjne w kształcie paluszków, opakowanie zbiorcze o wadze 500 g</t>
  </si>
  <si>
    <t>mleczko kokosowe bio, o zawartości tłuszczu 20-22 %, o pojemności 400 ml</t>
  </si>
  <si>
    <t>przyprawa oregano suszona w opakowaniu 10 g</t>
  </si>
  <si>
    <t>II.	ZAŁĄCZNIK NR 2 DO SWZ - Formularz Oferty</t>
  </si>
  <si>
    <t>NAZWA WYKONAWCY</t>
  </si>
  <si>
    <t>SIEDZIBA WYKONAWCY</t>
  </si>
  <si>
    <t>Województwo</t>
  </si>
  <si>
    <t>Miejscowość</t>
  </si>
  <si>
    <t>Kod Pocztowy</t>
  </si>
  <si>
    <t>Ulica</t>
  </si>
  <si>
    <t>nr budynku</t>
  </si>
  <si>
    <t>Nr lokalu</t>
  </si>
  <si>
    <t>INFORMACJE DODATKOWE</t>
  </si>
  <si>
    <t>NIP</t>
  </si>
  <si>
    <t>REGON</t>
  </si>
  <si>
    <t>Nr tel.</t>
  </si>
  <si>
    <t>adres e-mail</t>
  </si>
  <si>
    <t xml:space="preserve">Składamy niniejszą ofertę: </t>
  </si>
  <si>
    <t xml:space="preserve">☐ </t>
  </si>
  <si>
    <t xml:space="preserve">w imieniu własnym* </t>
  </si>
  <si>
    <t>jako Wykonawcy wspólnie ubiegający się o udzielenie zamówienia*, oświadczając jednocześnie, że będziemy odpowiadać solidarnie za wykonanie niniejszego zamówienia.</t>
  </si>
  <si>
    <t>* proszę zaznaczyć jedną właściwą odpowiedź</t>
  </si>
  <si>
    <t>Oświadczam/y, że zgodnie z art. 118 ust. 1 ustawy P.z.p. (zaznaczyć właściwe):</t>
  </si>
  <si>
    <t>polegam/y*,</t>
  </si>
  <si>
    <t>nie polegam/y*</t>
  </si>
  <si>
    <t>na zdolnościach technicznych* / zdolnościach zawodowych* podmiotu udostępniającego zasoby, co potwierdza załączone do oferty ZOBOWIĄZANIE PODMIOTU udostępniającego zasoby.</t>
  </si>
  <si>
    <t>Podmiot udostępniający będzie brał udział w realizacji zamówienia w zakresie określonym w zobowiązaniu.</t>
  </si>
  <si>
    <t>Oświadczamy, że zamówienie zamierzamy wykonać:</t>
  </si>
  <si>
    <t>samodzielnie*</t>
  </si>
  <si>
    <t>przy udziale podwykonawców*, w zakresie niżej opisanych części zamówienia:</t>
  </si>
  <si>
    <t>Rodzaj Wykonawcy:</t>
  </si>
  <si>
    <t>mikroprzedsiębiorstwo*</t>
  </si>
  <si>
    <t>małe przedsiębiorstwo*</t>
  </si>
  <si>
    <t>średnie przedsiębiorstwo*</t>
  </si>
  <si>
    <t>jednoosobowa działalnością gospodarczą*</t>
  </si>
  <si>
    <t>osoba fizyczna nieprowadząca działalności gospodarczej*</t>
  </si>
  <si>
    <t>inny rodzaj*</t>
  </si>
  <si>
    <t xml:space="preserve">* proszę zaznaczyć jedną właściwą odpowiedź </t>
  </si>
  <si>
    <t>UWAGA: Na potrzeby odpowiedzi na to pytanie należy skorzystać z definicji zawartych w zaleceniu Komisji z dnia 6 maja 2003 r. dotyczącym definicji mikroprzedsiębiorstw oraz małych i średnich przedsiębiorstw (Dz. Urz. UE L 124 z 20.5.2003, str. 36). Mikroprzedsiębiorstwo: przedsiębiorstwo, które zatrudnia mniej niż 10 osób i którego roczny obrót lub roczna suma bilansowa nie przekracza 2 milionów EUR. Małe przedsiębiorstwo: przedsiębiorstwo, które zatrudnia mniej niż 50 osób i którego roczny obrót lub roczna suma bilansowa nie przekracza 10 milionów EUR. Średnie przedsiębiorstwa: przedsiębiorstwa, które nie są mikroprzedsiębiorstwami ani małymi przedsiębiorstwami i które zatrudniają mniej niż 250 osób i których roczny obrót nie przekracza 50 milionów EUR lub roczna suma bilansowa nie przekracza 43 milionów EUR.</t>
  </si>
  <si>
    <t>OSOBA UPOWAŻNIANIA DO KONTAKTOWANIA SIĘ Z ZAMAWIAJĄCYM</t>
  </si>
  <si>
    <t>Imię i nazwisko</t>
  </si>
  <si>
    <t>nr telefonu</t>
  </si>
  <si>
    <t>Adres e-mail</t>
  </si>
  <si>
    <t>UWAGA!
Wykonawca wypełnia jedynie komórki zaznaczone kolorem żółtym.</t>
  </si>
  <si>
    <r>
      <t>Oświadczam ponadto, że: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</si>
  <si>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Oferta została sporządzona na podstawie opisu i wymagań przedstawionych w SWZ.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</si>
  <si>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Zapoznałem się z SWZ i nie wnoszę do niego zastrzeżeń oraz zdobyłem konieczne informacje do przygotowania oferty.</t>
    </r>
  </si>
  <si>
    <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Zobowiązuję się wykonać przedmiot zamówienia zgodnie z zapisami zawartymi w SWZ, złożoną ofertą oraz aktualnie obowiązującymi w tym zakresie przepisami prawa.</t>
    </r>
  </si>
  <si>
    <r>
      <t>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Oferta została podpisana przez osobę uprawnioną do reprezentowania Wykonawcy.</t>
    </r>
  </si>
  <si>
    <r>
      <t>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Jestem związany niniejszą ofertą przez okres wskazany w SWZ.</t>
    </r>
  </si>
  <si>
    <r>
      <t>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Akceptuję warunki płatności określone przez Zamawiającego.</t>
    </r>
  </si>
  <si>
    <r>
      <t>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Akceptuję projektowane postanowienia umowy i zobowiązuję się w przypadku wyboru mojej oferty do zawarcia umowy na tych warunkach, w miejscu i terminie wyznaczonym przez Zamawiającego.</t>
    </r>
  </si>
  <si>
    <r>
      <t>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</rPr>
      <t>Uprzedzony o odpowiedzialności karnej za składanie nieprawdziwych informacji stwierdzam, że dane podane w ofercie są zgodne ze stanem faktycznym.</t>
    </r>
  </si>
  <si>
    <r>
      <t>9.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Wypełniłem obowiązki informacyjne przewidziane w art. 13 lub art. 14 RODO </t>
    </r>
    <r>
      <rPr>
        <vertAlign val="superscript"/>
        <sz val="11"/>
        <color rgb="FF000000"/>
        <rFont val="Calibri"/>
        <family val="2"/>
        <charset val="238"/>
        <scheme val="minor"/>
      </rPr>
      <t>1)</t>
    </r>
    <r>
      <rPr>
        <sz val="11"/>
        <color rgb="FF000000"/>
        <rFont val="Calibri"/>
        <family val="2"/>
        <charset val="238"/>
        <scheme val="minor"/>
      </rPr>
      <t xml:space="preserve"> wobec osób fizycznych, od których dane osobowe bezpośrednio lub pośrednio pozyskałem w celu ubiegania się o udzielenie zamówienia publicznego w niniejszym postępowaniu.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</si>
  <si>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10. </t>
    </r>
    <r>
      <rPr>
        <sz val="11"/>
        <color rgb="FF000000"/>
        <rFont val="Calibri"/>
        <family val="2"/>
        <charset val="238"/>
        <scheme val="minor"/>
      </rPr>
      <t xml:space="preserve">Zgodnie z treścią art. 225 ust. 2 ustawy Pzp informuję, że***:  </t>
    </r>
  </si>
  <si>
    <t xml:space="preserve">1) wskazuję nazwę (rodzaj) towaru lub usługi, których dostawa lub świadczenie będzie prowadzić do powstania u Zamawiającego obowiązku podatkowego: 
</t>
  </si>
  <si>
    <t>…......................................................................................................................................................</t>
  </si>
  <si>
    <t>2) wskazuję wartość towaru lub usługi objętego obowiązkiem podatkowym zamawiającego, bez kwoty podatku:</t>
  </si>
  <si>
    <t>3) wskazuję stawkę podatku od towaru i usług, która zgodnie z wiedzą wykonawcy, będzie miała zastosowanie:</t>
  </si>
  <si>
    <t xml:space="preserve">***)  Proszę zaznaczyć odpowiednie pole wyboru. Uwaga – niewskazanie żadnej z ww. treści oświadczenia i niewypełnienie powyższych danych – Zamawiający uzna, że wybór przedmiotowej oferty nie będzie prowadzić do powstania u Zamawiającego obowiązku podatkowego. </t>
  </si>
  <si>
    <t xml:space="preserve">Dokument należy wypełnić i podpisać kwalifikowanym podpisem elektronicznym, podpisem zaufanym lub podpisem osobistym . Zamawiający zaleca zapisanie dokumentu w formacie PDF. </t>
  </si>
  <si>
    <t>Część 1 Pieczywo i art. cukiernicze</t>
  </si>
  <si>
    <t>Część 2 warzywa i owoce</t>
  </si>
  <si>
    <t>Część 3 mięso i wędliny</t>
  </si>
  <si>
    <t>Część 4 nabiał</t>
  </si>
  <si>
    <t>Część 5 produkty tzw. suche</t>
  </si>
  <si>
    <t>sałata lodowa główka</t>
  </si>
  <si>
    <t>malina świeża kl. I sezonowo (czerwiec -październik)</t>
  </si>
  <si>
    <t>Drożdże świeże pakowane jednostkowo po 100g, termin ważności minimum 14 dni</t>
  </si>
  <si>
    <t>Ser typu mozzarella w zalewie 150g</t>
  </si>
  <si>
    <t>Makaron bezglutenowy, ryżowy opakowanie 200 g różne kształty</t>
  </si>
  <si>
    <t>ciasteczka wafelki w czekoladzie pakowane pojedynczo o wadze 50 g pirincy polo</t>
  </si>
  <si>
    <t>soczki owocowe 100 % soku w opakowaniu 200-250 ml w kartonie</t>
  </si>
  <si>
    <t>napoje roślinne bez cukrowe w kartonie o pojemności 1 litra mleko sojo migdałowe owsiane</t>
  </si>
  <si>
    <t>Pączek z nadzieniem z marmolady 80 g</t>
  </si>
  <si>
    <t>Drożdżówka różne smaki 80 g</t>
  </si>
  <si>
    <t>RAZEM</t>
  </si>
  <si>
    <t>Cebula biała, klasa jakości I, opakowanie - worek</t>
  </si>
  <si>
    <t>Cytryny klasa jakości I, kod wielkości 5/6</t>
  </si>
  <si>
    <t>Czosnek świeży – główki min. 4,5 cm klasa extra 1 główka =  1 szt. kraj pochodzenia: Polska</t>
  </si>
  <si>
    <t>Gruszki, luzem, klasa jakości I, (jedną z odmian) Lukasówka, Konferencja, Faworytka, Erika, Paten, Paryżanka, Bonkreta Williamsa</t>
  </si>
  <si>
    <t>Kapusta biała (głowiasta), klasa jakości I, opakowanie worek</t>
  </si>
  <si>
    <t>Kapusta czerwona (głowiasta), klasa jakości I, opakowanie worek</t>
  </si>
  <si>
    <t>Kapusta kiszona z beczki (utrwalona naturalnie bez dodatkowego kwasu octowego, mlekowego)</t>
  </si>
  <si>
    <t>Koper zielony, klasa jakości I,</t>
  </si>
  <si>
    <t>Mandarynki bezpestkowe, słodkie, luzem klasa jakości I,</t>
  </si>
  <si>
    <t>Marchew, klasa jakości I, opakowanie - worek</t>
  </si>
  <si>
    <t>Ogórki kiszone  z beczki (utrwalona naturalnie bez dodatkowego kwasu octowego, mlekowego), opakowanie beczka</t>
  </si>
  <si>
    <t>Ogórki zielone z upraw pod osłonami, klasa jakości I,</t>
  </si>
  <si>
    <t>Papryka świeża, czerwona, klasa jakości I,</t>
  </si>
  <si>
    <t>Pietruszka (korzeń), klasa jakości I, opakowanie worek</t>
  </si>
  <si>
    <t>Pietruszka zielona (natka ), klasa jakości I,</t>
  </si>
  <si>
    <t>Pomarańcze luzem klasa jakości I,</t>
  </si>
  <si>
    <t>Por (kraj) wiązka klasa jakości I,</t>
  </si>
  <si>
    <t>Rzodkiewka, klasa jakości I,</t>
  </si>
  <si>
    <t>Seler korzeń, klasa jakości I,</t>
  </si>
  <si>
    <t>Winogrona białe, bez pestkowe, import, klasa jakości I,</t>
  </si>
  <si>
    <t xml:space="preserve">Ziemniaki jadalne odmiany „Soraja”lub "Gala" ,(workowane 15 kg)
( w miesiącach I-VII) ze zbiorów w 2023 r. albo (w miesiącach VIII-XII) 2024 r. 
</t>
  </si>
  <si>
    <t>Barszcz biały bez konserwantów na zakwasie z dodatkiem świeżego czosnku( w opakowaniu szklanym, butelka- 0.5 litra)</t>
  </si>
  <si>
    <t>mango świeże, klasa jakości I,</t>
  </si>
  <si>
    <t>kalarepka świeża (średniej wielkości, jędrna, niezdrewniała), klasa jakości I,</t>
  </si>
  <si>
    <t>truskawka świeża sezonowa (czerwiec-sierpień), klasa jakości I,</t>
  </si>
  <si>
    <t>ananas świeży cały, klasa jakości I,</t>
  </si>
  <si>
    <t>kiwi świeże, klasa jakości I,</t>
  </si>
  <si>
    <t>brokuł świezy bez liści, klasa jakości I,</t>
  </si>
  <si>
    <t>kapusta młoda biała, świeża klasa jakości I,</t>
  </si>
  <si>
    <t>owoc kaki, świezy klasa jakości I,</t>
  </si>
  <si>
    <t>morele świerzy sezonowe (lipiec -wrzesień) świeże klasa jakości I,</t>
  </si>
  <si>
    <t>śliwki świeże, klasa jakości I, różne odmiany np. węgierka, blufre, dąbrowicka, lubaszka, diana, lepotica, president silvia (odmina musi charakteryzować się łatwością oddzielenia pestki)</t>
  </si>
  <si>
    <t>Razem</t>
  </si>
  <si>
    <t>arbuz świeży, klasa jakości I,</t>
  </si>
  <si>
    <t>Filet z kurczaka zagrodowego pojedynczy – świeży, bez nastrzyku (mięso z tuszek kurcząt zawierające mięśnie piersiowe, bez skóry, kości klatki piersiowej, grzbietu i ścięgien).</t>
  </si>
  <si>
    <r>
      <t xml:space="preserve">Podudzie z kurczaka ze skórą – świeże, bez nastrzyku waga 1 szt. 120 - 150 g
(mięso drobiowe uzyskane z tuszek kurcząt, </t>
    </r>
    <r>
      <rPr>
        <sz val="11"/>
        <rFont val="Calibri"/>
        <family val="2"/>
        <charset val="238"/>
        <scheme val="minor"/>
      </rPr>
      <t xml:space="preserve">zawierające podudzie </t>
    </r>
    <r>
      <rPr>
        <sz val="11"/>
        <color rgb="FF000000"/>
        <rFont val="Calibri"/>
        <family val="2"/>
        <charset val="238"/>
        <scheme val="minor"/>
      </rPr>
      <t>).</t>
    </r>
  </si>
  <si>
    <t xml:space="preserve">kiełbasa żywiecka sucha wędzona dymem,  125 g mięsa na 100 g produktu, </t>
  </si>
  <si>
    <t>Filet z indyka – świeży, bez nastrzyku (mięso z tuszek indyków zawierające mięśnie piersiowe, bez skóry, kości klatki piersiowej, grzbietu i ścięgien).</t>
  </si>
  <si>
    <t>Schab wieprzowy świeży bez kości klasy I, bez nastrzyku (najdłuższy mięsień grzbietu z odcinka piersiowo-lędźwiowego półtuszy bez słoniny).</t>
  </si>
  <si>
    <t>Wołowina świeża(cielęcina) bez kości -zrazowa górna klasa I „extra”, bez nastrzyku
(mięso z bydła młodego, górna zrazowa, bez ścięgien i widocznego tłuszczu.</t>
  </si>
  <si>
    <t>Kiełbasa wiejska ( mięso wieprzowe z dodatkiem mięsa cielęcego, z dodatkiem przypraw naturalnych). Termin przydatności do spożycia 14 dni od daty dostawy.</t>
  </si>
  <si>
    <t>Śmietana UHT 30% (0,5 l)Produkt o jednolitej, gęstej, konsystencji, smak słodki, barwa biała z odcieniem jasnokremowym. Termin przydatności do spożycia 30 dni od daty dostawy.</t>
  </si>
  <si>
    <t>Jogurt naturalny typu greckiego (w opak. 350 - 400g)Opakowanie: kubek z tworzywa polietylowego, zamknięty platynką, smak i zapach łagodny, czysty, bez obcych posmaków i zapachów. Konsystencja jednolita, gęsta, kremowa. Termin przydatności do spożycia 20 dni od daty dostawy.</t>
  </si>
  <si>
    <t>Jogurt naturalny 2 % tłuszczu (w opak. 370 - 400g)Opakowanie: kubek z tworzywa polietylowego, zamknięty platynką, smak i zapach łagodny, czysty, charakterystyczny bez obcych posmaków i zapachów. Konsystencja jednolita, gęsta , bez grudek, kremowa. Termin przydatności do spożycia 20 dni od daty dostawy.</t>
  </si>
  <si>
    <t>Masło „extra” w kostkach (200g) o zawartości tłuszczu 82% Produkt jednolity, zwarty, smarowny, dopuszcza się lekko twardą lub lekko mazistą, powierzchnia gładka, sucha, smak lekko kwaskowy, czysty. Termin przydatności do spożycia 21 dni od daty dostawy.</t>
  </si>
  <si>
    <t>Mleko uht 2 % karton 1 litr</t>
  </si>
  <si>
    <t>Twaróg półtłusty (w opak. 0,40 - 1,50 kg) Produkt jednolity, zwarty, bez grudek, lekko luźny, smak łagodny, czysty, lekko kwaskowy, wyczuwalny posmak pasteryzacji, barwa biała do lekko kremowej. Termin przydatności do spożycia min. 5 dni od daty dostawy.</t>
  </si>
  <si>
    <t>Konfitura brzoskwiniowa, niskosłodzona o zawartości owoców 70g na 100 g produktu, cukier, substancja żelująca - pektyny, substancje zagęszczające, regulator kwasowości - kwas cytrynowy.- opakowanie o gramaturze netto 240 g   np. Łowicz lub równoważne, za równoważy zostanie uznany produkt, którego 100 g zostało wyprodukowane z co najmniej 70 g owoców</t>
  </si>
  <si>
    <t>Bazylia suszona 100% opak.10g</t>
  </si>
  <si>
    <t>Cukier biały kategorii 2 (opak. 1,0 kg)</t>
  </si>
  <si>
    <t>Cynamon mielony o zawartości olejków eterycznych w suchej masie min.1,2% (ml/100g)opak 15-20 g</t>
  </si>
  <si>
    <t>Kakao naturalne „ekstra” ciemne o zawartości tłuszczu kakaowego 10-12% w 100g masy (opak. 100-200g)</t>
  </si>
  <si>
    <t>Kasza manna (opak. 1 kg)(tzw. grysik)</t>
  </si>
  <si>
    <t>Liść laurowy cały (uszkodzone liście max 10%, patyczki i inne zanieczyszczenia pochodzące z rośliny max 1%) opak. 100g</t>
  </si>
  <si>
    <t>Mąka pszenna tortowa  typ 450 (opak. 1 kg)</t>
  </si>
  <si>
    <t>Płatki owsiane górskie błyskawiczne(opak. 0,40 kg)</t>
  </si>
  <si>
    <t>Skrobia ziemniaczana (opak. 1kg)</t>
  </si>
  <si>
    <t>ziele angielskie całe o zawartości olejków eterycznych w suchej masie min.1,6% (ml/100g) opak. 1000 g</t>
  </si>
  <si>
    <t>Filet z makreli w sosie pomidorowym konserwa –zawartość makreli min.65% (150-180 gram)</t>
  </si>
  <si>
    <t>Ryż biały długoziarnisty (opak. 1kg)</t>
  </si>
  <si>
    <t>herbatniki maślane 220 g</t>
  </si>
  <si>
    <t>Przecier pomidorowy klasyczny 500-750 g (passata)</t>
  </si>
  <si>
    <t>Bułka tarta (w opak. 0,40 – 0,50 kg ) Otrzymywana z wysuszonego pieczywa pszennego zwykłego, drobno mielona, sypka, bez dodatku nasion, nadzień, grudek. Na opakowaniu określony termin przydatności do spożycia.</t>
  </si>
  <si>
    <t>Chleb mieszany krojony, pakowany 0,550-0,6 kg (opak. dopuszczone do kontaktu z żywnością). Skład: mąka pszenna min. 60%,mąka żytnia min. 25%, na kwasie z dodatkiem drożdży lub na drożdżach z dodatkiem soli. Dopuszcza się zawartość płatków ziemniaczanych do 5%. Bochenek podłużny o gładkiej lub lekko chropowatej skórce, opakowany w folię. Niedopuszczalne jest stosowanie do produkcji półproduktów.</t>
  </si>
  <si>
    <t>Banany, klasa jakości I, (długość paluszka min.20 cm)</t>
  </si>
  <si>
    <t>Jabłka, luzem, klasa jakości I, o średnicy 6,5 – 8,00 cm (jedną z odmian) Ligol, Cortland,  Jonagored, Gala, Rubinstar, Champion</t>
  </si>
  <si>
    <t>Kapusta pekińska, klasa jakości I</t>
  </si>
  <si>
    <t>Chleb tostowy pszenny krojony 400g</t>
  </si>
  <si>
    <t>Chleb graham  krojony (0,350 – 0,450 kg) Skład: mąka pszenna graham min. 60%,mąka pszenna min. 25%, na kwasie z dodatkiem drożdży lub na drożdżach z dodatkiem soli. Dopuszcza się zawartość płatków ziemniaczanych do 5%. Bochenek podłużny o gładkiej lub lekko chropowatej skórce. Niedopuszczalne jest stosowanie do produkcji półproduktów.</t>
  </si>
  <si>
    <t>Cena jednostkowa netto</t>
  </si>
  <si>
    <t xml:space="preserve">  Stawka VAT w %  </t>
  </si>
  <si>
    <t>Wartość netto (zł)</t>
  </si>
  <si>
    <t>części 1 postępowania obejmujące dostawę pieczywa i art. Cukierniczych zgodnie z wypełnionym wykazem za cenę brutto :*</t>
  </si>
  <si>
    <t>Dostawa części 1 zamówienia będzie realizowana codziennie od poniedziałku do piątku z wyłączeniem dni ustawowo wolnych od pracy w godzinach:</t>
  </si>
  <si>
    <t>części 2 postępowania obejmujące dostawę warzyw i owoców zgodnie z wypełnionym wykazem za cenę brutto:*</t>
  </si>
  <si>
    <t>Dostawa części 2 zamówienia będzie realizowana codziennie od poniedziałku do piątku z wyłączeniem dni ustawowo wolnych od pracy w godzinach:</t>
  </si>
  <si>
    <t>części 3 postępowania obejmujące dostawę mięsa i wędlin zgodnie z wypełnionym wykazem za cenę brutto:*</t>
  </si>
  <si>
    <t>Dostawa części 3 zamówienia będzie realizowana codziennie od poniedziałku do piątku z wyłączeniem dni ustawowo wolnych od pracy w godzinach:</t>
  </si>
  <si>
    <t>części 4 postępowania obejmujące dostawę nabiału zgodnie z wypełnionym wykazem za cenę brutto:*</t>
  </si>
  <si>
    <t>Dostawa części 4 zamówienia będzie realizowana codziennie od poniedziałku do piątku z wyłączeniem dni ustawowo wolnych od pracy w godzinach:</t>
  </si>
  <si>
    <t>części 5 postępowania obejmujące dostawę tzw. produktów suchych zgodnie z wypełnionym wykazem za cenę brutto: *</t>
  </si>
  <si>
    <t>Dostawa części 5 zamówienia będzie realizowana codziennie od poniedziałku do piątku z wyłączeniem dni ustawowo wolnych od pracy w godzinach:</t>
  </si>
  <si>
    <t>* - niepotrzebne skreślić lub usunąć</t>
  </si>
  <si>
    <t>** - należy wskazać jedną z dwóch godzin dostawy albo 7:00-7:30 albo 7:30-8:00, wpisanie innych wartości będzie skutkować odrzuceniem oferty.</t>
  </si>
  <si>
    <t>Chałka(350g), skład: mąka pszenna, drożdże, mleko w proszku, jaja</t>
  </si>
  <si>
    <t>Kiełbasa cienka z fileta drobiowego(o zawartości mięsa wieprzowego min. 90%)Termin przydatności do spożycia 10 dni od daty dostawy.</t>
  </si>
  <si>
    <t>Szynka wieprzowa wędzona, gotowana z bobrownik ze spichrza lub równoważna za równoważny zostanie uznany produkt, którego 100 g zostało wyprodukowane z 130-140 g mięsa szynki Termin przydatności do spożycia 14 dni od daty dostawy. Bez alergenów</t>
  </si>
  <si>
    <t>Ser żółty „Gouda” (w blokach 1,00 - 3,00 kg)Produkt pełnotłusty, konsystencja jednolita w całej masie, elastyczna, zwarta, smak łagodny, z posmakiem orzechowym, dający się łatwo kroić krajalnicą mechaniczną, nie kruszący się. Termin przydatności do spożycia 30 dni od daty dostawy.</t>
  </si>
  <si>
    <t>Serek twarogowy kremowy (śmietankowy o min. zawartości tłuszczu 20g w 100g produktu w opak. 150 g) - różne smaki. Opakowanie: kubek zamknięty platynką, smak i zapach czysty, łagodny, naturalny lub charakterystyczny dla dodanego składnika smakowego, lekko kwaskowy. Konsystencja jednolita, kremowa. Termin przydatności do spożycia 20 dni od daty dostawy.</t>
  </si>
  <si>
    <t>czysty syrop klonowy w opakowaniu szklanym o pojemności 150-200 ml</t>
  </si>
  <si>
    <t>groszek ptysiowy tradycyjny 300 g np. Ciasteczka z Krakowa lub równoważny, za równoważny zostanie uznany produkt, którego wartość energetyczna w 100 g wynosi 508kcal, zaś zawartość tłuszczu w 100 g produktu nie przekracza 27 % (27g), a cukru 16% (16g).</t>
  </si>
  <si>
    <t>Herbata czarna expressowa pakowana po 100 szt., Lipton lub równoważna, za równoważny zostanie uznany produkt, który na opakowaniu zawiera wykaz wszystkich rodzajów herbat użytych do wyprodukowania mieszanki.</t>
  </si>
  <si>
    <t>Kawa  zbożowa skład: zboża nie mniej niż 72% (jęczmień, żyto), cykoria, burak cukrowy – prażone. (opak. 500g) np. Kujwawianka lub równoważna , za równoważny zostanie uznany produkt w którego składniki wynoszą: 60% żyto, 20% jęczmień, 20% cykoria, burak cukrowy prażony, a wartość odżywcza w 100 ml. naparu wynosi 5-10 kcal.</t>
  </si>
  <si>
    <t>Miód naturalny wielokwiatowy (opak. Szklane 400g)</t>
  </si>
  <si>
    <t>Płatki kukurydziane: grys kukurydziany, cukier, sól, syrop cukru inwertowanego, regulator kwasowości (fosforany sodu), melasa, substancje wzbogacające: witaminy (B3, B5, B2, B6, B9), opakowanie 1000 g. 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</si>
  <si>
    <t>Płatki śniadaniowe pełnoziarniste różne smaki wzbogacone o witaminy; opakowanie 500 g. 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</si>
  <si>
    <t>Sól jodowana morska warzona o obniżonej zawartości sodu w opak. 1 kg</t>
  </si>
  <si>
    <t>Wafel ryżowy naturalne (opak. 110 g) np. sante lub równoważne, za równoważny zostanie uznany produkt wyprodukowany w 100% z ziaren ryżu i wartości energetycznej w 100 g produktu wynoszącej 370 kcal</t>
  </si>
  <si>
    <t xml:space="preserve"> </t>
  </si>
  <si>
    <t xml:space="preserve">Ser żóty GOUDA pakowany po 400g </t>
  </si>
  <si>
    <t xml:space="preserve">szt. </t>
  </si>
  <si>
    <t>Makrela wędzona</t>
  </si>
  <si>
    <t xml:space="preserve">Herbata miętowa 20 torebek </t>
  </si>
  <si>
    <t xml:space="preserve">Korpus z kurczaka </t>
  </si>
  <si>
    <t xml:space="preserve">kg </t>
  </si>
  <si>
    <t xml:space="preserve">Pieczarki świeże </t>
  </si>
  <si>
    <r>
      <t>Kasza</t>
    </r>
    <r>
      <rPr>
        <b/>
        <sz val="11"/>
        <color rgb="FFFF0000"/>
        <rFont val="Calibri"/>
        <family val="2"/>
        <charset val="238"/>
        <scheme val="minor"/>
      </rPr>
      <t xml:space="preserve"> jęczmienna wiejska ekspresow</t>
    </r>
    <r>
      <rPr>
        <sz val="11"/>
        <color rgb="FF000000"/>
        <rFont val="Calibri"/>
        <family val="2"/>
        <charset val="238"/>
        <scheme val="minor"/>
      </rPr>
      <t xml:space="preserve">a (400g) </t>
    </r>
  </si>
  <si>
    <t>Ser biały w plastrach (opakowanie 150g)</t>
  </si>
  <si>
    <t>Maślanka 1l</t>
  </si>
  <si>
    <t xml:space="preserve">Fasola Jaś </t>
  </si>
  <si>
    <t xml:space="preserve">Pasztet pieczony drobiowy lub drobiowo-wieprzowy w foremkach </t>
  </si>
  <si>
    <t>Kiełbaski śląskie (pakowane ok. 400-600g)</t>
  </si>
  <si>
    <t xml:space="preserve">Kasza jęczmienna wiejska  (1 kg) </t>
  </si>
  <si>
    <t>Mąka kukurydziana (1kg)</t>
  </si>
  <si>
    <t>Mąka razowa (1kg)</t>
  </si>
  <si>
    <t>Ryż biały długoziarnisty ekspresowy (4x100g)</t>
  </si>
  <si>
    <t>Herbata owocowa SAGA (20 torebek)</t>
  </si>
  <si>
    <t>Dżem Łowicz (różne smaki, 280g)</t>
  </si>
  <si>
    <t>Kisiel Winiary w różnych smakach (malionowy,truskawkowy, pomarańczowy)</t>
  </si>
  <si>
    <t>Galaretka Winiary w różnych smakach (truskawkowa, brzoskwiniowa)</t>
  </si>
  <si>
    <t>Przyprawa w płynie do zup Maggi (op. 960g)</t>
  </si>
  <si>
    <t>Cukier wanilinowy (16g)</t>
  </si>
  <si>
    <t>Przyprawa do ryb 20g</t>
  </si>
  <si>
    <t>Przyprawa do sałatek 20g</t>
  </si>
  <si>
    <t>Przyprawa do ziemniaków 20g</t>
  </si>
  <si>
    <t>Przyprawa do kurczaka 30g</t>
  </si>
  <si>
    <t>Przyprawa do mięs delikate KNORR 200g</t>
  </si>
  <si>
    <t>Czosnek granulowany 20g</t>
  </si>
  <si>
    <t>Barszcz biały WINIARY 65g</t>
  </si>
  <si>
    <r>
      <t>Olej rzepakowy rafinowany o zawartości kwasów jedno nienasyconych nie mniej niż 63g w 100g (</t>
    </r>
    <r>
      <rPr>
        <b/>
        <sz val="11"/>
        <color rgb="FFFF0000"/>
        <rFont val="Calibri"/>
        <family val="2"/>
        <charset val="238"/>
        <scheme val="minor"/>
      </rPr>
      <t>opak. 3l</t>
    </r>
    <r>
      <rPr>
        <sz val="11"/>
        <color rgb="FF000000"/>
        <rFont val="Calibri"/>
        <family val="2"/>
        <charset val="238"/>
        <scheme val="minor"/>
      </rPr>
      <t>)</t>
    </r>
  </si>
  <si>
    <r>
      <t>Majeranek suszony</t>
    </r>
    <r>
      <rPr>
        <b/>
        <sz val="11"/>
        <color rgb="FFFF0000"/>
        <rFont val="Calibri"/>
        <family val="2"/>
        <charset val="238"/>
        <scheme val="minor"/>
      </rPr>
      <t xml:space="preserve"> opak.10g</t>
    </r>
  </si>
  <si>
    <t xml:space="preserve">Chrupki kukurydziane </t>
  </si>
  <si>
    <t>Olej z ziołami Kujawski 250ml (bazylia, czosnek, pomidor z cebulą itp..)</t>
  </si>
  <si>
    <t xml:space="preserve">Sok owocowo-warzywny Kubuś 0,9l </t>
  </si>
  <si>
    <t>Mus Kubuś 100% (100g)</t>
  </si>
  <si>
    <t xml:space="preserve">Groszek konserwowy </t>
  </si>
  <si>
    <r>
      <t>Pomidory krojone w soku pomidorowym bez skórki, pojemność</t>
    </r>
    <r>
      <rPr>
        <b/>
        <sz val="11"/>
        <color rgb="FFFF0000"/>
        <rFont val="Calibri"/>
        <family val="2"/>
        <charset val="238"/>
        <scheme val="minor"/>
      </rPr>
      <t xml:space="preserve"> 400 g </t>
    </r>
    <r>
      <rPr>
        <sz val="11"/>
        <color rgb="FF000000"/>
        <rFont val="Calibri"/>
        <family val="2"/>
        <charset val="238"/>
        <scheme val="minor"/>
      </rPr>
      <t xml:space="preserve">pomidory 65%, sok pomidorowy 34,9%, regulator kwasowości (kwas cytrynowy) </t>
    </r>
  </si>
  <si>
    <t>Winogrono ciemne</t>
  </si>
  <si>
    <t>Buraki , klasa jakości I, korzeń okrągły
opakowanie - worek</t>
  </si>
  <si>
    <t>Imbir</t>
  </si>
  <si>
    <t>Mix sałat pakowany 200g</t>
  </si>
  <si>
    <t>Koncentrat barszcz czerwony KRAKUS</t>
  </si>
  <si>
    <t>Mleko kozie w kartonie (0,5l)</t>
  </si>
  <si>
    <t>Mięta świeża, w doniczkach, pakowana w folię</t>
  </si>
  <si>
    <t>Koncentra pomidorowy Pudliszki (w słoiczkach 190g)</t>
  </si>
  <si>
    <t>Prażynki kukurydziane (opakowanie ok. 100g)</t>
  </si>
  <si>
    <t>Śmietana łaciata 12% do zabielania zup i sosów (500ml)</t>
  </si>
  <si>
    <t>Śmietana łaciata 18% do zabielania zup i sosów (500ml)</t>
  </si>
  <si>
    <t xml:space="preserve">Jarmuż </t>
  </si>
  <si>
    <t>Awokado Hass</t>
  </si>
  <si>
    <t>Limonka</t>
  </si>
  <si>
    <t xml:space="preserve">Pulpa mango 450g </t>
  </si>
  <si>
    <t>Żurawina w słoiku (ok. 250g)</t>
  </si>
  <si>
    <t xml:space="preserve">Dynia odmiana Muskat </t>
  </si>
  <si>
    <t>przyprawa zioła prowansalskie w opakowaniu o wadze 20 g</t>
  </si>
  <si>
    <t>Makaron drobny jajeczny z mąki makaronowej pszennej rodzaj: zacierka, ryż, gwiazdki, krajanka, nitka, krajaneczka, łazanka ( 1,0 kg)</t>
  </si>
  <si>
    <r>
      <t>Proszek do pieczenia</t>
    </r>
    <r>
      <rPr>
        <b/>
        <sz val="11"/>
        <color rgb="FFFF0000"/>
        <rFont val="Calibri"/>
        <family val="2"/>
        <charset val="238"/>
        <scheme val="minor"/>
      </rPr>
      <t xml:space="preserve"> 15g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</si>
  <si>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Sok 100% owoc, butelka z dziubkiem, 300 ml</t>
  </si>
  <si>
    <t>groch łuskany, opakowanie 500 g</t>
  </si>
  <si>
    <t>Słomka ptysiowa (opakowanie 125g)</t>
  </si>
  <si>
    <t>Kiełbasa krakowska sucha w 100g produktu min.120g mięsa wieprzowego. Termin przydatności do spożycia 14 dni od daty dostawy. (pakowana po 260g)</t>
  </si>
  <si>
    <t>Woda mineralna niegazowana. Pojemność 0,33 litra.</t>
  </si>
  <si>
    <t>Wegeta PODRAVKA (opakowanie 1 kg)</t>
  </si>
  <si>
    <r>
      <t>brzoskwinie/</t>
    </r>
    <r>
      <rPr>
        <b/>
        <sz val="11"/>
        <color rgb="FFFF0000"/>
        <rFont val="Calibri"/>
        <family val="2"/>
        <charset val="238"/>
        <scheme val="minor"/>
      </rPr>
      <t>nektarynki</t>
    </r>
    <r>
      <rPr>
        <sz val="11"/>
        <rFont val="Calibri"/>
        <family val="2"/>
        <charset val="238"/>
        <scheme val="minor"/>
      </rPr>
      <t xml:space="preserve"> świeże, klasa jakości I,</t>
    </r>
  </si>
  <si>
    <t>Margaryna "KASIA" w kostce 250g</t>
  </si>
  <si>
    <t>Powidło śliwkowe (930g)</t>
  </si>
  <si>
    <r>
      <t xml:space="preserve">soki owocowe 100 % soku w opakowaniu o pojemności </t>
    </r>
    <r>
      <rPr>
        <b/>
        <sz val="11"/>
        <color rgb="FFFF0000"/>
        <rFont val="Calibri"/>
        <family val="2"/>
        <charset val="238"/>
        <scheme val="minor"/>
      </rPr>
      <t>5 litr</t>
    </r>
    <r>
      <rPr>
        <sz val="11"/>
        <color rgb="FF000000"/>
        <rFont val="Calibri"/>
        <family val="2"/>
        <charset val="238"/>
        <scheme val="minor"/>
      </rPr>
      <t xml:space="preserve"> w kartonie</t>
    </r>
  </si>
  <si>
    <r>
      <t xml:space="preserve">parówki w osłonce 95 % mięsa gat. I </t>
    </r>
    <r>
      <rPr>
        <b/>
        <sz val="11"/>
        <color rgb="FFFF0000"/>
        <rFont val="Calibri"/>
        <family val="2"/>
        <charset val="238"/>
        <scheme val="minor"/>
      </rPr>
      <t xml:space="preserve">parówki z szynki 100% tarczyński </t>
    </r>
  </si>
  <si>
    <t xml:space="preserve">Śliwka kalifornijska suszona </t>
  </si>
  <si>
    <t>Morela suszona</t>
  </si>
  <si>
    <t>Orzeszki nerkowca</t>
  </si>
  <si>
    <t>Orzech laskowy blanszowany</t>
  </si>
  <si>
    <t>Chlebowiec suszony</t>
  </si>
  <si>
    <t xml:space="preserve">Ananas suszony naturalny </t>
  </si>
  <si>
    <t>Żurawina jagodowa suszona</t>
  </si>
  <si>
    <t>Kokos kostka</t>
  </si>
  <si>
    <t>Orzech włoski blanszowany</t>
  </si>
  <si>
    <t>Pomelo suszone</t>
  </si>
  <si>
    <t>Kostka Porcja Dobra z niespodzianką w różnych smakach firmy PURE LIFE</t>
  </si>
  <si>
    <t>Mango suszone</t>
  </si>
  <si>
    <t xml:space="preserve">Rodzynki królewskie </t>
  </si>
  <si>
    <t>Marakuja suszona</t>
  </si>
  <si>
    <t>Kantalupa suszona</t>
  </si>
  <si>
    <r>
      <t>Pieprz naturalny mielony 100%, opak. typu pet zamykane platynką i nakrętką (minimalna zawartość piperyny 4%)</t>
    </r>
    <r>
      <rPr>
        <b/>
        <sz val="11"/>
        <color rgb="FFFF0000"/>
        <rFont val="Calibri"/>
        <family val="2"/>
        <charset val="238"/>
        <scheme val="minor"/>
      </rPr>
      <t xml:space="preserve"> 20g</t>
    </r>
  </si>
  <si>
    <r>
      <t xml:space="preserve">Szynka wieprzowa surowa świeża  klasy I, bez nastrzyku ( tkanka mięsna przerośnięta tłuszczem i tkanką łączną). </t>
    </r>
    <r>
      <rPr>
        <b/>
        <sz val="11"/>
        <color rgb="FFFF0000"/>
        <rFont val="Calibri"/>
        <family val="2"/>
        <charset val="238"/>
        <scheme val="minor"/>
      </rPr>
      <t xml:space="preserve">Mięso wieprzowe od szynki </t>
    </r>
  </si>
  <si>
    <t>Śmietana homogenizowana 18% (w opak. 300g-400g) Produkt o jednolitej gęstej kremowej konsystencji, smak lekko kwaskowy, barwa biała z odcieniem jasnokremowym. Termin przydatności do spożycia 10 dni od daty dostawy.</t>
  </si>
  <si>
    <r>
      <t xml:space="preserve">Pieczeń wołowa udziec wołowy zrazowa, świeża klasy I, bez nastrzyku </t>
    </r>
    <r>
      <rPr>
        <b/>
        <sz val="11"/>
        <color rgb="FFFF0000"/>
        <rFont val="Calibri"/>
        <family val="2"/>
        <charset val="238"/>
        <scheme val="minor"/>
      </rPr>
      <t>mięso pieczeniowe wołowe</t>
    </r>
  </si>
  <si>
    <t>mięso wołowe rosołowe (rozbef)</t>
  </si>
  <si>
    <t>Papaja suszona</t>
  </si>
  <si>
    <t>Bułeczki mleczne Dan Cake 400g</t>
  </si>
  <si>
    <r>
      <t xml:space="preserve">Makaron średni </t>
    </r>
    <r>
      <rPr>
        <b/>
        <sz val="11"/>
        <color rgb="FFFF0000"/>
        <rFont val="Calibri"/>
        <family val="2"/>
        <charset val="238"/>
        <scheme val="minor"/>
      </rPr>
      <t>lubella/czaniecki</t>
    </r>
    <r>
      <rPr>
        <sz val="11"/>
        <color rgb="FF000000"/>
        <rFont val="Calibri"/>
        <family val="2"/>
        <charset val="238"/>
        <scheme val="minor"/>
      </rPr>
      <t xml:space="preserve"> ,rodzaj: świderek, kokardka duża, spaghetti, kolanka z falbanką, wstążka długa, piórka(rurki penne),</t>
    </r>
    <r>
      <rPr>
        <b/>
        <sz val="11"/>
        <color rgb="FFFF0000"/>
        <rFont val="Calibri"/>
        <family val="2"/>
        <charset val="238"/>
        <scheme val="minor"/>
      </rPr>
      <t xml:space="preserve"> opak. 0,5 kg </t>
    </r>
  </si>
  <si>
    <t>Tel: (12) 250 15 07</t>
  </si>
  <si>
    <t>Nazwa produktu i producent</t>
  </si>
  <si>
    <t>Znak sprawy: 1/ZP/2024</t>
  </si>
  <si>
    <t>UWAGA!</t>
  </si>
  <si>
    <t>Wykonawca wypełnia jedynie komórki zaznaczone kolorem żółtym.</t>
  </si>
  <si>
    <t>Znak sprawy:1/ZP/2024</t>
  </si>
  <si>
    <t>32-020 Wieliczka, Koźmice Wielkie 427</t>
  </si>
  <si>
    <t>w Koźmicach Wielkich</t>
  </si>
  <si>
    <t>PRZEDSZKOLE SAMORZĄDOWE</t>
  </si>
  <si>
    <t>NIP 683-17-55-655, REGON 351606334</t>
  </si>
  <si>
    <t>Ceny poszczególnych części zostaną uzupełnione automatycznie po wypełnieniu przez wykonawcę właściwej tabeli asortymentowej znajdującej się na osobnych zakładkach (każda cześć na osobnej zakładce).</t>
  </si>
  <si>
    <t>*** - należy wskazać czy dostawa nastąpi tego samego lub następnego dnia po złożenia zamówienia, albo w dwa dni po złożeniu zamówienia albo w 3 dni po złożeniu zamówienia albo w cztery dni po złożeniu zamówienia.</t>
  </si>
  <si>
    <t>X</t>
  </si>
  <si>
    <t>7:00 - 7:30</t>
  </si>
  <si>
    <t>7:30 - 8:00</t>
  </si>
  <si>
    <t>drugiego dnia</t>
  </si>
  <si>
    <t xml:space="preserve">trzeciego dnia </t>
  </si>
  <si>
    <t xml:space="preserve">czwartego dnia </t>
  </si>
  <si>
    <t>po dniu złożeniu zamówienia.</t>
  </si>
  <si>
    <t>….***</t>
  </si>
  <si>
    <t>…**</t>
  </si>
  <si>
    <t>wybór niniejszej oferty nie będzie prowadzić do powstania u Zamawiającego obowiązku podatkowego zgodnie z ustawą z dnia 11 marca 2004 r. o podatku od towarów i usług</t>
  </si>
  <si>
    <t>wybór niniejszej oferty będzie prowadzić do powstania u Zamawiającego obowiązku podatkowego zgodnie z ustawą z dnia 11 marca 2004 r. o podatku od towarów i usług oraz:</t>
  </si>
  <si>
    <t>Termin realizacja dostawy</t>
  </si>
  <si>
    <t xml:space="preserve">w dniu złożenia zamówienia albo w dniu następnym </t>
  </si>
  <si>
    <t>Znak sprawy: 2/ZP/2024</t>
  </si>
  <si>
    <r>
      <rPr>
        <sz val="11"/>
        <color rgb="FF000000"/>
        <rFont val="Calibri"/>
        <family val="2"/>
        <charset val="238"/>
        <scheme val="minor"/>
      </rPr>
      <t>Składając ofertę w postępowaniu</t>
    </r>
    <r>
      <rPr>
        <b/>
        <sz val="11"/>
        <color rgb="FF000000"/>
        <rFont val="Calibri"/>
        <family val="2"/>
        <charset val="238"/>
        <scheme val="minor"/>
      </rPr>
      <t xml:space="preserve"> nr 2/ZP/2024 o udzielenie zamówienia publicznego w trybie podstawowym bez negocjacji, którego przedmiotem zamówienia jest dostawa artykułów spożywczych w 2025 roku, </t>
    </r>
    <r>
      <rPr>
        <sz val="11"/>
        <color rgb="FF000000"/>
        <rFont val="Calibri"/>
        <family val="2"/>
        <charset val="238"/>
        <scheme val="minor"/>
      </rPr>
      <t>oświadczam że wykonam zamówienie dotyczące: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</si>
</sst>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.00\ &quot;zł&quot;"/>
    <numFmt numFmtId="165" formatCode="_-* #,##0.00\ [$€-1]_-;\-* #,##0.00\ [$€-1]_-;_-* &quot;-&quot;??\ [$€-1]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rgb="FF000000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7"/>
      <color rgb="FF000000"/>
      <name val="Times New Roman"/>
      <family val="1"/>
      <charset val="238"/>
    </font>
    <font>
      <vertAlign val="superscript"/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Calibri Light"/>
      <family val="2"/>
      <charset val="238"/>
    </font>
    <font>
      <sz val="10"/>
      <color rgb="FFFF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4" xfId="0" quotePrefix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right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top" wrapText="1"/>
    </xf>
    <xf numFmtId="0" fontId="19" fillId="0" borderId="4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9" fillId="0" borderId="3" xfId="0" applyFont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0" fillId="0" borderId="27" xfId="0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44" fontId="19" fillId="0" borderId="5" xfId="0" applyNumberFormat="1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20" fillId="0" borderId="3" xfId="0" applyFont="1" applyBorder="1" applyAlignment="1">
      <alignment vertical="top" wrapText="1" shrinkToFit="1"/>
    </xf>
    <xf numFmtId="0" fontId="20" fillId="0" borderId="7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44" fontId="0" fillId="0" borderId="3" xfId="0" applyNumberFormat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44" fontId="0" fillId="4" borderId="5" xfId="0" applyNumberFormat="1" applyFill="1" applyBorder="1" applyAlignment="1">
      <alignment horizontal="center" vertical="center"/>
    </xf>
    <xf numFmtId="44" fontId="19" fillId="0" borderId="1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/>
    </xf>
    <xf numFmtId="0" fontId="0" fillId="0" borderId="29" xfId="0" applyBorder="1"/>
    <xf numFmtId="0" fontId="2" fillId="0" borderId="29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4" fontId="19" fillId="4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/>
    </xf>
    <xf numFmtId="0" fontId="0" fillId="0" borderId="30" xfId="0" applyBorder="1"/>
    <xf numFmtId="0" fontId="19" fillId="0" borderId="3" xfId="0" applyFont="1" applyBorder="1" applyAlignment="1">
      <alignment horizontal="center"/>
    </xf>
    <xf numFmtId="0" fontId="0" fillId="0" borderId="4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4" borderId="5" xfId="0" applyNumberFormat="1" applyFill="1" applyBorder="1" applyAlignment="1">
      <alignment horizontal="center" vertical="center" wrapText="1"/>
    </xf>
    <xf numFmtId="9" fontId="0" fillId="4" borderId="3" xfId="0" applyNumberFormat="1" applyFill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quotePrefix="1" applyBorder="1" applyAlignment="1">
      <alignment horizontal="center" wrapText="1"/>
    </xf>
    <xf numFmtId="0" fontId="0" fillId="2" borderId="4" xfId="0" quotePrefix="1" applyFill="1" applyBorder="1" applyAlignment="1">
      <alignment horizontal="center" wrapText="1"/>
    </xf>
    <xf numFmtId="0" fontId="0" fillId="0" borderId="28" xfId="0" quotePrefix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2" fontId="0" fillId="0" borderId="3" xfId="0" applyNumberForma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wrapText="1"/>
    </xf>
    <xf numFmtId="164" fontId="0" fillId="2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7" fontId="20" fillId="4" borderId="5" xfId="0" applyNumberFormat="1" applyFont="1" applyFill="1" applyBorder="1" applyAlignment="1">
      <alignment horizontal="center" wrapText="1"/>
    </xf>
    <xf numFmtId="0" fontId="0" fillId="0" borderId="32" xfId="0" applyBorder="1"/>
    <xf numFmtId="44" fontId="2" fillId="0" borderId="5" xfId="0" applyNumberFormat="1" applyFont="1" applyBorder="1" applyAlignment="1">
      <alignment horizontal="center"/>
    </xf>
    <xf numFmtId="44" fontId="0" fillId="0" borderId="3" xfId="0" applyNumberFormat="1" applyBorder="1"/>
    <xf numFmtId="44" fontId="0" fillId="0" borderId="33" xfId="0" applyNumberFormat="1" applyBorder="1"/>
    <xf numFmtId="0" fontId="0" fillId="0" borderId="28" xfId="0" quotePrefix="1" applyBorder="1" applyAlignment="1">
      <alignment horizontal="center" vertical="center"/>
    </xf>
    <xf numFmtId="0" fontId="19" fillId="0" borderId="0" xfId="0" applyFont="1" applyAlignment="1">
      <alignment horizontal="center"/>
    </xf>
    <xf numFmtId="44" fontId="0" fillId="0" borderId="5" xfId="0" applyNumberFormat="1" applyBorder="1"/>
    <xf numFmtId="0" fontId="0" fillId="0" borderId="3" xfId="0" applyBorder="1"/>
    <xf numFmtId="165" fontId="0" fillId="0" borderId="0" xfId="0" applyNumberFormat="1"/>
    <xf numFmtId="0" fontId="22" fillId="0" borderId="0" xfId="0" applyFont="1" applyAlignment="1">
      <alignment horizontal="center" wrapText="1"/>
    </xf>
    <xf numFmtId="0" fontId="23" fillId="0" borderId="10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3" borderId="9" xfId="0" applyFont="1" applyFill="1" applyBorder="1" applyAlignment="1">
      <alignment horizontal="left" wrapText="1"/>
    </xf>
    <xf numFmtId="0" fontId="10" fillId="0" borderId="3" xfId="0" applyFont="1" applyBorder="1" applyAlignment="1">
      <alignment vertical="center" wrapText="1"/>
    </xf>
    <xf numFmtId="2" fontId="20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wrapText="1"/>
    </xf>
    <xf numFmtId="44" fontId="19" fillId="0" borderId="3" xfId="0" applyNumberFormat="1" applyFont="1" applyBorder="1" applyAlignment="1">
      <alignment horizontal="center" wrapText="1"/>
    </xf>
    <xf numFmtId="7" fontId="20" fillId="4" borderId="5" xfId="0" applyNumberFormat="1" applyFont="1" applyFill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9" fillId="3" borderId="37" xfId="0" applyFont="1" applyFill="1" applyBorder="1" applyAlignment="1">
      <alignment horizontal="left" wrapText="1"/>
    </xf>
    <xf numFmtId="0" fontId="9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4" fontId="19" fillId="4" borderId="33" xfId="0" applyNumberFormat="1" applyFont="1" applyFill="1" applyBorder="1" applyAlignment="1">
      <alignment horizontal="center" vertical="center"/>
    </xf>
    <xf numFmtId="9" fontId="0" fillId="4" borderId="36" xfId="0" applyNumberFormat="1" applyFill="1" applyBorder="1" applyAlignment="1">
      <alignment horizontal="center" vertical="center"/>
    </xf>
    <xf numFmtId="44" fontId="0" fillId="0" borderId="36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4" fontId="0" fillId="4" borderId="39" xfId="0" applyNumberFormat="1" applyFill="1" applyBorder="1" applyAlignment="1">
      <alignment horizontal="center" vertical="center"/>
    </xf>
    <xf numFmtId="0" fontId="10" fillId="0" borderId="0" xfId="0" applyFont="1"/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5" xfId="0" applyFont="1" applyBorder="1" applyAlignment="1">
      <alignment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9" fillId="4" borderId="0" xfId="0" applyFont="1" applyFill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9" fillId="4" borderId="2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4" borderId="18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9" fillId="0" borderId="24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44" fontId="8" fillId="4" borderId="15" xfId="0" applyNumberFormat="1" applyFont="1" applyFill="1" applyBorder="1" applyAlignment="1">
      <alignment horizontal="left" vertical="top" wrapText="1"/>
    </xf>
    <xf numFmtId="44" fontId="8" fillId="4" borderId="16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left" vertical="top" wrapText="1"/>
    </xf>
    <xf numFmtId="0" fontId="9" fillId="4" borderId="24" xfId="0" applyFont="1" applyFill="1" applyBorder="1" applyAlignment="1">
      <alignment horizontal="left" vertical="top" wrapText="1"/>
    </xf>
    <xf numFmtId="44" fontId="8" fillId="0" borderId="15" xfId="0" applyNumberFormat="1" applyFont="1" applyBorder="1" applyAlignment="1">
      <alignment horizontal="left" vertical="center" wrapText="1"/>
    </xf>
    <xf numFmtId="44" fontId="8" fillId="0" borderId="16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D103-B08D-49D4-8690-A9EF786B71DB}">
  <sheetPr>
    <pageSetUpPr fitToPage="1"/>
  </sheetPr>
  <dimension ref="A1:I91"/>
  <sheetViews>
    <sheetView topLeftCell="A76" zoomScale="85" zoomScaleNormal="85" workbookViewId="0">
      <selection activeCell="M64" sqref="M64"/>
    </sheetView>
  </sheetViews>
  <sheetFormatPr defaultRowHeight="14.4" x14ac:dyDescent="0.3"/>
  <cols>
    <col min="1" max="1" width="8.44140625" customWidth="1"/>
    <col min="2" max="2" width="17.77734375" customWidth="1"/>
    <col min="3" max="3" width="15.109375" customWidth="1"/>
    <col min="4" max="4" width="13.88671875" customWidth="1"/>
    <col min="5" max="5" width="14.109375" customWidth="1"/>
    <col min="6" max="6" width="11.5546875" bestFit="1" customWidth="1"/>
  </cols>
  <sheetData>
    <row r="1" spans="1:9" x14ac:dyDescent="0.3">
      <c r="A1" s="147" t="s">
        <v>297</v>
      </c>
      <c r="B1" s="147"/>
      <c r="C1" s="147"/>
      <c r="D1" s="147"/>
    </row>
    <row r="2" spans="1:9" x14ac:dyDescent="0.3">
      <c r="A2" s="147" t="s">
        <v>296</v>
      </c>
      <c r="B2" s="147"/>
      <c r="C2" s="147"/>
      <c r="D2" s="147"/>
    </row>
    <row r="3" spans="1:9" x14ac:dyDescent="0.3">
      <c r="A3" s="147" t="s">
        <v>295</v>
      </c>
      <c r="B3" s="147"/>
      <c r="C3" s="147"/>
      <c r="D3" s="147"/>
    </row>
    <row r="4" spans="1:9" x14ac:dyDescent="0.3">
      <c r="A4" s="147" t="s">
        <v>289</v>
      </c>
      <c r="B4" s="147"/>
      <c r="C4" s="147"/>
      <c r="D4" s="147"/>
    </row>
    <row r="5" spans="1:9" x14ac:dyDescent="0.3">
      <c r="A5" s="148" t="s">
        <v>298</v>
      </c>
      <c r="B5" s="148"/>
      <c r="C5" s="148"/>
      <c r="D5" s="148"/>
    </row>
    <row r="6" spans="1:9" x14ac:dyDescent="0.3">
      <c r="A6" s="139" t="s">
        <v>314</v>
      </c>
      <c r="B6" s="139"/>
      <c r="C6" s="139"/>
      <c r="D6" s="139"/>
      <c r="E6" s="139"/>
      <c r="F6" s="139"/>
      <c r="G6" s="139"/>
      <c r="H6" s="139"/>
      <c r="I6" s="139"/>
    </row>
    <row r="7" spans="1:9" ht="15" thickBot="1" x14ac:dyDescent="0.35">
      <c r="A7" s="140" t="s">
        <v>24</v>
      </c>
      <c r="B7" s="140"/>
      <c r="C7" s="140"/>
      <c r="D7" s="140"/>
      <c r="E7" s="140"/>
      <c r="F7" s="140"/>
      <c r="G7" s="140"/>
      <c r="H7" s="140"/>
      <c r="I7" s="140"/>
    </row>
    <row r="8" spans="1:9" ht="14.4" customHeight="1" x14ac:dyDescent="0.3">
      <c r="A8" s="154" t="s">
        <v>25</v>
      </c>
      <c r="B8" s="155"/>
      <c r="C8" s="155"/>
      <c r="D8" s="155"/>
      <c r="E8" s="155"/>
      <c r="F8" s="155"/>
      <c r="G8" s="155"/>
      <c r="H8" s="155"/>
      <c r="I8" s="156"/>
    </row>
    <row r="9" spans="1:9" ht="14.4" customHeight="1" thickBot="1" x14ac:dyDescent="0.35">
      <c r="A9" s="144" t="s">
        <v>196</v>
      </c>
      <c r="B9" s="142"/>
      <c r="C9" s="142"/>
      <c r="D9" s="142"/>
      <c r="E9" s="142"/>
      <c r="F9" s="142"/>
      <c r="G9" s="142"/>
      <c r="H9" s="142"/>
      <c r="I9" s="143"/>
    </row>
    <row r="10" spans="1:9" ht="14.4" customHeight="1" thickBot="1" x14ac:dyDescent="0.35">
      <c r="A10" s="157" t="s">
        <v>26</v>
      </c>
      <c r="B10" s="158"/>
      <c r="C10" s="158"/>
      <c r="D10" s="158"/>
      <c r="E10" s="158"/>
      <c r="F10" s="158"/>
      <c r="G10" s="158"/>
      <c r="H10" s="158"/>
      <c r="I10" s="159"/>
    </row>
    <row r="11" spans="1:9" ht="14.4" customHeight="1" x14ac:dyDescent="0.3">
      <c r="A11" s="160" t="s">
        <v>27</v>
      </c>
      <c r="B11" s="161"/>
      <c r="C11" s="161"/>
      <c r="D11" s="162"/>
      <c r="E11" s="149" t="s">
        <v>28</v>
      </c>
      <c r="F11" s="150"/>
      <c r="G11" s="151"/>
      <c r="H11" s="152" t="s">
        <v>29</v>
      </c>
      <c r="I11" s="153"/>
    </row>
    <row r="12" spans="1:9" ht="14.4" customHeight="1" thickBot="1" x14ac:dyDescent="0.35">
      <c r="A12" s="141"/>
      <c r="B12" s="142"/>
      <c r="C12" s="142"/>
      <c r="D12" s="143"/>
      <c r="E12" s="144"/>
      <c r="F12" s="142"/>
      <c r="G12" s="143"/>
      <c r="H12" s="145"/>
      <c r="I12" s="146"/>
    </row>
    <row r="13" spans="1:9" ht="14.4" customHeight="1" x14ac:dyDescent="0.3">
      <c r="A13" s="149" t="s">
        <v>30</v>
      </c>
      <c r="B13" s="150"/>
      <c r="C13" s="150"/>
      <c r="D13" s="150"/>
      <c r="E13" s="151"/>
      <c r="F13" s="152" t="s">
        <v>31</v>
      </c>
      <c r="G13" s="153"/>
      <c r="H13" s="149" t="s">
        <v>32</v>
      </c>
      <c r="I13" s="151"/>
    </row>
    <row r="14" spans="1:9" ht="14.4" customHeight="1" thickBot="1" x14ac:dyDescent="0.35">
      <c r="A14" s="144"/>
      <c r="B14" s="142"/>
      <c r="C14" s="142"/>
      <c r="D14" s="142"/>
      <c r="E14" s="143"/>
      <c r="F14" s="145"/>
      <c r="G14" s="146"/>
      <c r="H14" s="144"/>
      <c r="I14" s="143"/>
    </row>
    <row r="15" spans="1:9" ht="14.4" customHeight="1" thickBot="1" x14ac:dyDescent="0.35">
      <c r="A15" s="157" t="s">
        <v>33</v>
      </c>
      <c r="B15" s="158"/>
      <c r="C15" s="158"/>
      <c r="D15" s="158"/>
      <c r="E15" s="158"/>
      <c r="F15" s="158"/>
      <c r="G15" s="158"/>
      <c r="H15" s="158"/>
      <c r="I15" s="159"/>
    </row>
    <row r="16" spans="1:9" ht="14.4" customHeight="1" x14ac:dyDescent="0.3">
      <c r="A16" s="160" t="s">
        <v>34</v>
      </c>
      <c r="B16" s="161"/>
      <c r="C16" s="161"/>
      <c r="D16" s="161"/>
      <c r="E16" s="161"/>
      <c r="F16" s="152" t="s">
        <v>35</v>
      </c>
      <c r="G16" s="164"/>
      <c r="H16" s="164"/>
      <c r="I16" s="153"/>
    </row>
    <row r="17" spans="1:9" ht="14.4" customHeight="1" thickBot="1" x14ac:dyDescent="0.35">
      <c r="A17" s="141"/>
      <c r="B17" s="142"/>
      <c r="C17" s="142"/>
      <c r="D17" s="142"/>
      <c r="E17" s="142"/>
      <c r="F17" s="145"/>
      <c r="G17" s="163"/>
      <c r="H17" s="163"/>
      <c r="I17" s="146"/>
    </row>
    <row r="18" spans="1:9" ht="14.4" customHeight="1" x14ac:dyDescent="0.3">
      <c r="A18" s="149" t="s">
        <v>36</v>
      </c>
      <c r="B18" s="150"/>
      <c r="C18" s="150"/>
      <c r="D18" s="151"/>
      <c r="E18" s="149" t="s">
        <v>37</v>
      </c>
      <c r="F18" s="150"/>
      <c r="G18" s="150"/>
      <c r="H18" s="150"/>
      <c r="I18" s="151"/>
    </row>
    <row r="19" spans="1:9" ht="14.4" customHeight="1" thickBot="1" x14ac:dyDescent="0.35">
      <c r="A19" s="144"/>
      <c r="B19" s="142"/>
      <c r="C19" s="142"/>
      <c r="D19" s="143"/>
      <c r="E19" s="144"/>
      <c r="F19" s="142"/>
      <c r="G19" s="142"/>
      <c r="H19" s="142"/>
      <c r="I19" s="143"/>
    </row>
    <row r="20" spans="1:9" ht="14.4" customHeight="1" x14ac:dyDescent="0.3">
      <c r="A20" s="172" t="s">
        <v>38</v>
      </c>
      <c r="B20" s="173"/>
      <c r="C20" s="173"/>
      <c r="D20" s="173"/>
      <c r="E20" s="173"/>
      <c r="F20" s="173"/>
      <c r="G20" s="173"/>
      <c r="H20" s="173"/>
      <c r="I20" s="174"/>
    </row>
    <row r="21" spans="1:9" ht="14.4" customHeight="1" x14ac:dyDescent="0.3">
      <c r="A21" s="13" t="s">
        <v>39</v>
      </c>
      <c r="B21" s="165" t="s">
        <v>40</v>
      </c>
      <c r="C21" s="165"/>
      <c r="D21" s="165"/>
      <c r="E21" s="165"/>
      <c r="F21" s="165"/>
      <c r="G21" s="165"/>
      <c r="H21" s="165"/>
      <c r="I21" s="166"/>
    </row>
    <row r="22" spans="1:9" ht="28.2" customHeight="1" x14ac:dyDescent="0.3">
      <c r="A22" s="13" t="s">
        <v>39</v>
      </c>
      <c r="B22" s="165" t="s">
        <v>41</v>
      </c>
      <c r="C22" s="165"/>
      <c r="D22" s="165"/>
      <c r="E22" s="165"/>
      <c r="F22" s="165"/>
      <c r="G22" s="165"/>
      <c r="H22" s="165"/>
      <c r="I22" s="166"/>
    </row>
    <row r="23" spans="1:9" ht="14.4" customHeight="1" thickBot="1" x14ac:dyDescent="0.35">
      <c r="A23" s="169" t="s">
        <v>42</v>
      </c>
      <c r="B23" s="170"/>
      <c r="C23" s="170"/>
      <c r="D23" s="170"/>
      <c r="E23" s="170"/>
      <c r="F23" s="170"/>
      <c r="G23" s="170"/>
      <c r="H23" s="170"/>
      <c r="I23" s="171"/>
    </row>
    <row r="24" spans="1:9" ht="14.4" customHeight="1" x14ac:dyDescent="0.3">
      <c r="A24" s="172" t="s">
        <v>43</v>
      </c>
      <c r="B24" s="173"/>
      <c r="C24" s="173"/>
      <c r="D24" s="173"/>
      <c r="E24" s="173"/>
      <c r="F24" s="173"/>
      <c r="G24" s="173"/>
      <c r="H24" s="173"/>
      <c r="I24" s="174"/>
    </row>
    <row r="25" spans="1:9" ht="14.4" customHeight="1" x14ac:dyDescent="0.3">
      <c r="A25" s="13" t="s">
        <v>39</v>
      </c>
      <c r="B25" s="165" t="s">
        <v>44</v>
      </c>
      <c r="C25" s="165"/>
      <c r="D25" s="165"/>
      <c r="E25" s="165"/>
      <c r="F25" s="165"/>
      <c r="G25" s="165"/>
      <c r="H25" s="165"/>
      <c r="I25" s="166"/>
    </row>
    <row r="26" spans="1:9" ht="14.4" customHeight="1" x14ac:dyDescent="0.3">
      <c r="A26" s="13" t="s">
        <v>39</v>
      </c>
      <c r="B26" s="165" t="s">
        <v>45</v>
      </c>
      <c r="C26" s="165"/>
      <c r="D26" s="165"/>
      <c r="E26" s="165"/>
      <c r="F26" s="165"/>
      <c r="G26" s="165"/>
      <c r="H26" s="165"/>
      <c r="I26" s="166"/>
    </row>
    <row r="27" spans="1:9" ht="28.2" customHeight="1" x14ac:dyDescent="0.3">
      <c r="A27" s="14"/>
      <c r="B27" s="130" t="s">
        <v>46</v>
      </c>
      <c r="C27" s="130"/>
      <c r="D27" s="130"/>
      <c r="E27" s="130"/>
      <c r="F27" s="130"/>
      <c r="G27" s="130"/>
      <c r="H27" s="130"/>
      <c r="I27" s="167"/>
    </row>
    <row r="28" spans="1:9" ht="14.4" customHeight="1" x14ac:dyDescent="0.3">
      <c r="A28" s="168" t="s">
        <v>47</v>
      </c>
      <c r="B28" s="130"/>
      <c r="C28" s="130"/>
      <c r="D28" s="130"/>
      <c r="E28" s="130"/>
      <c r="F28" s="130"/>
      <c r="G28" s="130"/>
      <c r="H28" s="130"/>
      <c r="I28" s="167"/>
    </row>
    <row r="29" spans="1:9" ht="14.4" customHeight="1" thickBot="1" x14ac:dyDescent="0.35">
      <c r="A29" s="169" t="s">
        <v>42</v>
      </c>
      <c r="B29" s="170"/>
      <c r="C29" s="170"/>
      <c r="D29" s="170"/>
      <c r="E29" s="170"/>
      <c r="F29" s="170"/>
      <c r="G29" s="170"/>
      <c r="H29" s="170"/>
      <c r="I29" s="171"/>
    </row>
    <row r="30" spans="1:9" ht="14.4" customHeight="1" x14ac:dyDescent="0.3">
      <c r="A30" s="172" t="s">
        <v>48</v>
      </c>
      <c r="B30" s="173"/>
      <c r="C30" s="173"/>
      <c r="D30" s="173"/>
      <c r="E30" s="173"/>
      <c r="F30" s="173"/>
      <c r="G30" s="173"/>
      <c r="H30" s="173"/>
      <c r="I30" s="174"/>
    </row>
    <row r="31" spans="1:9" ht="14.4" customHeight="1" x14ac:dyDescent="0.3">
      <c r="A31" s="13" t="s">
        <v>39</v>
      </c>
      <c r="B31" s="165" t="s">
        <v>49</v>
      </c>
      <c r="C31" s="165"/>
      <c r="D31" s="165"/>
      <c r="E31" s="165"/>
      <c r="F31" s="165"/>
      <c r="G31" s="165"/>
      <c r="H31" s="165"/>
      <c r="I31" s="166"/>
    </row>
    <row r="32" spans="1:9" ht="14.4" customHeight="1" x14ac:dyDescent="0.3">
      <c r="A32" s="13" t="s">
        <v>39</v>
      </c>
      <c r="B32" s="165" t="s">
        <v>50</v>
      </c>
      <c r="C32" s="165"/>
      <c r="D32" s="165"/>
      <c r="E32" s="165"/>
      <c r="F32" s="165"/>
      <c r="G32" s="165"/>
      <c r="H32" s="165"/>
      <c r="I32" s="166"/>
    </row>
    <row r="33" spans="1:9" ht="14.4" customHeight="1" thickBot="1" x14ac:dyDescent="0.35">
      <c r="A33" s="169" t="s">
        <v>42</v>
      </c>
      <c r="B33" s="170"/>
      <c r="C33" s="170"/>
      <c r="D33" s="170"/>
      <c r="E33" s="170"/>
      <c r="F33" s="170"/>
      <c r="G33" s="170"/>
      <c r="H33" s="170"/>
      <c r="I33" s="171"/>
    </row>
    <row r="34" spans="1:9" ht="14.4" customHeight="1" x14ac:dyDescent="0.3">
      <c r="A34" s="172" t="s">
        <v>51</v>
      </c>
      <c r="B34" s="173"/>
      <c r="C34" s="173"/>
      <c r="D34" s="173"/>
      <c r="E34" s="173"/>
      <c r="F34" s="173"/>
      <c r="G34" s="173"/>
      <c r="H34" s="173"/>
      <c r="I34" s="174"/>
    </row>
    <row r="35" spans="1:9" ht="14.4" customHeight="1" x14ac:dyDescent="0.3">
      <c r="A35" s="13" t="s">
        <v>39</v>
      </c>
      <c r="B35" s="165" t="s">
        <v>52</v>
      </c>
      <c r="C35" s="165"/>
      <c r="D35" s="165"/>
      <c r="E35" s="165"/>
      <c r="F35" s="165"/>
      <c r="G35" s="165"/>
      <c r="H35" s="165"/>
      <c r="I35" s="166"/>
    </row>
    <row r="36" spans="1:9" ht="14.4" customHeight="1" x14ac:dyDescent="0.3">
      <c r="A36" s="13" t="s">
        <v>39</v>
      </c>
      <c r="B36" s="165" t="s">
        <v>53</v>
      </c>
      <c r="C36" s="165"/>
      <c r="D36" s="165"/>
      <c r="E36" s="165"/>
      <c r="F36" s="165"/>
      <c r="G36" s="165"/>
      <c r="H36" s="165"/>
      <c r="I36" s="166"/>
    </row>
    <row r="37" spans="1:9" ht="14.4" customHeight="1" x14ac:dyDescent="0.3">
      <c r="A37" s="13" t="s">
        <v>39</v>
      </c>
      <c r="B37" s="165" t="s">
        <v>54</v>
      </c>
      <c r="C37" s="165"/>
      <c r="D37" s="165"/>
      <c r="E37" s="165"/>
      <c r="F37" s="165"/>
      <c r="G37" s="165"/>
      <c r="H37" s="165"/>
      <c r="I37" s="166"/>
    </row>
    <row r="38" spans="1:9" ht="14.4" customHeight="1" x14ac:dyDescent="0.3">
      <c r="A38" s="13" t="s">
        <v>39</v>
      </c>
      <c r="B38" s="165" t="s">
        <v>55</v>
      </c>
      <c r="C38" s="165"/>
      <c r="D38" s="165"/>
      <c r="E38" s="165"/>
      <c r="F38" s="165"/>
      <c r="G38" s="165"/>
      <c r="H38" s="165"/>
      <c r="I38" s="166"/>
    </row>
    <row r="39" spans="1:9" ht="14.4" customHeight="1" x14ac:dyDescent="0.3">
      <c r="A39" s="13" t="s">
        <v>39</v>
      </c>
      <c r="B39" s="165" t="s">
        <v>56</v>
      </c>
      <c r="C39" s="165"/>
      <c r="D39" s="165"/>
      <c r="E39" s="165"/>
      <c r="F39" s="165"/>
      <c r="G39" s="165"/>
      <c r="H39" s="165"/>
      <c r="I39" s="166"/>
    </row>
    <row r="40" spans="1:9" ht="14.4" customHeight="1" x14ac:dyDescent="0.3">
      <c r="A40" s="13" t="s">
        <v>39</v>
      </c>
      <c r="B40" s="165" t="s">
        <v>57</v>
      </c>
      <c r="C40" s="165"/>
      <c r="D40" s="165"/>
      <c r="E40" s="165"/>
      <c r="F40" s="165"/>
      <c r="G40" s="165"/>
      <c r="H40" s="165"/>
      <c r="I40" s="166"/>
    </row>
    <row r="41" spans="1:9" ht="14.4" customHeight="1" x14ac:dyDescent="0.3">
      <c r="A41" s="175" t="s">
        <v>58</v>
      </c>
      <c r="B41" s="176"/>
      <c r="C41" s="176"/>
      <c r="D41" s="176"/>
      <c r="E41" s="176"/>
      <c r="F41" s="176"/>
      <c r="G41" s="176"/>
      <c r="H41" s="176"/>
      <c r="I41" s="177"/>
    </row>
    <row r="42" spans="1:9" ht="117.6" customHeight="1" thickBot="1" x14ac:dyDescent="0.35">
      <c r="A42" s="178" t="s">
        <v>59</v>
      </c>
      <c r="B42" s="133"/>
      <c r="C42" s="133"/>
      <c r="D42" s="133"/>
      <c r="E42" s="133"/>
      <c r="F42" s="133"/>
      <c r="G42" s="133"/>
      <c r="H42" s="133"/>
      <c r="I42" s="134"/>
    </row>
    <row r="43" spans="1:9" ht="14.4" customHeight="1" thickBot="1" x14ac:dyDescent="0.35">
      <c r="A43" s="157" t="s">
        <v>60</v>
      </c>
      <c r="B43" s="158"/>
      <c r="C43" s="158"/>
      <c r="D43" s="158"/>
      <c r="E43" s="158"/>
      <c r="F43" s="158"/>
      <c r="G43" s="158"/>
      <c r="H43" s="158"/>
      <c r="I43" s="159"/>
    </row>
    <row r="44" spans="1:9" ht="14.4" customHeight="1" x14ac:dyDescent="0.3">
      <c r="A44" s="149" t="s">
        <v>61</v>
      </c>
      <c r="B44" s="150"/>
      <c r="C44" s="151"/>
      <c r="D44" s="152" t="s">
        <v>62</v>
      </c>
      <c r="E44" s="153"/>
      <c r="F44" s="149" t="s">
        <v>63</v>
      </c>
      <c r="G44" s="150"/>
      <c r="H44" s="150"/>
      <c r="I44" s="151"/>
    </row>
    <row r="45" spans="1:9" ht="14.4" customHeight="1" thickBot="1" x14ac:dyDescent="0.35">
      <c r="A45" s="144"/>
      <c r="B45" s="142"/>
      <c r="C45" s="143"/>
      <c r="D45" s="145"/>
      <c r="E45" s="146"/>
      <c r="F45" s="144"/>
      <c r="G45" s="142"/>
      <c r="H45" s="142"/>
      <c r="I45" s="143"/>
    </row>
    <row r="46" spans="1:9" ht="14.4" customHeight="1" x14ac:dyDescent="0.3">
      <c r="A46" s="179" t="s">
        <v>64</v>
      </c>
      <c r="B46" s="180"/>
      <c r="C46" s="180"/>
      <c r="D46" s="180"/>
      <c r="E46" s="180"/>
      <c r="F46" s="180"/>
      <c r="G46" s="180"/>
      <c r="H46" s="180"/>
      <c r="I46" s="180"/>
    </row>
    <row r="47" spans="1:9" ht="14.4" customHeight="1" x14ac:dyDescent="0.3">
      <c r="A47" s="180"/>
      <c r="B47" s="180"/>
      <c r="C47" s="180"/>
      <c r="D47" s="180"/>
      <c r="E47" s="180"/>
      <c r="F47" s="180"/>
      <c r="G47" s="180"/>
      <c r="H47" s="180"/>
      <c r="I47" s="180"/>
    </row>
    <row r="48" spans="1:9" ht="37.200000000000003" customHeight="1" x14ac:dyDescent="0.3">
      <c r="A48" s="189" t="s">
        <v>299</v>
      </c>
      <c r="B48" s="189"/>
      <c r="C48" s="189"/>
      <c r="D48" s="189"/>
      <c r="E48" s="189"/>
      <c r="F48" s="189"/>
      <c r="G48" s="189"/>
      <c r="H48" s="189"/>
      <c r="I48" s="189"/>
    </row>
    <row r="49" spans="1:9" ht="48" customHeight="1" thickBot="1" x14ac:dyDescent="0.35">
      <c r="A49" s="181" t="s">
        <v>315</v>
      </c>
      <c r="B49" s="181"/>
      <c r="C49" s="181"/>
      <c r="D49" s="181"/>
      <c r="E49" s="181"/>
      <c r="F49" s="181"/>
      <c r="G49" s="181"/>
      <c r="H49" s="181"/>
      <c r="I49" s="181"/>
    </row>
    <row r="50" spans="1:9" ht="28.8" customHeight="1" x14ac:dyDescent="0.3">
      <c r="A50" s="172" t="s">
        <v>170</v>
      </c>
      <c r="B50" s="173"/>
      <c r="C50" s="173"/>
      <c r="D50" s="173"/>
      <c r="E50" s="173"/>
      <c r="F50" s="173"/>
      <c r="G50" s="187">
        <f>'Cz. 1 pieczywo i art. cuki.'!H19</f>
        <v>0</v>
      </c>
      <c r="H50" s="187"/>
      <c r="I50" s="188"/>
    </row>
    <row r="51" spans="1:9" ht="28.8" customHeight="1" x14ac:dyDescent="0.3">
      <c r="A51" s="168" t="s">
        <v>171</v>
      </c>
      <c r="B51" s="130"/>
      <c r="C51" s="130"/>
      <c r="D51" s="130"/>
      <c r="E51" s="130"/>
      <c r="F51" s="130"/>
      <c r="G51" s="130"/>
      <c r="H51" s="190" t="s">
        <v>309</v>
      </c>
      <c r="I51" s="191"/>
    </row>
    <row r="52" spans="1:9" ht="15" thickBot="1" x14ac:dyDescent="0.35">
      <c r="A52" s="136" t="s">
        <v>312</v>
      </c>
      <c r="B52" s="137"/>
      <c r="C52" s="135" t="s">
        <v>308</v>
      </c>
      <c r="D52" s="135"/>
      <c r="E52" s="135"/>
      <c r="F52" s="135"/>
      <c r="G52" s="133" t="s">
        <v>307</v>
      </c>
      <c r="H52" s="133"/>
      <c r="I52" s="134"/>
    </row>
    <row r="53" spans="1:9" x14ac:dyDescent="0.3">
      <c r="A53" s="183" t="s">
        <v>172</v>
      </c>
      <c r="B53" s="184"/>
      <c r="C53" s="184"/>
      <c r="D53" s="184"/>
      <c r="E53" s="184"/>
      <c r="F53" s="126"/>
      <c r="G53" s="187">
        <f>'Cz. 2 Warzywa i owoce'!H67</f>
        <v>0</v>
      </c>
      <c r="H53" s="187"/>
      <c r="I53" s="188"/>
    </row>
    <row r="54" spans="1:9" ht="28.8" customHeight="1" x14ac:dyDescent="0.3">
      <c r="A54" s="168" t="s">
        <v>173</v>
      </c>
      <c r="B54" s="130"/>
      <c r="C54" s="130"/>
      <c r="D54" s="130"/>
      <c r="E54" s="130"/>
      <c r="F54" s="130"/>
      <c r="G54" s="130"/>
      <c r="H54" s="190" t="s">
        <v>309</v>
      </c>
      <c r="I54" s="191"/>
    </row>
    <row r="55" spans="1:9" ht="14.4" customHeight="1" thickBot="1" x14ac:dyDescent="0.35">
      <c r="A55" s="136" t="s">
        <v>312</v>
      </c>
      <c r="B55" s="137"/>
      <c r="C55" s="135" t="s">
        <v>308</v>
      </c>
      <c r="D55" s="135"/>
      <c r="E55" s="135"/>
      <c r="F55" s="135"/>
      <c r="G55" s="133" t="s">
        <v>307</v>
      </c>
      <c r="H55" s="133"/>
      <c r="I55" s="134"/>
    </row>
    <row r="56" spans="1:9" ht="27" customHeight="1" x14ac:dyDescent="0.3">
      <c r="A56" s="185" t="s">
        <v>174</v>
      </c>
      <c r="B56" s="186"/>
      <c r="C56" s="186"/>
      <c r="D56" s="186"/>
      <c r="E56" s="186"/>
      <c r="F56" s="186"/>
      <c r="G56" s="192">
        <f>'Cz. 3 Mięso i wędliny'!I27</f>
        <v>0</v>
      </c>
      <c r="H56" s="192"/>
      <c r="I56" s="193"/>
    </row>
    <row r="57" spans="1:9" ht="28.2" customHeight="1" x14ac:dyDescent="0.3">
      <c r="A57" s="168" t="s">
        <v>175</v>
      </c>
      <c r="B57" s="130"/>
      <c r="C57" s="130"/>
      <c r="D57" s="130"/>
      <c r="E57" s="130"/>
      <c r="F57" s="130"/>
      <c r="G57" s="130"/>
      <c r="H57" s="190" t="s">
        <v>309</v>
      </c>
      <c r="I57" s="191"/>
    </row>
    <row r="58" spans="1:9" ht="15" customHeight="1" thickBot="1" x14ac:dyDescent="0.35">
      <c r="A58" s="136" t="s">
        <v>312</v>
      </c>
      <c r="B58" s="137"/>
      <c r="C58" s="135" t="s">
        <v>308</v>
      </c>
      <c r="D58" s="135"/>
      <c r="E58" s="135"/>
      <c r="F58" s="135"/>
      <c r="G58" s="133" t="s">
        <v>307</v>
      </c>
      <c r="H58" s="133"/>
      <c r="I58" s="134"/>
    </row>
    <row r="59" spans="1:9" ht="28.2" customHeight="1" x14ac:dyDescent="0.3">
      <c r="A59" s="185" t="s">
        <v>176</v>
      </c>
      <c r="B59" s="186"/>
      <c r="C59" s="186"/>
      <c r="D59" s="186"/>
      <c r="E59" s="186"/>
      <c r="F59" s="186"/>
      <c r="G59" s="192">
        <f>'Cz. 4 Nabiał'!I27</f>
        <v>0</v>
      </c>
      <c r="H59" s="192"/>
      <c r="I59" s="193"/>
    </row>
    <row r="60" spans="1:9" ht="28.8" customHeight="1" x14ac:dyDescent="0.3">
      <c r="A60" s="168" t="s">
        <v>177</v>
      </c>
      <c r="B60" s="130"/>
      <c r="C60" s="130"/>
      <c r="D60" s="130"/>
      <c r="E60" s="130"/>
      <c r="F60" s="130"/>
      <c r="G60" s="130"/>
      <c r="H60" s="190" t="s">
        <v>309</v>
      </c>
      <c r="I60" s="191"/>
    </row>
    <row r="61" spans="1:9" ht="15" customHeight="1" thickBot="1" x14ac:dyDescent="0.35">
      <c r="A61" s="136" t="s">
        <v>312</v>
      </c>
      <c r="B61" s="137"/>
      <c r="C61" s="135" t="s">
        <v>308</v>
      </c>
      <c r="D61" s="135"/>
      <c r="E61" s="135"/>
      <c r="F61" s="135"/>
      <c r="G61" s="133" t="s">
        <v>307</v>
      </c>
      <c r="H61" s="133"/>
      <c r="I61" s="134"/>
    </row>
    <row r="62" spans="1:9" ht="27.6" customHeight="1" x14ac:dyDescent="0.3">
      <c r="A62" s="185" t="s">
        <v>178</v>
      </c>
      <c r="B62" s="186"/>
      <c r="C62" s="186"/>
      <c r="D62" s="186"/>
      <c r="E62" s="186"/>
      <c r="F62" s="186"/>
      <c r="G62" s="192">
        <f>'Cz. 5 Suche'!I103</f>
        <v>0</v>
      </c>
      <c r="H62" s="192"/>
      <c r="I62" s="193"/>
    </row>
    <row r="63" spans="1:9" ht="28.8" customHeight="1" x14ac:dyDescent="0.3">
      <c r="A63" s="168" t="s">
        <v>179</v>
      </c>
      <c r="B63" s="130"/>
      <c r="C63" s="130"/>
      <c r="D63" s="130"/>
      <c r="E63" s="130"/>
      <c r="F63" s="130"/>
      <c r="G63" s="130"/>
      <c r="H63" s="190" t="s">
        <v>309</v>
      </c>
      <c r="I63" s="191"/>
    </row>
    <row r="64" spans="1:9" ht="15" customHeight="1" thickBot="1" x14ac:dyDescent="0.35">
      <c r="A64" s="136" t="s">
        <v>312</v>
      </c>
      <c r="B64" s="137"/>
      <c r="C64" s="135" t="s">
        <v>308</v>
      </c>
      <c r="D64" s="135"/>
      <c r="E64" s="135"/>
      <c r="F64" s="135"/>
      <c r="G64" s="133" t="s">
        <v>307</v>
      </c>
      <c r="H64" s="133"/>
      <c r="I64" s="134"/>
    </row>
    <row r="65" spans="1:9" x14ac:dyDescent="0.3">
      <c r="A65" s="131" t="s">
        <v>180</v>
      </c>
      <c r="B65" s="131"/>
      <c r="C65" s="131"/>
      <c r="D65" s="131"/>
      <c r="E65" s="131"/>
      <c r="F65" s="131"/>
      <c r="G65" s="131"/>
      <c r="H65" s="127"/>
      <c r="I65" s="128"/>
    </row>
    <row r="66" spans="1:9" ht="29.4" customHeight="1" x14ac:dyDescent="0.3">
      <c r="A66" s="131" t="s">
        <v>181</v>
      </c>
      <c r="B66" s="131"/>
      <c r="C66" s="131"/>
      <c r="D66" s="131"/>
      <c r="E66" s="131"/>
      <c r="F66" s="131"/>
      <c r="G66" s="131"/>
      <c r="H66" s="131"/>
      <c r="I66" s="131"/>
    </row>
    <row r="67" spans="1:9" ht="31.2" customHeight="1" x14ac:dyDescent="0.3">
      <c r="A67" s="131" t="s">
        <v>300</v>
      </c>
      <c r="B67" s="131"/>
      <c r="C67" s="131"/>
      <c r="D67" s="131"/>
      <c r="E67" s="131"/>
      <c r="F67" s="131"/>
      <c r="G67" s="131"/>
      <c r="H67" s="131"/>
      <c r="I67" s="131"/>
    </row>
    <row r="68" spans="1:9" x14ac:dyDescent="0.3">
      <c r="A68" s="182" t="s">
        <v>65</v>
      </c>
      <c r="B68" s="182"/>
      <c r="C68" s="182"/>
      <c r="D68" s="182"/>
      <c r="E68" s="182"/>
      <c r="F68" s="182"/>
      <c r="G68" s="182"/>
      <c r="H68" s="182"/>
      <c r="I68" s="15"/>
    </row>
    <row r="69" spans="1:9" ht="14.4" customHeight="1" x14ac:dyDescent="0.3">
      <c r="A69" s="138" t="s">
        <v>66</v>
      </c>
      <c r="B69" s="138"/>
      <c r="C69" s="138"/>
      <c r="D69" s="138"/>
      <c r="E69" s="138"/>
      <c r="F69" s="138"/>
      <c r="G69" s="138"/>
      <c r="H69" s="138"/>
      <c r="I69" s="138"/>
    </row>
    <row r="70" spans="1:9" x14ac:dyDescent="0.3">
      <c r="A70" s="138" t="s">
        <v>67</v>
      </c>
      <c r="B70" s="138"/>
      <c r="C70" s="138"/>
      <c r="D70" s="138"/>
      <c r="E70" s="138"/>
      <c r="F70" s="138"/>
      <c r="G70" s="138"/>
      <c r="H70" s="138"/>
      <c r="I70" s="138"/>
    </row>
    <row r="71" spans="1:9" ht="28.2" customHeight="1" x14ac:dyDescent="0.3">
      <c r="A71" s="138" t="s">
        <v>68</v>
      </c>
      <c r="B71" s="138"/>
      <c r="C71" s="138"/>
      <c r="D71" s="138"/>
      <c r="E71" s="138"/>
      <c r="F71" s="138"/>
      <c r="G71" s="138"/>
      <c r="H71" s="138"/>
      <c r="I71" s="138"/>
    </row>
    <row r="72" spans="1:9" ht="14.4" customHeight="1" x14ac:dyDescent="0.3">
      <c r="A72" s="138" t="s">
        <v>69</v>
      </c>
      <c r="B72" s="138"/>
      <c r="C72" s="138"/>
      <c r="D72" s="138"/>
      <c r="E72" s="138"/>
      <c r="F72" s="138"/>
      <c r="G72" s="138"/>
      <c r="H72" s="138"/>
      <c r="I72" s="138"/>
    </row>
    <row r="73" spans="1:9" ht="14.4" customHeight="1" x14ac:dyDescent="0.3">
      <c r="A73" s="138" t="s">
        <v>70</v>
      </c>
      <c r="B73" s="138"/>
      <c r="C73" s="138"/>
      <c r="D73" s="138"/>
      <c r="E73" s="138"/>
      <c r="F73" s="138"/>
      <c r="G73" s="138"/>
      <c r="H73" s="138"/>
      <c r="I73" s="138"/>
    </row>
    <row r="74" spans="1:9" ht="14.4" customHeight="1" x14ac:dyDescent="0.3">
      <c r="A74" s="138" t="s">
        <v>71</v>
      </c>
      <c r="B74" s="138"/>
      <c r="C74" s="138"/>
      <c r="D74" s="138"/>
      <c r="E74" s="138"/>
      <c r="F74" s="138"/>
      <c r="G74" s="138"/>
      <c r="H74" s="138"/>
      <c r="I74" s="138"/>
    </row>
    <row r="75" spans="1:9" ht="27" customHeight="1" x14ac:dyDescent="0.3">
      <c r="A75" s="138" t="s">
        <v>72</v>
      </c>
      <c r="B75" s="138"/>
      <c r="C75" s="138"/>
      <c r="D75" s="138"/>
      <c r="E75" s="138"/>
      <c r="F75" s="138"/>
      <c r="G75" s="138"/>
      <c r="H75" s="138"/>
      <c r="I75" s="138"/>
    </row>
    <row r="76" spans="1:9" ht="30" customHeight="1" x14ac:dyDescent="0.3">
      <c r="A76" s="138" t="s">
        <v>73</v>
      </c>
      <c r="B76" s="138"/>
      <c r="C76" s="138"/>
      <c r="D76" s="138"/>
      <c r="E76" s="138"/>
      <c r="F76" s="138"/>
      <c r="G76" s="138"/>
      <c r="H76" s="138"/>
      <c r="I76" s="138"/>
    </row>
    <row r="77" spans="1:9" ht="49.2" customHeight="1" x14ac:dyDescent="0.3">
      <c r="A77" s="138" t="s">
        <v>74</v>
      </c>
      <c r="B77" s="138"/>
      <c r="C77" s="138"/>
      <c r="D77" s="138"/>
      <c r="E77" s="138"/>
      <c r="F77" s="138"/>
      <c r="G77" s="138"/>
      <c r="H77" s="138"/>
      <c r="I77" s="138"/>
    </row>
    <row r="78" spans="1:9" x14ac:dyDescent="0.3">
      <c r="A78" s="138" t="s">
        <v>75</v>
      </c>
      <c r="B78" s="138"/>
      <c r="C78" s="138"/>
      <c r="D78" s="138"/>
      <c r="E78" s="138"/>
      <c r="F78" s="138"/>
      <c r="G78" s="138"/>
      <c r="H78" s="138"/>
      <c r="I78" s="138"/>
    </row>
    <row r="79" spans="1:9" ht="28.8" customHeight="1" x14ac:dyDescent="0.3">
      <c r="A79" s="17" t="s">
        <v>39</v>
      </c>
      <c r="B79" s="130" t="s">
        <v>310</v>
      </c>
      <c r="C79" s="130"/>
      <c r="D79" s="130"/>
      <c r="E79" s="130"/>
      <c r="F79" s="130"/>
      <c r="G79" s="130"/>
      <c r="H79" s="130"/>
      <c r="I79" s="130"/>
    </row>
    <row r="80" spans="1:9" ht="28.8" customHeight="1" x14ac:dyDescent="0.3">
      <c r="A80" s="17" t="s">
        <v>39</v>
      </c>
      <c r="B80" s="130" t="s">
        <v>311</v>
      </c>
      <c r="C80" s="130"/>
      <c r="D80" s="130"/>
      <c r="E80" s="130"/>
      <c r="F80" s="130"/>
      <c r="G80" s="130"/>
      <c r="H80" s="130"/>
      <c r="I80" s="130"/>
    </row>
    <row r="81" spans="1:9" ht="30" customHeight="1" x14ac:dyDescent="0.3">
      <c r="A81" s="130" t="s">
        <v>76</v>
      </c>
      <c r="B81" s="130"/>
      <c r="C81" s="130"/>
      <c r="D81" s="130"/>
      <c r="E81" s="130"/>
      <c r="F81" s="130"/>
      <c r="G81" s="130"/>
      <c r="H81" s="130"/>
      <c r="I81" s="130"/>
    </row>
    <row r="82" spans="1:9" ht="14.4" customHeight="1" x14ac:dyDescent="0.3">
      <c r="A82" s="129" t="s">
        <v>77</v>
      </c>
      <c r="B82" s="129"/>
      <c r="C82" s="129"/>
      <c r="D82" s="129"/>
      <c r="E82" s="129"/>
      <c r="F82" s="129"/>
      <c r="G82" s="129"/>
      <c r="H82" s="129"/>
      <c r="I82" s="129"/>
    </row>
    <row r="83" spans="1:9" ht="14.4" customHeight="1" x14ac:dyDescent="0.3">
      <c r="A83" s="130" t="s">
        <v>78</v>
      </c>
      <c r="B83" s="130"/>
      <c r="C83" s="130"/>
      <c r="D83" s="130"/>
      <c r="E83" s="130"/>
      <c r="F83" s="130"/>
      <c r="G83" s="130"/>
      <c r="H83" s="130"/>
      <c r="I83" s="130"/>
    </row>
    <row r="84" spans="1:9" ht="14.4" customHeight="1" x14ac:dyDescent="0.3">
      <c r="A84" s="129" t="s">
        <v>77</v>
      </c>
      <c r="B84" s="129"/>
      <c r="C84" s="129"/>
      <c r="D84" s="129"/>
      <c r="E84" s="129"/>
      <c r="F84" s="129"/>
      <c r="G84" s="129"/>
      <c r="H84" s="129"/>
      <c r="I84" s="129"/>
    </row>
    <row r="85" spans="1:9" ht="14.4" customHeight="1" x14ac:dyDescent="0.3">
      <c r="A85" s="130" t="s">
        <v>79</v>
      </c>
      <c r="B85" s="130"/>
      <c r="C85" s="130"/>
      <c r="D85" s="130"/>
      <c r="E85" s="130"/>
      <c r="F85" s="130"/>
      <c r="G85" s="130"/>
      <c r="H85" s="130"/>
      <c r="I85" s="130"/>
    </row>
    <row r="86" spans="1:9" ht="14.4" customHeight="1" x14ac:dyDescent="0.3">
      <c r="A86" s="129" t="s">
        <v>77</v>
      </c>
      <c r="B86" s="129"/>
      <c r="C86" s="129"/>
      <c r="D86" s="129"/>
      <c r="E86" s="129"/>
      <c r="F86" s="129"/>
      <c r="G86" s="129"/>
      <c r="H86" s="129"/>
      <c r="I86" s="16"/>
    </row>
    <row r="87" spans="1:9" ht="48" customHeight="1" x14ac:dyDescent="0.3">
      <c r="A87" s="131" t="s">
        <v>80</v>
      </c>
      <c r="B87" s="131"/>
      <c r="C87" s="131"/>
      <c r="D87" s="131"/>
      <c r="E87" s="131"/>
      <c r="F87" s="131"/>
      <c r="G87" s="131"/>
      <c r="H87" s="131"/>
      <c r="I87" s="131"/>
    </row>
    <row r="88" spans="1:9" ht="31.2" customHeight="1" x14ac:dyDescent="0.3">
      <c r="A88" s="132" t="s">
        <v>81</v>
      </c>
      <c r="B88" s="132"/>
      <c r="C88" s="132"/>
      <c r="D88" s="132"/>
      <c r="E88" s="132"/>
      <c r="F88" s="132"/>
      <c r="G88" s="132"/>
      <c r="H88" s="132"/>
      <c r="I88" s="132"/>
    </row>
    <row r="89" spans="1:9" hidden="1" x14ac:dyDescent="0.3">
      <c r="A89" s="124" t="s">
        <v>39</v>
      </c>
      <c r="B89" s="124" t="s">
        <v>301</v>
      </c>
      <c r="C89" s="19"/>
      <c r="D89" s="19"/>
      <c r="E89" s="18"/>
      <c r="F89" s="18"/>
      <c r="G89" s="18"/>
      <c r="H89" s="18"/>
    </row>
    <row r="90" spans="1:9" hidden="1" x14ac:dyDescent="0.3">
      <c r="A90" t="s">
        <v>309</v>
      </c>
      <c r="B90" t="s">
        <v>302</v>
      </c>
      <c r="C90" t="s">
        <v>303</v>
      </c>
      <c r="E90" s="18"/>
      <c r="F90" s="18"/>
      <c r="G90" s="18"/>
      <c r="H90" s="18"/>
    </row>
    <row r="91" spans="1:9" hidden="1" x14ac:dyDescent="0.3">
      <c r="A91" t="s">
        <v>308</v>
      </c>
      <c r="B91" t="s">
        <v>313</v>
      </c>
      <c r="C91" t="s">
        <v>304</v>
      </c>
      <c r="D91" s="125" t="s">
        <v>305</v>
      </c>
      <c r="E91" t="s">
        <v>306</v>
      </c>
      <c r="F91" s="18"/>
      <c r="G91" s="18"/>
      <c r="H91" s="18"/>
    </row>
  </sheetData>
  <customSheetViews>
    <customSheetView guid="{84B8FA77-AE35-4870-A1B4-CD3D8EA9555F}" scale="85" fitToPage="1" topLeftCell="A37">
      <selection activeCell="K10" sqref="K10"/>
      <pageMargins left="0.7" right="0.7" top="0.75" bottom="0.75" header="0.3" footer="0.3"/>
      <pageSetup paperSize="9" scale="54" fitToHeight="0" orientation="portrait" verticalDpi="597" r:id="rId1"/>
    </customSheetView>
    <customSheetView guid="{BDD2EFA5-319A-44D2-B9F1-2950626BDBE4}" scale="85" fitToPage="1" topLeftCell="A73">
      <selection activeCell="N64" sqref="N64"/>
      <pageMargins left="0.7" right="0.7" top="0.75" bottom="0.75" header="0.3" footer="0.3"/>
      <pageSetup paperSize="9" scale="54" fitToHeight="0" orientation="portrait" verticalDpi="597" r:id="rId2"/>
    </customSheetView>
  </customSheetViews>
  <mergeCells count="123">
    <mergeCell ref="G56:I56"/>
    <mergeCell ref="G59:I59"/>
    <mergeCell ref="G62:I62"/>
    <mergeCell ref="A51:G51"/>
    <mergeCell ref="H51:I51"/>
    <mergeCell ref="A54:G54"/>
    <mergeCell ref="H54:I54"/>
    <mergeCell ref="A57:G57"/>
    <mergeCell ref="A56:F56"/>
    <mergeCell ref="A59:F59"/>
    <mergeCell ref="A77:I77"/>
    <mergeCell ref="A78:I78"/>
    <mergeCell ref="B79:I79"/>
    <mergeCell ref="B80:I80"/>
    <mergeCell ref="A81:I81"/>
    <mergeCell ref="A82:I82"/>
    <mergeCell ref="A83:I83"/>
    <mergeCell ref="A65:G65"/>
    <mergeCell ref="A66:I66"/>
    <mergeCell ref="A67:I67"/>
    <mergeCell ref="A72:I72"/>
    <mergeCell ref="A73:I73"/>
    <mergeCell ref="A74:I74"/>
    <mergeCell ref="A75:I75"/>
    <mergeCell ref="A76:I76"/>
    <mergeCell ref="A46:I47"/>
    <mergeCell ref="A49:I49"/>
    <mergeCell ref="A68:H68"/>
    <mergeCell ref="A53:E53"/>
    <mergeCell ref="A44:C44"/>
    <mergeCell ref="D44:E44"/>
    <mergeCell ref="F44:I44"/>
    <mergeCell ref="A45:C45"/>
    <mergeCell ref="D45:E45"/>
    <mergeCell ref="F45:I45"/>
    <mergeCell ref="A62:F62"/>
    <mergeCell ref="A50:F50"/>
    <mergeCell ref="G50:I50"/>
    <mergeCell ref="G53:I53"/>
    <mergeCell ref="A48:I48"/>
    <mergeCell ref="H57:I57"/>
    <mergeCell ref="A60:G60"/>
    <mergeCell ref="H60:I60"/>
    <mergeCell ref="A63:G63"/>
    <mergeCell ref="H63:I63"/>
    <mergeCell ref="B38:I38"/>
    <mergeCell ref="B39:I39"/>
    <mergeCell ref="B40:I40"/>
    <mergeCell ref="A41:I41"/>
    <mergeCell ref="A42:I42"/>
    <mergeCell ref="A43:I43"/>
    <mergeCell ref="B32:I32"/>
    <mergeCell ref="A33:I33"/>
    <mergeCell ref="A34:I34"/>
    <mergeCell ref="B35:I35"/>
    <mergeCell ref="B36:I36"/>
    <mergeCell ref="B37:I37"/>
    <mergeCell ref="A28:I28"/>
    <mergeCell ref="A29:I29"/>
    <mergeCell ref="A30:I30"/>
    <mergeCell ref="B31:I31"/>
    <mergeCell ref="A20:I20"/>
    <mergeCell ref="B21:I21"/>
    <mergeCell ref="B22:I22"/>
    <mergeCell ref="A23:I23"/>
    <mergeCell ref="A24:I24"/>
    <mergeCell ref="B25:I25"/>
    <mergeCell ref="A1:D1"/>
    <mergeCell ref="A2:D2"/>
    <mergeCell ref="A3:D3"/>
    <mergeCell ref="A4:D4"/>
    <mergeCell ref="A5:D5"/>
    <mergeCell ref="A13:E13"/>
    <mergeCell ref="F13:G13"/>
    <mergeCell ref="H13:I13"/>
    <mergeCell ref="A8:I8"/>
    <mergeCell ref="A9:I9"/>
    <mergeCell ref="A10:I10"/>
    <mergeCell ref="A11:D11"/>
    <mergeCell ref="E11:G11"/>
    <mergeCell ref="H11:I11"/>
    <mergeCell ref="A69:I69"/>
    <mergeCell ref="A70:I70"/>
    <mergeCell ref="A71:I71"/>
    <mergeCell ref="A6:I6"/>
    <mergeCell ref="A7:I7"/>
    <mergeCell ref="A12:D12"/>
    <mergeCell ref="E12:G12"/>
    <mergeCell ref="H12:I12"/>
    <mergeCell ref="A17:E17"/>
    <mergeCell ref="F17:I17"/>
    <mergeCell ref="A18:D18"/>
    <mergeCell ref="E18:I18"/>
    <mergeCell ref="A19:D19"/>
    <mergeCell ref="E19:I19"/>
    <mergeCell ref="A14:E14"/>
    <mergeCell ref="F14:G14"/>
    <mergeCell ref="H14:I14"/>
    <mergeCell ref="A15:I15"/>
    <mergeCell ref="A16:E16"/>
    <mergeCell ref="F16:I16"/>
    <mergeCell ref="B26:I26"/>
    <mergeCell ref="B27:I27"/>
    <mergeCell ref="A84:I84"/>
    <mergeCell ref="A85:I85"/>
    <mergeCell ref="A86:H86"/>
    <mergeCell ref="A87:I87"/>
    <mergeCell ref="A88:I88"/>
    <mergeCell ref="G52:I52"/>
    <mergeCell ref="C52:F52"/>
    <mergeCell ref="C55:F55"/>
    <mergeCell ref="G55:I55"/>
    <mergeCell ref="C58:F58"/>
    <mergeCell ref="G58:I58"/>
    <mergeCell ref="C61:F61"/>
    <mergeCell ref="G61:I61"/>
    <mergeCell ref="C64:F64"/>
    <mergeCell ref="G64:I64"/>
    <mergeCell ref="A55:B55"/>
    <mergeCell ref="A52:B52"/>
    <mergeCell ref="A58:B58"/>
    <mergeCell ref="A61:B61"/>
    <mergeCell ref="A64:B64"/>
  </mergeCells>
  <dataValidations count="3">
    <dataValidation type="list" allowBlank="1" showInputMessage="1" showErrorMessage="1" sqref="A21:A22 A79:A80 A35:A40 A31:A32 A25:A26" xr:uid="{57510384-3ECD-485A-86EB-0062AC0409FA}">
      <formula1>$A$89:$B$89</formula1>
    </dataValidation>
    <dataValidation type="list" allowBlank="1" showInputMessage="1" showErrorMessage="1" sqref="H51:I51 H63:I63 H60:I60 H57:I57 H54:I54" xr:uid="{F265D611-8D22-4742-B9F7-ACE5F9C4F6F0}">
      <formula1>$A$90:$C$90</formula1>
    </dataValidation>
    <dataValidation type="list" allowBlank="1" showInputMessage="1" showErrorMessage="1" sqref="C52 C64 C61 C58 C55" xr:uid="{C6EE7CF0-72B7-44E6-9728-9E23B5AD577C}">
      <formula1>$A$91:$E$91</formula1>
    </dataValidation>
  </dataValidations>
  <pageMargins left="0.7" right="0.7" top="0.75" bottom="0.75" header="0.3" footer="0.3"/>
  <pageSetup paperSize="9" scale="54" fitToHeight="0" orientation="portrait" verticalDpi="597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opLeftCell="A6" zoomScale="90" zoomScaleNormal="90" workbookViewId="0">
      <selection activeCell="E11" sqref="E11:F18"/>
    </sheetView>
  </sheetViews>
  <sheetFormatPr defaultRowHeight="14.4" x14ac:dyDescent="0.3"/>
  <cols>
    <col min="1" max="1" width="6.44140625" customWidth="1"/>
    <col min="2" max="2" width="68.88671875" customWidth="1"/>
    <col min="3" max="3" width="13" customWidth="1"/>
    <col min="4" max="4" width="10.88671875" customWidth="1"/>
    <col min="5" max="5" width="12.77734375" customWidth="1"/>
    <col min="6" max="7" width="10.88671875" customWidth="1"/>
    <col min="8" max="8" width="13.5546875" customWidth="1"/>
    <col min="9" max="9" width="18.77734375" customWidth="1"/>
  </cols>
  <sheetData>
    <row r="1" spans="1:10" x14ac:dyDescent="0.3">
      <c r="B1" s="123" t="s">
        <v>297</v>
      </c>
      <c r="C1" s="20"/>
    </row>
    <row r="2" spans="1:10" x14ac:dyDescent="0.3">
      <c r="B2" s="123" t="s">
        <v>296</v>
      </c>
      <c r="C2" s="20"/>
    </row>
    <row r="3" spans="1:10" x14ac:dyDescent="0.3">
      <c r="B3" s="123" t="s">
        <v>295</v>
      </c>
      <c r="C3" s="20"/>
    </row>
    <row r="4" spans="1:10" x14ac:dyDescent="0.3">
      <c r="B4" s="123" t="s">
        <v>289</v>
      </c>
      <c r="C4" s="20"/>
    </row>
    <row r="5" spans="1:10" x14ac:dyDescent="0.3">
      <c r="B5" s="122" t="s">
        <v>298</v>
      </c>
      <c r="C5" s="20"/>
    </row>
    <row r="6" spans="1:10" x14ac:dyDescent="0.3">
      <c r="A6" s="194" t="s">
        <v>82</v>
      </c>
      <c r="B6" s="194"/>
      <c r="C6" s="194"/>
      <c r="D6" s="194"/>
      <c r="E6" s="194" t="s">
        <v>294</v>
      </c>
      <c r="F6" s="194"/>
      <c r="G6" s="194"/>
      <c r="H6" s="194"/>
      <c r="I6" s="21"/>
      <c r="J6" s="21"/>
    </row>
    <row r="7" spans="1:10" x14ac:dyDescent="0.3">
      <c r="A7" s="32"/>
      <c r="B7" s="32" t="str">
        <f>'Formularz oferty'!A9</f>
        <v xml:space="preserve"> </v>
      </c>
      <c r="C7" s="32"/>
      <c r="D7" s="32"/>
      <c r="E7" s="12"/>
      <c r="F7" s="12"/>
      <c r="G7" s="12"/>
      <c r="H7" s="12"/>
      <c r="I7" s="21"/>
      <c r="J7" s="21"/>
    </row>
    <row r="8" spans="1:10" ht="14.4" customHeight="1" x14ac:dyDescent="0.3">
      <c r="A8" s="200" t="s">
        <v>0</v>
      </c>
      <c r="B8" s="200" t="s">
        <v>1</v>
      </c>
      <c r="C8" s="202" t="s">
        <v>2</v>
      </c>
      <c r="D8" s="200" t="s">
        <v>3</v>
      </c>
      <c r="E8" s="195" t="s">
        <v>167</v>
      </c>
      <c r="F8" s="195" t="s">
        <v>168</v>
      </c>
      <c r="G8" s="195" t="s">
        <v>169</v>
      </c>
      <c r="H8" s="195" t="s">
        <v>17</v>
      </c>
    </row>
    <row r="9" spans="1:10" ht="25.2" customHeight="1" x14ac:dyDescent="0.3">
      <c r="A9" s="200"/>
      <c r="B9" s="201"/>
      <c r="C9" s="203"/>
      <c r="D9" s="204"/>
      <c r="E9" s="199"/>
      <c r="F9" s="199"/>
      <c r="G9" s="196"/>
      <c r="H9" s="199"/>
    </row>
    <row r="10" spans="1:10" x14ac:dyDescent="0.3">
      <c r="A10" s="24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</row>
    <row r="11" spans="1:10" ht="43.2" x14ac:dyDescent="0.3">
      <c r="A11" s="63">
        <v>3</v>
      </c>
      <c r="B11" s="33" t="s">
        <v>160</v>
      </c>
      <c r="C11" s="64" t="s">
        <v>8</v>
      </c>
      <c r="D11" s="64">
        <f>95</f>
        <v>95</v>
      </c>
      <c r="E11" s="65"/>
      <c r="F11" s="66"/>
      <c r="G11" s="77">
        <f t="shared" ref="G11:G18" si="0">D11*E11</f>
        <v>0</v>
      </c>
      <c r="H11" s="67">
        <f t="shared" ref="H11:H18" si="1">ROUND((E11*F11+E11)*D11,2)</f>
        <v>0</v>
      </c>
    </row>
    <row r="12" spans="1:10" x14ac:dyDescent="0.3">
      <c r="A12" s="63">
        <v>4</v>
      </c>
      <c r="B12" s="33" t="s">
        <v>182</v>
      </c>
      <c r="C12" s="64" t="s">
        <v>8</v>
      </c>
      <c r="D12" s="64">
        <f>60</f>
        <v>60</v>
      </c>
      <c r="E12" s="65"/>
      <c r="F12" s="66"/>
      <c r="G12" s="77">
        <f t="shared" si="0"/>
        <v>0</v>
      </c>
      <c r="H12" s="67">
        <f t="shared" si="1"/>
        <v>0</v>
      </c>
    </row>
    <row r="13" spans="1:10" ht="72" x14ac:dyDescent="0.3">
      <c r="A13" s="68">
        <v>5</v>
      </c>
      <c r="B13" s="33" t="s">
        <v>166</v>
      </c>
      <c r="C13" s="64" t="s">
        <v>8</v>
      </c>
      <c r="D13" s="64">
        <f>85</f>
        <v>85</v>
      </c>
      <c r="E13" s="65"/>
      <c r="F13" s="66"/>
      <c r="G13" s="77">
        <f t="shared" si="0"/>
        <v>0</v>
      </c>
      <c r="H13" s="67">
        <f t="shared" si="1"/>
        <v>0</v>
      </c>
    </row>
    <row r="14" spans="1:10" s="9" customFormat="1" ht="86.4" x14ac:dyDescent="0.3">
      <c r="A14" s="63">
        <v>6</v>
      </c>
      <c r="B14" s="33" t="s">
        <v>161</v>
      </c>
      <c r="C14" s="64" t="s">
        <v>8</v>
      </c>
      <c r="D14" s="64">
        <f>480</f>
        <v>480</v>
      </c>
      <c r="E14" s="65"/>
      <c r="F14" s="66"/>
      <c r="G14" s="77">
        <f t="shared" si="0"/>
        <v>0</v>
      </c>
      <c r="H14" s="67">
        <f t="shared" si="1"/>
        <v>0</v>
      </c>
    </row>
    <row r="15" spans="1:10" x14ac:dyDescent="0.3">
      <c r="A15" s="63">
        <v>7</v>
      </c>
      <c r="B15" s="33" t="s">
        <v>165</v>
      </c>
      <c r="C15" s="64" t="s">
        <v>8</v>
      </c>
      <c r="D15" s="64">
        <f>55</f>
        <v>55</v>
      </c>
      <c r="E15" s="65"/>
      <c r="F15" s="66"/>
      <c r="G15" s="77">
        <f t="shared" si="0"/>
        <v>0</v>
      </c>
      <c r="H15" s="67">
        <f t="shared" si="1"/>
        <v>0</v>
      </c>
    </row>
    <row r="16" spans="1:10" x14ac:dyDescent="0.3">
      <c r="A16" s="68">
        <v>8</v>
      </c>
      <c r="B16" s="33" t="s">
        <v>96</v>
      </c>
      <c r="C16" s="64" t="s">
        <v>8</v>
      </c>
      <c r="D16" s="64">
        <f>330</f>
        <v>330</v>
      </c>
      <c r="E16" s="65"/>
      <c r="F16" s="66"/>
      <c r="G16" s="77">
        <f t="shared" si="0"/>
        <v>0</v>
      </c>
      <c r="H16" s="67">
        <f t="shared" si="1"/>
        <v>0</v>
      </c>
    </row>
    <row r="17" spans="1:9" x14ac:dyDescent="0.3">
      <c r="A17" s="63">
        <v>9</v>
      </c>
      <c r="B17" s="33" t="s">
        <v>95</v>
      </c>
      <c r="C17" s="64" t="s">
        <v>8</v>
      </c>
      <c r="D17" s="64">
        <f>90</f>
        <v>90</v>
      </c>
      <c r="E17" s="65"/>
      <c r="F17" s="66"/>
      <c r="G17" s="77">
        <f t="shared" si="0"/>
        <v>0</v>
      </c>
      <c r="H17" s="67">
        <f t="shared" si="1"/>
        <v>0</v>
      </c>
    </row>
    <row r="18" spans="1:9" ht="25.5" customHeight="1" x14ac:dyDescent="0.3">
      <c r="A18" s="68">
        <v>12</v>
      </c>
      <c r="B18" s="99" t="s">
        <v>287</v>
      </c>
      <c r="C18" s="69" t="s">
        <v>8</v>
      </c>
      <c r="D18" s="69">
        <v>35</v>
      </c>
      <c r="E18" s="65"/>
      <c r="F18" s="66"/>
      <c r="G18" s="77">
        <f t="shared" si="0"/>
        <v>0</v>
      </c>
      <c r="H18" s="67">
        <f t="shared" si="1"/>
        <v>0</v>
      </c>
    </row>
    <row r="19" spans="1:9" x14ac:dyDescent="0.3">
      <c r="A19" s="5"/>
      <c r="B19" s="34"/>
      <c r="C19" s="5"/>
      <c r="D19" s="5"/>
      <c r="E19" s="70"/>
      <c r="F19" s="64" t="s">
        <v>97</v>
      </c>
      <c r="G19" s="77">
        <f>SUM(G11:G18)</f>
        <v>0</v>
      </c>
      <c r="H19" s="35">
        <f>SUM(H11:H18)</f>
        <v>0</v>
      </c>
      <c r="I19" s="91"/>
    </row>
    <row r="20" spans="1:9" x14ac:dyDescent="0.3">
      <c r="H20" s="78"/>
    </row>
    <row r="22" spans="1:9" x14ac:dyDescent="0.3">
      <c r="A22" s="197" t="s">
        <v>64</v>
      </c>
      <c r="B22" s="198"/>
      <c r="C22" s="198"/>
      <c r="D22" s="198"/>
      <c r="E22" s="198"/>
      <c r="F22" s="198"/>
      <c r="G22" s="198"/>
      <c r="H22" s="198"/>
    </row>
    <row r="23" spans="1:9" x14ac:dyDescent="0.3">
      <c r="A23" s="198"/>
      <c r="B23" s="198"/>
      <c r="C23" s="198"/>
      <c r="D23" s="198"/>
      <c r="E23" s="198"/>
      <c r="F23" s="198"/>
      <c r="G23" s="198"/>
      <c r="H23" s="198"/>
    </row>
    <row r="24" spans="1:9" x14ac:dyDescent="0.3">
      <c r="A24" s="198"/>
      <c r="B24" s="198"/>
      <c r="C24" s="198"/>
      <c r="D24" s="198"/>
      <c r="E24" s="198"/>
      <c r="F24" s="198"/>
      <c r="G24" s="198"/>
      <c r="H24" s="198"/>
    </row>
  </sheetData>
  <sortState xmlns:xlrd2="http://schemas.microsoft.com/office/spreadsheetml/2017/richdata2" ref="A11:H18">
    <sortCondition ref="B11:B18"/>
  </sortState>
  <customSheetViews>
    <customSheetView guid="{84B8FA77-AE35-4870-A1B4-CD3D8EA9555F}" scale="90" showPageBreaks="1" fitToPage="1" printArea="1" topLeftCell="A13">
      <selection activeCell="B15" sqref="B15"/>
      <pageMargins left="0.7" right="0.7" top="0.75" bottom="0.75" header="0.3" footer="0.3"/>
      <pageSetup paperSize="9" scale="59" fitToHeight="0" orientation="portrait" r:id="rId1"/>
    </customSheetView>
    <customSheetView guid="{BDD2EFA5-319A-44D2-B9F1-2950626BDBE4}" scale="90" showPageBreaks="1" fitToPage="1" printArea="1">
      <selection activeCell="B1" sqref="B1:B5"/>
      <pageMargins left="0.7" right="0.7" top="0.75" bottom="0.75" header="0.3" footer="0.3"/>
      <pageSetup paperSize="9" scale="59" fitToHeight="0" orientation="portrait" r:id="rId2"/>
    </customSheetView>
  </customSheetViews>
  <mergeCells count="11">
    <mergeCell ref="A6:D6"/>
    <mergeCell ref="G8:G9"/>
    <mergeCell ref="E6:H6"/>
    <mergeCell ref="A22:H24"/>
    <mergeCell ref="F8:F9"/>
    <mergeCell ref="H8:H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59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78E-1007-41C6-91C0-BB939AB8D015}">
  <dimension ref="A1"/>
  <sheetViews>
    <sheetView workbookViewId="0"/>
  </sheetViews>
  <sheetFormatPr defaultRowHeight="14.4" x14ac:dyDescent="0.3"/>
  <sheetData/>
  <customSheetViews>
    <customSheetView guid="{84B8FA77-AE35-4870-A1B4-CD3D8EA9555F}" state="hidden">
      <pageMargins left="0.7" right="0.7" top="0.75" bottom="0.75" header="0.3" footer="0.3"/>
    </customSheetView>
    <customSheetView guid="{BDD2EFA5-319A-44D2-B9F1-2950626BDBE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3"/>
  <sheetViews>
    <sheetView topLeftCell="A16" zoomScale="90" zoomScaleNormal="90" workbookViewId="0">
      <selection activeCell="E10" sqref="E10:F66"/>
    </sheetView>
  </sheetViews>
  <sheetFormatPr defaultColWidth="9.109375" defaultRowHeight="14.4" x14ac:dyDescent="0.3"/>
  <cols>
    <col min="1" max="1" width="9.109375" style="5"/>
    <col min="2" max="2" width="39.44140625" style="5" customWidth="1"/>
    <col min="3" max="3" width="12.88671875" style="5" customWidth="1"/>
    <col min="4" max="8" width="17.88671875" style="5" customWidth="1"/>
    <col min="9" max="9" width="15" style="5" customWidth="1"/>
    <col min="10" max="10" width="15.109375" style="5" customWidth="1"/>
    <col min="11" max="16384" width="9.109375" style="5"/>
  </cols>
  <sheetData>
    <row r="1" spans="1:10" customFormat="1" x14ac:dyDescent="0.3">
      <c r="B1" s="123" t="s">
        <v>297</v>
      </c>
      <c r="C1" s="20"/>
    </row>
    <row r="2" spans="1:10" customFormat="1" x14ac:dyDescent="0.3">
      <c r="B2" s="123" t="s">
        <v>296</v>
      </c>
      <c r="C2" s="20"/>
    </row>
    <row r="3" spans="1:10" customFormat="1" x14ac:dyDescent="0.3">
      <c r="B3" s="123" t="s">
        <v>295</v>
      </c>
      <c r="C3" s="20"/>
    </row>
    <row r="4" spans="1:10" customFormat="1" x14ac:dyDescent="0.3">
      <c r="B4" s="123" t="s">
        <v>289</v>
      </c>
      <c r="C4" s="20"/>
    </row>
    <row r="5" spans="1:10" customFormat="1" x14ac:dyDescent="0.3">
      <c r="B5" s="122" t="s">
        <v>298</v>
      </c>
      <c r="C5" s="20"/>
    </row>
    <row r="6" spans="1:10" customFormat="1" x14ac:dyDescent="0.3">
      <c r="A6" s="194" t="s">
        <v>83</v>
      </c>
      <c r="B6" s="194"/>
      <c r="C6" s="194"/>
      <c r="D6" s="194"/>
      <c r="E6" s="12"/>
      <c r="F6" s="194" t="s">
        <v>291</v>
      </c>
      <c r="G6" s="194"/>
      <c r="H6" s="194"/>
      <c r="I6" s="21"/>
      <c r="J6" s="21"/>
    </row>
    <row r="7" spans="1:10" ht="14.4" customHeight="1" x14ac:dyDescent="0.3">
      <c r="A7" s="200" t="s">
        <v>6</v>
      </c>
      <c r="B7" s="200" t="s">
        <v>1</v>
      </c>
      <c r="C7" s="202" t="s">
        <v>2</v>
      </c>
      <c r="D7" s="200" t="s">
        <v>3</v>
      </c>
      <c r="E7" s="195" t="s">
        <v>167</v>
      </c>
      <c r="F7" s="195" t="s">
        <v>168</v>
      </c>
      <c r="G7" s="206" t="s">
        <v>169</v>
      </c>
      <c r="H7" s="205" t="s">
        <v>17</v>
      </c>
    </row>
    <row r="8" spans="1:10" x14ac:dyDescent="0.3">
      <c r="A8" s="200"/>
      <c r="B8" s="201"/>
      <c r="C8" s="203"/>
      <c r="D8" s="204"/>
      <c r="E8" s="199"/>
      <c r="F8" s="199"/>
      <c r="G8" s="207"/>
      <c r="H8" s="205"/>
    </row>
    <row r="9" spans="1:10" x14ac:dyDescent="0.3">
      <c r="A9" s="27">
        <v>1</v>
      </c>
      <c r="B9" s="28">
        <v>2</v>
      </c>
      <c r="C9" s="28">
        <v>3</v>
      </c>
      <c r="D9" s="28"/>
      <c r="E9" s="28">
        <v>5</v>
      </c>
      <c r="F9" s="28">
        <v>6</v>
      </c>
      <c r="G9" s="36">
        <v>7</v>
      </c>
      <c r="H9" s="36">
        <v>8</v>
      </c>
    </row>
    <row r="10" spans="1:10" x14ac:dyDescent="0.3">
      <c r="A10" s="71">
        <v>1</v>
      </c>
      <c r="B10" s="38" t="s">
        <v>123</v>
      </c>
      <c r="C10" s="39" t="s">
        <v>5</v>
      </c>
      <c r="D10" s="97">
        <f>35</f>
        <v>35</v>
      </c>
      <c r="E10" s="82"/>
      <c r="F10" s="46"/>
      <c r="G10" s="45">
        <f>ROUND(D10*E10,2)</f>
        <v>0</v>
      </c>
      <c r="H10" s="45">
        <f t="shared" ref="H10:H66" si="0">ROUND(D10*(E10*F10+E10),2)</f>
        <v>0</v>
      </c>
      <c r="I10" s="80"/>
    </row>
    <row r="11" spans="1:10" s="11" customFormat="1" ht="16.8" customHeight="1" x14ac:dyDescent="0.3">
      <c r="A11" s="72">
        <v>2</v>
      </c>
      <c r="B11" s="38" t="s">
        <v>131</v>
      </c>
      <c r="C11" s="39" t="s">
        <v>4</v>
      </c>
      <c r="D11" s="97">
        <f>140</f>
        <v>140</v>
      </c>
      <c r="E11" s="82"/>
      <c r="F11" s="46"/>
      <c r="G11" s="45">
        <f t="shared" ref="G11:G66" si="1">ROUND(D11*E11,2)</f>
        <v>0</v>
      </c>
      <c r="H11" s="45">
        <f t="shared" si="0"/>
        <v>0</v>
      </c>
      <c r="I11" s="80"/>
    </row>
    <row r="12" spans="1:10" ht="28.8" customHeight="1" x14ac:dyDescent="0.3">
      <c r="A12" s="71">
        <v>3</v>
      </c>
      <c r="B12" s="22" t="s">
        <v>162</v>
      </c>
      <c r="C12" s="39" t="s">
        <v>4</v>
      </c>
      <c r="D12" s="97">
        <f>280</f>
        <v>280</v>
      </c>
      <c r="E12" s="82"/>
      <c r="F12" s="46"/>
      <c r="G12" s="45">
        <f t="shared" si="1"/>
        <v>0</v>
      </c>
      <c r="H12" s="45">
        <f t="shared" si="0"/>
        <v>0</v>
      </c>
      <c r="I12" s="80"/>
    </row>
    <row r="13" spans="1:10" ht="43.2" x14ac:dyDescent="0.3">
      <c r="A13" s="71">
        <v>4</v>
      </c>
      <c r="B13" s="43" t="s">
        <v>119</v>
      </c>
      <c r="C13" s="39" t="s">
        <v>8</v>
      </c>
      <c r="D13" s="97">
        <f>75</f>
        <v>75</v>
      </c>
      <c r="E13" s="82"/>
      <c r="F13" s="46"/>
      <c r="G13" s="45">
        <f t="shared" si="1"/>
        <v>0</v>
      </c>
      <c r="H13" s="45">
        <f t="shared" si="0"/>
        <v>0</v>
      </c>
      <c r="I13" s="80"/>
    </row>
    <row r="14" spans="1:10" ht="30.6" customHeight="1" x14ac:dyDescent="0.3">
      <c r="A14" s="72">
        <v>5</v>
      </c>
      <c r="B14" s="29" t="s">
        <v>10</v>
      </c>
      <c r="C14" s="39" t="s">
        <v>8</v>
      </c>
      <c r="D14" s="97">
        <v>5</v>
      </c>
      <c r="E14" s="82"/>
      <c r="F14" s="46"/>
      <c r="G14" s="45">
        <f t="shared" si="1"/>
        <v>0</v>
      </c>
      <c r="H14" s="45">
        <f t="shared" si="0"/>
        <v>0</v>
      </c>
      <c r="I14" s="80"/>
    </row>
    <row r="15" spans="1:10" ht="15.6" customHeight="1" x14ac:dyDescent="0.3">
      <c r="A15" s="71">
        <v>6</v>
      </c>
      <c r="B15" s="41" t="s">
        <v>11</v>
      </c>
      <c r="C15" s="39" t="s">
        <v>4</v>
      </c>
      <c r="D15" s="97">
        <f>50</f>
        <v>50</v>
      </c>
      <c r="E15" s="82"/>
      <c r="F15" s="46"/>
      <c r="G15" s="45">
        <f t="shared" si="1"/>
        <v>0</v>
      </c>
      <c r="H15" s="45">
        <f t="shared" si="0"/>
        <v>0</v>
      </c>
      <c r="I15" s="80"/>
    </row>
    <row r="16" spans="1:10" ht="15.6" customHeight="1" x14ac:dyDescent="0.3">
      <c r="A16" s="71">
        <v>7</v>
      </c>
      <c r="B16" s="38" t="s">
        <v>125</v>
      </c>
      <c r="C16" s="39" t="s">
        <v>5</v>
      </c>
      <c r="D16" s="97">
        <f>8+10+8+7+3+2</f>
        <v>38</v>
      </c>
      <c r="E16" s="82"/>
      <c r="F16" s="46"/>
      <c r="G16" s="45">
        <f t="shared" si="1"/>
        <v>0</v>
      </c>
      <c r="H16" s="45">
        <f t="shared" si="0"/>
        <v>0</v>
      </c>
      <c r="I16" s="80"/>
    </row>
    <row r="17" spans="1:9" ht="27" customHeight="1" x14ac:dyDescent="0.3">
      <c r="A17" s="72">
        <v>8</v>
      </c>
      <c r="B17" s="38" t="s">
        <v>261</v>
      </c>
      <c r="C17" s="39" t="s">
        <v>4</v>
      </c>
      <c r="D17" s="97">
        <f>50</f>
        <v>50</v>
      </c>
      <c r="E17" s="82"/>
      <c r="F17" s="46"/>
      <c r="G17" s="45">
        <f t="shared" si="1"/>
        <v>0</v>
      </c>
      <c r="H17" s="45">
        <f t="shared" si="0"/>
        <v>0</v>
      </c>
      <c r="I17" s="80"/>
    </row>
    <row r="18" spans="1:9" ht="16.8" customHeight="1" x14ac:dyDescent="0.3">
      <c r="A18" s="71">
        <v>9</v>
      </c>
      <c r="B18" s="23" t="s">
        <v>236</v>
      </c>
      <c r="C18" s="39" t="s">
        <v>4</v>
      </c>
      <c r="D18" s="97">
        <f>130</f>
        <v>130</v>
      </c>
      <c r="E18" s="82"/>
      <c r="F18" s="46"/>
      <c r="G18" s="45">
        <f t="shared" si="1"/>
        <v>0</v>
      </c>
      <c r="H18" s="45">
        <f t="shared" si="0"/>
        <v>0</v>
      </c>
      <c r="I18" s="80"/>
    </row>
    <row r="19" spans="1:9" ht="28.8" x14ac:dyDescent="0.3">
      <c r="A19" s="71">
        <v>10</v>
      </c>
      <c r="B19" s="23" t="s">
        <v>98</v>
      </c>
      <c r="C19" s="39" t="s">
        <v>4</v>
      </c>
      <c r="D19" s="97">
        <f>60</f>
        <v>60</v>
      </c>
      <c r="E19" s="82"/>
      <c r="F19" s="46"/>
      <c r="G19" s="45">
        <f t="shared" si="1"/>
        <v>0</v>
      </c>
      <c r="H19" s="45">
        <f t="shared" si="0"/>
        <v>0</v>
      </c>
      <c r="I19" s="80"/>
    </row>
    <row r="20" spans="1:9" x14ac:dyDescent="0.3">
      <c r="A20" s="71">
        <v>12</v>
      </c>
      <c r="B20" s="23" t="s">
        <v>99</v>
      </c>
      <c r="C20" s="39" t="s">
        <v>4</v>
      </c>
      <c r="D20" s="97">
        <f>60</f>
        <v>60</v>
      </c>
      <c r="E20" s="82"/>
      <c r="F20" s="46"/>
      <c r="G20" s="45">
        <f t="shared" si="1"/>
        <v>0</v>
      </c>
      <c r="H20" s="45">
        <f t="shared" si="0"/>
        <v>0</v>
      </c>
      <c r="I20" s="80"/>
    </row>
    <row r="21" spans="1:9" ht="27.6" customHeight="1" x14ac:dyDescent="0.3">
      <c r="A21" s="71">
        <v>13</v>
      </c>
      <c r="B21" s="23" t="s">
        <v>100</v>
      </c>
      <c r="C21" s="39" t="s">
        <v>8</v>
      </c>
      <c r="D21" s="97">
        <f>70+3+2</f>
        <v>75</v>
      </c>
      <c r="E21" s="82"/>
      <c r="F21" s="46"/>
      <c r="G21" s="45">
        <f t="shared" si="1"/>
        <v>0</v>
      </c>
      <c r="H21" s="45">
        <f t="shared" si="0"/>
        <v>0</v>
      </c>
      <c r="I21" s="80"/>
    </row>
    <row r="22" spans="1:9" ht="43.2" x14ac:dyDescent="0.3">
      <c r="A22" s="72">
        <v>14</v>
      </c>
      <c r="B22" s="23" t="s">
        <v>101</v>
      </c>
      <c r="C22" s="39" t="s">
        <v>4</v>
      </c>
      <c r="D22" s="97">
        <f>4+3.7+3+4+10+1+3+4.5+4.5+6+5.5+3.2+5.5+4+3.6+1.5+3.5+4.5+6.5+3.5</f>
        <v>85</v>
      </c>
      <c r="E22" s="82"/>
      <c r="F22" s="46"/>
      <c r="G22" s="45">
        <f t="shared" si="1"/>
        <v>0</v>
      </c>
      <c r="H22" s="45">
        <f t="shared" si="0"/>
        <v>0</v>
      </c>
      <c r="I22" s="80"/>
    </row>
    <row r="23" spans="1:9" ht="43.2" x14ac:dyDescent="0.3">
      <c r="A23" s="71">
        <v>15</v>
      </c>
      <c r="B23" s="23" t="s">
        <v>163</v>
      </c>
      <c r="C23" s="39" t="s">
        <v>4</v>
      </c>
      <c r="D23" s="97">
        <f>240</f>
        <v>240</v>
      </c>
      <c r="E23" s="82"/>
      <c r="F23" s="46"/>
      <c r="G23" s="45">
        <f t="shared" si="1"/>
        <v>0</v>
      </c>
      <c r="H23" s="45">
        <f t="shared" si="0"/>
        <v>0</v>
      </c>
      <c r="I23" s="80"/>
    </row>
    <row r="24" spans="1:9" ht="28.8" x14ac:dyDescent="0.3">
      <c r="A24" s="72">
        <v>17</v>
      </c>
      <c r="B24" s="38" t="s">
        <v>121</v>
      </c>
      <c r="C24" s="39" t="s">
        <v>12</v>
      </c>
      <c r="D24" s="97">
        <f>6+1+2+2</f>
        <v>11</v>
      </c>
      <c r="E24" s="82"/>
      <c r="F24" s="46"/>
      <c r="G24" s="45">
        <f t="shared" si="1"/>
        <v>0</v>
      </c>
      <c r="H24" s="45">
        <f t="shared" si="0"/>
        <v>0</v>
      </c>
      <c r="I24" s="80"/>
    </row>
    <row r="25" spans="1:9" ht="28.8" x14ac:dyDescent="0.3">
      <c r="A25" s="71">
        <v>18</v>
      </c>
      <c r="B25" s="23" t="s">
        <v>102</v>
      </c>
      <c r="C25" s="39" t="s">
        <v>4</v>
      </c>
      <c r="D25" s="97">
        <f>70</f>
        <v>70</v>
      </c>
      <c r="E25" s="82"/>
      <c r="F25" s="46"/>
      <c r="G25" s="45">
        <f t="shared" si="1"/>
        <v>0</v>
      </c>
      <c r="H25" s="45">
        <f t="shared" si="0"/>
        <v>0</v>
      </c>
      <c r="I25" s="80"/>
    </row>
    <row r="26" spans="1:9" ht="28.8" x14ac:dyDescent="0.3">
      <c r="A26" s="71">
        <v>19</v>
      </c>
      <c r="B26" s="23" t="s">
        <v>103</v>
      </c>
      <c r="C26" s="39" t="s">
        <v>4</v>
      </c>
      <c r="D26" s="97">
        <f>25+2</f>
        <v>27</v>
      </c>
      <c r="E26" s="82"/>
      <c r="F26" s="46"/>
      <c r="G26" s="45">
        <f t="shared" si="1"/>
        <v>0</v>
      </c>
      <c r="H26" s="45">
        <f t="shared" si="0"/>
        <v>0</v>
      </c>
      <c r="I26" s="80"/>
    </row>
    <row r="27" spans="1:9" ht="31.2" customHeight="1" x14ac:dyDescent="0.3">
      <c r="A27" s="72">
        <v>20</v>
      </c>
      <c r="B27" s="23" t="s">
        <v>104</v>
      </c>
      <c r="C27" s="39" t="s">
        <v>4</v>
      </c>
      <c r="D27" s="97">
        <f>70</f>
        <v>70</v>
      </c>
      <c r="E27" s="82"/>
      <c r="F27" s="46"/>
      <c r="G27" s="45">
        <f t="shared" si="1"/>
        <v>0</v>
      </c>
      <c r="H27" s="45">
        <f t="shared" si="0"/>
        <v>0</v>
      </c>
      <c r="I27" s="80"/>
    </row>
    <row r="28" spans="1:9" x14ac:dyDescent="0.3">
      <c r="A28" s="71">
        <v>21</v>
      </c>
      <c r="B28" s="38" t="s">
        <v>126</v>
      </c>
      <c r="C28" s="39" t="s">
        <v>5</v>
      </c>
      <c r="D28" s="97"/>
      <c r="E28" s="82"/>
      <c r="F28" s="46"/>
      <c r="G28" s="45">
        <f t="shared" si="1"/>
        <v>0</v>
      </c>
      <c r="H28" s="45">
        <f t="shared" si="0"/>
        <v>0</v>
      </c>
      <c r="I28" s="80"/>
    </row>
    <row r="29" spans="1:9" x14ac:dyDescent="0.3">
      <c r="A29" s="71">
        <v>22</v>
      </c>
      <c r="B29" s="23" t="s">
        <v>164</v>
      </c>
      <c r="C29" s="39" t="s">
        <v>4</v>
      </c>
      <c r="D29" s="97">
        <v>70</v>
      </c>
      <c r="E29" s="82"/>
      <c r="F29" s="46"/>
      <c r="G29" s="45">
        <f t="shared" si="1"/>
        <v>0</v>
      </c>
      <c r="H29" s="45">
        <f t="shared" si="0"/>
        <v>0</v>
      </c>
      <c r="I29" s="80"/>
    </row>
    <row r="30" spans="1:9" x14ac:dyDescent="0.3">
      <c r="A30" s="72">
        <v>23</v>
      </c>
      <c r="B30" s="38" t="s">
        <v>124</v>
      </c>
      <c r="C30" s="39" t="s">
        <v>5</v>
      </c>
      <c r="D30" s="97">
        <v>550</v>
      </c>
      <c r="E30" s="82"/>
      <c r="F30" s="46"/>
      <c r="G30" s="45">
        <f t="shared" si="1"/>
        <v>0</v>
      </c>
      <c r="H30" s="45">
        <f t="shared" si="0"/>
        <v>0</v>
      </c>
      <c r="I30" s="80"/>
    </row>
    <row r="31" spans="1:9" x14ac:dyDescent="0.3">
      <c r="A31" s="71">
        <v>24</v>
      </c>
      <c r="B31" s="23" t="s">
        <v>105</v>
      </c>
      <c r="C31" s="39" t="s">
        <v>7</v>
      </c>
      <c r="D31" s="97">
        <f>75</f>
        <v>75</v>
      </c>
      <c r="E31" s="82"/>
      <c r="F31" s="46"/>
      <c r="G31" s="45">
        <f t="shared" si="1"/>
        <v>0</v>
      </c>
      <c r="H31" s="45">
        <f t="shared" si="0"/>
        <v>0</v>
      </c>
      <c r="I31" s="80"/>
    </row>
    <row r="32" spans="1:9" ht="28.8" x14ac:dyDescent="0.3">
      <c r="A32" s="72">
        <v>26</v>
      </c>
      <c r="B32" s="38" t="s">
        <v>88</v>
      </c>
      <c r="C32" s="39" t="s">
        <v>4</v>
      </c>
      <c r="D32" s="97">
        <f>10</f>
        <v>10</v>
      </c>
      <c r="E32" s="82"/>
      <c r="F32" s="46"/>
      <c r="G32" s="45">
        <f t="shared" si="1"/>
        <v>0</v>
      </c>
      <c r="H32" s="45">
        <f t="shared" si="0"/>
        <v>0</v>
      </c>
      <c r="I32" s="80"/>
    </row>
    <row r="33" spans="1:9" ht="28.8" x14ac:dyDescent="0.3">
      <c r="A33" s="71">
        <v>27</v>
      </c>
      <c r="B33" s="23" t="s">
        <v>106</v>
      </c>
      <c r="C33" s="39" t="s">
        <v>4</v>
      </c>
      <c r="D33" s="97">
        <f>100</f>
        <v>100</v>
      </c>
      <c r="E33" s="82"/>
      <c r="F33" s="46"/>
      <c r="G33" s="45">
        <f t="shared" si="1"/>
        <v>0</v>
      </c>
      <c r="H33" s="45">
        <f t="shared" si="0"/>
        <v>0</v>
      </c>
      <c r="I33" s="80"/>
    </row>
    <row r="34" spans="1:9" x14ac:dyDescent="0.3">
      <c r="A34" s="71">
        <v>28</v>
      </c>
      <c r="B34" s="38" t="s">
        <v>120</v>
      </c>
      <c r="C34" s="39" t="s">
        <v>8</v>
      </c>
      <c r="D34" s="97">
        <v>30</v>
      </c>
      <c r="E34" s="82"/>
      <c r="F34" s="46"/>
      <c r="G34" s="45">
        <f t="shared" si="1"/>
        <v>0</v>
      </c>
      <c r="H34" s="45">
        <f t="shared" si="0"/>
        <v>0</v>
      </c>
      <c r="I34" s="80"/>
    </row>
    <row r="35" spans="1:9" x14ac:dyDescent="0.3">
      <c r="A35" s="72">
        <v>29</v>
      </c>
      <c r="B35" s="22" t="s">
        <v>107</v>
      </c>
      <c r="C35" s="39" t="s">
        <v>4</v>
      </c>
      <c r="D35" s="97">
        <f>230</f>
        <v>230</v>
      </c>
      <c r="E35" s="82"/>
      <c r="F35" s="46"/>
      <c r="G35" s="45">
        <f t="shared" si="1"/>
        <v>0</v>
      </c>
      <c r="H35" s="45">
        <f t="shared" si="0"/>
        <v>0</v>
      </c>
      <c r="I35" s="80"/>
    </row>
    <row r="36" spans="1:9" ht="28.8" x14ac:dyDescent="0.3">
      <c r="A36" s="71">
        <v>30</v>
      </c>
      <c r="B36" s="23" t="s">
        <v>13</v>
      </c>
      <c r="C36" s="39" t="s">
        <v>4</v>
      </c>
      <c r="D36" s="97">
        <f>60</f>
        <v>60</v>
      </c>
      <c r="E36" s="82"/>
      <c r="F36" s="46"/>
      <c r="G36" s="45">
        <f t="shared" si="1"/>
        <v>0</v>
      </c>
      <c r="H36" s="45">
        <f t="shared" si="0"/>
        <v>0</v>
      </c>
      <c r="I36" s="80"/>
    </row>
    <row r="37" spans="1:9" ht="28.8" x14ac:dyDescent="0.3">
      <c r="A37" s="71">
        <v>31</v>
      </c>
      <c r="B37" s="38" t="s">
        <v>128</v>
      </c>
      <c r="C37" s="39" t="s">
        <v>4</v>
      </c>
      <c r="D37" s="97">
        <f>30</f>
        <v>30</v>
      </c>
      <c r="E37" s="82"/>
      <c r="F37" s="46"/>
      <c r="G37" s="45">
        <f t="shared" si="1"/>
        <v>0</v>
      </c>
      <c r="H37" s="45">
        <f t="shared" si="0"/>
        <v>0</v>
      </c>
      <c r="I37" s="80"/>
    </row>
    <row r="38" spans="1:9" ht="43.2" x14ac:dyDescent="0.3">
      <c r="A38" s="72">
        <v>32</v>
      </c>
      <c r="B38" s="22" t="s">
        <v>108</v>
      </c>
      <c r="C38" s="39" t="s">
        <v>4</v>
      </c>
      <c r="D38" s="97">
        <f>60</f>
        <v>60</v>
      </c>
      <c r="E38" s="82"/>
      <c r="F38" s="46"/>
      <c r="G38" s="45">
        <f t="shared" si="1"/>
        <v>0</v>
      </c>
      <c r="H38" s="45">
        <f t="shared" si="0"/>
        <v>0</v>
      </c>
      <c r="I38" s="80"/>
    </row>
    <row r="39" spans="1:9" ht="28.8" x14ac:dyDescent="0.3">
      <c r="A39" s="71">
        <v>34</v>
      </c>
      <c r="B39" s="23" t="s">
        <v>109</v>
      </c>
      <c r="C39" s="39" t="s">
        <v>4</v>
      </c>
      <c r="D39" s="97">
        <f>250</f>
        <v>250</v>
      </c>
      <c r="E39" s="82"/>
      <c r="F39" s="46"/>
      <c r="G39" s="45">
        <f t="shared" si="1"/>
        <v>0</v>
      </c>
      <c r="H39" s="45">
        <f t="shared" si="0"/>
        <v>0</v>
      </c>
      <c r="I39" s="80"/>
    </row>
    <row r="40" spans="1:9" x14ac:dyDescent="0.3">
      <c r="A40" s="71">
        <v>36</v>
      </c>
      <c r="B40" s="42" t="s">
        <v>127</v>
      </c>
      <c r="C40" s="39" t="s">
        <v>5</v>
      </c>
      <c r="D40" s="97">
        <f>70</f>
        <v>70</v>
      </c>
      <c r="E40" s="82"/>
      <c r="F40" s="46"/>
      <c r="G40" s="45">
        <f t="shared" si="1"/>
        <v>0</v>
      </c>
      <c r="H40" s="45">
        <f t="shared" si="0"/>
        <v>0</v>
      </c>
      <c r="I40" s="80"/>
    </row>
    <row r="41" spans="1:9" x14ac:dyDescent="0.3">
      <c r="A41" s="71">
        <v>37</v>
      </c>
      <c r="B41" s="40" t="s">
        <v>110</v>
      </c>
      <c r="C41" s="39" t="s">
        <v>4</v>
      </c>
      <c r="D41" s="97">
        <f>70</f>
        <v>70</v>
      </c>
      <c r="E41" s="82"/>
      <c r="F41" s="46"/>
      <c r="G41" s="45">
        <f t="shared" si="1"/>
        <v>0</v>
      </c>
      <c r="H41" s="45">
        <f t="shared" si="0"/>
        <v>0</v>
      </c>
      <c r="I41" s="80"/>
    </row>
    <row r="42" spans="1:9" ht="28.8" x14ac:dyDescent="0.3">
      <c r="A42" s="72">
        <v>38</v>
      </c>
      <c r="B42" s="40" t="s">
        <v>111</v>
      </c>
      <c r="C42" s="39" t="s">
        <v>4</v>
      </c>
      <c r="D42" s="97">
        <f>95</f>
        <v>95</v>
      </c>
      <c r="E42" s="82"/>
      <c r="F42" s="46"/>
      <c r="G42" s="45">
        <f t="shared" si="1"/>
        <v>0</v>
      </c>
      <c r="H42" s="45">
        <f t="shared" si="0"/>
        <v>0</v>
      </c>
      <c r="I42" s="80"/>
    </row>
    <row r="43" spans="1:9" ht="13.8" customHeight="1" x14ac:dyDescent="0.3">
      <c r="A43" s="71">
        <v>39</v>
      </c>
      <c r="B43" s="40" t="s">
        <v>112</v>
      </c>
      <c r="C43" s="39" t="s">
        <v>7</v>
      </c>
      <c r="D43" s="97">
        <f>160</f>
        <v>160</v>
      </c>
      <c r="E43" s="82"/>
      <c r="F43" s="46"/>
      <c r="G43" s="45">
        <f t="shared" si="1"/>
        <v>0</v>
      </c>
      <c r="H43" s="45">
        <f t="shared" si="0"/>
        <v>0</v>
      </c>
      <c r="I43" s="80"/>
    </row>
    <row r="44" spans="1:9" x14ac:dyDescent="0.3">
      <c r="A44" s="71">
        <v>40</v>
      </c>
      <c r="B44" s="40" t="s">
        <v>113</v>
      </c>
      <c r="C44" s="39" t="s">
        <v>4</v>
      </c>
      <c r="D44" s="97">
        <f>60</f>
        <v>60</v>
      </c>
      <c r="E44" s="82"/>
      <c r="F44" s="46"/>
      <c r="G44" s="45">
        <f t="shared" si="1"/>
        <v>0</v>
      </c>
      <c r="H44" s="45">
        <f t="shared" si="0"/>
        <v>0</v>
      </c>
      <c r="I44" s="80"/>
    </row>
    <row r="45" spans="1:9" x14ac:dyDescent="0.3">
      <c r="A45" s="71">
        <v>42</v>
      </c>
      <c r="B45" s="40" t="s">
        <v>9</v>
      </c>
      <c r="C45" s="39" t="s">
        <v>4</v>
      </c>
      <c r="D45" s="97">
        <v>90</v>
      </c>
      <c r="E45" s="82"/>
      <c r="F45" s="46"/>
      <c r="G45" s="45">
        <f t="shared" si="1"/>
        <v>0</v>
      </c>
      <c r="H45" s="45">
        <f t="shared" si="0"/>
        <v>0</v>
      </c>
      <c r="I45" s="80"/>
    </row>
    <row r="46" spans="1:9" x14ac:dyDescent="0.3">
      <c r="A46" s="72">
        <v>44</v>
      </c>
      <c r="B46" s="40" t="s">
        <v>114</v>
      </c>
      <c r="C46" s="39" t="s">
        <v>5</v>
      </c>
      <c r="D46" s="97">
        <f>75</f>
        <v>75</v>
      </c>
      <c r="E46" s="82"/>
      <c r="F46" s="46"/>
      <c r="G46" s="45">
        <f t="shared" si="1"/>
        <v>0</v>
      </c>
      <c r="H46" s="45">
        <f t="shared" si="0"/>
        <v>0</v>
      </c>
      <c r="I46" s="80"/>
    </row>
    <row r="47" spans="1:9" x14ac:dyDescent="0.3">
      <c r="A47" s="72">
        <v>47</v>
      </c>
      <c r="B47" s="40" t="s">
        <v>115</v>
      </c>
      <c r="C47" s="39" t="s">
        <v>7</v>
      </c>
      <c r="D47" s="97">
        <f>80</f>
        <v>80</v>
      </c>
      <c r="E47" s="82"/>
      <c r="F47" s="46"/>
      <c r="G47" s="45">
        <f t="shared" si="1"/>
        <v>0</v>
      </c>
      <c r="H47" s="45">
        <f t="shared" si="0"/>
        <v>0</v>
      </c>
      <c r="I47" s="80"/>
    </row>
    <row r="48" spans="1:9" x14ac:dyDescent="0.3">
      <c r="A48" s="71">
        <v>48</v>
      </c>
      <c r="B48" s="40" t="s">
        <v>87</v>
      </c>
      <c r="C48" s="39" t="s">
        <v>8</v>
      </c>
      <c r="D48" s="97">
        <f>140</f>
        <v>140</v>
      </c>
      <c r="E48" s="82"/>
      <c r="F48" s="46"/>
      <c r="G48" s="45">
        <f t="shared" si="1"/>
        <v>0</v>
      </c>
      <c r="H48" s="45">
        <f t="shared" si="0"/>
        <v>0</v>
      </c>
      <c r="I48" s="80"/>
    </row>
    <row r="49" spans="1:10" x14ac:dyDescent="0.3">
      <c r="A49" s="71">
        <v>52</v>
      </c>
      <c r="B49" s="40" t="s">
        <v>116</v>
      </c>
      <c r="C49" s="39" t="s">
        <v>4</v>
      </c>
      <c r="D49" s="97">
        <f>60</f>
        <v>60</v>
      </c>
      <c r="E49" s="82"/>
      <c r="F49" s="46"/>
      <c r="G49" s="45">
        <f t="shared" si="1"/>
        <v>0</v>
      </c>
      <c r="H49" s="45">
        <f t="shared" si="0"/>
        <v>0</v>
      </c>
      <c r="I49" s="80"/>
    </row>
    <row r="50" spans="1:10" ht="72" x14ac:dyDescent="0.3">
      <c r="A50" s="71">
        <v>57</v>
      </c>
      <c r="B50" s="26" t="s">
        <v>129</v>
      </c>
      <c r="C50" s="39" t="s">
        <v>4</v>
      </c>
      <c r="D50" s="103">
        <f>30</f>
        <v>30</v>
      </c>
      <c r="E50" s="102"/>
      <c r="F50" s="46"/>
      <c r="G50" s="45">
        <f t="shared" si="1"/>
        <v>0</v>
      </c>
      <c r="H50" s="45">
        <f t="shared" si="0"/>
        <v>0</v>
      </c>
      <c r="I50" s="80"/>
    </row>
    <row r="51" spans="1:10" ht="28.8" x14ac:dyDescent="0.3">
      <c r="A51" s="71">
        <v>58</v>
      </c>
      <c r="B51" s="26" t="s">
        <v>122</v>
      </c>
      <c r="C51" s="39" t="s">
        <v>4</v>
      </c>
      <c r="D51" s="97">
        <f>1.5+1.5+2.5+4+3+5+5+8+3.5+4+4+3</f>
        <v>45</v>
      </c>
      <c r="E51" s="82"/>
      <c r="F51" s="46"/>
      <c r="G51" s="45">
        <f t="shared" si="1"/>
        <v>0</v>
      </c>
      <c r="H51" s="45">
        <f t="shared" si="0"/>
        <v>0</v>
      </c>
      <c r="I51" s="80"/>
    </row>
    <row r="52" spans="1:10" x14ac:dyDescent="0.3">
      <c r="A52" s="72"/>
      <c r="B52" s="98" t="s">
        <v>235</v>
      </c>
      <c r="C52" s="39" t="s">
        <v>4</v>
      </c>
      <c r="D52" s="97">
        <f>5+5+5+5</f>
        <v>20</v>
      </c>
      <c r="E52" s="82"/>
      <c r="F52" s="46"/>
      <c r="G52" s="45">
        <f t="shared" ref="G52" si="2">ROUND(D52*E52,2)</f>
        <v>0</v>
      </c>
      <c r="H52" s="45">
        <f t="shared" ref="H52" si="3">ROUND(D52*(E52*F52+E52),2)</f>
        <v>0</v>
      </c>
      <c r="I52" s="80"/>
    </row>
    <row r="53" spans="1:10" ht="58.8" customHeight="1" x14ac:dyDescent="0.3">
      <c r="A53" s="71">
        <v>60</v>
      </c>
      <c r="B53" s="40" t="s">
        <v>117</v>
      </c>
      <c r="C53" s="39" t="s">
        <v>4</v>
      </c>
      <c r="D53" s="97">
        <v>95</v>
      </c>
      <c r="E53" s="82"/>
      <c r="F53" s="46"/>
      <c r="G53" s="45">
        <f t="shared" si="1"/>
        <v>0</v>
      </c>
      <c r="H53" s="45">
        <f t="shared" si="0"/>
        <v>0</v>
      </c>
      <c r="I53" s="80"/>
    </row>
    <row r="54" spans="1:10" ht="72" x14ac:dyDescent="0.3">
      <c r="A54" s="73">
        <v>61</v>
      </c>
      <c r="B54" s="44" t="s">
        <v>118</v>
      </c>
      <c r="C54" s="39" t="s">
        <v>4</v>
      </c>
      <c r="D54" s="103">
        <f>1800</f>
        <v>1800</v>
      </c>
      <c r="E54" s="102"/>
      <c r="F54" s="46"/>
      <c r="G54" s="45">
        <f t="shared" si="1"/>
        <v>0</v>
      </c>
      <c r="H54" s="45">
        <f t="shared" si="0"/>
        <v>0</v>
      </c>
      <c r="I54" s="80"/>
    </row>
    <row r="55" spans="1:10" x14ac:dyDescent="0.3">
      <c r="A55" s="74">
        <v>62</v>
      </c>
      <c r="B55" s="38" t="s">
        <v>18</v>
      </c>
      <c r="C55" s="39" t="s">
        <v>4</v>
      </c>
      <c r="D55" s="97">
        <f>230</f>
        <v>230</v>
      </c>
      <c r="E55" s="82"/>
      <c r="F55" s="46"/>
      <c r="G55" s="45">
        <f t="shared" ref="G55:G65" si="4">ROUND(D55*E55,2)</f>
        <v>0</v>
      </c>
      <c r="H55" s="45">
        <f t="shared" ref="H55:H65" si="5">ROUND(D55*(E55*F55+E55),2)</f>
        <v>0</v>
      </c>
      <c r="J55" s="79"/>
    </row>
    <row r="56" spans="1:10" x14ac:dyDescent="0.3">
      <c r="A56" s="73">
        <v>63</v>
      </c>
      <c r="B56" s="96" t="s">
        <v>251</v>
      </c>
      <c r="C56" s="39" t="s">
        <v>4</v>
      </c>
      <c r="D56" s="97">
        <f>90</f>
        <v>90</v>
      </c>
      <c r="E56" s="82"/>
      <c r="F56" s="46"/>
      <c r="G56" s="45">
        <f t="shared" si="4"/>
        <v>0</v>
      </c>
      <c r="H56" s="45">
        <f t="shared" si="5"/>
        <v>0</v>
      </c>
      <c r="I56" s="81"/>
    </row>
    <row r="57" spans="1:10" x14ac:dyDescent="0.3">
      <c r="A57" s="74">
        <v>64</v>
      </c>
      <c r="B57" s="96" t="s">
        <v>250</v>
      </c>
      <c r="C57" s="39" t="s">
        <v>198</v>
      </c>
      <c r="D57" s="97">
        <v>10</v>
      </c>
      <c r="E57" s="82"/>
      <c r="F57" s="46"/>
      <c r="G57" s="45">
        <f t="shared" si="4"/>
        <v>0</v>
      </c>
      <c r="H57" s="45">
        <f t="shared" si="5"/>
        <v>0</v>
      </c>
    </row>
    <row r="58" spans="1:10" ht="28.8" x14ac:dyDescent="0.3">
      <c r="A58" s="73">
        <v>65</v>
      </c>
      <c r="B58" s="100" t="s">
        <v>241</v>
      </c>
      <c r="C58" s="39" t="s">
        <v>198</v>
      </c>
      <c r="D58" s="97">
        <f>35</f>
        <v>35</v>
      </c>
      <c r="E58" s="82"/>
      <c r="F58" s="46"/>
      <c r="G58" s="45">
        <f t="shared" si="4"/>
        <v>0</v>
      </c>
      <c r="H58" s="45">
        <f t="shared" si="5"/>
        <v>0</v>
      </c>
    </row>
    <row r="59" spans="1:10" x14ac:dyDescent="0.3">
      <c r="A59" s="74">
        <v>66</v>
      </c>
      <c r="B59" s="100" t="s">
        <v>249</v>
      </c>
      <c r="C59" s="39" t="s">
        <v>198</v>
      </c>
      <c r="D59" s="97">
        <v>30</v>
      </c>
      <c r="E59" s="82"/>
      <c r="F59" s="46"/>
      <c r="G59" s="45">
        <f t="shared" si="4"/>
        <v>0</v>
      </c>
      <c r="H59" s="45">
        <f t="shared" si="5"/>
        <v>0</v>
      </c>
    </row>
    <row r="60" spans="1:10" x14ac:dyDescent="0.3">
      <c r="A60" s="73">
        <v>67</v>
      </c>
      <c r="B60" s="100" t="s">
        <v>247</v>
      </c>
      <c r="C60" s="39" t="s">
        <v>8</v>
      </c>
      <c r="D60" s="97">
        <v>30</v>
      </c>
      <c r="E60" s="82"/>
      <c r="F60" s="46"/>
      <c r="G60" s="45">
        <f t="shared" si="4"/>
        <v>0</v>
      </c>
      <c r="H60" s="45">
        <f t="shared" si="5"/>
        <v>0</v>
      </c>
    </row>
    <row r="61" spans="1:10" x14ac:dyDescent="0.3">
      <c r="A61" s="74">
        <v>68</v>
      </c>
      <c r="B61" s="100" t="s">
        <v>246</v>
      </c>
      <c r="C61" s="39" t="s">
        <v>8</v>
      </c>
      <c r="D61" s="97">
        <v>15</v>
      </c>
      <c r="E61" s="82"/>
      <c r="F61" s="46"/>
      <c r="G61" s="45">
        <f t="shared" si="4"/>
        <v>0</v>
      </c>
      <c r="H61" s="45">
        <f t="shared" si="5"/>
        <v>0</v>
      </c>
    </row>
    <row r="62" spans="1:10" x14ac:dyDescent="0.3">
      <c r="A62" s="73">
        <v>69</v>
      </c>
      <c r="B62" s="100" t="s">
        <v>248</v>
      </c>
      <c r="C62" s="39" t="s">
        <v>198</v>
      </c>
      <c r="D62" s="97">
        <f>25</f>
        <v>25</v>
      </c>
      <c r="E62" s="82"/>
      <c r="F62" s="46"/>
      <c r="G62" s="45">
        <f t="shared" si="4"/>
        <v>0</v>
      </c>
      <c r="H62" s="45">
        <f t="shared" si="5"/>
        <v>0</v>
      </c>
    </row>
    <row r="63" spans="1:10" x14ac:dyDescent="0.3">
      <c r="A63" s="74">
        <v>70</v>
      </c>
      <c r="B63" s="96" t="s">
        <v>238</v>
      </c>
      <c r="C63" s="39" t="s">
        <v>8</v>
      </c>
      <c r="D63" s="97">
        <v>70</v>
      </c>
      <c r="E63" s="82"/>
      <c r="F63" s="46"/>
      <c r="G63" s="45">
        <f t="shared" si="4"/>
        <v>0</v>
      </c>
      <c r="H63" s="45">
        <f t="shared" si="5"/>
        <v>0</v>
      </c>
    </row>
    <row r="64" spans="1:10" x14ac:dyDescent="0.3">
      <c r="A64" s="73">
        <v>71</v>
      </c>
      <c r="B64" s="96" t="s">
        <v>207</v>
      </c>
      <c r="C64" s="39" t="s">
        <v>202</v>
      </c>
      <c r="D64" s="97">
        <v>40</v>
      </c>
      <c r="E64" s="82"/>
      <c r="F64" s="46"/>
      <c r="G64" s="45">
        <f t="shared" si="4"/>
        <v>0</v>
      </c>
      <c r="H64" s="45">
        <f t="shared" si="5"/>
        <v>0</v>
      </c>
    </row>
    <row r="65" spans="1:9" x14ac:dyDescent="0.3">
      <c r="A65" s="74">
        <v>72</v>
      </c>
      <c r="B65" s="96" t="s">
        <v>237</v>
      </c>
      <c r="C65" s="39" t="s">
        <v>4</v>
      </c>
      <c r="D65" s="97">
        <f>4</f>
        <v>4</v>
      </c>
      <c r="E65" s="82"/>
      <c r="F65" s="46"/>
      <c r="G65" s="45">
        <f t="shared" si="4"/>
        <v>0</v>
      </c>
      <c r="H65" s="45">
        <f t="shared" si="5"/>
        <v>0</v>
      </c>
    </row>
    <row r="66" spans="1:9" x14ac:dyDescent="0.3">
      <c r="A66" s="73">
        <v>73</v>
      </c>
      <c r="B66" s="96" t="s">
        <v>203</v>
      </c>
      <c r="C66" s="39" t="s">
        <v>4</v>
      </c>
      <c r="D66" s="97">
        <f>65</f>
        <v>65</v>
      </c>
      <c r="E66" s="82"/>
      <c r="F66" s="46"/>
      <c r="G66" s="45">
        <f t="shared" si="1"/>
        <v>0</v>
      </c>
      <c r="H66" s="45">
        <f t="shared" si="0"/>
        <v>0</v>
      </c>
    </row>
    <row r="67" spans="1:9" x14ac:dyDescent="0.3">
      <c r="A67" s="75"/>
      <c r="B67" s="37"/>
      <c r="C67" s="37"/>
      <c r="D67" s="37"/>
      <c r="E67" s="37"/>
      <c r="F67" s="39" t="s">
        <v>130</v>
      </c>
      <c r="G67" s="101">
        <f>SUM(G10:G66)</f>
        <v>0</v>
      </c>
      <c r="H67" s="35">
        <f>SUM(H10:H66)</f>
        <v>0</v>
      </c>
      <c r="I67" s="91"/>
    </row>
    <row r="68" spans="1:9" x14ac:dyDescent="0.3">
      <c r="A68" s="10"/>
      <c r="G68" s="81"/>
      <c r="H68" s="81"/>
    </row>
    <row r="69" spans="1:9" x14ac:dyDescent="0.3">
      <c r="A69" s="10"/>
    </row>
    <row r="70" spans="1:9" x14ac:dyDescent="0.3">
      <c r="A70" s="197" t="s">
        <v>64</v>
      </c>
      <c r="B70" s="198"/>
      <c r="C70" s="198"/>
      <c r="D70" s="198"/>
      <c r="E70" s="198"/>
      <c r="F70" s="198"/>
      <c r="G70" s="198"/>
      <c r="H70" s="198"/>
    </row>
    <row r="71" spans="1:9" x14ac:dyDescent="0.3">
      <c r="A71" s="198"/>
      <c r="B71" s="198"/>
      <c r="C71" s="198"/>
      <c r="D71" s="198"/>
      <c r="E71" s="198"/>
      <c r="F71" s="198"/>
      <c r="G71" s="198"/>
      <c r="H71" s="198"/>
    </row>
    <row r="72" spans="1:9" x14ac:dyDescent="0.3">
      <c r="A72" s="198"/>
      <c r="B72" s="198"/>
      <c r="C72" s="198"/>
      <c r="D72" s="198"/>
      <c r="E72" s="198"/>
      <c r="F72" s="198"/>
      <c r="G72" s="198"/>
      <c r="H72" s="198"/>
    </row>
    <row r="73" spans="1:9" x14ac:dyDescent="0.3">
      <c r="A73" s="10"/>
    </row>
  </sheetData>
  <sortState xmlns:xlrd2="http://schemas.microsoft.com/office/spreadsheetml/2017/richdata2" ref="B10:H66">
    <sortCondition ref="B10:B66"/>
  </sortState>
  <customSheetViews>
    <customSheetView guid="{84B8FA77-AE35-4870-A1B4-CD3D8EA9555F}" scale="90" showPageBreaks="1" fitToPage="1" printArea="1" topLeftCell="A70">
      <selection activeCell="J77" sqref="J77"/>
      <pageMargins left="0.25" right="0.25" top="0.75" bottom="0.75" header="0.3" footer="0.3"/>
      <pageSetup paperSize="9" scale="66" fitToHeight="0" orientation="portrait" verticalDpi="597" r:id="rId1"/>
    </customSheetView>
    <customSheetView guid="{BDD2EFA5-319A-44D2-B9F1-2950626BDBE4}" scale="90" showPageBreaks="1" fitToPage="1" printArea="1">
      <selection activeCell="I7" sqref="A7:XFD7"/>
      <pageMargins left="0.25" right="0.25" top="0.75" bottom="0.75" header="0.3" footer="0.3"/>
      <pageSetup paperSize="9" scale="65" fitToHeight="0" orientation="portrait" verticalDpi="597" r:id="rId2"/>
    </customSheetView>
  </customSheetViews>
  <mergeCells count="11">
    <mergeCell ref="A70:H72"/>
    <mergeCell ref="A6:D6"/>
    <mergeCell ref="F7:F8"/>
    <mergeCell ref="H7:H8"/>
    <mergeCell ref="A7:A8"/>
    <mergeCell ref="B7:B8"/>
    <mergeCell ref="C7:C8"/>
    <mergeCell ref="D7:D8"/>
    <mergeCell ref="E7:E8"/>
    <mergeCell ref="G7:G8"/>
    <mergeCell ref="F6:H6"/>
  </mergeCells>
  <pageMargins left="0.25" right="0.25" top="0.75" bottom="0.75" header="0.3" footer="0.3"/>
  <pageSetup paperSize="9" scale="65" fitToHeight="0" orientation="portrait" verticalDpi="597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topLeftCell="A31" zoomScale="90" zoomScaleNormal="90" workbookViewId="0">
      <selection activeCell="F9" sqref="F9:G26"/>
    </sheetView>
  </sheetViews>
  <sheetFormatPr defaultRowHeight="14.4" x14ac:dyDescent="0.3"/>
  <cols>
    <col min="1" max="1" width="6.44140625" customWidth="1"/>
    <col min="2" max="2" width="78.44140625" customWidth="1"/>
    <col min="3" max="3" width="12" customWidth="1"/>
    <col min="4" max="4" width="5.77734375" customWidth="1"/>
    <col min="5" max="5" width="28.109375" customWidth="1"/>
    <col min="6" max="6" width="13.5546875" customWidth="1"/>
    <col min="7" max="7" width="10.88671875" customWidth="1"/>
    <col min="8" max="8" width="14.109375" customWidth="1"/>
    <col min="9" max="9" width="14.5546875" customWidth="1"/>
    <col min="10" max="10" width="11.88671875" bestFit="1" customWidth="1"/>
  </cols>
  <sheetData>
    <row r="1" spans="1:11" x14ac:dyDescent="0.3">
      <c r="B1" s="123" t="s">
        <v>297</v>
      </c>
      <c r="C1" s="20"/>
    </row>
    <row r="2" spans="1:11" x14ac:dyDescent="0.3">
      <c r="B2" s="123" t="s">
        <v>296</v>
      </c>
      <c r="C2" s="20"/>
    </row>
    <row r="3" spans="1:11" x14ac:dyDescent="0.3">
      <c r="B3" s="123" t="s">
        <v>295</v>
      </c>
      <c r="C3" s="20"/>
    </row>
    <row r="4" spans="1:11" x14ac:dyDescent="0.3">
      <c r="B4" s="123" t="s">
        <v>289</v>
      </c>
      <c r="C4" s="20"/>
    </row>
    <row r="5" spans="1:11" x14ac:dyDescent="0.3">
      <c r="B5" s="122" t="s">
        <v>298</v>
      </c>
    </row>
    <row r="6" spans="1:11" x14ac:dyDescent="0.3">
      <c r="A6" s="194" t="s">
        <v>84</v>
      </c>
      <c r="B6" s="194"/>
      <c r="C6" s="194"/>
      <c r="D6" s="194"/>
      <c r="E6" s="76"/>
      <c r="F6" s="194" t="s">
        <v>291</v>
      </c>
      <c r="G6" s="194"/>
      <c r="H6" s="194"/>
      <c r="I6" s="194"/>
      <c r="J6" s="21"/>
      <c r="K6" s="21"/>
    </row>
    <row r="7" spans="1:11" s="21" customFormat="1" ht="44.4" customHeight="1" x14ac:dyDescent="0.3">
      <c r="A7" s="107" t="s">
        <v>0</v>
      </c>
      <c r="B7" s="104" t="s">
        <v>1</v>
      </c>
      <c r="C7" s="104" t="s">
        <v>2</v>
      </c>
      <c r="D7" s="104" t="s">
        <v>3</v>
      </c>
      <c r="E7" s="116" t="s">
        <v>290</v>
      </c>
      <c r="F7" s="106" t="s">
        <v>167</v>
      </c>
      <c r="G7" s="106" t="s">
        <v>168</v>
      </c>
      <c r="H7" s="106" t="s">
        <v>169</v>
      </c>
      <c r="I7" s="106" t="s">
        <v>17</v>
      </c>
    </row>
    <row r="8" spans="1:11" x14ac:dyDescent="0.3">
      <c r="A8" s="1">
        <v>1</v>
      </c>
      <c r="B8" s="3">
        <v>2</v>
      </c>
      <c r="C8" s="3">
        <v>3</v>
      </c>
      <c r="D8" s="3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</row>
    <row r="9" spans="1:11" ht="28.8" x14ac:dyDescent="0.3">
      <c r="A9" s="2">
        <v>3</v>
      </c>
      <c r="B9" s="23" t="s">
        <v>135</v>
      </c>
      <c r="C9" s="4" t="s">
        <v>4</v>
      </c>
      <c r="D9" s="4">
        <f>6+5+5.5+4.5+5+7+8+7+6.5+6.5+6+5+5+4+6+6.5+6.5+5</f>
        <v>105</v>
      </c>
      <c r="E9" s="118"/>
      <c r="F9" s="47"/>
      <c r="G9" s="46"/>
      <c r="H9" s="45">
        <f t="shared" ref="H9:H26" si="0">D9*F9</f>
        <v>0</v>
      </c>
      <c r="I9" s="45">
        <f t="shared" ref="I9:I26" si="1">ROUND((D9*F9*G9)+(D9*F9),2)</f>
        <v>0</v>
      </c>
    </row>
    <row r="10" spans="1:11" ht="28.8" x14ac:dyDescent="0.3">
      <c r="A10" s="2">
        <v>5</v>
      </c>
      <c r="B10" s="23" t="s">
        <v>132</v>
      </c>
      <c r="C10" s="4" t="s">
        <v>4</v>
      </c>
      <c r="D10" s="4">
        <v>260</v>
      </c>
      <c r="E10" s="118"/>
      <c r="F10" s="47"/>
      <c r="G10" s="46"/>
      <c r="H10" s="45">
        <f t="shared" si="0"/>
        <v>0</v>
      </c>
      <c r="I10" s="45">
        <f t="shared" si="1"/>
        <v>0</v>
      </c>
    </row>
    <row r="11" spans="1:11" ht="28.8" customHeight="1" x14ac:dyDescent="0.3">
      <c r="A11" s="2">
        <v>7</v>
      </c>
      <c r="B11" s="31" t="s">
        <v>183</v>
      </c>
      <c r="C11" s="4" t="s">
        <v>4</v>
      </c>
      <c r="D11" s="4">
        <f>10</f>
        <v>10</v>
      </c>
      <c r="E11" s="118"/>
      <c r="F11" s="47"/>
      <c r="G11" s="46"/>
      <c r="H11" s="45">
        <f t="shared" si="0"/>
        <v>0</v>
      </c>
      <c r="I11" s="45">
        <f t="shared" si="1"/>
        <v>0</v>
      </c>
    </row>
    <row r="12" spans="1:11" ht="28.8" x14ac:dyDescent="0.3">
      <c r="A12" s="2">
        <v>8</v>
      </c>
      <c r="B12" s="22" t="s">
        <v>258</v>
      </c>
      <c r="C12" s="4" t="s">
        <v>4</v>
      </c>
      <c r="D12" s="4">
        <f>35</f>
        <v>35</v>
      </c>
      <c r="E12" s="118"/>
      <c r="F12" s="47"/>
      <c r="G12" s="46"/>
      <c r="H12" s="45">
        <f t="shared" si="0"/>
        <v>0</v>
      </c>
      <c r="I12" s="45">
        <f t="shared" si="1"/>
        <v>0</v>
      </c>
    </row>
    <row r="13" spans="1:11" ht="28.8" x14ac:dyDescent="0.3">
      <c r="A13" s="2">
        <v>9</v>
      </c>
      <c r="B13" s="22" t="s">
        <v>138</v>
      </c>
      <c r="C13" s="4" t="s">
        <v>4</v>
      </c>
      <c r="D13" s="4">
        <f>35</f>
        <v>35</v>
      </c>
      <c r="E13" s="118"/>
      <c r="F13" s="47"/>
      <c r="G13" s="46"/>
      <c r="H13" s="45">
        <f t="shared" si="0"/>
        <v>0</v>
      </c>
      <c r="I13" s="45">
        <f t="shared" si="1"/>
        <v>0</v>
      </c>
    </row>
    <row r="14" spans="1:11" s="6" customFormat="1" x14ac:dyDescent="0.3">
      <c r="A14" s="2">
        <v>10</v>
      </c>
      <c r="B14" s="22" t="s">
        <v>134</v>
      </c>
      <c r="C14" s="4" t="s">
        <v>4</v>
      </c>
      <c r="D14" s="4">
        <f>10</f>
        <v>10</v>
      </c>
      <c r="E14" s="118"/>
      <c r="F14" s="47"/>
      <c r="G14" s="46"/>
      <c r="H14" s="45">
        <f t="shared" si="0"/>
        <v>0</v>
      </c>
      <c r="I14" s="45">
        <f t="shared" si="1"/>
        <v>0</v>
      </c>
    </row>
    <row r="15" spans="1:11" s="6" customFormat="1" x14ac:dyDescent="0.3">
      <c r="A15" s="2">
        <v>14</v>
      </c>
      <c r="B15" s="22" t="s">
        <v>265</v>
      </c>
      <c r="C15" s="4" t="s">
        <v>4</v>
      </c>
      <c r="D15" s="4">
        <v>80</v>
      </c>
      <c r="E15" s="118"/>
      <c r="F15" s="47"/>
      <c r="G15" s="46"/>
      <c r="H15" s="45">
        <f t="shared" si="0"/>
        <v>0</v>
      </c>
      <c r="I15" s="45">
        <f t="shared" si="1"/>
        <v>0</v>
      </c>
    </row>
    <row r="16" spans="1:11" ht="38.4" customHeight="1" x14ac:dyDescent="0.3">
      <c r="A16" s="2">
        <v>15</v>
      </c>
      <c r="B16" s="30" t="s">
        <v>284</v>
      </c>
      <c r="C16" s="4" t="s">
        <v>4</v>
      </c>
      <c r="D16" s="4">
        <f>150</f>
        <v>150</v>
      </c>
      <c r="E16" s="118"/>
      <c r="F16" s="47"/>
      <c r="G16" s="46"/>
      <c r="H16" s="45">
        <f t="shared" si="0"/>
        <v>0</v>
      </c>
      <c r="I16" s="45">
        <f t="shared" si="1"/>
        <v>0</v>
      </c>
    </row>
    <row r="17" spans="1:10" ht="28.8" x14ac:dyDescent="0.3">
      <c r="A17" s="2">
        <v>16</v>
      </c>
      <c r="B17" s="29" t="s">
        <v>133</v>
      </c>
      <c r="C17" s="4" t="s">
        <v>4</v>
      </c>
      <c r="D17" s="4">
        <f>150</f>
        <v>150</v>
      </c>
      <c r="E17" s="118"/>
      <c r="F17" s="47"/>
      <c r="G17" s="46"/>
      <c r="H17" s="45">
        <f t="shared" si="0"/>
        <v>0</v>
      </c>
      <c r="I17" s="45">
        <f t="shared" si="1"/>
        <v>0</v>
      </c>
    </row>
    <row r="18" spans="1:10" ht="28.8" x14ac:dyDescent="0.3">
      <c r="A18" s="2">
        <v>17</v>
      </c>
      <c r="B18" s="22" t="s">
        <v>136</v>
      </c>
      <c r="C18" s="4" t="s">
        <v>4</v>
      </c>
      <c r="D18" s="4">
        <v>100</v>
      </c>
      <c r="E18" s="118"/>
      <c r="F18" s="47"/>
      <c r="G18" s="46"/>
      <c r="H18" s="45">
        <f t="shared" si="0"/>
        <v>0</v>
      </c>
      <c r="I18" s="45">
        <f t="shared" si="1"/>
        <v>0</v>
      </c>
    </row>
    <row r="19" spans="1:10" ht="28.8" x14ac:dyDescent="0.3">
      <c r="A19" s="2">
        <v>20</v>
      </c>
      <c r="B19" s="22" t="s">
        <v>282</v>
      </c>
      <c r="C19" s="4" t="s">
        <v>4</v>
      </c>
      <c r="D19" s="4">
        <v>140</v>
      </c>
      <c r="E19" s="118"/>
      <c r="F19" s="47"/>
      <c r="G19" s="46"/>
      <c r="H19" s="45">
        <f t="shared" si="0"/>
        <v>0</v>
      </c>
      <c r="I19" s="45">
        <f t="shared" si="1"/>
        <v>0</v>
      </c>
    </row>
    <row r="20" spans="1:10" ht="43.2" x14ac:dyDescent="0.3">
      <c r="A20" s="2">
        <v>21</v>
      </c>
      <c r="B20" s="22" t="s">
        <v>184</v>
      </c>
      <c r="C20" s="4" t="s">
        <v>4</v>
      </c>
      <c r="D20" s="4">
        <f>48</f>
        <v>48</v>
      </c>
      <c r="E20" s="118"/>
      <c r="F20" s="47"/>
      <c r="G20" s="46"/>
      <c r="H20" s="45">
        <f t="shared" si="0"/>
        <v>0</v>
      </c>
      <c r="I20" s="45">
        <f t="shared" si="1"/>
        <v>0</v>
      </c>
    </row>
    <row r="21" spans="1:10" ht="28.8" x14ac:dyDescent="0.3">
      <c r="A21" s="2">
        <v>23</v>
      </c>
      <c r="B21" s="23" t="s">
        <v>137</v>
      </c>
      <c r="C21" s="4" t="s">
        <v>4</v>
      </c>
      <c r="D21" s="54">
        <v>24</v>
      </c>
      <c r="E21" s="118"/>
      <c r="F21" s="120"/>
      <c r="G21" s="46"/>
      <c r="H21" s="45">
        <f t="shared" ref="H21:H24" si="2">D21*F21</f>
        <v>0</v>
      </c>
      <c r="I21" s="45">
        <f t="shared" ref="I21:I24" si="3">ROUND((D21*F21*G21)+(D21*F21),2)</f>
        <v>0</v>
      </c>
    </row>
    <row r="22" spans="1:10" x14ac:dyDescent="0.3">
      <c r="A22" s="87">
        <v>24</v>
      </c>
      <c r="B22" s="94" t="s">
        <v>209</v>
      </c>
      <c r="C22" s="4" t="s">
        <v>202</v>
      </c>
      <c r="D22" s="54">
        <v>70</v>
      </c>
      <c r="E22" s="118"/>
      <c r="F22" s="120"/>
      <c r="G22" s="46"/>
      <c r="H22" s="45">
        <f t="shared" si="2"/>
        <v>0</v>
      </c>
      <c r="I22" s="45">
        <f t="shared" si="3"/>
        <v>0</v>
      </c>
    </row>
    <row r="23" spans="1:10" ht="39.75" customHeight="1" x14ac:dyDescent="0.3">
      <c r="A23" s="2">
        <v>25</v>
      </c>
      <c r="B23" s="94" t="s">
        <v>208</v>
      </c>
      <c r="C23" s="4" t="s">
        <v>202</v>
      </c>
      <c r="D23" s="54">
        <f>25</f>
        <v>25</v>
      </c>
      <c r="E23" s="118"/>
      <c r="F23" s="120"/>
      <c r="G23" s="46"/>
      <c r="H23" s="45">
        <f t="shared" si="2"/>
        <v>0</v>
      </c>
      <c r="I23" s="45">
        <f t="shared" si="3"/>
        <v>0</v>
      </c>
      <c r="J23" s="78"/>
    </row>
    <row r="24" spans="1:10" x14ac:dyDescent="0.3">
      <c r="A24" s="87">
        <v>26</v>
      </c>
      <c r="B24" s="94" t="s">
        <v>285</v>
      </c>
      <c r="C24" s="4" t="s">
        <v>202</v>
      </c>
      <c r="D24" s="54">
        <v>40</v>
      </c>
      <c r="E24" s="118"/>
      <c r="F24" s="120"/>
      <c r="G24" s="46"/>
      <c r="H24" s="45">
        <f t="shared" si="2"/>
        <v>0</v>
      </c>
      <c r="I24" s="45">
        <f t="shared" si="3"/>
        <v>0</v>
      </c>
    </row>
    <row r="25" spans="1:10" x14ac:dyDescent="0.3">
      <c r="A25" s="2">
        <v>27</v>
      </c>
      <c r="B25" s="94" t="s">
        <v>201</v>
      </c>
      <c r="C25" s="4" t="s">
        <v>202</v>
      </c>
      <c r="D25" s="54">
        <f>200</f>
        <v>200</v>
      </c>
      <c r="E25" s="118"/>
      <c r="F25" s="120"/>
      <c r="G25" s="46"/>
      <c r="H25" s="45">
        <f t="shared" ref="H25" si="4">D25*F25</f>
        <v>0</v>
      </c>
      <c r="I25" s="45">
        <f t="shared" ref="I25" si="5">ROUND((D25*F25*G25)+(D25*F25),2)</f>
        <v>0</v>
      </c>
    </row>
    <row r="26" spans="1:10" ht="14.4" customHeight="1" x14ac:dyDescent="0.3">
      <c r="A26" s="87">
        <v>28</v>
      </c>
      <c r="B26" s="94" t="s">
        <v>199</v>
      </c>
      <c r="C26" s="4" t="s">
        <v>4</v>
      </c>
      <c r="D26" s="4">
        <v>30</v>
      </c>
      <c r="E26" s="118"/>
      <c r="F26" s="120"/>
      <c r="G26" s="46"/>
      <c r="H26" s="45">
        <f t="shared" si="0"/>
        <v>0</v>
      </c>
      <c r="I26" s="45">
        <f t="shared" si="1"/>
        <v>0</v>
      </c>
    </row>
    <row r="27" spans="1:10" ht="14.4" customHeight="1" x14ac:dyDescent="0.3">
      <c r="B27" s="88"/>
      <c r="F27" s="78"/>
      <c r="G27" s="90" t="s">
        <v>97</v>
      </c>
      <c r="H27" s="89">
        <f>SUM(H9:H26)</f>
        <v>0</v>
      </c>
      <c r="I27" s="48">
        <f>SUM(I9:I26)</f>
        <v>0</v>
      </c>
      <c r="J27" s="91"/>
    </row>
    <row r="28" spans="1:10" ht="14.4" customHeight="1" x14ac:dyDescent="0.4">
      <c r="A28" s="92"/>
      <c r="B28" s="121" t="s">
        <v>292</v>
      </c>
    </row>
    <row r="29" spans="1:10" ht="21" x14ac:dyDescent="0.4">
      <c r="A29" s="92"/>
      <c r="B29" s="121" t="s">
        <v>293</v>
      </c>
    </row>
    <row r="30" spans="1:10" ht="21" x14ac:dyDescent="0.4">
      <c r="A30" s="92"/>
      <c r="B30" s="92"/>
      <c r="C30" s="92"/>
      <c r="D30" s="92"/>
      <c r="E30" s="92"/>
      <c r="F30" s="92"/>
      <c r="G30" s="92"/>
      <c r="H30" s="92"/>
      <c r="I30" s="92"/>
    </row>
    <row r="31" spans="1:10" ht="21" x14ac:dyDescent="0.4">
      <c r="B31" s="92"/>
      <c r="C31" s="92"/>
      <c r="D31" s="92"/>
      <c r="E31" s="92"/>
      <c r="F31" s="92"/>
      <c r="G31" s="92"/>
      <c r="H31" s="92"/>
      <c r="I31" s="92"/>
    </row>
    <row r="32" spans="1:10" ht="21" x14ac:dyDescent="0.4">
      <c r="B32" s="92"/>
      <c r="C32" s="92"/>
      <c r="D32" s="92"/>
      <c r="E32" s="92"/>
      <c r="F32" s="92"/>
      <c r="G32" s="92"/>
      <c r="H32" s="92"/>
      <c r="I32" s="92"/>
    </row>
  </sheetData>
  <sortState xmlns:xlrd2="http://schemas.microsoft.com/office/spreadsheetml/2017/richdata2" ref="B9:I26">
    <sortCondition ref="B9:B26"/>
  </sortState>
  <customSheetViews>
    <customSheetView guid="{84B8FA77-AE35-4870-A1B4-CD3D8EA9555F}" scale="90" showPageBreaks="1" fitToPage="1" printArea="1" topLeftCell="B10">
      <selection activeCell="F31" sqref="F31"/>
      <pageMargins left="0.7" right="0.7" top="0.75" bottom="0.75" header="0.3" footer="0.3"/>
      <pageSetup paperSize="9" scale="54" orientation="portrait" r:id="rId1"/>
    </customSheetView>
    <customSheetView guid="{BDD2EFA5-319A-44D2-B9F1-2950626BDBE4}" scale="90" showPageBreaks="1" fitToPage="1" printArea="1">
      <selection activeCell="A6" sqref="A6:XFD6"/>
      <pageMargins left="0.7" right="0.7" top="0.75" bottom="0.75" header="0.3" footer="0.3"/>
      <pageSetup paperSize="9" scale="48" orientation="portrait" r:id="rId2"/>
    </customSheetView>
  </customSheetViews>
  <mergeCells count="2">
    <mergeCell ref="A6:D6"/>
    <mergeCell ref="F6:I6"/>
  </mergeCells>
  <phoneticPr fontId="6" type="noConversion"/>
  <pageMargins left="0.7" right="0.7" top="0.75" bottom="0.75" header="0.3" footer="0.3"/>
  <pageSetup paperSize="9" scale="48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"/>
  <sheetViews>
    <sheetView topLeftCell="A16" zoomScale="80" zoomScaleNormal="80" workbookViewId="0">
      <selection activeCell="F9" sqref="F9:G26"/>
    </sheetView>
  </sheetViews>
  <sheetFormatPr defaultRowHeight="14.4" x14ac:dyDescent="0.3"/>
  <cols>
    <col min="1" max="1" width="6.44140625" customWidth="1"/>
    <col min="2" max="2" width="85.109375" customWidth="1"/>
    <col min="3" max="3" width="10.77734375" customWidth="1"/>
    <col min="4" max="4" width="6.109375" customWidth="1"/>
    <col min="5" max="5" width="23.44140625" customWidth="1"/>
    <col min="6" max="6" width="13" customWidth="1"/>
    <col min="7" max="7" width="10.88671875" customWidth="1"/>
    <col min="8" max="8" width="15.33203125" customWidth="1"/>
    <col min="9" max="9" width="13" customWidth="1"/>
    <col min="10" max="10" width="16.21875" customWidth="1"/>
  </cols>
  <sheetData>
    <row r="1" spans="1:11" x14ac:dyDescent="0.3">
      <c r="B1" s="123" t="s">
        <v>297</v>
      </c>
      <c r="C1" s="20"/>
    </row>
    <row r="2" spans="1:11" x14ac:dyDescent="0.3">
      <c r="B2" s="123" t="s">
        <v>296</v>
      </c>
      <c r="C2" s="20"/>
    </row>
    <row r="3" spans="1:11" x14ac:dyDescent="0.3">
      <c r="B3" s="123" t="s">
        <v>295</v>
      </c>
      <c r="C3" s="20"/>
    </row>
    <row r="4" spans="1:11" x14ac:dyDescent="0.3">
      <c r="B4" s="123" t="s">
        <v>289</v>
      </c>
      <c r="C4" s="20"/>
    </row>
    <row r="5" spans="1:11" x14ac:dyDescent="0.3">
      <c r="B5" s="122" t="s">
        <v>298</v>
      </c>
    </row>
    <row r="6" spans="1:11" x14ac:dyDescent="0.3">
      <c r="A6" s="194" t="s">
        <v>85</v>
      </c>
      <c r="B6" s="194"/>
      <c r="C6" s="194"/>
      <c r="D6" s="194"/>
      <c r="E6" s="76"/>
      <c r="F6" s="194" t="s">
        <v>291</v>
      </c>
      <c r="G6" s="194"/>
      <c r="H6" s="194"/>
      <c r="I6" s="194"/>
      <c r="J6" s="21"/>
      <c r="K6" s="21"/>
    </row>
    <row r="7" spans="1:11" ht="42" customHeight="1" x14ac:dyDescent="0.3">
      <c r="A7" s="107" t="s">
        <v>0</v>
      </c>
      <c r="B7" s="104" t="s">
        <v>1</v>
      </c>
      <c r="C7" s="105" t="s">
        <v>2</v>
      </c>
      <c r="D7" s="104" t="s">
        <v>3</v>
      </c>
      <c r="E7" s="116" t="s">
        <v>290</v>
      </c>
      <c r="F7" s="106" t="s">
        <v>167</v>
      </c>
      <c r="G7" s="106" t="s">
        <v>168</v>
      </c>
      <c r="H7" s="106" t="s">
        <v>169</v>
      </c>
      <c r="I7" s="106" t="s">
        <v>17</v>
      </c>
    </row>
    <row r="8" spans="1:11" x14ac:dyDescent="0.3">
      <c r="A8" s="1">
        <v>1</v>
      </c>
      <c r="B8" s="1">
        <v>2</v>
      </c>
      <c r="C8" s="3">
        <v>3</v>
      </c>
      <c r="D8" s="3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</row>
    <row r="9" spans="1:11" ht="31.2" x14ac:dyDescent="0.3">
      <c r="A9" s="49">
        <v>1</v>
      </c>
      <c r="B9" s="7" t="s">
        <v>139</v>
      </c>
      <c r="C9" s="8" t="s">
        <v>8</v>
      </c>
      <c r="D9" s="8">
        <f>44+3+3+4+4+4+4+4+4</f>
        <v>74</v>
      </c>
      <c r="E9" s="119"/>
      <c r="F9" s="47"/>
      <c r="G9" s="46"/>
      <c r="H9" s="45">
        <f>ROUND((F9*D9),2)</f>
        <v>0</v>
      </c>
      <c r="I9" s="45">
        <f>ROUND((D9*F9*G9)+(D9*F9),2)</f>
        <v>0</v>
      </c>
    </row>
    <row r="10" spans="1:11" ht="15.6" x14ac:dyDescent="0.3">
      <c r="A10" s="49">
        <v>2</v>
      </c>
      <c r="B10" s="7" t="s">
        <v>89</v>
      </c>
      <c r="C10" s="8" t="s">
        <v>8</v>
      </c>
      <c r="D10" s="8">
        <f>40</f>
        <v>40</v>
      </c>
      <c r="E10" s="119"/>
      <c r="F10" s="47"/>
      <c r="G10" s="46"/>
      <c r="H10" s="45">
        <f t="shared" ref="H10:H26" si="0">ROUND((F10*D10),2)</f>
        <v>0</v>
      </c>
      <c r="I10" s="45">
        <f t="shared" ref="I10:I26" si="1">ROUND((D10*F10*G10)+(D10*F10),2)</f>
        <v>0</v>
      </c>
    </row>
    <row r="11" spans="1:11" ht="62.4" x14ac:dyDescent="0.3">
      <c r="A11" s="49">
        <v>3</v>
      </c>
      <c r="B11" s="7" t="s">
        <v>140</v>
      </c>
      <c r="C11" s="8" t="s">
        <v>8</v>
      </c>
      <c r="D11" s="8">
        <f>235</f>
        <v>235</v>
      </c>
      <c r="E11" s="119"/>
      <c r="F11" s="47"/>
      <c r="G11" s="46"/>
      <c r="H11" s="45">
        <f t="shared" si="0"/>
        <v>0</v>
      </c>
      <c r="I11" s="45">
        <f t="shared" si="1"/>
        <v>0</v>
      </c>
    </row>
    <row r="12" spans="1:11" ht="62.4" x14ac:dyDescent="0.3">
      <c r="A12" s="49">
        <v>4</v>
      </c>
      <c r="B12" s="7" t="s">
        <v>141</v>
      </c>
      <c r="C12" s="8" t="s">
        <v>8</v>
      </c>
      <c r="D12" s="8">
        <f>110</f>
        <v>110</v>
      </c>
      <c r="E12" s="119"/>
      <c r="F12" s="47"/>
      <c r="G12" s="46"/>
      <c r="H12" s="45">
        <f t="shared" si="0"/>
        <v>0</v>
      </c>
      <c r="I12" s="45">
        <f t="shared" si="1"/>
        <v>0</v>
      </c>
    </row>
    <row r="13" spans="1:11" ht="46.8" x14ac:dyDescent="0.3">
      <c r="A13" s="49">
        <v>6</v>
      </c>
      <c r="B13" s="7" t="s">
        <v>142</v>
      </c>
      <c r="C13" s="8" t="s">
        <v>8</v>
      </c>
      <c r="D13" s="8">
        <f>700</f>
        <v>700</v>
      </c>
      <c r="E13" s="119"/>
      <c r="F13" s="47"/>
      <c r="G13" s="46"/>
      <c r="H13" s="45">
        <f t="shared" si="0"/>
        <v>0</v>
      </c>
      <c r="I13" s="45">
        <f t="shared" si="1"/>
        <v>0</v>
      </c>
    </row>
    <row r="14" spans="1:11" ht="62.4" x14ac:dyDescent="0.3">
      <c r="A14" s="49">
        <v>11</v>
      </c>
      <c r="B14" s="7" t="s">
        <v>185</v>
      </c>
      <c r="C14" s="8" t="s">
        <v>4</v>
      </c>
      <c r="D14" s="8">
        <f>10</f>
        <v>10</v>
      </c>
      <c r="E14" s="119"/>
      <c r="F14" s="47"/>
      <c r="G14" s="46"/>
      <c r="H14" s="45">
        <f t="shared" si="0"/>
        <v>0</v>
      </c>
      <c r="I14" s="45">
        <f t="shared" si="1"/>
        <v>0</v>
      </c>
    </row>
    <row r="15" spans="1:11" ht="15.6" x14ac:dyDescent="0.3">
      <c r="A15" s="49">
        <v>13</v>
      </c>
      <c r="B15" s="7" t="s">
        <v>143</v>
      </c>
      <c r="C15" s="8" t="s">
        <v>8</v>
      </c>
      <c r="D15" s="8">
        <f>2220</f>
        <v>2220</v>
      </c>
      <c r="E15" s="119"/>
      <c r="F15" s="47"/>
      <c r="G15" s="46"/>
      <c r="H15" s="45">
        <f t="shared" si="0"/>
        <v>0</v>
      </c>
      <c r="I15" s="45">
        <f t="shared" si="1"/>
        <v>0</v>
      </c>
    </row>
    <row r="16" spans="1:11" ht="15.6" x14ac:dyDescent="0.3">
      <c r="A16" s="49">
        <v>15</v>
      </c>
      <c r="B16" s="7" t="s">
        <v>90</v>
      </c>
      <c r="C16" s="8" t="s">
        <v>8</v>
      </c>
      <c r="D16" s="8">
        <f>15</f>
        <v>15</v>
      </c>
      <c r="E16" s="119"/>
      <c r="F16" s="47"/>
      <c r="G16" s="46"/>
      <c r="H16" s="45">
        <f t="shared" si="0"/>
        <v>0</v>
      </c>
      <c r="I16" s="45">
        <f t="shared" si="1"/>
        <v>0</v>
      </c>
    </row>
    <row r="17" spans="1:10" ht="78" x14ac:dyDescent="0.3">
      <c r="A17" s="49">
        <v>16</v>
      </c>
      <c r="B17" s="7" t="s">
        <v>186</v>
      </c>
      <c r="C17" s="8" t="s">
        <v>8</v>
      </c>
      <c r="D17" s="8">
        <f>85</f>
        <v>85</v>
      </c>
      <c r="E17" s="119"/>
      <c r="F17" s="47"/>
      <c r="G17" s="46"/>
      <c r="H17" s="45">
        <f t="shared" si="0"/>
        <v>0</v>
      </c>
      <c r="I17" s="45">
        <f t="shared" si="1"/>
        <v>0</v>
      </c>
    </row>
    <row r="18" spans="1:10" ht="46.8" x14ac:dyDescent="0.3">
      <c r="A18" s="49">
        <v>19</v>
      </c>
      <c r="B18" s="7" t="s">
        <v>283</v>
      </c>
      <c r="C18" s="8" t="s">
        <v>8</v>
      </c>
      <c r="D18" s="8">
        <f>130</f>
        <v>130</v>
      </c>
      <c r="E18" s="119"/>
      <c r="F18" s="47"/>
      <c r="G18" s="46"/>
      <c r="H18" s="45">
        <f t="shared" si="0"/>
        <v>0</v>
      </c>
      <c r="I18" s="45">
        <f t="shared" si="1"/>
        <v>0</v>
      </c>
    </row>
    <row r="19" spans="1:10" ht="15.6" x14ac:dyDescent="0.3">
      <c r="A19" s="49">
        <v>20</v>
      </c>
      <c r="B19" s="93" t="s">
        <v>205</v>
      </c>
      <c r="C19" s="51" t="s">
        <v>198</v>
      </c>
      <c r="D19" s="51">
        <f>110</f>
        <v>110</v>
      </c>
      <c r="E19" s="119"/>
      <c r="F19" s="47"/>
      <c r="G19" s="46"/>
      <c r="H19" s="45">
        <f t="shared" ref="H19:H25" si="2">ROUND((F19*D19),2)</f>
        <v>0</v>
      </c>
      <c r="I19" s="45">
        <f t="shared" ref="I19:I25" si="3">ROUND((D19*F19*G19)+(D19*F19),2)</f>
        <v>0</v>
      </c>
    </row>
    <row r="20" spans="1:10" ht="15.6" x14ac:dyDescent="0.3">
      <c r="A20" s="49">
        <v>21</v>
      </c>
      <c r="B20" s="93" t="s">
        <v>197</v>
      </c>
      <c r="C20" s="51" t="s">
        <v>198</v>
      </c>
      <c r="D20" s="51">
        <f>115</f>
        <v>115</v>
      </c>
      <c r="E20" s="119"/>
      <c r="F20" s="47"/>
      <c r="G20" s="46"/>
      <c r="H20" s="45">
        <f t="shared" si="2"/>
        <v>0</v>
      </c>
      <c r="I20" s="45">
        <f t="shared" si="3"/>
        <v>0</v>
      </c>
    </row>
    <row r="21" spans="1:10" ht="25.2" customHeight="1" x14ac:dyDescent="0.3">
      <c r="A21" s="49">
        <v>22</v>
      </c>
      <c r="B21" s="93" t="s">
        <v>244</v>
      </c>
      <c r="C21" s="51" t="s">
        <v>198</v>
      </c>
      <c r="D21" s="51">
        <f>97+8</f>
        <v>105</v>
      </c>
      <c r="E21" s="119"/>
      <c r="F21" s="47"/>
      <c r="G21" s="46"/>
      <c r="H21" s="45">
        <f t="shared" si="2"/>
        <v>0</v>
      </c>
      <c r="I21" s="45">
        <f t="shared" si="3"/>
        <v>0</v>
      </c>
    </row>
    <row r="22" spans="1:10" ht="15.6" x14ac:dyDescent="0.3">
      <c r="A22" s="49">
        <v>23</v>
      </c>
      <c r="B22" s="93" t="s">
        <v>245</v>
      </c>
      <c r="C22" s="51" t="s">
        <v>198</v>
      </c>
      <c r="D22" s="51">
        <f>70</f>
        <v>70</v>
      </c>
      <c r="E22" s="119"/>
      <c r="F22" s="47"/>
      <c r="G22" s="46"/>
      <c r="H22" s="45">
        <f t="shared" si="2"/>
        <v>0</v>
      </c>
      <c r="I22" s="45">
        <f t="shared" si="3"/>
        <v>0</v>
      </c>
    </row>
    <row r="23" spans="1:10" ht="15.6" x14ac:dyDescent="0.3">
      <c r="A23" s="49">
        <v>24</v>
      </c>
      <c r="B23" s="93" t="s">
        <v>240</v>
      </c>
      <c r="C23" s="51" t="s">
        <v>8</v>
      </c>
      <c r="D23" s="51">
        <f>36</f>
        <v>36</v>
      </c>
      <c r="E23" s="119"/>
      <c r="F23" s="47"/>
      <c r="G23" s="46"/>
      <c r="H23" s="45">
        <f t="shared" si="2"/>
        <v>0</v>
      </c>
      <c r="I23" s="45">
        <f t="shared" si="3"/>
        <v>0</v>
      </c>
    </row>
    <row r="24" spans="1:10" ht="15.6" x14ac:dyDescent="0.3">
      <c r="A24" s="49">
        <v>25</v>
      </c>
      <c r="B24" s="93" t="s">
        <v>262</v>
      </c>
      <c r="C24" s="51" t="s">
        <v>8</v>
      </c>
      <c r="D24" s="51">
        <f>20</f>
        <v>20</v>
      </c>
      <c r="E24" s="119"/>
      <c r="F24" s="47"/>
      <c r="G24" s="46"/>
      <c r="H24" s="45">
        <f t="shared" si="2"/>
        <v>0</v>
      </c>
      <c r="I24" s="45">
        <f t="shared" si="3"/>
        <v>0</v>
      </c>
    </row>
    <row r="25" spans="1:10" ht="15.6" x14ac:dyDescent="0.3">
      <c r="A25" s="49">
        <v>26</v>
      </c>
      <c r="B25" s="93" t="s">
        <v>206</v>
      </c>
      <c r="C25" s="51" t="s">
        <v>8</v>
      </c>
      <c r="D25" s="51">
        <f>60</f>
        <v>60</v>
      </c>
      <c r="E25" s="119"/>
      <c r="F25" s="47"/>
      <c r="G25" s="46"/>
      <c r="H25" s="45">
        <f t="shared" si="2"/>
        <v>0</v>
      </c>
      <c r="I25" s="45">
        <f t="shared" si="3"/>
        <v>0</v>
      </c>
    </row>
    <row r="26" spans="1:10" ht="46.8" x14ac:dyDescent="0.3">
      <c r="A26" s="49">
        <v>27</v>
      </c>
      <c r="B26" s="50" t="s">
        <v>144</v>
      </c>
      <c r="C26" s="51" t="s">
        <v>4</v>
      </c>
      <c r="D26" s="51">
        <f>215</f>
        <v>215</v>
      </c>
      <c r="E26" s="119"/>
      <c r="F26" s="47"/>
      <c r="G26" s="46"/>
      <c r="H26" s="45">
        <f t="shared" si="0"/>
        <v>0</v>
      </c>
      <c r="I26" s="45">
        <f t="shared" si="1"/>
        <v>0</v>
      </c>
    </row>
    <row r="27" spans="1:10" x14ac:dyDescent="0.3">
      <c r="A27" s="52"/>
      <c r="B27" s="53"/>
      <c r="C27" s="52"/>
      <c r="D27" s="52"/>
      <c r="E27" s="52"/>
      <c r="F27" s="52"/>
      <c r="G27" s="83" t="s">
        <v>97</v>
      </c>
      <c r="H27" s="85">
        <f>SUM(H9:H26)</f>
        <v>0</v>
      </c>
      <c r="I27" s="84">
        <f>SUM(I9:I26)</f>
        <v>0</v>
      </c>
      <c r="J27" s="91"/>
    </row>
    <row r="28" spans="1:10" x14ac:dyDescent="0.3">
      <c r="I28" s="78"/>
    </row>
    <row r="31" spans="1:10" x14ac:dyDescent="0.3">
      <c r="A31" s="197" t="s">
        <v>64</v>
      </c>
      <c r="B31" s="198"/>
      <c r="C31" s="198"/>
      <c r="D31" s="198"/>
      <c r="E31" s="198"/>
      <c r="F31" s="198"/>
      <c r="G31" s="198"/>
      <c r="H31" s="198"/>
      <c r="I31" s="198"/>
    </row>
    <row r="32" spans="1:10" x14ac:dyDescent="0.3">
      <c r="A32" s="198"/>
      <c r="B32" s="198"/>
      <c r="C32" s="198"/>
      <c r="D32" s="198"/>
      <c r="E32" s="198"/>
      <c r="F32" s="198"/>
      <c r="G32" s="198"/>
      <c r="H32" s="198"/>
      <c r="I32" s="198"/>
    </row>
    <row r="33" spans="1:9" x14ac:dyDescent="0.3">
      <c r="A33" s="198"/>
      <c r="B33" s="198"/>
      <c r="C33" s="198"/>
      <c r="D33" s="198"/>
      <c r="E33" s="198"/>
      <c r="F33" s="198"/>
      <c r="G33" s="198"/>
      <c r="H33" s="198"/>
      <c r="I33" s="198"/>
    </row>
  </sheetData>
  <customSheetViews>
    <customSheetView guid="{84B8FA77-AE35-4870-A1B4-CD3D8EA9555F}" scale="80" showPageBreaks="1" fitToPage="1" printArea="1" topLeftCell="A23">
      <selection activeCell="F35" sqref="F35"/>
      <pageMargins left="0.7" right="0.7" top="0.75" bottom="0.75" header="0.3" footer="0.3"/>
      <pageSetup paperSize="9" scale="52" orientation="portrait" verticalDpi="597" r:id="rId1"/>
    </customSheetView>
    <customSheetView guid="{BDD2EFA5-319A-44D2-B9F1-2950626BDBE4}" scale="80" showPageBreaks="1" fitToPage="1" printArea="1">
      <selection activeCell="A6" sqref="A6:XFD6"/>
      <pageMargins left="0.7" right="0.7" top="0.75" bottom="0.75" header="0.3" footer="0.3"/>
      <pageSetup paperSize="9" scale="47" orientation="portrait" verticalDpi="597" r:id="rId2"/>
    </customSheetView>
  </customSheetViews>
  <mergeCells count="3">
    <mergeCell ref="A31:I33"/>
    <mergeCell ref="A6:D6"/>
    <mergeCell ref="F6:I6"/>
  </mergeCells>
  <phoneticPr fontId="6" type="noConversion"/>
  <pageMargins left="0.7" right="0.7" top="0.75" bottom="0.75" header="0.3" footer="0.3"/>
  <pageSetup paperSize="9" scale="47" orientation="portrait" verticalDpi="597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6"/>
  <sheetViews>
    <sheetView tabSelected="1" zoomScale="90" zoomScaleNormal="90" workbookViewId="0">
      <selection activeCell="F9" sqref="F9:G102"/>
    </sheetView>
  </sheetViews>
  <sheetFormatPr defaultRowHeight="14.4" x14ac:dyDescent="0.3"/>
  <cols>
    <col min="1" max="1" width="6.44140625" customWidth="1"/>
    <col min="2" max="2" width="77.33203125" customWidth="1"/>
    <col min="3" max="3" width="11.109375" customWidth="1"/>
    <col min="4" max="4" width="6.44140625" customWidth="1"/>
    <col min="5" max="5" width="18" customWidth="1"/>
    <col min="6" max="6" width="13.21875" customWidth="1"/>
    <col min="7" max="7" width="10.88671875" customWidth="1"/>
    <col min="8" max="8" width="13.109375" customWidth="1"/>
    <col min="9" max="9" width="17" customWidth="1"/>
    <col min="10" max="10" width="12.6640625" bestFit="1" customWidth="1"/>
  </cols>
  <sheetData>
    <row r="1" spans="1:11" x14ac:dyDescent="0.3">
      <c r="B1" s="123" t="s">
        <v>297</v>
      </c>
      <c r="C1" s="20"/>
    </row>
    <row r="2" spans="1:11" x14ac:dyDescent="0.3">
      <c r="B2" s="123" t="s">
        <v>296</v>
      </c>
      <c r="C2" s="20"/>
    </row>
    <row r="3" spans="1:11" x14ac:dyDescent="0.3">
      <c r="B3" s="123" t="s">
        <v>295</v>
      </c>
      <c r="C3" s="20"/>
    </row>
    <row r="4" spans="1:11" x14ac:dyDescent="0.3">
      <c r="B4" s="123" t="s">
        <v>289</v>
      </c>
      <c r="C4" s="20"/>
    </row>
    <row r="5" spans="1:11" x14ac:dyDescent="0.3">
      <c r="B5" s="122" t="s">
        <v>298</v>
      </c>
    </row>
    <row r="6" spans="1:11" x14ac:dyDescent="0.3">
      <c r="A6" s="194" t="s">
        <v>86</v>
      </c>
      <c r="B6" s="194"/>
      <c r="C6" s="194"/>
      <c r="D6" s="194"/>
      <c r="E6" s="76"/>
      <c r="F6" s="194" t="s">
        <v>291</v>
      </c>
      <c r="G6" s="194"/>
      <c r="H6" s="194"/>
      <c r="I6" s="194"/>
      <c r="J6" s="21"/>
      <c r="K6" s="21"/>
    </row>
    <row r="7" spans="1:11" ht="28.2" customHeight="1" x14ac:dyDescent="0.3">
      <c r="A7" s="115" t="s">
        <v>0</v>
      </c>
      <c r="B7" s="116" t="s">
        <v>1</v>
      </c>
      <c r="C7" s="117" t="s">
        <v>2</v>
      </c>
      <c r="D7" s="116" t="s">
        <v>3</v>
      </c>
      <c r="E7" s="116" t="s">
        <v>290</v>
      </c>
      <c r="F7" s="106" t="s">
        <v>167</v>
      </c>
      <c r="G7" s="106" t="s">
        <v>168</v>
      </c>
      <c r="H7" s="106" t="s">
        <v>169</v>
      </c>
      <c r="I7" s="106" t="s">
        <v>17</v>
      </c>
    </row>
    <row r="8" spans="1:11" x14ac:dyDescent="0.3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</row>
    <row r="9" spans="1:11" x14ac:dyDescent="0.3">
      <c r="A9" s="108">
        <v>1</v>
      </c>
      <c r="B9" s="109" t="s">
        <v>146</v>
      </c>
      <c r="C9" s="110" t="s">
        <v>8</v>
      </c>
      <c r="D9" s="111">
        <f>12</f>
        <v>12</v>
      </c>
      <c r="E9" s="118"/>
      <c r="F9" s="112"/>
      <c r="G9" s="113"/>
      <c r="H9" s="114">
        <f>ROUND((F9*D9),2)</f>
        <v>0</v>
      </c>
      <c r="I9" s="114">
        <f t="shared" ref="I9:I42" si="0">ROUND((D9*F9*G9)+(D9*F9),2)</f>
        <v>0</v>
      </c>
    </row>
    <row r="10" spans="1:11" s="6" customFormat="1" x14ac:dyDescent="0.3">
      <c r="A10" s="59">
        <v>2</v>
      </c>
      <c r="B10" s="55" t="s">
        <v>21</v>
      </c>
      <c r="C10" s="56" t="s">
        <v>8</v>
      </c>
      <c r="D10" s="4">
        <f>80</f>
        <v>80</v>
      </c>
      <c r="E10" s="118"/>
      <c r="F10" s="58"/>
      <c r="G10" s="46"/>
      <c r="H10" s="45">
        <f t="shared" ref="H10:H43" si="1">ROUND((F10*D10),2)</f>
        <v>0</v>
      </c>
      <c r="I10" s="45">
        <f t="shared" si="0"/>
        <v>0</v>
      </c>
    </row>
    <row r="11" spans="1:11" ht="57.6" x14ac:dyDescent="0.3">
      <c r="A11" s="59">
        <v>4</v>
      </c>
      <c r="B11" s="55" t="s">
        <v>15</v>
      </c>
      <c r="C11" s="56" t="s">
        <v>8</v>
      </c>
      <c r="D11" s="4">
        <f>135</f>
        <v>135</v>
      </c>
      <c r="E11" s="118"/>
      <c r="F11" s="58"/>
      <c r="G11" s="46"/>
      <c r="H11" s="45">
        <f t="shared" si="1"/>
        <v>0</v>
      </c>
      <c r="I11" s="45">
        <f t="shared" si="0"/>
        <v>0</v>
      </c>
    </row>
    <row r="12" spans="1:11" ht="28.8" x14ac:dyDescent="0.3">
      <c r="A12" s="59">
        <v>5</v>
      </c>
      <c r="B12" s="55" t="s">
        <v>14</v>
      </c>
      <c r="C12" s="56" t="s">
        <v>8</v>
      </c>
      <c r="D12" s="4">
        <f>165</f>
        <v>165</v>
      </c>
      <c r="E12" s="118"/>
      <c r="F12" s="58"/>
      <c r="G12" s="46"/>
      <c r="H12" s="45">
        <f t="shared" si="1"/>
        <v>0</v>
      </c>
      <c r="I12" s="45">
        <f t="shared" si="0"/>
        <v>0</v>
      </c>
    </row>
    <row r="13" spans="1:11" x14ac:dyDescent="0.3">
      <c r="A13" s="59">
        <v>8</v>
      </c>
      <c r="B13" s="55" t="s">
        <v>92</v>
      </c>
      <c r="C13" s="56" t="s">
        <v>8</v>
      </c>
      <c r="D13" s="4">
        <v>180</v>
      </c>
      <c r="E13" s="118"/>
      <c r="F13" s="58"/>
      <c r="G13" s="46"/>
      <c r="H13" s="45">
        <f t="shared" si="1"/>
        <v>0</v>
      </c>
      <c r="I13" s="45">
        <f t="shared" si="0"/>
        <v>0</v>
      </c>
    </row>
    <row r="14" spans="1:11" x14ac:dyDescent="0.3">
      <c r="A14" s="59">
        <v>9</v>
      </c>
      <c r="B14" s="55" t="s">
        <v>147</v>
      </c>
      <c r="C14" s="56" t="s">
        <v>4</v>
      </c>
      <c r="D14" s="4">
        <f>340</f>
        <v>340</v>
      </c>
      <c r="E14" s="118"/>
      <c r="F14" s="58"/>
      <c r="G14" s="46"/>
      <c r="H14" s="45">
        <f t="shared" si="1"/>
        <v>0</v>
      </c>
      <c r="I14" s="45">
        <f t="shared" si="0"/>
        <v>0</v>
      </c>
    </row>
    <row r="15" spans="1:11" x14ac:dyDescent="0.3">
      <c r="A15" s="59">
        <v>10</v>
      </c>
      <c r="B15" s="55" t="s">
        <v>16</v>
      </c>
      <c r="C15" s="56" t="s">
        <v>8</v>
      </c>
      <c r="D15" s="4">
        <v>15</v>
      </c>
      <c r="E15" s="118"/>
      <c r="F15" s="58"/>
      <c r="G15" s="46"/>
      <c r="H15" s="45">
        <f t="shared" si="1"/>
        <v>0</v>
      </c>
      <c r="I15" s="45">
        <f t="shared" si="0"/>
        <v>0</v>
      </c>
    </row>
    <row r="16" spans="1:11" ht="28.8" x14ac:dyDescent="0.3">
      <c r="A16" s="59">
        <v>13</v>
      </c>
      <c r="B16" s="55" t="s">
        <v>148</v>
      </c>
      <c r="C16" s="56" t="s">
        <v>8</v>
      </c>
      <c r="D16" s="4">
        <f>12+3</f>
        <v>15</v>
      </c>
      <c r="E16" s="118"/>
      <c r="F16" s="58"/>
      <c r="G16" s="46"/>
      <c r="H16" s="45">
        <f t="shared" si="1"/>
        <v>0</v>
      </c>
      <c r="I16" s="45">
        <f t="shared" si="0"/>
        <v>0</v>
      </c>
    </row>
    <row r="17" spans="1:9" x14ac:dyDescent="0.3">
      <c r="A17" s="59">
        <v>15</v>
      </c>
      <c r="B17" s="55" t="s">
        <v>187</v>
      </c>
      <c r="C17" s="56" t="s">
        <v>8</v>
      </c>
      <c r="D17" s="4">
        <v>5</v>
      </c>
      <c r="E17" s="118"/>
      <c r="F17" s="58"/>
      <c r="G17" s="46"/>
      <c r="H17" s="45">
        <f t="shared" si="1"/>
        <v>0</v>
      </c>
      <c r="I17" s="45">
        <f t="shared" si="0"/>
        <v>0</v>
      </c>
    </row>
    <row r="18" spans="1:9" ht="14.4" customHeight="1" x14ac:dyDescent="0.3">
      <c r="A18" s="59">
        <v>18</v>
      </c>
      <c r="B18" s="55" t="s">
        <v>156</v>
      </c>
      <c r="C18" s="56" t="s">
        <v>8</v>
      </c>
      <c r="D18" s="4">
        <f>115</f>
        <v>115</v>
      </c>
      <c r="E18" s="118"/>
      <c r="F18" s="58"/>
      <c r="G18" s="46"/>
      <c r="H18" s="45">
        <f t="shared" si="1"/>
        <v>0</v>
      </c>
      <c r="I18" s="45">
        <f t="shared" si="0"/>
        <v>0</v>
      </c>
    </row>
    <row r="19" spans="1:9" x14ac:dyDescent="0.3">
      <c r="A19" s="59">
        <v>20</v>
      </c>
      <c r="B19" s="55" t="s">
        <v>256</v>
      </c>
      <c r="C19" s="56" t="s">
        <v>8</v>
      </c>
      <c r="D19" s="4">
        <f>40</f>
        <v>40</v>
      </c>
      <c r="E19" s="118"/>
      <c r="F19" s="58"/>
      <c r="G19" s="46"/>
      <c r="H19" s="45">
        <f t="shared" si="1"/>
        <v>0</v>
      </c>
      <c r="I19" s="45">
        <f t="shared" si="0"/>
        <v>0</v>
      </c>
    </row>
    <row r="20" spans="1:9" ht="42" customHeight="1" x14ac:dyDescent="0.3">
      <c r="A20" s="59">
        <v>22</v>
      </c>
      <c r="B20" s="55" t="s">
        <v>188</v>
      </c>
      <c r="C20" s="56" t="s">
        <v>8</v>
      </c>
      <c r="D20" s="4">
        <f>70</f>
        <v>70</v>
      </c>
      <c r="E20" s="118"/>
      <c r="F20" s="58"/>
      <c r="G20" s="46"/>
      <c r="H20" s="45">
        <f t="shared" si="1"/>
        <v>0</v>
      </c>
      <c r="I20" s="45">
        <f t="shared" si="0"/>
        <v>0</v>
      </c>
    </row>
    <row r="21" spans="1:9" ht="43.2" x14ac:dyDescent="0.3">
      <c r="A21" s="59">
        <v>23</v>
      </c>
      <c r="B21" s="55" t="s">
        <v>189</v>
      </c>
      <c r="C21" s="56" t="s">
        <v>8</v>
      </c>
      <c r="D21" s="4">
        <f>35</f>
        <v>35</v>
      </c>
      <c r="E21" s="118"/>
      <c r="F21" s="58"/>
      <c r="G21" s="46"/>
      <c r="H21" s="45">
        <f t="shared" si="1"/>
        <v>0</v>
      </c>
      <c r="I21" s="45">
        <f t="shared" si="0"/>
        <v>0</v>
      </c>
    </row>
    <row r="22" spans="1:9" x14ac:dyDescent="0.3">
      <c r="A22" s="59">
        <v>24</v>
      </c>
      <c r="B22" s="55" t="s">
        <v>158</v>
      </c>
      <c r="C22" s="56" t="s">
        <v>8</v>
      </c>
      <c r="D22" s="4">
        <f>45</f>
        <v>45</v>
      </c>
      <c r="E22" s="118"/>
      <c r="F22" s="58"/>
      <c r="G22" s="46"/>
      <c r="H22" s="45">
        <f t="shared" si="1"/>
        <v>0</v>
      </c>
      <c r="I22" s="45">
        <f t="shared" si="0"/>
        <v>0</v>
      </c>
    </row>
    <row r="23" spans="1:9" ht="28.8" x14ac:dyDescent="0.3">
      <c r="A23" s="59">
        <v>25</v>
      </c>
      <c r="B23" s="55" t="s">
        <v>149</v>
      </c>
      <c r="C23" s="56" t="s">
        <v>4</v>
      </c>
      <c r="D23" s="4">
        <v>27</v>
      </c>
      <c r="E23" s="118"/>
      <c r="F23" s="58"/>
      <c r="G23" s="46"/>
      <c r="H23" s="45">
        <f t="shared" si="1"/>
        <v>0</v>
      </c>
      <c r="I23" s="45">
        <f t="shared" si="0"/>
        <v>0</v>
      </c>
    </row>
    <row r="24" spans="1:9" x14ac:dyDescent="0.3">
      <c r="A24" s="59">
        <v>29</v>
      </c>
      <c r="B24" s="55" t="s">
        <v>204</v>
      </c>
      <c r="C24" s="56" t="s">
        <v>8</v>
      </c>
      <c r="D24" s="4">
        <f>200</f>
        <v>200</v>
      </c>
      <c r="E24" s="118"/>
      <c r="F24" s="58"/>
      <c r="G24" s="46"/>
      <c r="H24" s="45">
        <f t="shared" si="1"/>
        <v>0</v>
      </c>
      <c r="I24" s="45">
        <f t="shared" si="0"/>
        <v>0</v>
      </c>
    </row>
    <row r="25" spans="1:9" x14ac:dyDescent="0.3">
      <c r="A25" s="59">
        <v>30</v>
      </c>
      <c r="B25" s="55" t="s">
        <v>150</v>
      </c>
      <c r="C25" s="56" t="s">
        <v>4</v>
      </c>
      <c r="D25" s="4">
        <f>40</f>
        <v>40</v>
      </c>
      <c r="E25" s="118"/>
      <c r="F25" s="58"/>
      <c r="G25" s="46"/>
      <c r="H25" s="45">
        <f t="shared" si="1"/>
        <v>0</v>
      </c>
      <c r="I25" s="45">
        <f t="shared" si="0"/>
        <v>0</v>
      </c>
    </row>
    <row r="26" spans="1:9" ht="54.6" customHeight="1" x14ac:dyDescent="0.3">
      <c r="A26" s="59">
        <v>32</v>
      </c>
      <c r="B26" s="55" t="s">
        <v>190</v>
      </c>
      <c r="C26" s="56" t="s">
        <v>8</v>
      </c>
      <c r="D26" s="4">
        <f>30</f>
        <v>30</v>
      </c>
      <c r="E26" s="118"/>
      <c r="F26" s="58"/>
      <c r="G26" s="46"/>
      <c r="H26" s="45">
        <f t="shared" si="1"/>
        <v>0</v>
      </c>
      <c r="I26" s="45">
        <f t="shared" si="0"/>
        <v>0</v>
      </c>
    </row>
    <row r="27" spans="1:9" ht="72" x14ac:dyDescent="0.3">
      <c r="A27" s="59">
        <v>35</v>
      </c>
      <c r="B27" s="55" t="s">
        <v>145</v>
      </c>
      <c r="C27" s="56" t="s">
        <v>8</v>
      </c>
      <c r="D27" s="4">
        <f>8</f>
        <v>8</v>
      </c>
      <c r="E27" s="118"/>
      <c r="F27" s="58"/>
      <c r="G27" s="46"/>
      <c r="H27" s="45">
        <f t="shared" si="1"/>
        <v>0</v>
      </c>
      <c r="I27" s="45">
        <f t="shared" si="0"/>
        <v>0</v>
      </c>
    </row>
    <row r="28" spans="1:9" ht="28.8" x14ac:dyDescent="0.3">
      <c r="A28" s="59">
        <v>38</v>
      </c>
      <c r="B28" s="55" t="s">
        <v>151</v>
      </c>
      <c r="C28" s="56" t="s">
        <v>8</v>
      </c>
      <c r="D28" s="4">
        <f>7</f>
        <v>7</v>
      </c>
      <c r="E28" s="118"/>
      <c r="F28" s="58"/>
      <c r="G28" s="46"/>
      <c r="H28" s="45">
        <f t="shared" si="1"/>
        <v>0</v>
      </c>
      <c r="I28" s="45">
        <f t="shared" si="0"/>
        <v>0</v>
      </c>
    </row>
    <row r="29" spans="1:9" x14ac:dyDescent="0.3">
      <c r="A29" s="59">
        <v>40</v>
      </c>
      <c r="B29" s="55" t="s">
        <v>228</v>
      </c>
      <c r="C29" s="56" t="s">
        <v>8</v>
      </c>
      <c r="D29" s="4">
        <f>60</f>
        <v>60</v>
      </c>
      <c r="E29" s="118"/>
      <c r="F29" s="58"/>
      <c r="G29" s="46"/>
      <c r="H29" s="45">
        <f t="shared" si="1"/>
        <v>0</v>
      </c>
      <c r="I29" s="45">
        <f t="shared" si="0"/>
        <v>0</v>
      </c>
    </row>
    <row r="30" spans="1:9" x14ac:dyDescent="0.3">
      <c r="A30" s="59">
        <v>42</v>
      </c>
      <c r="B30" s="55" t="s">
        <v>91</v>
      </c>
      <c r="C30" s="56" t="s">
        <v>8</v>
      </c>
      <c r="D30" s="4">
        <f>10</f>
        <v>10</v>
      </c>
      <c r="E30" s="118"/>
      <c r="F30" s="58"/>
      <c r="G30" s="46"/>
      <c r="H30" s="45">
        <f t="shared" si="1"/>
        <v>0</v>
      </c>
      <c r="I30" s="45">
        <f t="shared" si="0"/>
        <v>0</v>
      </c>
    </row>
    <row r="31" spans="1:9" ht="28.8" x14ac:dyDescent="0.3">
      <c r="A31" s="59">
        <v>43</v>
      </c>
      <c r="B31" s="55" t="s">
        <v>253</v>
      </c>
      <c r="C31" s="56" t="s">
        <v>4</v>
      </c>
      <c r="D31" s="4">
        <v>150</v>
      </c>
      <c r="E31" s="118"/>
      <c r="F31" s="58"/>
      <c r="G31" s="46"/>
      <c r="H31" s="45">
        <f t="shared" si="1"/>
        <v>0</v>
      </c>
      <c r="I31" s="45">
        <f t="shared" si="0"/>
        <v>0</v>
      </c>
    </row>
    <row r="32" spans="1:9" ht="28.8" x14ac:dyDescent="0.3">
      <c r="A32" s="59">
        <v>44</v>
      </c>
      <c r="B32" s="55" t="s">
        <v>288</v>
      </c>
      <c r="C32" s="56" t="s">
        <v>4</v>
      </c>
      <c r="D32" s="4">
        <v>170</v>
      </c>
      <c r="E32" s="118"/>
      <c r="F32" s="58"/>
      <c r="G32" s="46"/>
      <c r="H32" s="45">
        <f t="shared" si="1"/>
        <v>0</v>
      </c>
      <c r="I32" s="45">
        <f t="shared" si="0"/>
        <v>0</v>
      </c>
    </row>
    <row r="33" spans="1:9" x14ac:dyDescent="0.3">
      <c r="A33" s="59">
        <v>46</v>
      </c>
      <c r="B33" s="55" t="s">
        <v>152</v>
      </c>
      <c r="C33" s="56" t="s">
        <v>4</v>
      </c>
      <c r="D33" s="4">
        <f>200</f>
        <v>200</v>
      </c>
      <c r="E33" s="118"/>
      <c r="F33" s="58"/>
      <c r="G33" s="46"/>
      <c r="H33" s="45">
        <f t="shared" si="1"/>
        <v>0</v>
      </c>
      <c r="I33" s="45">
        <f t="shared" si="0"/>
        <v>0</v>
      </c>
    </row>
    <row r="34" spans="1:9" x14ac:dyDescent="0.3">
      <c r="A34" s="59">
        <v>48</v>
      </c>
      <c r="B34" s="55" t="s">
        <v>191</v>
      </c>
      <c r="C34" s="56" t="s">
        <v>8</v>
      </c>
      <c r="D34" s="4">
        <f>3+3+3+3+3</f>
        <v>15</v>
      </c>
      <c r="E34" s="118"/>
      <c r="F34" s="58"/>
      <c r="G34" s="46"/>
      <c r="H34" s="45">
        <f t="shared" si="1"/>
        <v>0</v>
      </c>
      <c r="I34" s="45">
        <f t="shared" si="0"/>
        <v>0</v>
      </c>
    </row>
    <row r="35" spans="1:9" x14ac:dyDescent="0.3">
      <c r="A35" s="59">
        <v>49</v>
      </c>
      <c r="B35" s="55" t="s">
        <v>22</v>
      </c>
      <c r="C35" s="56" t="s">
        <v>8</v>
      </c>
      <c r="D35" s="4">
        <v>20</v>
      </c>
      <c r="E35" s="118"/>
      <c r="F35" s="58"/>
      <c r="G35" s="46"/>
      <c r="H35" s="45">
        <f t="shared" si="1"/>
        <v>0</v>
      </c>
      <c r="I35" s="45">
        <f t="shared" si="0"/>
        <v>0</v>
      </c>
    </row>
    <row r="36" spans="1:9" ht="13.8" customHeight="1" x14ac:dyDescent="0.3">
      <c r="A36" s="59">
        <v>51</v>
      </c>
      <c r="B36" s="55" t="s">
        <v>94</v>
      </c>
      <c r="C36" s="56" t="s">
        <v>8</v>
      </c>
      <c r="D36" s="4">
        <f>3+5+5+2+1+1+2+3+5+3</f>
        <v>30</v>
      </c>
      <c r="E36" s="118"/>
      <c r="F36" s="58"/>
      <c r="G36" s="46"/>
      <c r="H36" s="45">
        <f t="shared" si="1"/>
        <v>0</v>
      </c>
      <c r="I36" s="45">
        <f t="shared" si="0"/>
        <v>0</v>
      </c>
    </row>
    <row r="37" spans="1:9" ht="28.8" x14ac:dyDescent="0.3">
      <c r="A37" s="59">
        <v>54</v>
      </c>
      <c r="B37" s="55" t="s">
        <v>227</v>
      </c>
      <c r="C37" s="56" t="s">
        <v>8</v>
      </c>
      <c r="D37" s="4">
        <v>50</v>
      </c>
      <c r="E37" s="118"/>
      <c r="F37" s="58"/>
      <c r="G37" s="46"/>
      <c r="H37" s="45">
        <f t="shared" si="1"/>
        <v>0</v>
      </c>
      <c r="I37" s="45">
        <f t="shared" si="0"/>
        <v>0</v>
      </c>
    </row>
    <row r="38" spans="1:9" s="6" customFormat="1" ht="38.4" customHeight="1" x14ac:dyDescent="0.3">
      <c r="A38" s="59">
        <v>60</v>
      </c>
      <c r="B38" s="55" t="s">
        <v>281</v>
      </c>
      <c r="C38" s="56" t="s">
        <v>8</v>
      </c>
      <c r="D38" s="4">
        <f>12</f>
        <v>12</v>
      </c>
      <c r="E38" s="118"/>
      <c r="F38" s="58"/>
      <c r="G38" s="46"/>
      <c r="H38" s="45">
        <f t="shared" si="1"/>
        <v>0</v>
      </c>
      <c r="I38" s="45">
        <f t="shared" si="0"/>
        <v>0</v>
      </c>
    </row>
    <row r="39" spans="1:9" ht="124.8" customHeight="1" x14ac:dyDescent="0.3">
      <c r="A39" s="59">
        <v>61</v>
      </c>
      <c r="B39" s="55" t="s">
        <v>192</v>
      </c>
      <c r="C39" s="56" t="s">
        <v>8</v>
      </c>
      <c r="D39" s="4">
        <f>8</f>
        <v>8</v>
      </c>
      <c r="E39" s="118"/>
      <c r="F39" s="58"/>
      <c r="G39" s="46"/>
      <c r="H39" s="45">
        <f t="shared" si="1"/>
        <v>0</v>
      </c>
      <c r="I39" s="45">
        <f t="shared" si="0"/>
        <v>0</v>
      </c>
    </row>
    <row r="40" spans="1:9" x14ac:dyDescent="0.3">
      <c r="A40" s="59">
        <v>62</v>
      </c>
      <c r="B40" s="55" t="s">
        <v>153</v>
      </c>
      <c r="C40" s="56" t="s">
        <v>8</v>
      </c>
      <c r="D40" s="4">
        <v>40</v>
      </c>
      <c r="E40" s="118"/>
      <c r="F40" s="58"/>
      <c r="G40" s="46"/>
      <c r="H40" s="45">
        <f t="shared" si="1"/>
        <v>0</v>
      </c>
      <c r="I40" s="45">
        <f t="shared" si="0"/>
        <v>0</v>
      </c>
    </row>
    <row r="41" spans="1:9" ht="87" customHeight="1" x14ac:dyDescent="0.3">
      <c r="A41" s="59">
        <v>63</v>
      </c>
      <c r="B41" s="55" t="s">
        <v>193</v>
      </c>
      <c r="C41" s="56" t="s">
        <v>8</v>
      </c>
      <c r="D41" s="4">
        <f>350</f>
        <v>350</v>
      </c>
      <c r="E41" s="118"/>
      <c r="F41" s="58"/>
      <c r="G41" s="46"/>
      <c r="H41" s="45">
        <f t="shared" si="1"/>
        <v>0</v>
      </c>
      <c r="I41" s="45">
        <f t="shared" si="0"/>
        <v>0</v>
      </c>
    </row>
    <row r="42" spans="1:9" ht="28.8" x14ac:dyDescent="0.3">
      <c r="A42" s="59">
        <v>64</v>
      </c>
      <c r="B42" s="55" t="s">
        <v>234</v>
      </c>
      <c r="C42" s="56" t="s">
        <v>8</v>
      </c>
      <c r="D42" s="4">
        <f>80</f>
        <v>80</v>
      </c>
      <c r="E42" s="118"/>
      <c r="F42" s="58"/>
      <c r="G42" s="46"/>
      <c r="H42" s="45">
        <f t="shared" si="1"/>
        <v>0</v>
      </c>
      <c r="I42" s="45">
        <f t="shared" si="0"/>
        <v>0</v>
      </c>
    </row>
    <row r="43" spans="1:9" x14ac:dyDescent="0.3">
      <c r="A43" s="59">
        <v>65</v>
      </c>
      <c r="B43" s="55" t="s">
        <v>254</v>
      </c>
      <c r="C43" s="56" t="s">
        <v>8</v>
      </c>
      <c r="D43" s="4">
        <f>10</f>
        <v>10</v>
      </c>
      <c r="E43" s="118"/>
      <c r="F43" s="58"/>
      <c r="G43" s="46"/>
      <c r="H43" s="45">
        <f t="shared" si="1"/>
        <v>0</v>
      </c>
      <c r="I43" s="45">
        <f t="shared" ref="I43:I55" si="2">ROUND((D43*F43*G43)+(D43*F43),2)</f>
        <v>0</v>
      </c>
    </row>
    <row r="44" spans="1:9" x14ac:dyDescent="0.3">
      <c r="A44" s="59">
        <v>66</v>
      </c>
      <c r="B44" s="55" t="s">
        <v>159</v>
      </c>
      <c r="C44" s="56" t="s">
        <v>8</v>
      </c>
      <c r="D44" s="4">
        <f>60</f>
        <v>60</v>
      </c>
      <c r="E44" s="118"/>
      <c r="F44" s="58"/>
      <c r="G44" s="46"/>
      <c r="H44" s="45">
        <f t="shared" ref="H44:H55" si="3">ROUND((F44*D44),2)</f>
        <v>0</v>
      </c>
      <c r="I44" s="45">
        <f t="shared" si="2"/>
        <v>0</v>
      </c>
    </row>
    <row r="45" spans="1:9" x14ac:dyDescent="0.3">
      <c r="A45" s="59">
        <v>73</v>
      </c>
      <c r="B45" s="55" t="s">
        <v>23</v>
      </c>
      <c r="C45" s="56" t="s">
        <v>8</v>
      </c>
      <c r="D45" s="4">
        <f>10</f>
        <v>10</v>
      </c>
      <c r="E45" s="118"/>
      <c r="F45" s="58"/>
      <c r="G45" s="46"/>
      <c r="H45" s="45">
        <f t="shared" si="3"/>
        <v>0</v>
      </c>
      <c r="I45" s="45">
        <f t="shared" si="2"/>
        <v>0</v>
      </c>
    </row>
    <row r="46" spans="1:9" x14ac:dyDescent="0.3">
      <c r="A46" s="59">
        <v>74</v>
      </c>
      <c r="B46" s="55" t="s">
        <v>252</v>
      </c>
      <c r="C46" s="56" t="s">
        <v>8</v>
      </c>
      <c r="D46" s="4">
        <f>40</f>
        <v>40</v>
      </c>
      <c r="E46" s="118"/>
      <c r="F46" s="58"/>
      <c r="G46" s="46"/>
      <c r="H46" s="45">
        <f t="shared" si="3"/>
        <v>0</v>
      </c>
      <c r="I46" s="45">
        <f t="shared" si="2"/>
        <v>0</v>
      </c>
    </row>
    <row r="47" spans="1:9" x14ac:dyDescent="0.3">
      <c r="A47" s="59">
        <v>76</v>
      </c>
      <c r="B47" s="55" t="s">
        <v>157</v>
      </c>
      <c r="C47" s="56" t="s">
        <v>4</v>
      </c>
      <c r="D47" s="4">
        <f>35</f>
        <v>35</v>
      </c>
      <c r="E47" s="118"/>
      <c r="F47" s="58"/>
      <c r="G47" s="46"/>
      <c r="H47" s="45">
        <f t="shared" si="3"/>
        <v>0</v>
      </c>
      <c r="I47" s="45">
        <f t="shared" si="2"/>
        <v>0</v>
      </c>
    </row>
    <row r="48" spans="1:9" x14ac:dyDescent="0.3">
      <c r="A48" s="59">
        <v>80</v>
      </c>
      <c r="B48" s="55" t="s">
        <v>154</v>
      </c>
      <c r="C48" s="56" t="s">
        <v>4</v>
      </c>
      <c r="D48" s="4">
        <v>15</v>
      </c>
      <c r="E48" s="118"/>
      <c r="F48" s="58"/>
      <c r="G48" s="46"/>
      <c r="H48" s="45">
        <f t="shared" si="3"/>
        <v>0</v>
      </c>
      <c r="I48" s="45">
        <f t="shared" si="2"/>
        <v>0</v>
      </c>
    </row>
    <row r="49" spans="1:9" x14ac:dyDescent="0.3">
      <c r="A49" s="59">
        <v>83</v>
      </c>
      <c r="B49" s="55" t="s">
        <v>93</v>
      </c>
      <c r="C49" s="56" t="s">
        <v>8</v>
      </c>
      <c r="D49" s="4">
        <f>1200</f>
        <v>1200</v>
      </c>
      <c r="E49" s="118"/>
      <c r="F49" s="58"/>
      <c r="G49" s="46"/>
      <c r="H49" s="45">
        <f t="shared" si="3"/>
        <v>0</v>
      </c>
      <c r="I49" s="45">
        <f t="shared" si="2"/>
        <v>0</v>
      </c>
    </row>
    <row r="50" spans="1:9" x14ac:dyDescent="0.3">
      <c r="A50" s="59">
        <v>84</v>
      </c>
      <c r="B50" s="55" t="s">
        <v>19</v>
      </c>
      <c r="C50" s="56" t="s">
        <v>8</v>
      </c>
      <c r="D50" s="4">
        <f>10</f>
        <v>10</v>
      </c>
      <c r="E50" s="118"/>
      <c r="F50" s="58"/>
      <c r="G50" s="46"/>
      <c r="H50" s="45">
        <f t="shared" si="3"/>
        <v>0</v>
      </c>
      <c r="I50" s="45">
        <f t="shared" si="2"/>
        <v>0</v>
      </c>
    </row>
    <row r="51" spans="1:9" x14ac:dyDescent="0.3">
      <c r="A51" s="59">
        <v>85</v>
      </c>
      <c r="B51" s="55" t="s">
        <v>264</v>
      </c>
      <c r="C51" s="56" t="s">
        <v>8</v>
      </c>
      <c r="D51" s="4">
        <v>300</v>
      </c>
      <c r="E51" s="118"/>
      <c r="F51" s="58"/>
      <c r="G51" s="46"/>
      <c r="H51" s="45">
        <f t="shared" si="3"/>
        <v>0</v>
      </c>
      <c r="I51" s="45">
        <f t="shared" si="2"/>
        <v>0</v>
      </c>
    </row>
    <row r="52" spans="1:9" x14ac:dyDescent="0.3">
      <c r="A52" s="59">
        <v>86</v>
      </c>
      <c r="B52" s="55" t="s">
        <v>194</v>
      </c>
      <c r="C52" s="56" t="s">
        <v>4</v>
      </c>
      <c r="D52" s="4">
        <f>50</f>
        <v>50</v>
      </c>
      <c r="E52" s="118"/>
      <c r="F52" s="58"/>
      <c r="G52" s="46"/>
      <c r="H52" s="45">
        <f t="shared" si="3"/>
        <v>0</v>
      </c>
      <c r="I52" s="45">
        <f t="shared" si="2"/>
        <v>0</v>
      </c>
    </row>
    <row r="53" spans="1:9" ht="43.2" x14ac:dyDescent="0.3">
      <c r="A53" s="59">
        <v>88</v>
      </c>
      <c r="B53" s="55" t="s">
        <v>195</v>
      </c>
      <c r="C53" s="56" t="s">
        <v>8</v>
      </c>
      <c r="D53" s="4">
        <f>115</f>
        <v>115</v>
      </c>
      <c r="E53" s="118"/>
      <c r="F53" s="58"/>
      <c r="G53" s="46"/>
      <c r="H53" s="45">
        <f t="shared" si="3"/>
        <v>0</v>
      </c>
      <c r="I53" s="45">
        <f t="shared" si="2"/>
        <v>0</v>
      </c>
    </row>
    <row r="54" spans="1:9" ht="14.4" customHeight="1" x14ac:dyDescent="0.3">
      <c r="A54" s="59">
        <v>89</v>
      </c>
      <c r="B54" s="55" t="s">
        <v>20</v>
      </c>
      <c r="C54" s="56" t="s">
        <v>8</v>
      </c>
      <c r="D54" s="4">
        <v>1880</v>
      </c>
      <c r="E54" s="118"/>
      <c r="F54" s="58"/>
      <c r="G54" s="46"/>
      <c r="H54" s="45">
        <f t="shared" si="3"/>
        <v>0</v>
      </c>
      <c r="I54" s="45">
        <f t="shared" si="2"/>
        <v>0</v>
      </c>
    </row>
    <row r="55" spans="1:9" ht="28.8" x14ac:dyDescent="0.3">
      <c r="A55" s="59">
        <v>90</v>
      </c>
      <c r="B55" s="55" t="s">
        <v>155</v>
      </c>
      <c r="C55" s="56" t="s">
        <v>8</v>
      </c>
      <c r="D55" s="4">
        <f>7</f>
        <v>7</v>
      </c>
      <c r="E55" s="118"/>
      <c r="F55" s="58"/>
      <c r="G55" s="46"/>
      <c r="H55" s="45">
        <f t="shared" si="3"/>
        <v>0</v>
      </c>
      <c r="I55" s="45">
        <f t="shared" si="2"/>
        <v>0</v>
      </c>
    </row>
    <row r="56" spans="1:9" x14ac:dyDescent="0.3">
      <c r="A56" s="59">
        <v>91</v>
      </c>
      <c r="B56" s="95" t="s">
        <v>259</v>
      </c>
      <c r="C56" s="57" t="s">
        <v>8</v>
      </c>
      <c r="D56" s="54">
        <v>120</v>
      </c>
      <c r="E56" s="118"/>
      <c r="F56" s="58"/>
      <c r="G56" s="46"/>
      <c r="H56" s="45">
        <f t="shared" ref="H56:H64" si="4">ROUND((F56*D56),2)</f>
        <v>0</v>
      </c>
      <c r="I56" s="45">
        <f t="shared" ref="I56:I64" si="5">ROUND((D56*F56*G56)+(D56*F56),2)</f>
        <v>0</v>
      </c>
    </row>
    <row r="57" spans="1:9" ht="25.5" customHeight="1" x14ac:dyDescent="0.3">
      <c r="A57" s="59">
        <v>92</v>
      </c>
      <c r="B57" s="95" t="s">
        <v>242</v>
      </c>
      <c r="C57" s="57" t="s">
        <v>198</v>
      </c>
      <c r="D57" s="54">
        <f>40</f>
        <v>40</v>
      </c>
      <c r="E57" s="118"/>
      <c r="F57" s="58"/>
      <c r="G57" s="46"/>
      <c r="H57" s="45">
        <f t="shared" si="4"/>
        <v>0</v>
      </c>
      <c r="I57" s="45">
        <f t="shared" si="5"/>
        <v>0</v>
      </c>
    </row>
    <row r="58" spans="1:9" x14ac:dyDescent="0.3">
      <c r="A58" s="59">
        <v>93</v>
      </c>
      <c r="B58" s="95" t="s">
        <v>230</v>
      </c>
      <c r="C58" s="57" t="s">
        <v>8</v>
      </c>
      <c r="D58" s="54">
        <f>65</f>
        <v>65</v>
      </c>
      <c r="E58" s="118"/>
      <c r="F58" s="58"/>
      <c r="G58" s="46"/>
      <c r="H58" s="45">
        <f t="shared" si="4"/>
        <v>0</v>
      </c>
      <c r="I58" s="45">
        <f t="shared" si="5"/>
        <v>0</v>
      </c>
    </row>
    <row r="59" spans="1:9" x14ac:dyDescent="0.3">
      <c r="A59" s="59">
        <v>94</v>
      </c>
      <c r="B59" s="95" t="s">
        <v>233</v>
      </c>
      <c r="C59" s="57" t="s">
        <v>198</v>
      </c>
      <c r="D59" s="54">
        <f>25</f>
        <v>25</v>
      </c>
      <c r="E59" s="118"/>
      <c r="F59" s="58"/>
      <c r="G59" s="46"/>
      <c r="H59" s="45">
        <f t="shared" si="4"/>
        <v>0</v>
      </c>
      <c r="I59" s="45">
        <f t="shared" si="5"/>
        <v>0</v>
      </c>
    </row>
    <row r="60" spans="1:9" x14ac:dyDescent="0.3">
      <c r="A60" s="59">
        <v>95</v>
      </c>
      <c r="B60" s="95" t="s">
        <v>255</v>
      </c>
      <c r="C60" s="57" t="s">
        <v>198</v>
      </c>
      <c r="D60" s="54">
        <f>325</f>
        <v>325</v>
      </c>
      <c r="E60" s="118"/>
      <c r="F60" s="58"/>
      <c r="G60" s="46"/>
      <c r="H60" s="45">
        <f t="shared" si="4"/>
        <v>0</v>
      </c>
      <c r="I60" s="45">
        <f t="shared" si="5"/>
        <v>0</v>
      </c>
    </row>
    <row r="61" spans="1:9" x14ac:dyDescent="0.3">
      <c r="A61" s="59">
        <v>96</v>
      </c>
      <c r="B61" s="95" t="s">
        <v>232</v>
      </c>
      <c r="C61" s="57" t="s">
        <v>8</v>
      </c>
      <c r="D61" s="54">
        <f>1200</f>
        <v>1200</v>
      </c>
      <c r="E61" s="118"/>
      <c r="F61" s="58"/>
      <c r="G61" s="46"/>
      <c r="H61" s="45">
        <f t="shared" si="4"/>
        <v>0</v>
      </c>
      <c r="I61" s="45">
        <f t="shared" si="5"/>
        <v>0</v>
      </c>
    </row>
    <row r="62" spans="1:9" x14ac:dyDescent="0.3">
      <c r="A62" s="59">
        <v>97</v>
      </c>
      <c r="B62" s="95" t="s">
        <v>231</v>
      </c>
      <c r="C62" s="57" t="s">
        <v>8</v>
      </c>
      <c r="D62" s="54">
        <v>200</v>
      </c>
      <c r="E62" s="118"/>
      <c r="F62" s="58"/>
      <c r="G62" s="46"/>
      <c r="H62" s="45">
        <f t="shared" si="4"/>
        <v>0</v>
      </c>
      <c r="I62" s="45">
        <f t="shared" si="5"/>
        <v>0</v>
      </c>
    </row>
    <row r="63" spans="1:9" x14ac:dyDescent="0.3">
      <c r="A63" s="59">
        <v>98</v>
      </c>
      <c r="B63" s="95" t="s">
        <v>229</v>
      </c>
      <c r="C63" s="57" t="s">
        <v>8</v>
      </c>
      <c r="D63" s="54">
        <f>60</f>
        <v>60</v>
      </c>
      <c r="E63" s="118"/>
      <c r="F63" s="58"/>
      <c r="G63" s="46"/>
      <c r="H63" s="45">
        <f t="shared" si="4"/>
        <v>0</v>
      </c>
      <c r="I63" s="45">
        <f t="shared" si="5"/>
        <v>0</v>
      </c>
    </row>
    <row r="64" spans="1:9" x14ac:dyDescent="0.3">
      <c r="A64" s="59">
        <v>99</v>
      </c>
      <c r="B64" s="95" t="s">
        <v>214</v>
      </c>
      <c r="C64" s="57" t="s">
        <v>198</v>
      </c>
      <c r="D64" s="54">
        <v>65</v>
      </c>
      <c r="E64" s="118"/>
      <c r="F64" s="58"/>
      <c r="G64" s="46"/>
      <c r="H64" s="45">
        <f t="shared" si="4"/>
        <v>0</v>
      </c>
      <c r="I64" s="45">
        <f t="shared" si="5"/>
        <v>0</v>
      </c>
    </row>
    <row r="65" spans="1:9" x14ac:dyDescent="0.3">
      <c r="A65" s="59">
        <v>100</v>
      </c>
      <c r="B65" s="95" t="s">
        <v>226</v>
      </c>
      <c r="C65" s="57" t="s">
        <v>8</v>
      </c>
      <c r="D65" s="54">
        <f>45</f>
        <v>45</v>
      </c>
      <c r="E65" s="118"/>
      <c r="F65" s="58"/>
      <c r="G65" s="46"/>
      <c r="H65" s="45">
        <f t="shared" ref="H65:H67" si="6">ROUND((F65*D65),2)</f>
        <v>0</v>
      </c>
      <c r="I65" s="45">
        <f t="shared" ref="I65:I67" si="7">ROUND((D65*F65*G65)+(D65*F65),2)</f>
        <v>0</v>
      </c>
    </row>
    <row r="66" spans="1:9" x14ac:dyDescent="0.3">
      <c r="A66" s="59">
        <v>101</v>
      </c>
      <c r="B66" s="95" t="s">
        <v>225</v>
      </c>
      <c r="C66" s="57" t="s">
        <v>8</v>
      </c>
      <c r="D66" s="54">
        <v>80</v>
      </c>
      <c r="E66" s="118"/>
      <c r="F66" s="58"/>
      <c r="G66" s="46"/>
      <c r="H66" s="45">
        <f t="shared" si="6"/>
        <v>0</v>
      </c>
      <c r="I66" s="45">
        <f t="shared" si="7"/>
        <v>0</v>
      </c>
    </row>
    <row r="67" spans="1:9" x14ac:dyDescent="0.3">
      <c r="A67" s="59">
        <v>102</v>
      </c>
      <c r="B67" s="95" t="s">
        <v>224</v>
      </c>
      <c r="C67" s="57" t="s">
        <v>198</v>
      </c>
      <c r="D67" s="54">
        <f>2+1+1+2+3+1</f>
        <v>10</v>
      </c>
      <c r="E67" s="118"/>
      <c r="F67" s="58"/>
      <c r="G67" s="46"/>
      <c r="H67" s="45">
        <f t="shared" si="6"/>
        <v>0</v>
      </c>
      <c r="I67" s="45">
        <f t="shared" si="7"/>
        <v>0</v>
      </c>
    </row>
    <row r="68" spans="1:9" x14ac:dyDescent="0.3">
      <c r="A68" s="59">
        <v>103</v>
      </c>
      <c r="B68" s="95" t="s">
        <v>223</v>
      </c>
      <c r="C68" s="57" t="s">
        <v>8</v>
      </c>
      <c r="D68" s="54">
        <v>50</v>
      </c>
      <c r="E68" s="118"/>
      <c r="F68" s="58"/>
      <c r="G68" s="46"/>
      <c r="H68" s="45">
        <f t="shared" ref="H68:H88" si="8">ROUND((F68*D68),2)</f>
        <v>0</v>
      </c>
      <c r="I68" s="45">
        <f t="shared" ref="I68:I88" si="9">ROUND((D68*F68*G68)+(D68*F68),2)</f>
        <v>0</v>
      </c>
    </row>
    <row r="69" spans="1:9" x14ac:dyDescent="0.3">
      <c r="A69" s="59">
        <v>104</v>
      </c>
      <c r="B69" s="95" t="s">
        <v>222</v>
      </c>
      <c r="C69" s="57" t="s">
        <v>8</v>
      </c>
      <c r="D69" s="54">
        <v>50</v>
      </c>
      <c r="E69" s="118"/>
      <c r="F69" s="58"/>
      <c r="G69" s="46"/>
      <c r="H69" s="45">
        <f t="shared" si="8"/>
        <v>0</v>
      </c>
      <c r="I69" s="45">
        <f t="shared" si="9"/>
        <v>0</v>
      </c>
    </row>
    <row r="70" spans="1:9" x14ac:dyDescent="0.3">
      <c r="A70" s="59">
        <v>105</v>
      </c>
      <c r="B70" s="95" t="s">
        <v>221</v>
      </c>
      <c r="C70" s="57" t="s">
        <v>8</v>
      </c>
      <c r="D70" s="54">
        <v>105</v>
      </c>
      <c r="E70" s="118"/>
      <c r="F70" s="58"/>
      <c r="G70" s="46"/>
      <c r="H70" s="45">
        <f t="shared" si="8"/>
        <v>0</v>
      </c>
      <c r="I70" s="45">
        <f t="shared" si="9"/>
        <v>0</v>
      </c>
    </row>
    <row r="71" spans="1:9" x14ac:dyDescent="0.3">
      <c r="A71" s="59">
        <v>106</v>
      </c>
      <c r="B71" s="95" t="s">
        <v>220</v>
      </c>
      <c r="C71" s="57" t="s">
        <v>8</v>
      </c>
      <c r="D71" s="54">
        <v>50</v>
      </c>
      <c r="E71" s="118"/>
      <c r="F71" s="58"/>
      <c r="G71" s="46"/>
      <c r="H71" s="45">
        <f t="shared" si="8"/>
        <v>0</v>
      </c>
      <c r="I71" s="45">
        <f t="shared" si="9"/>
        <v>0</v>
      </c>
    </row>
    <row r="72" spans="1:9" x14ac:dyDescent="0.3">
      <c r="A72" s="59">
        <v>107</v>
      </c>
      <c r="B72" s="95" t="s">
        <v>219</v>
      </c>
      <c r="C72" s="57" t="s">
        <v>8</v>
      </c>
      <c r="D72" s="54">
        <v>190</v>
      </c>
      <c r="E72" s="118"/>
      <c r="F72" s="58"/>
      <c r="G72" s="46"/>
      <c r="H72" s="45">
        <f t="shared" si="8"/>
        <v>0</v>
      </c>
      <c r="I72" s="45">
        <f t="shared" si="9"/>
        <v>0</v>
      </c>
    </row>
    <row r="73" spans="1:9" x14ac:dyDescent="0.3">
      <c r="A73" s="59">
        <v>108</v>
      </c>
      <c r="B73" s="95" t="s">
        <v>218</v>
      </c>
      <c r="C73" s="57" t="s">
        <v>8</v>
      </c>
      <c r="D73" s="54">
        <f>15</f>
        <v>15</v>
      </c>
      <c r="E73" s="118"/>
      <c r="F73" s="58"/>
      <c r="G73" s="46"/>
      <c r="H73" s="45">
        <f t="shared" si="8"/>
        <v>0</v>
      </c>
      <c r="I73" s="45">
        <f t="shared" si="9"/>
        <v>0</v>
      </c>
    </row>
    <row r="74" spans="1:9" x14ac:dyDescent="0.3">
      <c r="A74" s="59">
        <v>109</v>
      </c>
      <c r="B74" s="95" t="s">
        <v>260</v>
      </c>
      <c r="C74" s="57" t="s">
        <v>8</v>
      </c>
      <c r="D74" s="54">
        <f>15</f>
        <v>15</v>
      </c>
      <c r="E74" s="118"/>
      <c r="F74" s="58"/>
      <c r="G74" s="46"/>
      <c r="H74" s="45">
        <f t="shared" si="8"/>
        <v>0</v>
      </c>
      <c r="I74" s="45">
        <f t="shared" si="9"/>
        <v>0</v>
      </c>
    </row>
    <row r="75" spans="1:9" x14ac:dyDescent="0.3">
      <c r="A75" s="59">
        <v>110</v>
      </c>
      <c r="B75" s="95" t="s">
        <v>213</v>
      </c>
      <c r="C75" s="57" t="s">
        <v>198</v>
      </c>
      <c r="D75" s="54">
        <f>12+10+12+6+6+4+5</f>
        <v>55</v>
      </c>
      <c r="E75" s="118"/>
      <c r="F75" s="58"/>
      <c r="G75" s="46"/>
      <c r="H75" s="45">
        <f t="shared" si="8"/>
        <v>0</v>
      </c>
      <c r="I75" s="45">
        <f t="shared" si="9"/>
        <v>0</v>
      </c>
    </row>
    <row r="76" spans="1:9" x14ac:dyDescent="0.3">
      <c r="A76" s="59">
        <v>111</v>
      </c>
      <c r="B76" s="95" t="s">
        <v>215</v>
      </c>
      <c r="C76" s="57" t="s">
        <v>8</v>
      </c>
      <c r="D76" s="54">
        <f>40</f>
        <v>40</v>
      </c>
      <c r="E76" s="118"/>
      <c r="F76" s="58"/>
      <c r="G76" s="46"/>
      <c r="H76" s="45">
        <f t="shared" si="8"/>
        <v>0</v>
      </c>
      <c r="I76" s="45">
        <f t="shared" si="9"/>
        <v>0</v>
      </c>
    </row>
    <row r="77" spans="1:9" x14ac:dyDescent="0.3">
      <c r="A77" s="59">
        <v>112</v>
      </c>
      <c r="B77" s="95" t="s">
        <v>210</v>
      </c>
      <c r="C77" s="57" t="s">
        <v>4</v>
      </c>
      <c r="D77" s="54">
        <v>16</v>
      </c>
      <c r="E77" s="118"/>
      <c r="F77" s="58"/>
      <c r="G77" s="46"/>
      <c r="H77" s="45">
        <f t="shared" si="8"/>
        <v>0</v>
      </c>
      <c r="I77" s="45">
        <f t="shared" si="9"/>
        <v>0</v>
      </c>
    </row>
    <row r="78" spans="1:9" x14ac:dyDescent="0.3">
      <c r="A78" s="59">
        <v>113</v>
      </c>
      <c r="B78" s="95" t="s">
        <v>212</v>
      </c>
      <c r="C78" s="57" t="s">
        <v>4</v>
      </c>
      <c r="D78" s="54">
        <f>5</f>
        <v>5</v>
      </c>
      <c r="E78" s="118"/>
      <c r="F78" s="58"/>
      <c r="G78" s="46"/>
      <c r="H78" s="45">
        <f t="shared" si="8"/>
        <v>0</v>
      </c>
      <c r="I78" s="45">
        <f t="shared" si="9"/>
        <v>0</v>
      </c>
    </row>
    <row r="79" spans="1:9" x14ac:dyDescent="0.3">
      <c r="A79" s="59">
        <v>114</v>
      </c>
      <c r="B79" s="95" t="s">
        <v>211</v>
      </c>
      <c r="C79" s="57" t="s">
        <v>4</v>
      </c>
      <c r="D79" s="54">
        <f>5</f>
        <v>5</v>
      </c>
      <c r="E79" s="118"/>
      <c r="F79" s="58"/>
      <c r="G79" s="46"/>
      <c r="H79" s="45">
        <f t="shared" si="8"/>
        <v>0</v>
      </c>
      <c r="I79" s="45">
        <f t="shared" si="9"/>
        <v>0</v>
      </c>
    </row>
    <row r="80" spans="1:9" x14ac:dyDescent="0.3">
      <c r="A80" s="59">
        <v>115</v>
      </c>
      <c r="B80" s="95" t="s">
        <v>217</v>
      </c>
      <c r="C80" s="57" t="s">
        <v>8</v>
      </c>
      <c r="D80" s="54">
        <f>190</f>
        <v>190</v>
      </c>
      <c r="E80" s="118"/>
      <c r="F80" s="58"/>
      <c r="G80" s="46"/>
      <c r="H80" s="45">
        <f t="shared" si="8"/>
        <v>0</v>
      </c>
      <c r="I80" s="45">
        <f t="shared" si="9"/>
        <v>0</v>
      </c>
    </row>
    <row r="81" spans="1:9" x14ac:dyDescent="0.3">
      <c r="A81" s="59">
        <v>116</v>
      </c>
      <c r="B81" s="95" t="s">
        <v>239</v>
      </c>
      <c r="C81" s="57" t="s">
        <v>198</v>
      </c>
      <c r="D81" s="54">
        <f>20</f>
        <v>20</v>
      </c>
      <c r="E81" s="118"/>
      <c r="F81" s="58"/>
      <c r="G81" s="46"/>
      <c r="H81" s="45">
        <f t="shared" si="8"/>
        <v>0</v>
      </c>
      <c r="I81" s="45">
        <f t="shared" si="9"/>
        <v>0</v>
      </c>
    </row>
    <row r="82" spans="1:9" x14ac:dyDescent="0.3">
      <c r="A82" s="59">
        <v>117</v>
      </c>
      <c r="B82" s="95" t="s">
        <v>216</v>
      </c>
      <c r="C82" s="57" t="s">
        <v>8</v>
      </c>
      <c r="D82" s="54">
        <f>25+25+25+25+25+50+25+25+25</f>
        <v>250</v>
      </c>
      <c r="E82" s="118"/>
      <c r="F82" s="58"/>
      <c r="G82" s="46"/>
      <c r="H82" s="45">
        <f t="shared" si="8"/>
        <v>0</v>
      </c>
      <c r="I82" s="45">
        <f t="shared" si="9"/>
        <v>0</v>
      </c>
    </row>
    <row r="83" spans="1:9" x14ac:dyDescent="0.3">
      <c r="A83" s="59">
        <v>118</v>
      </c>
      <c r="B83" s="95" t="s">
        <v>243</v>
      </c>
      <c r="C83" s="57" t="s">
        <v>5</v>
      </c>
      <c r="D83" s="54">
        <f>45</f>
        <v>45</v>
      </c>
      <c r="E83" s="118"/>
      <c r="F83" s="58"/>
      <c r="G83" s="46"/>
      <c r="H83" s="45">
        <f t="shared" si="8"/>
        <v>0</v>
      </c>
      <c r="I83" s="45">
        <f t="shared" si="9"/>
        <v>0</v>
      </c>
    </row>
    <row r="84" spans="1:9" x14ac:dyDescent="0.3">
      <c r="A84" s="59">
        <v>119</v>
      </c>
      <c r="B84" s="95" t="s">
        <v>257</v>
      </c>
      <c r="C84" s="57" t="s">
        <v>8</v>
      </c>
      <c r="D84" s="54">
        <f>60</f>
        <v>60</v>
      </c>
      <c r="E84" s="118"/>
      <c r="F84" s="58"/>
      <c r="G84" s="46"/>
      <c r="H84" s="45">
        <f t="shared" si="8"/>
        <v>0</v>
      </c>
      <c r="I84" s="45">
        <f t="shared" si="9"/>
        <v>0</v>
      </c>
    </row>
    <row r="85" spans="1:9" x14ac:dyDescent="0.3">
      <c r="A85" s="59">
        <v>120</v>
      </c>
      <c r="B85" s="95" t="s">
        <v>263</v>
      </c>
      <c r="C85" s="57" t="s">
        <v>8</v>
      </c>
      <c r="D85" s="54">
        <v>5</v>
      </c>
      <c r="E85" s="118"/>
      <c r="F85" s="58"/>
      <c r="G85" s="46"/>
      <c r="H85" s="45">
        <f t="shared" si="8"/>
        <v>0</v>
      </c>
      <c r="I85" s="45">
        <f t="shared" si="9"/>
        <v>0</v>
      </c>
    </row>
    <row r="86" spans="1:9" x14ac:dyDescent="0.3">
      <c r="A86" s="59">
        <v>121</v>
      </c>
      <c r="B86" s="95" t="s">
        <v>276</v>
      </c>
      <c r="C86" s="57" t="s">
        <v>8</v>
      </c>
      <c r="D86" s="54">
        <f>70+70+25</f>
        <v>165</v>
      </c>
      <c r="E86" s="118"/>
      <c r="F86" s="58"/>
      <c r="G86" s="46"/>
      <c r="H86" s="45">
        <f t="shared" si="8"/>
        <v>0</v>
      </c>
      <c r="I86" s="45">
        <f t="shared" si="9"/>
        <v>0</v>
      </c>
    </row>
    <row r="87" spans="1:9" x14ac:dyDescent="0.3">
      <c r="A87" s="59">
        <v>122</v>
      </c>
      <c r="B87" s="95" t="s">
        <v>280</v>
      </c>
      <c r="C87" s="57" t="s">
        <v>4</v>
      </c>
      <c r="D87" s="54">
        <f>2</f>
        <v>2</v>
      </c>
      <c r="E87" s="118"/>
      <c r="F87" s="58"/>
      <c r="G87" s="46"/>
      <c r="H87" s="45">
        <f t="shared" si="8"/>
        <v>0</v>
      </c>
      <c r="I87" s="45">
        <f t="shared" si="9"/>
        <v>0</v>
      </c>
    </row>
    <row r="88" spans="1:9" x14ac:dyDescent="0.3">
      <c r="A88" s="59">
        <v>123</v>
      </c>
      <c r="B88" s="95" t="s">
        <v>279</v>
      </c>
      <c r="C88" s="57" t="s">
        <v>4</v>
      </c>
      <c r="D88" s="54">
        <v>2</v>
      </c>
      <c r="E88" s="118"/>
      <c r="F88" s="58"/>
      <c r="G88" s="46"/>
      <c r="H88" s="45">
        <f t="shared" si="8"/>
        <v>0</v>
      </c>
      <c r="I88" s="45">
        <f t="shared" si="9"/>
        <v>0</v>
      </c>
    </row>
    <row r="89" spans="1:9" x14ac:dyDescent="0.3">
      <c r="A89" s="59">
        <v>124</v>
      </c>
      <c r="B89" s="95" t="s">
        <v>278</v>
      </c>
      <c r="C89" s="57" t="s">
        <v>4</v>
      </c>
      <c r="D89" s="54">
        <f>0.5+0.5</f>
        <v>1</v>
      </c>
      <c r="E89" s="118"/>
      <c r="F89" s="58"/>
      <c r="G89" s="46"/>
      <c r="H89" s="45">
        <f t="shared" ref="H89:H92" si="10">ROUND((F89*D89),2)</f>
        <v>0</v>
      </c>
      <c r="I89" s="45">
        <f t="shared" ref="I89:I92" si="11">ROUND((D89*F89*G89)+(D89*F89),2)</f>
        <v>0</v>
      </c>
    </row>
    <row r="90" spans="1:9" x14ac:dyDescent="0.3">
      <c r="A90" s="59">
        <v>125</v>
      </c>
      <c r="B90" s="95" t="s">
        <v>277</v>
      </c>
      <c r="C90" s="57" t="s">
        <v>4</v>
      </c>
      <c r="D90" s="54">
        <f>2</f>
        <v>2</v>
      </c>
      <c r="E90" s="118"/>
      <c r="F90" s="58"/>
      <c r="G90" s="46"/>
      <c r="H90" s="45">
        <f t="shared" si="10"/>
        <v>0</v>
      </c>
      <c r="I90" s="45">
        <f t="shared" si="11"/>
        <v>0</v>
      </c>
    </row>
    <row r="91" spans="1:9" x14ac:dyDescent="0.3">
      <c r="A91" s="59">
        <v>126</v>
      </c>
      <c r="B91" s="95" t="s">
        <v>275</v>
      </c>
      <c r="C91" s="57" t="s">
        <v>4</v>
      </c>
      <c r="D91" s="54">
        <f>2</f>
        <v>2</v>
      </c>
      <c r="E91" s="118"/>
      <c r="F91" s="58"/>
      <c r="G91" s="46"/>
      <c r="H91" s="45">
        <f t="shared" si="10"/>
        <v>0</v>
      </c>
      <c r="I91" s="45">
        <f t="shared" si="11"/>
        <v>0</v>
      </c>
    </row>
    <row r="92" spans="1:9" x14ac:dyDescent="0.3">
      <c r="A92" s="59">
        <v>127</v>
      </c>
      <c r="B92" s="95" t="s">
        <v>273</v>
      </c>
      <c r="C92" s="57" t="s">
        <v>4</v>
      </c>
      <c r="D92" s="54">
        <f>5</f>
        <v>5</v>
      </c>
      <c r="E92" s="118"/>
      <c r="F92" s="58"/>
      <c r="G92" s="46"/>
      <c r="H92" s="45">
        <f t="shared" si="10"/>
        <v>0</v>
      </c>
      <c r="I92" s="45">
        <f t="shared" si="11"/>
        <v>0</v>
      </c>
    </row>
    <row r="93" spans="1:9" x14ac:dyDescent="0.3">
      <c r="A93" s="59">
        <v>128</v>
      </c>
      <c r="B93" s="95" t="s">
        <v>286</v>
      </c>
      <c r="C93" s="57" t="s">
        <v>4</v>
      </c>
      <c r="D93" s="54">
        <f>2</f>
        <v>2</v>
      </c>
      <c r="E93" s="118"/>
      <c r="F93" s="58"/>
      <c r="G93" s="46"/>
      <c r="H93" s="45">
        <f t="shared" ref="H93:H96" si="12">ROUND((F93*D93),2)</f>
        <v>0</v>
      </c>
      <c r="I93" s="45">
        <f t="shared" ref="I93:I96" si="13">ROUND((D93*F93*G93)+(D93*F93),2)</f>
        <v>0</v>
      </c>
    </row>
    <row r="94" spans="1:9" x14ac:dyDescent="0.3">
      <c r="A94" s="59">
        <v>129</v>
      </c>
      <c r="B94" s="95" t="s">
        <v>272</v>
      </c>
      <c r="C94" s="57" t="s">
        <v>4</v>
      </c>
      <c r="D94" s="54">
        <v>3</v>
      </c>
      <c r="E94" s="118"/>
      <c r="F94" s="58"/>
      <c r="G94" s="46"/>
      <c r="H94" s="45">
        <f t="shared" si="12"/>
        <v>0</v>
      </c>
      <c r="I94" s="45">
        <f t="shared" si="13"/>
        <v>0</v>
      </c>
    </row>
    <row r="95" spans="1:9" x14ac:dyDescent="0.3">
      <c r="A95" s="59">
        <v>130</v>
      </c>
      <c r="B95" s="95" t="s">
        <v>271</v>
      </c>
      <c r="C95" s="57" t="s">
        <v>4</v>
      </c>
      <c r="D95" s="54">
        <f>3</f>
        <v>3</v>
      </c>
      <c r="E95" s="118"/>
      <c r="F95" s="58"/>
      <c r="G95" s="46"/>
      <c r="H95" s="45">
        <f t="shared" si="12"/>
        <v>0</v>
      </c>
      <c r="I95" s="45">
        <f t="shared" si="13"/>
        <v>0</v>
      </c>
    </row>
    <row r="96" spans="1:9" x14ac:dyDescent="0.3">
      <c r="A96" s="59">
        <v>131</v>
      </c>
      <c r="B96" s="95" t="s">
        <v>270</v>
      </c>
      <c r="C96" s="57" t="s">
        <v>4</v>
      </c>
      <c r="D96" s="54">
        <f>3</f>
        <v>3</v>
      </c>
      <c r="E96" s="118"/>
      <c r="F96" s="58"/>
      <c r="G96" s="46"/>
      <c r="H96" s="45">
        <f t="shared" si="12"/>
        <v>0</v>
      </c>
      <c r="I96" s="45">
        <f t="shared" si="13"/>
        <v>0</v>
      </c>
    </row>
    <row r="97" spans="1:10" x14ac:dyDescent="0.3">
      <c r="A97" s="59">
        <v>132</v>
      </c>
      <c r="B97" s="95" t="s">
        <v>274</v>
      </c>
      <c r="C97" s="57" t="s">
        <v>4</v>
      </c>
      <c r="D97" s="54">
        <f>5</f>
        <v>5</v>
      </c>
      <c r="E97" s="118"/>
      <c r="F97" s="58"/>
      <c r="G97" s="46"/>
      <c r="H97" s="45">
        <f t="shared" ref="H97:H98" si="14">ROUND((F97*D97),2)</f>
        <v>0</v>
      </c>
      <c r="I97" s="45">
        <f t="shared" ref="I97:I98" si="15">ROUND((D97*F97*G97)+(D97*F97),2)</f>
        <v>0</v>
      </c>
    </row>
    <row r="98" spans="1:10" x14ac:dyDescent="0.3">
      <c r="A98" s="59">
        <v>133</v>
      </c>
      <c r="B98" s="95" t="s">
        <v>269</v>
      </c>
      <c r="C98" s="57" t="s">
        <v>4</v>
      </c>
      <c r="D98" s="54">
        <f>5</f>
        <v>5</v>
      </c>
      <c r="E98" s="118"/>
      <c r="F98" s="58"/>
      <c r="G98" s="46"/>
      <c r="H98" s="45">
        <f t="shared" si="14"/>
        <v>0</v>
      </c>
      <c r="I98" s="45">
        <f t="shared" si="15"/>
        <v>0</v>
      </c>
    </row>
    <row r="99" spans="1:10" x14ac:dyDescent="0.3">
      <c r="A99" s="59">
        <v>134</v>
      </c>
      <c r="B99" s="95" t="s">
        <v>268</v>
      </c>
      <c r="C99" s="57" t="s">
        <v>4</v>
      </c>
      <c r="D99" s="54">
        <f>5</f>
        <v>5</v>
      </c>
      <c r="E99" s="118"/>
      <c r="F99" s="58"/>
      <c r="G99" s="46"/>
      <c r="H99" s="45">
        <f t="shared" ref="H99:H102" si="16">ROUND((F99*D99),2)</f>
        <v>0</v>
      </c>
      <c r="I99" s="45">
        <f t="shared" ref="I99:I102" si="17">ROUND((D99*F99*G99)+(D99*F99),2)</f>
        <v>0</v>
      </c>
    </row>
    <row r="100" spans="1:10" x14ac:dyDescent="0.3">
      <c r="A100" s="59">
        <v>135</v>
      </c>
      <c r="B100" s="95" t="s">
        <v>267</v>
      </c>
      <c r="C100" s="57" t="s">
        <v>4</v>
      </c>
      <c r="D100" s="54">
        <f>4</f>
        <v>4</v>
      </c>
      <c r="E100" s="118"/>
      <c r="F100" s="58"/>
      <c r="G100" s="46"/>
      <c r="H100" s="45">
        <f t="shared" si="16"/>
        <v>0</v>
      </c>
      <c r="I100" s="45">
        <f t="shared" si="17"/>
        <v>0</v>
      </c>
    </row>
    <row r="101" spans="1:10" x14ac:dyDescent="0.3">
      <c r="A101" s="59">
        <v>136</v>
      </c>
      <c r="B101" s="95" t="s">
        <v>266</v>
      </c>
      <c r="C101" s="57" t="s">
        <v>4</v>
      </c>
      <c r="D101" s="54">
        <f>4</f>
        <v>4</v>
      </c>
      <c r="E101" s="118"/>
      <c r="F101" s="58"/>
      <c r="G101" s="46"/>
      <c r="H101" s="45">
        <f t="shared" si="16"/>
        <v>0</v>
      </c>
      <c r="I101" s="45">
        <f t="shared" si="17"/>
        <v>0</v>
      </c>
    </row>
    <row r="102" spans="1:10" x14ac:dyDescent="0.3">
      <c r="A102" s="59">
        <v>137</v>
      </c>
      <c r="B102" s="95" t="s">
        <v>200</v>
      </c>
      <c r="C102" s="57" t="s">
        <v>8</v>
      </c>
      <c r="D102" s="54">
        <f>10</f>
        <v>10</v>
      </c>
      <c r="E102" s="118"/>
      <c r="F102" s="58"/>
      <c r="G102" s="46"/>
      <c r="H102" s="45">
        <f t="shared" si="16"/>
        <v>0</v>
      </c>
      <c r="I102" s="45">
        <f t="shared" si="17"/>
        <v>0</v>
      </c>
    </row>
    <row r="103" spans="1:10" ht="14.4" customHeight="1" x14ac:dyDescent="0.3">
      <c r="A103" s="52"/>
      <c r="B103" s="60"/>
      <c r="C103" s="52"/>
      <c r="D103" s="52"/>
      <c r="E103" s="52"/>
      <c r="F103" s="52"/>
      <c r="G103" s="61" t="s">
        <v>97</v>
      </c>
      <c r="H103" s="86">
        <f>SUM(H9:H102)</f>
        <v>0</v>
      </c>
      <c r="I103" s="48">
        <f>SUM(I9:I102)</f>
        <v>0</v>
      </c>
      <c r="J103" s="91"/>
    </row>
    <row r="104" spans="1:10" x14ac:dyDescent="0.3">
      <c r="A104" s="197" t="s">
        <v>64</v>
      </c>
      <c r="B104" s="197"/>
      <c r="C104" s="197"/>
      <c r="D104" s="197"/>
      <c r="E104" s="197"/>
      <c r="F104" s="197"/>
      <c r="G104" s="197"/>
      <c r="H104" s="197"/>
      <c r="I104" s="197"/>
    </row>
    <row r="105" spans="1:10" x14ac:dyDescent="0.3">
      <c r="A105" s="197"/>
      <c r="B105" s="197"/>
      <c r="C105" s="197"/>
      <c r="D105" s="197"/>
      <c r="E105" s="197"/>
      <c r="F105" s="197"/>
      <c r="G105" s="197"/>
      <c r="H105" s="197"/>
      <c r="I105" s="197"/>
    </row>
    <row r="106" spans="1:10" x14ac:dyDescent="0.3">
      <c r="A106" s="197"/>
      <c r="B106" s="197"/>
      <c r="C106" s="197"/>
      <c r="D106" s="197"/>
      <c r="E106" s="197"/>
      <c r="F106" s="197"/>
      <c r="G106" s="197"/>
      <c r="H106" s="197"/>
      <c r="I106" s="197"/>
    </row>
  </sheetData>
  <sortState xmlns:xlrd2="http://schemas.microsoft.com/office/spreadsheetml/2017/richdata2" ref="B9:I102">
    <sortCondition ref="B9:B102"/>
  </sortState>
  <customSheetViews>
    <customSheetView guid="{84B8FA77-AE35-4870-A1B4-CD3D8EA9555F}" scale="90" showPageBreaks="1" fitToPage="1" printArea="1" topLeftCell="A15">
      <selection activeCell="D23" sqref="D23"/>
      <pageMargins left="0.7" right="0.7" top="0.75" bottom="0.75" header="0.3" footer="0.3"/>
      <pageSetup paperSize="9" scale="54" fitToHeight="0" orientation="portrait" r:id="rId1"/>
    </customSheetView>
    <customSheetView guid="{BDD2EFA5-319A-44D2-B9F1-2950626BDBE4}" scale="90" showPageBreaks="1" fitToPage="1" printArea="1">
      <selection activeCell="A6" sqref="A6:XFD6"/>
      <pageMargins left="0.7" right="0.7" top="0.75" bottom="0.75" header="0.3" footer="0.3"/>
      <pageSetup paperSize="9" scale="50" fitToHeight="0" orientation="portrait" r:id="rId2"/>
    </customSheetView>
  </customSheetViews>
  <mergeCells count="3">
    <mergeCell ref="A104:I106"/>
    <mergeCell ref="A6:D6"/>
    <mergeCell ref="F6:I6"/>
  </mergeCells>
  <pageMargins left="0.7" right="0.7" top="0.75" bottom="0.75" header="0.3" footer="0.3"/>
  <pageSetup paperSize="9" scale="50" fitToHeight="0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5D93-D14E-48FF-AD0C-7C9D6961FD1D}">
  <dimension ref="A1"/>
  <sheetViews>
    <sheetView workbookViewId="0"/>
  </sheetViews>
  <sheetFormatPr defaultRowHeight="14.4" x14ac:dyDescent="0.3"/>
  <sheetData/>
  <customSheetViews>
    <customSheetView guid="{84B8FA77-AE35-4870-A1B4-CD3D8EA9555F}" state="hidden">
      <pageMargins left="0.7" right="0.7" top="0.75" bottom="0.75" header="0.3" footer="0.3"/>
    </customSheetView>
    <customSheetView guid="{BDD2EFA5-319A-44D2-B9F1-2950626BDBE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5</vt:i4>
      </vt:variant>
    </vt:vector>
  </HeadingPairs>
  <TitlesOfParts>
    <vt:vector size="13" baseType="lpstr">
      <vt:lpstr>Formularz oferty</vt:lpstr>
      <vt:lpstr>Cz. 1 pieczywo i art. cuki.</vt:lpstr>
      <vt:lpstr>Arkusz1</vt:lpstr>
      <vt:lpstr>Cz. 2 Warzywa i owoce</vt:lpstr>
      <vt:lpstr>Cz. 3 Mięso i wędliny</vt:lpstr>
      <vt:lpstr>Cz. 4 Nabiał</vt:lpstr>
      <vt:lpstr>Cz. 5 Suche</vt:lpstr>
      <vt:lpstr>Arkusz2</vt:lpstr>
      <vt:lpstr>'Cz. 1 pieczywo i art. cuki.'!Obszar_wydruku</vt:lpstr>
      <vt:lpstr>'Cz. 2 Warzywa i owoce'!Obszar_wydruku</vt:lpstr>
      <vt:lpstr>'Cz. 3 Mięso i wędliny'!Obszar_wydruku</vt:lpstr>
      <vt:lpstr>'Cz. 4 Nabiał'!Obszar_wydruku</vt:lpstr>
      <vt:lpstr>'Cz. 5 Suche'!Obszar_wydruku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Marcin Jagodziński</cp:lastModifiedBy>
  <cp:lastPrinted>2024-02-18T19:16:46Z</cp:lastPrinted>
  <dcterms:created xsi:type="dcterms:W3CDTF">2021-11-03T17:19:36Z</dcterms:created>
  <dcterms:modified xsi:type="dcterms:W3CDTF">2024-12-10T23:37:00Z</dcterms:modified>
</cp:coreProperties>
</file>