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marianna_wroblewska_pw_edu_pl/Documents/_ZP/PRZETARGI 2022/WIM.ZP.11.2022 Materiały i sprzęt laboratoryjny II/SWZ/SWZ po zmianach z dnia 08.06.2022 r/"/>
    </mc:Choice>
  </mc:AlternateContent>
  <xr:revisionPtr revIDLastSave="6" documentId="8_{BFC01559-3605-4FFA-A67C-8DB7429B3088}" xr6:coauthVersionLast="47" xr6:coauthVersionMax="47" xr10:uidLastSave="{786C42E7-381A-4BA8-A3CA-15761845BEDF}"/>
  <bookViews>
    <workbookView xWindow="1470" yWindow="960" windowWidth="27330" windowHeight="15240" xr2:uid="{BF0D91EB-A880-4742-9B62-AC1EF253FBC3}"/>
  </bookViews>
  <sheets>
    <sheet name="Cz. I Wyroby szklane" sheetId="2" r:id="rId1"/>
    <sheet name="Cz. IIFiltry,strzykawki,spektro" sheetId="1" r:id="rId2"/>
    <sheet name="Cz.III akc. metalowe" sheetId="3" r:id="rId3"/>
    <sheet name="Cz. IV Plastiki,pojemniki " sheetId="4" r:id="rId4"/>
    <sheet name="Cz. V Akcesoria" sheetId="5" r:id="rId5"/>
    <sheet name="Cz. VI Komórki itp." sheetId="7" r:id="rId6"/>
    <sheet name="Cz. VII Pipety" sheetId="11" r:id="rId7"/>
    <sheet name="Cz. VIII Pipety specjalistyczne" sheetId="8" r:id="rId8"/>
    <sheet name="Cz. IX Drobny sprzęt" sheetId="12" r:id="rId9"/>
  </sheets>
  <definedNames>
    <definedName name="_xlnm._FilterDatabase" localSheetId="0" hidden="1">'Cz. I Wyroby szklane'!$A$2:$L$81</definedName>
    <definedName name="_xlnm._FilterDatabase" localSheetId="1" hidden="1">'Cz. IIFiltry,strzykawki,spektro'!$A$2:$L$27</definedName>
    <definedName name="_xlnm._FilterDatabase" localSheetId="3" hidden="1">'Cz. IV Plastiki,pojemniki '!$A$2:$L$68</definedName>
    <definedName name="_xlnm._FilterDatabase" localSheetId="8" hidden="1">'Cz. IX Drobny sprzęt'!$A$3:$L$30</definedName>
    <definedName name="_xlnm._FilterDatabase" localSheetId="4" hidden="1">'Cz. V Akcesoria'!$A$2:$L$52</definedName>
    <definedName name="_xlnm._FilterDatabase" localSheetId="5" hidden="1">'Cz. VI Komórki itp.'!$A$2:$L$29</definedName>
    <definedName name="_xlnm._FilterDatabase" localSheetId="2" hidden="1">'Cz.III akc. metalowe'!$A$2:$L$57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5" l="1"/>
  <c r="E66" i="4"/>
  <c r="E59" i="4"/>
  <c r="E56" i="4"/>
  <c r="E54" i="4"/>
  <c r="E52" i="4"/>
  <c r="E51" i="4"/>
  <c r="E47" i="4"/>
  <c r="E46" i="4"/>
  <c r="E37" i="4"/>
  <c r="E27" i="4"/>
  <c r="E26" i="4"/>
  <c r="E21" i="4"/>
  <c r="E42" i="3"/>
  <c r="E35" i="3"/>
  <c r="E11" i="3"/>
  <c r="E10" i="3"/>
  <c r="E9" i="3"/>
  <c r="E8" i="3"/>
  <c r="E7" i="3"/>
  <c r="E79" i="2"/>
  <c r="E77" i="2"/>
  <c r="E75" i="2"/>
  <c r="E73" i="2"/>
  <c r="E69" i="2"/>
  <c r="E66" i="2"/>
  <c r="E59" i="2"/>
  <c r="E58" i="2"/>
  <c r="E57" i="2"/>
  <c r="E45" i="2"/>
  <c r="E37" i="2"/>
  <c r="E33" i="2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H5" i="12"/>
  <c r="J5" i="12" s="1"/>
  <c r="K5" i="12" s="1"/>
  <c r="H6" i="12"/>
  <c r="J6" i="12" s="1"/>
  <c r="K6" i="12" s="1"/>
  <c r="H7" i="12"/>
  <c r="H8" i="12"/>
  <c r="H9" i="12"/>
  <c r="J9" i="12" s="1"/>
  <c r="K9" i="12" s="1"/>
  <c r="H10" i="12"/>
  <c r="J10" i="12" s="1"/>
  <c r="H11" i="12"/>
  <c r="J11" i="12" s="1"/>
  <c r="K11" i="12" s="1"/>
  <c r="H12" i="12"/>
  <c r="J12" i="12" s="1"/>
  <c r="K12" i="12" s="1"/>
  <c r="H13" i="12"/>
  <c r="H14" i="12"/>
  <c r="H15" i="12"/>
  <c r="J15" i="12" s="1"/>
  <c r="H16" i="12"/>
  <c r="J16" i="12" s="1"/>
  <c r="H17" i="12"/>
  <c r="H18" i="12"/>
  <c r="H19" i="12"/>
  <c r="H20" i="12"/>
  <c r="H21" i="12"/>
  <c r="H22" i="12"/>
  <c r="J22" i="12" s="1"/>
  <c r="H23" i="12"/>
  <c r="J23" i="12" s="1"/>
  <c r="K23" i="12" s="1"/>
  <c r="H24" i="12"/>
  <c r="J24" i="12" s="1"/>
  <c r="K24" i="12" s="1"/>
  <c r="H25" i="12"/>
  <c r="H26" i="12"/>
  <c r="H27" i="12"/>
  <c r="J27" i="12" s="1"/>
  <c r="H28" i="12"/>
  <c r="J28" i="12" s="1"/>
  <c r="H29" i="12"/>
  <c r="J29" i="12" s="1"/>
  <c r="H30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K17" i="12" s="1"/>
  <c r="I18" i="12"/>
  <c r="I19" i="12"/>
  <c r="I20" i="12"/>
  <c r="I21" i="12"/>
  <c r="I22" i="12"/>
  <c r="I23" i="12"/>
  <c r="I24" i="12"/>
  <c r="I25" i="12"/>
  <c r="K25" i="12" s="1"/>
  <c r="I26" i="12"/>
  <c r="K26" i="12" s="1"/>
  <c r="I27" i="12"/>
  <c r="I28" i="12"/>
  <c r="I29" i="12"/>
  <c r="K29" i="12" s="1"/>
  <c r="I30" i="12"/>
  <c r="J7" i="12"/>
  <c r="J8" i="12"/>
  <c r="J13" i="12"/>
  <c r="K13" i="12" s="1"/>
  <c r="J14" i="12"/>
  <c r="J17" i="12"/>
  <c r="J18" i="12"/>
  <c r="K18" i="12" s="1"/>
  <c r="J19" i="12"/>
  <c r="J20" i="12"/>
  <c r="J21" i="12"/>
  <c r="J25" i="12"/>
  <c r="J26" i="12"/>
  <c r="J30" i="12"/>
  <c r="K30" i="12" s="1"/>
  <c r="K7" i="12"/>
  <c r="K8" i="12"/>
  <c r="K19" i="12"/>
  <c r="K20" i="12"/>
  <c r="K21" i="12"/>
  <c r="H5" i="8"/>
  <c r="J5" i="8" s="1"/>
  <c r="H6" i="8"/>
  <c r="J6" i="8" s="1"/>
  <c r="H7" i="8"/>
  <c r="J7" i="8" s="1"/>
  <c r="H8" i="8"/>
  <c r="H9" i="8"/>
  <c r="J9" i="8" s="1"/>
  <c r="K9" i="8" s="1"/>
  <c r="I5" i="8"/>
  <c r="I6" i="8"/>
  <c r="I7" i="8"/>
  <c r="I8" i="8"/>
  <c r="I9" i="8"/>
  <c r="J8" i="8"/>
  <c r="H5" i="11"/>
  <c r="H6" i="11"/>
  <c r="H7" i="11"/>
  <c r="J7" i="11" s="1"/>
  <c r="H8" i="11"/>
  <c r="H9" i="11"/>
  <c r="H10" i="11"/>
  <c r="I5" i="11"/>
  <c r="I6" i="11"/>
  <c r="I7" i="11"/>
  <c r="I8" i="11"/>
  <c r="I9" i="11"/>
  <c r="I10" i="11"/>
  <c r="J5" i="11"/>
  <c r="J6" i="11"/>
  <c r="J8" i="11"/>
  <c r="J9" i="11"/>
  <c r="K9" i="11" s="1"/>
  <c r="J10" i="11"/>
  <c r="H5" i="7"/>
  <c r="H6" i="7"/>
  <c r="H7" i="7"/>
  <c r="H8" i="7"/>
  <c r="H9" i="7"/>
  <c r="H10" i="7"/>
  <c r="H11" i="7"/>
  <c r="H12" i="7"/>
  <c r="H13" i="7"/>
  <c r="H14" i="7"/>
  <c r="H15" i="7"/>
  <c r="J15" i="7" s="1"/>
  <c r="H16" i="7"/>
  <c r="H17" i="7"/>
  <c r="H18" i="7"/>
  <c r="H19" i="7"/>
  <c r="H20" i="7"/>
  <c r="H21" i="7"/>
  <c r="H22" i="7"/>
  <c r="H23" i="7"/>
  <c r="H24" i="7"/>
  <c r="H25" i="7"/>
  <c r="J25" i="7" s="1"/>
  <c r="H26" i="7"/>
  <c r="H27" i="7"/>
  <c r="J27" i="7" s="1"/>
  <c r="H28" i="7"/>
  <c r="I5" i="7"/>
  <c r="I6" i="7"/>
  <c r="I7" i="7"/>
  <c r="I8" i="7"/>
  <c r="I9" i="7"/>
  <c r="I10" i="7"/>
  <c r="K10" i="7" s="1"/>
  <c r="I11" i="7"/>
  <c r="I12" i="7"/>
  <c r="I13" i="7"/>
  <c r="K13" i="7" s="1"/>
  <c r="I14" i="7"/>
  <c r="I15" i="7"/>
  <c r="I16" i="7"/>
  <c r="I17" i="7"/>
  <c r="I18" i="7"/>
  <c r="I19" i="7"/>
  <c r="I20" i="7"/>
  <c r="I21" i="7"/>
  <c r="I22" i="7"/>
  <c r="K22" i="7" s="1"/>
  <c r="I23" i="7"/>
  <c r="I24" i="7"/>
  <c r="I25" i="7"/>
  <c r="I26" i="7"/>
  <c r="I27" i="7"/>
  <c r="I28" i="7"/>
  <c r="J5" i="7"/>
  <c r="J6" i="7"/>
  <c r="J7" i="7"/>
  <c r="J8" i="7"/>
  <c r="J9" i="7"/>
  <c r="J10" i="7"/>
  <c r="J11" i="7"/>
  <c r="J12" i="7"/>
  <c r="J13" i="7"/>
  <c r="J14" i="7"/>
  <c r="J16" i="7"/>
  <c r="J17" i="7"/>
  <c r="J18" i="7"/>
  <c r="K18" i="7" s="1"/>
  <c r="J19" i="7"/>
  <c r="K19" i="7" s="1"/>
  <c r="J20" i="7"/>
  <c r="J21" i="7"/>
  <c r="K21" i="7" s="1"/>
  <c r="J22" i="7"/>
  <c r="J23" i="7"/>
  <c r="K23" i="7" s="1"/>
  <c r="J24" i="7"/>
  <c r="K24" i="7" s="1"/>
  <c r="J26" i="7"/>
  <c r="K26" i="7" s="1"/>
  <c r="J28" i="7"/>
  <c r="K5" i="7"/>
  <c r="K6" i="7"/>
  <c r="K7" i="7"/>
  <c r="K8" i="7"/>
  <c r="K9" i="7"/>
  <c r="K11" i="7"/>
  <c r="K12" i="7"/>
  <c r="K14" i="7"/>
  <c r="K17" i="7"/>
  <c r="K20" i="7"/>
  <c r="H5" i="5"/>
  <c r="J5" i="5" s="1"/>
  <c r="H6" i="5"/>
  <c r="H7" i="5"/>
  <c r="H8" i="5"/>
  <c r="H9" i="5"/>
  <c r="H10" i="5"/>
  <c r="H11" i="5"/>
  <c r="J11" i="5" s="1"/>
  <c r="H12" i="5"/>
  <c r="J12" i="5" s="1"/>
  <c r="H13" i="5"/>
  <c r="H14" i="5"/>
  <c r="H15" i="5"/>
  <c r="H16" i="5"/>
  <c r="J16" i="5" s="1"/>
  <c r="H17" i="5"/>
  <c r="J17" i="5" s="1"/>
  <c r="H18" i="5"/>
  <c r="H19" i="5"/>
  <c r="H20" i="5"/>
  <c r="H21" i="5"/>
  <c r="H22" i="5"/>
  <c r="H23" i="5"/>
  <c r="J23" i="5" s="1"/>
  <c r="K23" i="5" s="1"/>
  <c r="H24" i="5"/>
  <c r="J24" i="5" s="1"/>
  <c r="H25" i="5"/>
  <c r="H26" i="5"/>
  <c r="H27" i="5"/>
  <c r="H28" i="5"/>
  <c r="J28" i="5" s="1"/>
  <c r="H29" i="5"/>
  <c r="J29" i="5" s="1"/>
  <c r="K29" i="5" s="1"/>
  <c r="H30" i="5"/>
  <c r="H31" i="5"/>
  <c r="H32" i="5"/>
  <c r="H33" i="5"/>
  <c r="H34" i="5"/>
  <c r="H35" i="5"/>
  <c r="J35" i="5" s="1"/>
  <c r="K35" i="5" s="1"/>
  <c r="H36" i="5"/>
  <c r="J36" i="5" s="1"/>
  <c r="H37" i="5"/>
  <c r="H38" i="5"/>
  <c r="H39" i="5"/>
  <c r="H40" i="5"/>
  <c r="J40" i="5" s="1"/>
  <c r="H41" i="5"/>
  <c r="J41" i="5" s="1"/>
  <c r="K41" i="5" s="1"/>
  <c r="H42" i="5"/>
  <c r="H43" i="5"/>
  <c r="H44" i="5"/>
  <c r="H45" i="5"/>
  <c r="H46" i="5"/>
  <c r="H47" i="5"/>
  <c r="J47" i="5" s="1"/>
  <c r="K47" i="5" s="1"/>
  <c r="H48" i="5"/>
  <c r="J48" i="5" s="1"/>
  <c r="H49" i="5"/>
  <c r="H50" i="5"/>
  <c r="H51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J6" i="5"/>
  <c r="J7" i="5"/>
  <c r="J8" i="5"/>
  <c r="J9" i="5"/>
  <c r="J10" i="5"/>
  <c r="J13" i="5"/>
  <c r="K13" i="5" s="1"/>
  <c r="J14" i="5"/>
  <c r="J15" i="5"/>
  <c r="J18" i="5"/>
  <c r="J19" i="5"/>
  <c r="J20" i="5"/>
  <c r="K20" i="5" s="1"/>
  <c r="J21" i="5"/>
  <c r="K21" i="5" s="1"/>
  <c r="J22" i="5"/>
  <c r="J25" i="5"/>
  <c r="K25" i="5" s="1"/>
  <c r="J26" i="5"/>
  <c r="J27" i="5"/>
  <c r="J30" i="5"/>
  <c r="J31" i="5"/>
  <c r="K31" i="5" s="1"/>
  <c r="J32" i="5"/>
  <c r="J33" i="5"/>
  <c r="J34" i="5"/>
  <c r="K34" i="5" s="1"/>
  <c r="J37" i="5"/>
  <c r="K37" i="5" s="1"/>
  <c r="J38" i="5"/>
  <c r="J39" i="5"/>
  <c r="J42" i="5"/>
  <c r="J43" i="5"/>
  <c r="J44" i="5"/>
  <c r="K44" i="5" s="1"/>
  <c r="J45" i="5"/>
  <c r="J46" i="5"/>
  <c r="K46" i="5" s="1"/>
  <c r="J49" i="5"/>
  <c r="K49" i="5" s="1"/>
  <c r="J50" i="5"/>
  <c r="J51" i="5"/>
  <c r="K8" i="5"/>
  <c r="K9" i="5"/>
  <c r="K10" i="5"/>
  <c r="K19" i="5"/>
  <c r="K22" i="5"/>
  <c r="K32" i="5"/>
  <c r="K33" i="5"/>
  <c r="K45" i="5"/>
  <c r="H5" i="4"/>
  <c r="H6" i="4"/>
  <c r="H7" i="4"/>
  <c r="J7" i="4" s="1"/>
  <c r="H8" i="4"/>
  <c r="J8" i="4" s="1"/>
  <c r="H9" i="4"/>
  <c r="H10" i="4"/>
  <c r="H11" i="4"/>
  <c r="H12" i="4"/>
  <c r="H13" i="4"/>
  <c r="H14" i="4"/>
  <c r="J14" i="4" s="1"/>
  <c r="H15" i="4"/>
  <c r="J15" i="4" s="1"/>
  <c r="H16" i="4"/>
  <c r="J16" i="4" s="1"/>
  <c r="H17" i="4"/>
  <c r="H18" i="4"/>
  <c r="H19" i="4"/>
  <c r="J19" i="4" s="1"/>
  <c r="H20" i="4"/>
  <c r="J20" i="4" s="1"/>
  <c r="K20" i="4" s="1"/>
  <c r="H21" i="4"/>
  <c r="H22" i="4"/>
  <c r="H23" i="4"/>
  <c r="H24" i="4"/>
  <c r="H25" i="4"/>
  <c r="H26" i="4"/>
  <c r="J26" i="4" s="1"/>
  <c r="H27" i="4"/>
  <c r="J27" i="4" s="1"/>
  <c r="H28" i="4"/>
  <c r="J28" i="4" s="1"/>
  <c r="H29" i="4"/>
  <c r="H30" i="4"/>
  <c r="H31" i="4"/>
  <c r="J31" i="4" s="1"/>
  <c r="H32" i="4"/>
  <c r="J32" i="4" s="1"/>
  <c r="K32" i="4" s="1"/>
  <c r="H33" i="4"/>
  <c r="H34" i="4"/>
  <c r="H35" i="4"/>
  <c r="H36" i="4"/>
  <c r="H37" i="4"/>
  <c r="H38" i="4"/>
  <c r="J38" i="4" s="1"/>
  <c r="H39" i="4"/>
  <c r="J39" i="4" s="1"/>
  <c r="H40" i="4"/>
  <c r="J40" i="4" s="1"/>
  <c r="H41" i="4"/>
  <c r="H42" i="4"/>
  <c r="H43" i="4"/>
  <c r="J43" i="4" s="1"/>
  <c r="H44" i="4"/>
  <c r="J44" i="4" s="1"/>
  <c r="K44" i="4" s="1"/>
  <c r="H45" i="4"/>
  <c r="H46" i="4"/>
  <c r="H47" i="4"/>
  <c r="H48" i="4"/>
  <c r="H49" i="4"/>
  <c r="H50" i="4"/>
  <c r="J50" i="4" s="1"/>
  <c r="H51" i="4"/>
  <c r="J51" i="4" s="1"/>
  <c r="H52" i="4"/>
  <c r="J52" i="4" s="1"/>
  <c r="H53" i="4"/>
  <c r="H54" i="4"/>
  <c r="H55" i="4"/>
  <c r="J55" i="4" s="1"/>
  <c r="H56" i="4"/>
  <c r="J56" i="4" s="1"/>
  <c r="H57" i="4"/>
  <c r="H58" i="4"/>
  <c r="H59" i="4"/>
  <c r="H60" i="4"/>
  <c r="H61" i="4"/>
  <c r="H62" i="4"/>
  <c r="J62" i="4" s="1"/>
  <c r="H63" i="4"/>
  <c r="J63" i="4" s="1"/>
  <c r="H64" i="4"/>
  <c r="J64" i="4" s="1"/>
  <c r="H65" i="4"/>
  <c r="H66" i="4"/>
  <c r="H67" i="4"/>
  <c r="J67" i="4" s="1"/>
  <c r="I5" i="4"/>
  <c r="K5" i="4" s="1"/>
  <c r="I6" i="4"/>
  <c r="I7" i="4"/>
  <c r="I8" i="4"/>
  <c r="I9" i="4"/>
  <c r="I10" i="4"/>
  <c r="I11" i="4"/>
  <c r="I12" i="4"/>
  <c r="I13" i="4"/>
  <c r="I14" i="4"/>
  <c r="I15" i="4"/>
  <c r="I16" i="4"/>
  <c r="I17" i="4"/>
  <c r="K17" i="4" s="1"/>
  <c r="I18" i="4"/>
  <c r="I19" i="4"/>
  <c r="I20" i="4"/>
  <c r="I21" i="4"/>
  <c r="I22" i="4"/>
  <c r="I23" i="4"/>
  <c r="I24" i="4"/>
  <c r="I25" i="4"/>
  <c r="I26" i="4"/>
  <c r="I27" i="4"/>
  <c r="I28" i="4"/>
  <c r="I29" i="4"/>
  <c r="K29" i="4" s="1"/>
  <c r="I30" i="4"/>
  <c r="I31" i="4"/>
  <c r="I32" i="4"/>
  <c r="I33" i="4"/>
  <c r="I34" i="4"/>
  <c r="I35" i="4"/>
  <c r="I36" i="4"/>
  <c r="I37" i="4"/>
  <c r="I38" i="4"/>
  <c r="I39" i="4"/>
  <c r="I40" i="4"/>
  <c r="I41" i="4"/>
  <c r="K41" i="4" s="1"/>
  <c r="I42" i="4"/>
  <c r="I43" i="4"/>
  <c r="I44" i="4"/>
  <c r="I45" i="4"/>
  <c r="I46" i="4"/>
  <c r="I47" i="4"/>
  <c r="I48" i="4"/>
  <c r="I49" i="4"/>
  <c r="I50" i="4"/>
  <c r="I51" i="4"/>
  <c r="I52" i="4"/>
  <c r="I53" i="4"/>
  <c r="K53" i="4" s="1"/>
  <c r="I54" i="4"/>
  <c r="I55" i="4"/>
  <c r="I56" i="4"/>
  <c r="I57" i="4"/>
  <c r="I58" i="4"/>
  <c r="I59" i="4"/>
  <c r="I60" i="4"/>
  <c r="I61" i="4"/>
  <c r="I62" i="4"/>
  <c r="I63" i="4"/>
  <c r="I64" i="4"/>
  <c r="I65" i="4"/>
  <c r="K65" i="4" s="1"/>
  <c r="I66" i="4"/>
  <c r="I67" i="4"/>
  <c r="J5" i="4"/>
  <c r="J6" i="4"/>
  <c r="K6" i="4" s="1"/>
  <c r="J9" i="4"/>
  <c r="J10" i="4"/>
  <c r="K10" i="4" s="1"/>
  <c r="J11" i="4"/>
  <c r="K11" i="4" s="1"/>
  <c r="J12" i="4"/>
  <c r="K12" i="4" s="1"/>
  <c r="J13" i="4"/>
  <c r="J17" i="4"/>
  <c r="J18" i="4"/>
  <c r="K18" i="4" s="1"/>
  <c r="J21" i="4"/>
  <c r="J22" i="4"/>
  <c r="K22" i="4" s="1"/>
  <c r="J23" i="4"/>
  <c r="J24" i="4"/>
  <c r="K24" i="4" s="1"/>
  <c r="J25" i="4"/>
  <c r="J29" i="4"/>
  <c r="J30" i="4"/>
  <c r="K30" i="4" s="1"/>
  <c r="J33" i="4"/>
  <c r="K33" i="4" s="1"/>
  <c r="J34" i="4"/>
  <c r="K34" i="4" s="1"/>
  <c r="J35" i="4"/>
  <c r="K35" i="4" s="1"/>
  <c r="J36" i="4"/>
  <c r="K36" i="4" s="1"/>
  <c r="J37" i="4"/>
  <c r="J41" i="4"/>
  <c r="J42" i="4"/>
  <c r="K42" i="4" s="1"/>
  <c r="J45" i="4"/>
  <c r="K45" i="4" s="1"/>
  <c r="J46" i="4"/>
  <c r="K46" i="4" s="1"/>
  <c r="J47" i="4"/>
  <c r="K47" i="4" s="1"/>
  <c r="J48" i="4"/>
  <c r="J49" i="4"/>
  <c r="J53" i="4"/>
  <c r="J54" i="4"/>
  <c r="J57" i="4"/>
  <c r="K57" i="4" s="1"/>
  <c r="J58" i="4"/>
  <c r="K58" i="4" s="1"/>
  <c r="J59" i="4"/>
  <c r="J60" i="4"/>
  <c r="J61" i="4"/>
  <c r="K61" i="4" s="1"/>
  <c r="J65" i="4"/>
  <c r="J66" i="4"/>
  <c r="K66" i="4" s="1"/>
  <c r="K9" i="4"/>
  <c r="K13" i="4"/>
  <c r="K23" i="4"/>
  <c r="K25" i="4"/>
  <c r="K37" i="4"/>
  <c r="K48" i="4"/>
  <c r="K49" i="4"/>
  <c r="K60" i="4"/>
  <c r="H5" i="3"/>
  <c r="J5" i="3" s="1"/>
  <c r="K5" i="3" s="1"/>
  <c r="H6" i="3"/>
  <c r="H7" i="3"/>
  <c r="H8" i="3"/>
  <c r="H9" i="3"/>
  <c r="H10" i="3"/>
  <c r="H11" i="3"/>
  <c r="H12" i="3"/>
  <c r="H13" i="3"/>
  <c r="H14" i="3"/>
  <c r="J14" i="3" s="1"/>
  <c r="H15" i="3"/>
  <c r="J15" i="3" s="1"/>
  <c r="H16" i="3"/>
  <c r="J16" i="3" s="1"/>
  <c r="H17" i="3"/>
  <c r="J17" i="3" s="1"/>
  <c r="K17" i="3" s="1"/>
  <c r="H18" i="3"/>
  <c r="H19" i="3"/>
  <c r="H20" i="3"/>
  <c r="H21" i="3"/>
  <c r="H22" i="3"/>
  <c r="H23" i="3"/>
  <c r="H24" i="3"/>
  <c r="H25" i="3"/>
  <c r="H26" i="3"/>
  <c r="J26" i="3" s="1"/>
  <c r="H27" i="3"/>
  <c r="J27" i="3" s="1"/>
  <c r="H28" i="3"/>
  <c r="J28" i="3" s="1"/>
  <c r="H29" i="3"/>
  <c r="J29" i="3" s="1"/>
  <c r="K29" i="3" s="1"/>
  <c r="H30" i="3"/>
  <c r="H31" i="3"/>
  <c r="H32" i="3"/>
  <c r="H33" i="3"/>
  <c r="H34" i="3"/>
  <c r="H35" i="3"/>
  <c r="H36" i="3"/>
  <c r="H37" i="3"/>
  <c r="H38" i="3"/>
  <c r="J38" i="3" s="1"/>
  <c r="H39" i="3"/>
  <c r="J39" i="3" s="1"/>
  <c r="H40" i="3"/>
  <c r="J40" i="3" s="1"/>
  <c r="H41" i="3"/>
  <c r="J41" i="3" s="1"/>
  <c r="K41" i="3" s="1"/>
  <c r="H42" i="3"/>
  <c r="H43" i="3"/>
  <c r="H44" i="3"/>
  <c r="H45" i="3"/>
  <c r="H46" i="3"/>
  <c r="H47" i="3"/>
  <c r="H48" i="3"/>
  <c r="H49" i="3"/>
  <c r="H50" i="3"/>
  <c r="J50" i="3" s="1"/>
  <c r="H51" i="3"/>
  <c r="J51" i="3" s="1"/>
  <c r="H52" i="3"/>
  <c r="J52" i="3" s="1"/>
  <c r="H53" i="3"/>
  <c r="J53" i="3" s="1"/>
  <c r="K53" i="3" s="1"/>
  <c r="H54" i="3"/>
  <c r="H55" i="3"/>
  <c r="H56" i="3"/>
  <c r="I5" i="3"/>
  <c r="I6" i="3"/>
  <c r="I7" i="3"/>
  <c r="I8" i="3"/>
  <c r="I9" i="3"/>
  <c r="I10" i="3"/>
  <c r="K10" i="3" s="1"/>
  <c r="I11" i="3"/>
  <c r="I12" i="3"/>
  <c r="I13" i="3"/>
  <c r="K13" i="3" s="1"/>
  <c r="I14" i="3"/>
  <c r="I15" i="3"/>
  <c r="I16" i="3"/>
  <c r="I17" i="3"/>
  <c r="I18" i="3"/>
  <c r="I19" i="3"/>
  <c r="I20" i="3"/>
  <c r="I21" i="3"/>
  <c r="I22" i="3"/>
  <c r="I23" i="3"/>
  <c r="I24" i="3"/>
  <c r="I25" i="3"/>
  <c r="K25" i="3" s="1"/>
  <c r="I26" i="3"/>
  <c r="I27" i="3"/>
  <c r="I28" i="3"/>
  <c r="I29" i="3"/>
  <c r="I30" i="3"/>
  <c r="I31" i="3"/>
  <c r="I32" i="3"/>
  <c r="I33" i="3"/>
  <c r="I34" i="3"/>
  <c r="I35" i="3"/>
  <c r="K35" i="3" s="1"/>
  <c r="I36" i="3"/>
  <c r="I37" i="3"/>
  <c r="K37" i="3" s="1"/>
  <c r="I38" i="3"/>
  <c r="I39" i="3"/>
  <c r="I40" i="3"/>
  <c r="I41" i="3"/>
  <c r="I42" i="3"/>
  <c r="I43" i="3"/>
  <c r="I44" i="3"/>
  <c r="I45" i="3"/>
  <c r="I46" i="3"/>
  <c r="I47" i="3"/>
  <c r="K47" i="3" s="1"/>
  <c r="I48" i="3"/>
  <c r="I49" i="3"/>
  <c r="K49" i="3" s="1"/>
  <c r="I50" i="3"/>
  <c r="I51" i="3"/>
  <c r="I52" i="3"/>
  <c r="I53" i="3"/>
  <c r="I54" i="3"/>
  <c r="I55" i="3"/>
  <c r="I56" i="3"/>
  <c r="J6" i="3"/>
  <c r="K6" i="3" s="1"/>
  <c r="J7" i="3"/>
  <c r="K7" i="3" s="1"/>
  <c r="J8" i="3"/>
  <c r="J9" i="3"/>
  <c r="K9" i="3" s="1"/>
  <c r="J10" i="3"/>
  <c r="J11" i="3"/>
  <c r="J12" i="3"/>
  <c r="J13" i="3"/>
  <c r="J18" i="3"/>
  <c r="K18" i="3" s="1"/>
  <c r="J19" i="3"/>
  <c r="K19" i="3" s="1"/>
  <c r="J20" i="3"/>
  <c r="J21" i="3"/>
  <c r="K21" i="3" s="1"/>
  <c r="J22" i="3"/>
  <c r="K22" i="3" s="1"/>
  <c r="J23" i="3"/>
  <c r="J24" i="3"/>
  <c r="K24" i="3" s="1"/>
  <c r="J25" i="3"/>
  <c r="J30" i="3"/>
  <c r="J31" i="3"/>
  <c r="K31" i="3" s="1"/>
  <c r="J32" i="3"/>
  <c r="J33" i="3"/>
  <c r="K33" i="3" s="1"/>
  <c r="J34" i="3"/>
  <c r="J35" i="3"/>
  <c r="J36" i="3"/>
  <c r="J37" i="3"/>
  <c r="J42" i="3"/>
  <c r="J43" i="3"/>
  <c r="K43" i="3" s="1"/>
  <c r="J44" i="3"/>
  <c r="J45" i="3"/>
  <c r="K45" i="3" s="1"/>
  <c r="J46" i="3"/>
  <c r="K46" i="3" s="1"/>
  <c r="J47" i="3"/>
  <c r="J48" i="3"/>
  <c r="K48" i="3" s="1"/>
  <c r="J49" i="3"/>
  <c r="J54" i="3"/>
  <c r="K54" i="3" s="1"/>
  <c r="J55" i="3"/>
  <c r="K55" i="3" s="1"/>
  <c r="J56" i="3"/>
  <c r="K12" i="3"/>
  <c r="K23" i="3"/>
  <c r="K34" i="3"/>
  <c r="K36" i="3"/>
  <c r="H4" i="3"/>
  <c r="J4" i="3" s="1"/>
  <c r="K4" i="3" s="1"/>
  <c r="I4" i="3"/>
  <c r="H5" i="1"/>
  <c r="H6" i="1"/>
  <c r="H7" i="1"/>
  <c r="J7" i="1" s="1"/>
  <c r="H8" i="1"/>
  <c r="H9" i="1"/>
  <c r="J9" i="1" s="1"/>
  <c r="H10" i="1"/>
  <c r="H11" i="1"/>
  <c r="H12" i="1"/>
  <c r="H13" i="1"/>
  <c r="J13" i="1" s="1"/>
  <c r="H14" i="1"/>
  <c r="J14" i="1" s="1"/>
  <c r="H15" i="1"/>
  <c r="H16" i="1"/>
  <c r="J16" i="1" s="1"/>
  <c r="H17" i="1"/>
  <c r="H18" i="1"/>
  <c r="H19" i="1"/>
  <c r="J19" i="1" s="1"/>
  <c r="K19" i="1" s="1"/>
  <c r="H20" i="1"/>
  <c r="J20" i="1" s="1"/>
  <c r="K20" i="1" s="1"/>
  <c r="H21" i="1"/>
  <c r="J21" i="1" s="1"/>
  <c r="K21" i="1" s="1"/>
  <c r="H22" i="1"/>
  <c r="H23" i="1"/>
  <c r="H24" i="1"/>
  <c r="H25" i="1"/>
  <c r="J25" i="1" s="1"/>
  <c r="K25" i="1" s="1"/>
  <c r="H26" i="1"/>
  <c r="J26" i="1" s="1"/>
  <c r="K26" i="1" s="1"/>
  <c r="I5" i="1"/>
  <c r="I6" i="1"/>
  <c r="I7" i="1"/>
  <c r="I8" i="1"/>
  <c r="I9" i="1"/>
  <c r="I10" i="1"/>
  <c r="I11" i="1"/>
  <c r="K11" i="1" s="1"/>
  <c r="I12" i="1"/>
  <c r="I13" i="1"/>
  <c r="I14" i="1"/>
  <c r="I15" i="1"/>
  <c r="K15" i="1" s="1"/>
  <c r="I16" i="1"/>
  <c r="I17" i="1"/>
  <c r="I18" i="1"/>
  <c r="I19" i="1"/>
  <c r="I20" i="1"/>
  <c r="I21" i="1"/>
  <c r="I22" i="1"/>
  <c r="K22" i="1" s="1"/>
  <c r="I23" i="1"/>
  <c r="K23" i="1" s="1"/>
  <c r="I24" i="1"/>
  <c r="I25" i="1"/>
  <c r="I26" i="1"/>
  <c r="J5" i="1"/>
  <c r="K5" i="1" s="1"/>
  <c r="J6" i="1"/>
  <c r="K6" i="1" s="1"/>
  <c r="J8" i="1"/>
  <c r="K8" i="1" s="1"/>
  <c r="J10" i="1"/>
  <c r="J11" i="1"/>
  <c r="J12" i="1"/>
  <c r="J15" i="1"/>
  <c r="J17" i="1"/>
  <c r="K17" i="1" s="1"/>
  <c r="J18" i="1"/>
  <c r="J22" i="1"/>
  <c r="J23" i="1"/>
  <c r="J24" i="1"/>
  <c r="K24" i="1" s="1"/>
  <c r="K18" i="1"/>
  <c r="H5" i="2"/>
  <c r="H6" i="2"/>
  <c r="J6" i="2" s="1"/>
  <c r="H7" i="2"/>
  <c r="J7" i="2" s="1"/>
  <c r="H8" i="2"/>
  <c r="J8" i="2" s="1"/>
  <c r="H9" i="2"/>
  <c r="J9" i="2" s="1"/>
  <c r="H10" i="2"/>
  <c r="H11" i="2"/>
  <c r="J11" i="2" s="1"/>
  <c r="H12" i="2"/>
  <c r="H13" i="2"/>
  <c r="J13" i="2" s="1"/>
  <c r="H14" i="2"/>
  <c r="J14" i="2" s="1"/>
  <c r="H15" i="2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H23" i="2"/>
  <c r="J23" i="2" s="1"/>
  <c r="H24" i="2"/>
  <c r="J24" i="2" s="1"/>
  <c r="H25" i="2"/>
  <c r="J25" i="2" s="1"/>
  <c r="H26" i="2"/>
  <c r="J26" i="2" s="1"/>
  <c r="H27" i="2"/>
  <c r="H28" i="2"/>
  <c r="J28" i="2" s="1"/>
  <c r="H29" i="2"/>
  <c r="J29" i="2" s="1"/>
  <c r="H30" i="2"/>
  <c r="J30" i="2" s="1"/>
  <c r="H31" i="2"/>
  <c r="J31" i="2" s="1"/>
  <c r="H32" i="2"/>
  <c r="H33" i="2"/>
  <c r="J33" i="2" s="1"/>
  <c r="H34" i="2"/>
  <c r="H35" i="2"/>
  <c r="J35" i="2" s="1"/>
  <c r="H36" i="2"/>
  <c r="H37" i="2"/>
  <c r="H38" i="2"/>
  <c r="H39" i="2"/>
  <c r="H40" i="2"/>
  <c r="J40" i="2" s="1"/>
  <c r="H41" i="2"/>
  <c r="J41" i="2" s="1"/>
  <c r="H42" i="2"/>
  <c r="J42" i="2" s="1"/>
  <c r="H43" i="2"/>
  <c r="J43" i="2" s="1"/>
  <c r="H44" i="2"/>
  <c r="J44" i="2" s="1"/>
  <c r="H45" i="2"/>
  <c r="J45" i="2" s="1"/>
  <c r="K45" i="2" s="1"/>
  <c r="H46" i="2"/>
  <c r="H47" i="2"/>
  <c r="H48" i="2"/>
  <c r="J48" i="2" s="1"/>
  <c r="H49" i="2"/>
  <c r="J49" i="2" s="1"/>
  <c r="H50" i="2"/>
  <c r="J50" i="2" s="1"/>
  <c r="H51" i="2"/>
  <c r="H52" i="2"/>
  <c r="J52" i="2" s="1"/>
  <c r="H53" i="2"/>
  <c r="H54" i="2"/>
  <c r="J54" i="2" s="1"/>
  <c r="H55" i="2"/>
  <c r="J55" i="2" s="1"/>
  <c r="H56" i="2"/>
  <c r="H57" i="2"/>
  <c r="J57" i="2" s="1"/>
  <c r="H58" i="2"/>
  <c r="H59" i="2"/>
  <c r="J59" i="2" s="1"/>
  <c r="H60" i="2"/>
  <c r="H61" i="2"/>
  <c r="J61" i="2" s="1"/>
  <c r="H62" i="2"/>
  <c r="J62" i="2" s="1"/>
  <c r="H63" i="2"/>
  <c r="H64" i="2"/>
  <c r="J64" i="2" s="1"/>
  <c r="H65" i="2"/>
  <c r="J65" i="2" s="1"/>
  <c r="H66" i="2"/>
  <c r="J66" i="2" s="1"/>
  <c r="H67" i="2"/>
  <c r="J67" i="2" s="1"/>
  <c r="H68" i="2"/>
  <c r="J68" i="2" s="1"/>
  <c r="H69" i="2"/>
  <c r="J69" i="2" s="1"/>
  <c r="H70" i="2"/>
  <c r="H71" i="2"/>
  <c r="J71" i="2" s="1"/>
  <c r="H72" i="2"/>
  <c r="J72" i="2" s="1"/>
  <c r="H73" i="2"/>
  <c r="J73" i="2" s="1"/>
  <c r="H74" i="2"/>
  <c r="J74" i="2" s="1"/>
  <c r="H75" i="2"/>
  <c r="H76" i="2"/>
  <c r="J76" i="2" s="1"/>
  <c r="H77" i="2"/>
  <c r="J77" i="2" s="1"/>
  <c r="H78" i="2"/>
  <c r="J78" i="2" s="1"/>
  <c r="H79" i="2"/>
  <c r="J79" i="2" s="1"/>
  <c r="H80" i="2"/>
  <c r="J80" i="2" s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J5" i="2"/>
  <c r="J10" i="2"/>
  <c r="J12" i="2"/>
  <c r="K12" i="2" s="1"/>
  <c r="J15" i="2"/>
  <c r="J22" i="2"/>
  <c r="K22" i="2" s="1"/>
  <c r="J27" i="2"/>
  <c r="K27" i="2" s="1"/>
  <c r="J32" i="2"/>
  <c r="J34" i="2"/>
  <c r="J36" i="2"/>
  <c r="J37" i="2"/>
  <c r="J38" i="2"/>
  <c r="J39" i="2"/>
  <c r="J46" i="2"/>
  <c r="J47" i="2"/>
  <c r="K47" i="2" s="1"/>
  <c r="J51" i="2"/>
  <c r="J53" i="2"/>
  <c r="J56" i="2"/>
  <c r="K56" i="2" s="1"/>
  <c r="J58" i="2"/>
  <c r="J60" i="2"/>
  <c r="J63" i="2"/>
  <c r="J70" i="2"/>
  <c r="J75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H4" i="12"/>
  <c r="I4" i="12"/>
  <c r="K17" i="5" l="1"/>
  <c r="K59" i="4"/>
  <c r="K56" i="4"/>
  <c r="K54" i="4"/>
  <c r="K21" i="4"/>
  <c r="K42" i="3"/>
  <c r="K8" i="2"/>
  <c r="K15" i="2"/>
  <c r="K51" i="2"/>
  <c r="K36" i="2"/>
  <c r="K71" i="2"/>
  <c r="K59" i="2"/>
  <c r="K35" i="2"/>
  <c r="K60" i="2"/>
  <c r="K39" i="2"/>
  <c r="K58" i="2"/>
  <c r="K5" i="2"/>
  <c r="K9" i="2"/>
  <c r="K23" i="2"/>
  <c r="K11" i="2"/>
  <c r="K72" i="2"/>
  <c r="K48" i="2"/>
  <c r="K24" i="2"/>
  <c r="K57" i="2"/>
  <c r="K44" i="2"/>
  <c r="K75" i="2"/>
  <c r="K63" i="2"/>
  <c r="K79" i="2"/>
  <c r="K67" i="2"/>
  <c r="K55" i="2"/>
  <c r="K43" i="2"/>
  <c r="K31" i="2"/>
  <c r="K19" i="2"/>
  <c r="K38" i="2"/>
  <c r="K78" i="2"/>
  <c r="K66" i="2"/>
  <c r="K54" i="2"/>
  <c r="K42" i="2"/>
  <c r="K30" i="2"/>
  <c r="K18" i="2"/>
  <c r="K37" i="2"/>
  <c r="K77" i="2"/>
  <c r="K65" i="2"/>
  <c r="K41" i="2"/>
  <c r="K29" i="2"/>
  <c r="K17" i="2"/>
  <c r="K34" i="2"/>
  <c r="K10" i="2"/>
  <c r="K74" i="2"/>
  <c r="K26" i="2"/>
  <c r="K53" i="2"/>
  <c r="K33" i="2"/>
  <c r="K73" i="2"/>
  <c r="K61" i="2"/>
  <c r="K25" i="2"/>
  <c r="K13" i="2"/>
  <c r="K8" i="4"/>
  <c r="K22" i="12"/>
  <c r="K10" i="12"/>
  <c r="H31" i="12"/>
  <c r="K14" i="12"/>
  <c r="K10" i="11"/>
  <c r="K25" i="7"/>
  <c r="K15" i="7"/>
  <c r="K43" i="5"/>
  <c r="K7" i="5"/>
  <c r="K5" i="5"/>
  <c r="K42" i="5"/>
  <c r="K6" i="5"/>
  <c r="K51" i="5"/>
  <c r="K39" i="5"/>
  <c r="K27" i="5"/>
  <c r="K15" i="5"/>
  <c r="K36" i="5"/>
  <c r="K24" i="5"/>
  <c r="K67" i="4"/>
  <c r="K55" i="4"/>
  <c r="K43" i="4"/>
  <c r="K31" i="4"/>
  <c r="K19" i="4"/>
  <c r="K7" i="4"/>
  <c r="K62" i="4"/>
  <c r="K50" i="4"/>
  <c r="K38" i="4"/>
  <c r="K26" i="4"/>
  <c r="K14" i="4"/>
  <c r="K51" i="3"/>
  <c r="K39" i="3"/>
  <c r="K27" i="3"/>
  <c r="K15" i="3"/>
  <c r="K26" i="3"/>
  <c r="K9" i="1"/>
  <c r="K7" i="1"/>
  <c r="K10" i="1"/>
  <c r="K14" i="1"/>
  <c r="K13" i="1"/>
  <c r="K62" i="2"/>
  <c r="K50" i="2"/>
  <c r="K14" i="2"/>
  <c r="K49" i="2"/>
  <c r="K68" i="2"/>
  <c r="K20" i="2"/>
  <c r="K21" i="2"/>
  <c r="K70" i="2"/>
  <c r="K69" i="2"/>
  <c r="K80" i="2"/>
  <c r="K32" i="2"/>
  <c r="K46" i="2"/>
  <c r="K7" i="2"/>
  <c r="K27" i="12"/>
  <c r="K15" i="12"/>
  <c r="I31" i="12"/>
  <c r="K28" i="12"/>
  <c r="K16" i="12"/>
  <c r="K8" i="8"/>
  <c r="K7" i="8"/>
  <c r="K6" i="8"/>
  <c r="K5" i="8"/>
  <c r="K8" i="11"/>
  <c r="K7" i="11"/>
  <c r="K6" i="11"/>
  <c r="K5" i="11"/>
  <c r="K27" i="7"/>
  <c r="K28" i="7"/>
  <c r="K16" i="7"/>
  <c r="K48" i="5"/>
  <c r="K12" i="5"/>
  <c r="K11" i="5"/>
  <c r="K30" i="5"/>
  <c r="K18" i="5"/>
  <c r="K50" i="5"/>
  <c r="K38" i="5"/>
  <c r="K26" i="5"/>
  <c r="K14" i="5"/>
  <c r="K16" i="5"/>
  <c r="K40" i="5"/>
  <c r="K28" i="5"/>
  <c r="K64" i="4"/>
  <c r="K52" i="4"/>
  <c r="K40" i="4"/>
  <c r="K28" i="4"/>
  <c r="K16" i="4"/>
  <c r="K63" i="4"/>
  <c r="K51" i="4"/>
  <c r="K39" i="4"/>
  <c r="K27" i="4"/>
  <c r="K15" i="4"/>
  <c r="K56" i="3"/>
  <c r="K44" i="3"/>
  <c r="K32" i="3"/>
  <c r="K20" i="3"/>
  <c r="K8" i="3"/>
  <c r="K50" i="3"/>
  <c r="K38" i="3"/>
  <c r="K14" i="3"/>
  <c r="K11" i="3"/>
  <c r="K30" i="3"/>
  <c r="K52" i="3"/>
  <c r="K40" i="3"/>
  <c r="K28" i="3"/>
  <c r="K16" i="3"/>
  <c r="K16" i="1"/>
  <c r="K12" i="1"/>
  <c r="K6" i="2"/>
  <c r="K76" i="2"/>
  <c r="K64" i="2"/>
  <c r="K52" i="2"/>
  <c r="K40" i="2"/>
  <c r="K28" i="2"/>
  <c r="K16" i="2"/>
  <c r="E26" i="7"/>
  <c r="E25" i="7"/>
  <c r="E24" i="7"/>
  <c r="E23" i="7"/>
  <c r="E48" i="5"/>
  <c r="E6" i="5"/>
  <c r="E34" i="4"/>
  <c r="E32" i="4"/>
  <c r="E29" i="4"/>
  <c r="E24" i="4"/>
  <c r="E20" i="4"/>
  <c r="E40" i="3"/>
  <c r="E21" i="3"/>
  <c r="E26" i="1"/>
  <c r="E25" i="1"/>
  <c r="E13" i="1"/>
  <c r="E80" i="2"/>
  <c r="E42" i="2"/>
  <c r="E38" i="2"/>
  <c r="E20" i="2" l="1"/>
  <c r="E19" i="2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I4" i="8"/>
  <c r="H4" i="8"/>
  <c r="J4" i="8" s="1"/>
  <c r="A4" i="7"/>
  <c r="I4" i="11"/>
  <c r="H4" i="11"/>
  <c r="J4" i="11" s="1"/>
  <c r="A4" i="4"/>
  <c r="A4" i="3"/>
  <c r="K4" i="8" l="1"/>
  <c r="J11" i="11"/>
  <c r="K4" i="11"/>
  <c r="H11" i="11"/>
  <c r="I11" i="11"/>
  <c r="A4" i="1"/>
  <c r="A4" i="2"/>
  <c r="K11" i="11" l="1"/>
  <c r="H10" i="8"/>
  <c r="I10" i="8"/>
  <c r="E23" i="3"/>
  <c r="E18" i="5"/>
  <c r="K10" i="8" l="1"/>
  <c r="J10" i="8"/>
  <c r="E4" i="1"/>
  <c r="E28" i="7" l="1"/>
  <c r="E20" i="7" l="1"/>
  <c r="E28" i="5"/>
  <c r="E26" i="5"/>
  <c r="E7" i="5"/>
  <c r="E4" i="5"/>
  <c r="E50" i="4"/>
  <c r="E8" i="4"/>
  <c r="E7" i="4"/>
  <c r="E6" i="4"/>
  <c r="E5" i="4"/>
  <c r="E4" i="4"/>
  <c r="E20" i="3"/>
  <c r="E6" i="3"/>
  <c r="E5" i="3"/>
  <c r="E61" i="2"/>
  <c r="E39" i="2"/>
  <c r="E7" i="7" l="1"/>
  <c r="E11" i="5"/>
  <c r="E34" i="3"/>
  <c r="E76" i="2"/>
  <c r="E70" i="2"/>
  <c r="E36" i="2"/>
  <c r="E12" i="2"/>
  <c r="E11" i="2"/>
  <c r="E21" i="7" l="1"/>
  <c r="E17" i="7"/>
  <c r="E15" i="7"/>
  <c r="E14" i="7"/>
  <c r="E13" i="7"/>
  <c r="E37" i="5"/>
  <c r="E36" i="5"/>
  <c r="E55" i="4"/>
  <c r="E48" i="4"/>
  <c r="E38" i="4"/>
  <c r="E36" i="4"/>
  <c r="E33" i="4"/>
  <c r="E28" i="4"/>
  <c r="E25" i="4"/>
  <c r="E49" i="3"/>
  <c r="E46" i="3"/>
  <c r="E38" i="3"/>
  <c r="E17" i="3"/>
  <c r="E12" i="3"/>
  <c r="E24" i="1"/>
  <c r="E19" i="1"/>
  <c r="E15" i="1"/>
  <c r="E11" i="1"/>
  <c r="E6" i="1"/>
  <c r="E23" i="2"/>
  <c r="E21" i="2"/>
  <c r="E18" i="2"/>
  <c r="E17" i="2"/>
  <c r="E29" i="5" l="1"/>
  <c r="E27" i="5"/>
  <c r="E21" i="5"/>
  <c r="E14" i="5"/>
  <c r="E5" i="5"/>
  <c r="E57" i="4"/>
  <c r="E47" i="3"/>
  <c r="E41" i="3"/>
  <c r="E36" i="3"/>
  <c r="E27" i="3"/>
  <c r="E18" i="3"/>
  <c r="E63" i="2"/>
  <c r="E30" i="2"/>
  <c r="E8" i="2"/>
  <c r="E5" i="2"/>
  <c r="E4" i="2"/>
  <c r="E46" i="5" l="1"/>
  <c r="E22" i="5"/>
  <c r="E20" i="5"/>
  <c r="E10" i="5"/>
  <c r="E49" i="4"/>
  <c r="E19" i="4"/>
  <c r="E44" i="3"/>
  <c r="E39" i="3"/>
  <c r="E32" i="3"/>
  <c r="E22" i="3"/>
  <c r="E72" i="2"/>
  <c r="E50" i="2"/>
  <c r="E41" i="2"/>
  <c r="E51" i="5" l="1"/>
  <c r="E15" i="5"/>
  <c r="E12" i="5"/>
  <c r="E9" i="4"/>
  <c r="E22" i="2" l="1"/>
  <c r="E9" i="7" l="1"/>
  <c r="E6" i="7"/>
  <c r="E8" i="5"/>
  <c r="E71" i="2"/>
  <c r="E22" i="7" l="1"/>
  <c r="E13" i="5"/>
  <c r="E65" i="4"/>
  <c r="E53" i="4"/>
  <c r="E31" i="3" l="1"/>
  <c r="E30" i="3"/>
  <c r="E19" i="3"/>
  <c r="E20" i="1"/>
  <c r="E17" i="1"/>
  <c r="E62" i="2"/>
  <c r="E26" i="2"/>
  <c r="E10" i="7" l="1"/>
  <c r="E31" i="4"/>
  <c r="E23" i="1"/>
  <c r="E18" i="1"/>
  <c r="E8" i="1"/>
  <c r="I4" i="7" l="1"/>
  <c r="H4" i="7"/>
  <c r="H4" i="5"/>
  <c r="I4" i="5"/>
  <c r="I4" i="4"/>
  <c r="H4" i="4"/>
  <c r="J4" i="4" s="1"/>
  <c r="I4" i="2"/>
  <c r="H4" i="2"/>
  <c r="J4" i="2" s="1"/>
  <c r="I4" i="1"/>
  <c r="H4" i="1"/>
  <c r="J4" i="1" s="1"/>
  <c r="H29" i="7" l="1"/>
  <c r="K4" i="4"/>
  <c r="I29" i="7"/>
  <c r="J4" i="7"/>
  <c r="J29" i="7" s="1"/>
  <c r="H52" i="5"/>
  <c r="I52" i="5"/>
  <c r="J4" i="5"/>
  <c r="K4" i="5" s="1"/>
  <c r="H57" i="3"/>
  <c r="H81" i="2"/>
  <c r="H68" i="4"/>
  <c r="K4" i="2"/>
  <c r="I27" i="1"/>
  <c r="J27" i="1"/>
  <c r="H27" i="1"/>
  <c r="K4" i="1"/>
  <c r="K4" i="7" l="1"/>
  <c r="K29" i="7" s="1"/>
  <c r="I57" i="3"/>
  <c r="J57" i="3"/>
  <c r="K52" i="5"/>
  <c r="J52" i="5"/>
  <c r="I68" i="4"/>
  <c r="J68" i="4"/>
  <c r="K81" i="2"/>
  <c r="I81" i="2"/>
  <c r="J81" i="2"/>
  <c r="K27" i="1"/>
  <c r="K68" i="4" l="1"/>
  <c r="K57" i="3"/>
  <c r="J4" i="12" l="1"/>
  <c r="J31" i="12" s="1"/>
  <c r="K4" i="12"/>
  <c r="K31" i="12" s="1"/>
</calcChain>
</file>

<file path=xl/sharedStrings.xml><?xml version="1.0" encoding="utf-8"?>
<sst xmlns="http://schemas.openxmlformats.org/spreadsheetml/2006/main" count="1204" uniqueCount="780">
  <si>
    <t>Załącznik 1A do SWZ</t>
  </si>
  <si>
    <t>Lp.</t>
  </si>
  <si>
    <t>Nazwa</t>
  </si>
  <si>
    <t>Szczegółowy opis techniczny przedmiotu zamówienia</t>
  </si>
  <si>
    <t>J.M.</t>
  </si>
  <si>
    <t>Ilość</t>
  </si>
  <si>
    <t>Cena jednostkowa netto</t>
  </si>
  <si>
    <t>Stawka VAT</t>
  </si>
  <si>
    <t xml:space="preserve"> Jednostkowa kwota VAT</t>
  </si>
  <si>
    <t xml:space="preserve">Suma netto </t>
  </si>
  <si>
    <t>Suma VAT</t>
  </si>
  <si>
    <t>Suma brutto</t>
  </si>
  <si>
    <t xml:space="preserve">Nr katalogowy oferowanego towaru / nazwa producenta </t>
  </si>
  <si>
    <t>1.</t>
  </si>
  <si>
    <t xml:space="preserve">Bagietka szklana średnica 4-5 mm </t>
  </si>
  <si>
    <t>Bagietki wykonane ze szkła sodowo-wapniowego. Obie końcówki stopione. Średnica 4-5 mm, długość 200-250 mm</t>
  </si>
  <si>
    <t>Opakowanie = 1 sztuka</t>
  </si>
  <si>
    <t>2.</t>
  </si>
  <si>
    <t xml:space="preserve">Bagietka szklana średnica 7-8 mm </t>
  </si>
  <si>
    <t>Bagietki wykonane ze szkła sodowo-wapniowego. Obie końcówki stopione. Średnica 7-8 mm, długość 200-250 mm</t>
  </si>
  <si>
    <t>3.</t>
  </si>
  <si>
    <t xml:space="preserve">Bagietka szklana średnica 3-4 mm </t>
  </si>
  <si>
    <t>Bagietka  wykonana ze szkła borokrzemowego BORO 3.3, o średnicy 3-4 mm i długości 200-250 mm.</t>
  </si>
  <si>
    <t>4.</t>
  </si>
  <si>
    <t>Bagietka szklana średnica 4-5 mm</t>
  </si>
  <si>
    <t>Bagietka  wykonana ze szkła borokrzemowego BORO 3.3, o średnicy 4-5 mm i długości 200-250 mm.</t>
  </si>
  <si>
    <t>5.</t>
  </si>
  <si>
    <t xml:space="preserve">Bagietka szklana średnica 5-6 mm </t>
  </si>
  <si>
    <t>Bagietka  wykonana ze szkła borokrzemowego BORO 3.3, o średnicy 5-6 mm i długości 200-250 mm.</t>
  </si>
  <si>
    <t>6.</t>
  </si>
  <si>
    <t>7.</t>
  </si>
  <si>
    <t>Pipeta wielomiarowa  o poj. 2 ml</t>
  </si>
  <si>
    <t>Pipeta, szklana wielomiarowa kl "B" wykonana zgodnie z DIN 12696, skala brązowa. Tolerancja ±0,012  [ml], podziałka 0,020 [ml]. Pojemność 2 ml. Długość 350 mm.</t>
  </si>
  <si>
    <t>8.</t>
  </si>
  <si>
    <t>9.</t>
  </si>
  <si>
    <t>Pipeta jednomiarowa o poj. 15 ml</t>
  </si>
  <si>
    <t xml:space="preserve">Pipeta jednomiarowa kl AS wykonana wg DIN 12691 ISO 648. Oznaczona barwnym paskiem kodowym ,skalowana na Ex. Skala niebieska. Tolerancja  ±0,030 [ml]. Pojemność 15 ml. </t>
  </si>
  <si>
    <t>10.</t>
  </si>
  <si>
    <t>Opakowanie = 200 sztuk</t>
  </si>
  <si>
    <t>11.</t>
  </si>
  <si>
    <t>12.</t>
  </si>
  <si>
    <t>Butelka laboratoryjna z szeroką szyją oranżowa 50 ml</t>
  </si>
  <si>
    <t>Butelka gwintowana z szeroką szyjką - oranżowa - bez zakrętki 50 ml</t>
  </si>
  <si>
    <t>13.</t>
  </si>
  <si>
    <t>Butelka laboratoryjna z szeroką szyją oranżowa 100 ml</t>
  </si>
  <si>
    <t>Butelka gwintowana z szeroką szyjką - oranżowa - bez zakrętki 100 ml</t>
  </si>
  <si>
    <t>14.</t>
  </si>
  <si>
    <t>Butelka laboratoryjna z szeroką szyją oranżowa 250 ml</t>
  </si>
  <si>
    <t>Butelka gwintowana z szeroką szyjką - oranżowa - bez zakrętki 250 ml</t>
  </si>
  <si>
    <t>15.</t>
  </si>
  <si>
    <t>Butelka laboratoryjna z szeroką szyją oranżowa 500 ml</t>
  </si>
  <si>
    <t>Butelka laboratoryjna ze szkła Duran lub równoważnego z szeroką szyją – oranżowa 500 ml</t>
  </si>
  <si>
    <t>16.</t>
  </si>
  <si>
    <t>Butelka laboratoryjna z szeroką szyją oranżowa 1000 ml</t>
  </si>
  <si>
    <t>Butelka gwintowana z szeroką szyjką - oranżowa - bez zakrętki 1000 ml</t>
  </si>
  <si>
    <t>17.</t>
  </si>
  <si>
    <t>Butelka szklana z zakrętką 10 ml</t>
  </si>
  <si>
    <t xml:space="preserve">Butelka szklana ze szkła Simax lub Duran z niebieską nakrętką. Posiadająca dodatkowy pierścień wylewowy z PP oraz pole do opisu i skalę w kolorze białym. Autoklawowalna do 120°C.Materiał: Szkło neutralne. Gwint: GL 25 mm. Pojemność: 10 ml. </t>
  </si>
  <si>
    <t>18.</t>
  </si>
  <si>
    <t>Butelka szklana z zakrętką 25ml</t>
  </si>
  <si>
    <t xml:space="preserve">Butelka szklana ze szkła Simax lub Duran z niebieską nakrętką. Posiadająca pole do opisu i skalę w kolorze białym. Autoklawowalna do 120°C.Materiał: Szkło neutralne. Gwint: GL 25 mm. Pojemność: 10 ml. </t>
  </si>
  <si>
    <t>19.</t>
  </si>
  <si>
    <t>Butelka szklana z  zakrętką 50 ml</t>
  </si>
  <si>
    <t xml:space="preserve">Butelka szklana ze szkła Simax lub Duran z niebieską nakrętką. Posiadająca dodatkowy pierścieńwylewowy oraz pole do opisu i skalę w kolorze białym. Autoklawowalna do 120°C.Materiał: Szkło neutralne. Gwint: GL 32 mm. Pojemność: 50 ml. </t>
  </si>
  <si>
    <t>20.</t>
  </si>
  <si>
    <t>Butelka szklana z  zakrętką 100 ml</t>
  </si>
  <si>
    <t xml:space="preserve">Butelka szklana ze szkła Simax lub Duran z niebieską nakrętką. Posiadająca dodatkowy pierścień wylewowy oraz pole do opisu i skalę w kolorze białym. Autoklawowalna do 120°C.Materiał: Szkło neutralne. Gwint: GL 45 mm. Pojemność: 100 ml. </t>
  </si>
  <si>
    <t>21.</t>
  </si>
  <si>
    <t>Butelka szklana z zakrętką 250 ml</t>
  </si>
  <si>
    <t xml:space="preserve">Butelka szklana ze szkła Simax lub Duran z niebieską nakrętką. Posiadająca dodatkowy pierścień wylewowy oraz pole do opisu i skalę w kolorze białym. Autoklawowalna do 120°C.Materiał: Szkło neutralne. Gwint: GL 45 mm. Pojemność: 250 ml. </t>
  </si>
  <si>
    <t>22.</t>
  </si>
  <si>
    <t>Butelka szklana z zakrętką 500 ml</t>
  </si>
  <si>
    <t xml:space="preserve">Butelka szklana ze szkła Simax lub Duran z niebieską nakrętką. Posiadająca dodatkowy pierścień wylewowy oraz pole do opisu i skalę w kolorze białym. Autoklawowalna do 120°C.Materiał: Szkło neutralne. Gwint: GL 45 mm. Pojemność: 500 ml. </t>
  </si>
  <si>
    <t>23.</t>
  </si>
  <si>
    <t>Butelka szklana z zakrętką 1000 ml</t>
  </si>
  <si>
    <t xml:space="preserve">Butelka szklana ze szkła Simax lub Duran z niebieską nakrętką. Posiadająca dodatkowy pierścień wylewowy oraz pole do opisu i skalę w kolorze białym. Autoklawowalna do 120°C.Materiał: Szkło neutralne. Gwint: GL 45 mm. Pojemność: 1000 ml. </t>
  </si>
  <si>
    <t>24.</t>
  </si>
  <si>
    <t>Butelka laboratoryjna z zakrętką 1000 ml z szeroką szyjką</t>
  </si>
  <si>
    <t>Butelka laboratoryjna ze szkła typu Duran lub Simax z szeroką szyjką, z zakrętką, średnica 100-101 mm, wysokość 220-230 mm, pojemność 1000 ml. Gwint GLS 80.</t>
  </si>
  <si>
    <t>25.</t>
  </si>
  <si>
    <t>26.</t>
  </si>
  <si>
    <t>27.</t>
  </si>
  <si>
    <t>Butelka szklana ze szlifem i z pustym korkiem, z wąską szyją 100 ml</t>
  </si>
  <si>
    <t>Butelki ze szlifem, wąską szyjką. Wykonane ze szkła sodowo-wapniowego, wyposażone w szklane, puste korki. Pojemność 100 ml.</t>
  </si>
  <si>
    <t>28.</t>
  </si>
  <si>
    <t>Butelka szklana ze szlifem i z pustym korkiem, z wąską szyją 500ml</t>
  </si>
  <si>
    <t>Butelki ze szlifem, wąską szyjką. Wykonane ze szkła sodowo-wapniowego, wyposażone w szklane, puste korki. Pojemność 500 ml.</t>
  </si>
  <si>
    <t>29.</t>
  </si>
  <si>
    <t>Butelka szklana ze szlifem i z pustym korkiem, z wąską szyją 1000 ml</t>
  </si>
  <si>
    <t>Butelki ze szlifem, wąską szyjką. Wykonane ze szkła sodowo-wapniowego, wyposażone w szklane, puste korki. Pojemność 1000 ml.</t>
  </si>
  <si>
    <t>Butelka szklana ze szlifem i pełnym korkiem, z wąską szyją 100 ml</t>
  </si>
  <si>
    <t>Jasne butelki szklane z wąską szyjką. Ze szlifem NS i szklanymi, pełnymi korkami. Pojemność 100ml.</t>
  </si>
  <si>
    <t>31.</t>
  </si>
  <si>
    <t>Butelka szklana ze szlifem i pełnym korkiem, z wąską szyją 250 ml</t>
  </si>
  <si>
    <t>Jasne butelki szklane z wąską szyjką. Ze szlifem NS i szklanymi, pełnymi korkami. Pojemność 250ml.</t>
  </si>
  <si>
    <t>32.</t>
  </si>
  <si>
    <t>33.</t>
  </si>
  <si>
    <t>34.</t>
  </si>
  <si>
    <t>35.</t>
  </si>
  <si>
    <t>36.</t>
  </si>
  <si>
    <t>37.</t>
  </si>
  <si>
    <t>Termometr ze szlifem</t>
  </si>
  <si>
    <t>Typ zamknięty, z bezbarwną pryzmatyczną kapilarą. Termometr ze szlifem do szlifu 14,5/23, Podziałka 1,0°C, Wysokość: 425 mm, Głębokość zanurzenia 152 mm, Zakres temperatur od -10 do 150°C, Posiada certyfikat DIN 12784</t>
  </si>
  <si>
    <t>38.</t>
  </si>
  <si>
    <t>39.</t>
  </si>
  <si>
    <t>40.</t>
  </si>
  <si>
    <t>Cylinder miarowy kl. A 50 ml</t>
  </si>
  <si>
    <t>Szklany cylinder miarowy z podstawą sześciokątną, klasa A. Toleracja ±0,5 ml.
Skala niebieska. Zgodny z DIN 12680 ISO 4788. Wykonany ze szkła borokrzemowego 3.3.Pojemność: 50 ml.</t>
  </si>
  <si>
    <t>41.</t>
  </si>
  <si>
    <t>Cylinder miarowy kl. A 100 ml</t>
  </si>
  <si>
    <t>Szklany cylinder miarowy z podstawą sześciokątną, klasa A.. Toleracja ±0,5 ml
Skala niebieska. Zgodny z DIN 12680 ISO 4788. Wykonany ze szkła borokrzemowego 3.3. Pojemność: 100ml.</t>
  </si>
  <si>
    <t>42.</t>
  </si>
  <si>
    <t>Cylinder miarowy kl. B 10 ml</t>
  </si>
  <si>
    <t>Szklany cylinder miarowy z podstawą sześciokątną, klasa B.
 Skala brązowa.Tolerancja ±0,2 ml. . Wykonany ze szkła borokrzemowego 3.3. Pojemność: 10 ml.</t>
  </si>
  <si>
    <t>43.</t>
  </si>
  <si>
    <t>Cylinder miarowy kl. B 50 ml</t>
  </si>
  <si>
    <t>Szklany cylinder miarowy z podstawą sześciokątną, klasa B.
 Skala brązowa.Tolerancja ±1 ml. . Wykonany ze szkła borokrzemowego 3.3. Pojemność: 50 ml.</t>
  </si>
  <si>
    <t>44.</t>
  </si>
  <si>
    <t>Cylinder miarowy kl. B 100 ml</t>
  </si>
  <si>
    <t>Szklany cylinder miarowy z podstawą sześciokątną, klasa B.
 Skala brązowa.Tolerancja ±1 ml. . Wykonany ze szkła borokrzemowego 3.3. Pojemność: 100 ml.</t>
  </si>
  <si>
    <t>45.</t>
  </si>
  <si>
    <t>46.</t>
  </si>
  <si>
    <t>Eksykator z tubusem w pokrywie</t>
  </si>
  <si>
    <t>Eksykator z kranem Średnica: 240 mm,  Wys. zew.: 360 mm, porcelanowa płytka w komplecie</t>
  </si>
  <si>
    <t>47.</t>
  </si>
  <si>
    <t>Fiolki z zakrętką  5 ml</t>
  </si>
  <si>
    <t>fiolki z zakrętką , o pojemności 5 ml, wykonane z z przeźroczystego szkła, wymiary: średnica 20mm, wysokość 41 mm, średnica szyjki: 18 mm</t>
  </si>
  <si>
    <t>Opakowanie = 100 sztuk</t>
  </si>
  <si>
    <t>Fiolki z zakrętką 10 ml</t>
  </si>
  <si>
    <t>fiolki z zakrętką , o pojemności 10ml, wykonane z z przeźroczystego szkła, wymiary: średnica 20 mm, wysokość 55mm, średnica szyjki: 18 mm</t>
  </si>
  <si>
    <t>Fiolki z zakrętką 15 ml</t>
  </si>
  <si>
    <t>fiolki z zakrętką , o pojemności 15ml, wykonane z z przeźroczystego szkła, wymiary: średnica 27mm, wysokość 45mm, średnica szyjki: 25 mm</t>
  </si>
  <si>
    <t>Fiolki z zakrętką 20 ml</t>
  </si>
  <si>
    <t>fiolki z zakrętką , o pojemności 20ml, wykonane z z przeźroczystego szkła, wymiary: średnica 27mm, wysokość 50mm, średnica szyjki: 25 mm</t>
  </si>
  <si>
    <t>Kolba filtracyjna z tubusem szklanym</t>
  </si>
  <si>
    <t>Kolba filtracyjna z tubusem szklanym Pojemność: 500 ml</t>
  </si>
  <si>
    <t>Kolba miarowa 100 ml</t>
  </si>
  <si>
    <r>
      <t>Szklana kolba miarowa klasy "A" . Posiadająca korek z PP na  szlif 14/23.
Nadruk niebieski. Zgodna z normą ISO 1042. Wykonana ze szkła borokrzemowego 3.3. Toleracja ±0,1 ml</t>
    </r>
    <r>
      <rPr>
        <sz val="7.7"/>
        <rFont val="Times New Roman"/>
        <family val="1"/>
        <charset val="238"/>
      </rPr>
      <t xml:space="preserve">. </t>
    </r>
    <r>
      <rPr>
        <sz val="11"/>
        <rFont val="Times New Roman"/>
        <family val="1"/>
        <charset val="238"/>
      </rPr>
      <t>Pojemność:100 ml.</t>
    </r>
  </si>
  <si>
    <t>Kolba miarowa 1000 ml</t>
  </si>
  <si>
    <t>Szklana kolba miarowa klasy "A" . Posiadająca korek z PP na  szlif 24/29.
Nadruk niebieski. Zgodna z normą ISO 1042. Wykonana ze szkła borokrzemowego 3.3. Toleracja ±0,4 ml. Pojemność: 1000 ml.</t>
  </si>
  <si>
    <t>Kolba miarowa 2000 ml</t>
  </si>
  <si>
    <t>Krystalizator z wylewem 200ml</t>
  </si>
  <si>
    <t>Krystalizator szklany z wylewem. Zgodny z  DIN 12338, ISO 3585 . Wykonany ze szkła borokrzemowego 3.3. Średnica 90-95 mm, wysokość 50-55 mm. Pojemność: 200 ml.</t>
  </si>
  <si>
    <t>Krystalizator z wylewem 650 ml</t>
  </si>
  <si>
    <t>Krystalizator szklany z wylewem 650 ml. Wymiary: 130-140 mm x70-75 mm. Wykonane z wysokiej jakości szkła borokrzemowego produkcji czeskiej. Odporne na działanie kwasów, zasad oraz wysokiej temperatury. Zgodne z normami ISO 3585, DIN 12 338, PN 70 0121.</t>
  </si>
  <si>
    <t>Krystalizator z wylewem 1600 ml</t>
  </si>
  <si>
    <t>Krystalizator z wylewem Pojemność: 1600ml  Średnica: 190-200 mm  Wys.: 80-90 mm Nr-art. S-1848</t>
  </si>
  <si>
    <t>Lejek ze szkła wapniowo-sodowego 30 mm</t>
  </si>
  <si>
    <t>Lejek ze szkła wapniowo-sodowego Średnica: 30 mm Długość trzonka: 30 mm</t>
  </si>
  <si>
    <t>Lejek ze szkła wapniowo-sodowego 55 mm</t>
  </si>
  <si>
    <t>Lejek ze szkła wapniowo-sodowego Średnica: 55 mm Długość trzonka: 55 mm</t>
  </si>
  <si>
    <t>Lejek ze szkła wapniowo-sodowego 70 mm</t>
  </si>
  <si>
    <t>Lejki ze szkła wapniowo-sodowego. Kąt 60°. Z krótkim trzonkiem. Średnica 70 mm, długość trzonka 70 mm.</t>
  </si>
  <si>
    <t>Lejek ze szkła wapniowo-sodowego 100 mm</t>
  </si>
  <si>
    <t>Lejek ze szkła wapniowo-sodowego Średnica: 100 mm Długość trzonka: 100 mm</t>
  </si>
  <si>
    <t>Lejek ze szkła borokrzemowego 40 mm</t>
  </si>
  <si>
    <t>Lejek laboratoryjny wykonany ze szkła borokrzemowego 3.3. Średnica lejka 40 mm. Kąt rozwarcia 60°. Wysokość 80-100 mm</t>
  </si>
  <si>
    <t>Lejek ze szkła borokrzemowego 75 mm</t>
  </si>
  <si>
    <t>Lejek laboratoryjny wykonany ze szkła borokrzemowego 3.3. Średnica lejka 75 mm. Kąt rozwarcia 60°. Wysokość 150-180 mm.</t>
  </si>
  <si>
    <t>Lejek ze szkła borokrzemowego 90 mm</t>
  </si>
  <si>
    <t>Lejek laboratoryjny wykonany ze szkła borokrzemowego 3.3. Średnica lejka 90 mm. Kąt rozwarcia 60°. Wysokość 180-200 mm.</t>
  </si>
  <si>
    <t>Łopatka szklana do mieszania, długość 100 mm</t>
  </si>
  <si>
    <t>Łopatka do mieszania wykonana ze szkła borokrzemowego. Do optymalnego przygotowywania próbek. Masywna. Długość 100 mm</t>
  </si>
  <si>
    <t>Opakowanie = 10 sztuk</t>
  </si>
  <si>
    <t>Szalki Petriego 40 mm</t>
  </si>
  <si>
    <t>Szalki Petriego Steriplan® lub równoważne. Wykonana ze szkła sodowo-wapniowego. Podstawa i przykrywka są całkowicie płaskie, zwarte i pozbawione ostrych krawędzi wewnętrznych i zewnętrznych. Średnica: 40 mm, Wysokość: 12 mm</t>
  </si>
  <si>
    <t>Szalki Petriego 60 mm</t>
  </si>
  <si>
    <t>Szalki Petriego Steriplan® lub równoważne. Wykonana ze szkła sodowo-wapniowego. Podstawa i przykrywka są całkowicie płaskie, zwarte i pozbawione ostrych krawędzi wewnętrznych i zewnętrznych. Średnica górna 60 mm, Wysokość 15 mm.</t>
  </si>
  <si>
    <t>Opakowanie = 10 sztuka</t>
  </si>
  <si>
    <t>Szalki Petriego 100 mm</t>
  </si>
  <si>
    <t>Szalki Petriego Steriplan® lub równoważneWykonana ze szkła sodowo-wapniowego. Podstawa i przykrywka są całkowicie płaskie, zwarte i pozbawione ostrych krawędzi wewnętrznych i zewnętrznych. Średnica górna 100 mm, Wysokość 15 mm.</t>
  </si>
  <si>
    <t>Szalki Petriego 150 mm</t>
  </si>
  <si>
    <t xml:space="preserve">Szalki Petriego Steriplan® lub równoważneWykonana ze szkła sodowo-wapniowego. Podstawa i przykrywka są całkowicie płaskie, zwarte i pozbawione ostrych krawędzi wewnętrznych i zewnętrznych. Średnica: 150 mm, Wysokość: 25 mm </t>
  </si>
  <si>
    <t>Szkiełka nakrywkowe</t>
  </si>
  <si>
    <t xml:space="preserve">Szkiełka nakrywkowe – kwadratowe. Rozmiar: 18x18, Grubość: 0,13-0,17 mm. </t>
  </si>
  <si>
    <t>Opakowanie = 100 szt.</t>
  </si>
  <si>
    <t>Okrągłe szkiełka nakrywkowe wykonane ze szkła borokrzemowego o grubości od 0,13 do 0,16 mm. Najwyższa trwałość hydrolityczna. Znakomicie nadają się do zastosowania w mikroskopii fluorescencyjnej. Posiadają znak CE. Zgodne z normą DIN ISO 8255-1. Średnica 12 mm</t>
  </si>
  <si>
    <t>Szkiełka podstawowe pokryte polilizyną</t>
  </si>
  <si>
    <t>Szkiełka podstawowe pokryte polilizyną. Z krawędziami szlifowanymi pod kątem 90°. Posiadają białe pole do opisu. Świeże bądź zamrożone fragmenty tkanki lub parafinowe fragmenty tkanki i rozmazy cytologiczne zostają elektrostatycznie i chemicznie związane z powierzchnią szkła. Wymiary: 75 x 25 mm; grubość 1 mm.</t>
  </si>
  <si>
    <t>Opakowanie = 72 sztuk</t>
  </si>
  <si>
    <t>Zlewka niska 5 ml</t>
  </si>
  <si>
    <t>Zlewka niska z wylewem.
Posiadająca pole do opisu i skalę w kolorze białym. Zgodna z  ISO 3819, DIN 12331. Wykonana ze  szkła borokrzemowego 3.3. Pojemność: 5 ml.</t>
  </si>
  <si>
    <t>Zlewka niska 10 ml</t>
  </si>
  <si>
    <t>Zlewka niska z wylewem.
Posiadająca pole do opisu i skalę w kolorze białym. Zgodna z  ISO 3819, DIN 12331. Wykonana ze  szkła borokrzemowego 3.3. Pojemność: 10 ml.</t>
  </si>
  <si>
    <t>Zlewka niska  50 ml</t>
  </si>
  <si>
    <t>Zlewka niska z wylewem.Posiadająca pole do opisu i skalę w kolorze białym. Zgodna z  ISO 3819, DIN 12331. Wykonana ze  szkła borokrzemowego 3.3. Pojemność: 50 ml.</t>
  </si>
  <si>
    <t>Zlewka niska 100 ml</t>
  </si>
  <si>
    <t>Zlewka niska z wylewem. Posiadająca pole do opisu i skalę w kolorze białym. Zgodna z  ISO 3819, DIN 12331. Wykonana ze  szkła borokrzemowego 3.3. Pojemność: 100 ml.</t>
  </si>
  <si>
    <t>Zlewka niska 150 ml</t>
  </si>
  <si>
    <t>Zlewka niska z wylewem.
Posiadająca pole do opisu i skalę w kolorze białym. Zgodna z  ISO 3819, DIN 12331. Wykonana ze  szkła borokrzemowego 3.3. Pojemność: 150 ml.</t>
  </si>
  <si>
    <t>Zlewka niska  250 ml</t>
  </si>
  <si>
    <t>Zlewka niska z wylewem. Posiadająca pole do opisu i skalę w kolorze białym. Zgodna z  ISO 3819, DIN 12331. Wykonana ze  szkła borokrzemowego 3.3. Pojemność: 250 ml.</t>
  </si>
  <si>
    <t>Zlewka niska 500 ml</t>
  </si>
  <si>
    <t>Zlewka niska z wylewem.Posiadająca pole do opisu i skalę w kolorze białym. Zgodna z  ISO 3819, DIN 12331. Wykonana ze  szkła borokrzemowego 3.3. Pojemność: 500 ml.</t>
  </si>
  <si>
    <t>Zlewka niska 600 ml</t>
  </si>
  <si>
    <t>Zlewka niska z wylewem.Posiadająca pole do opisu i skalę w kolorze białym. Zgodna z  ISO 3819, DIN 12331. Wykonana ze  szkła borokrzemowego 3.3. Pojemność: 600 ml.</t>
  </si>
  <si>
    <t>Zlewka niska 1000 ml</t>
  </si>
  <si>
    <t>Zlewka niska z wylewem.Posiadająca pole do opisu i skalę w kolorze białym. Zgodna z  ISO 3819, DIN 12331. Wykonana ze  szkła borokrzemowego 3.3. Pojemność: 1000 ml.</t>
  </si>
  <si>
    <t>SUMA</t>
  </si>
  <si>
    <t>XXXXXXXX</t>
  </si>
  <si>
    <t>Filtry strzykawkowe PES</t>
  </si>
  <si>
    <t xml:space="preserve">Filtry do strzykawek o śr. 33 mm. z membraną z PES (sterylne). Śr. Porów 0,22 µm. 50 szt.  </t>
  </si>
  <si>
    <t>Opakowanie = 50 sztuk</t>
  </si>
  <si>
    <t xml:space="preserve">Filtry do strzykawek o śr. 25 mm. z membraną z PES (sterylne). Śr. Porów 0.22 µm. </t>
  </si>
  <si>
    <t>Filtry strzykawkowe PTFE</t>
  </si>
  <si>
    <t xml:space="preserve">Filtry do strzykawek niesterylne o śr. 13-17 mm. z membraną z PTFE. Śr. porów: 0,2-0,22 μm. Obudowa: PE/PP. </t>
  </si>
  <si>
    <t xml:space="preserve">Filtry do strzykawek niesterylne o śr. 13-17 mm. z membraną z PTFE. Śr. porów: 0,4-0,45 μm. Obudowa: PE/PP. </t>
  </si>
  <si>
    <t>Opakowanie = 400 sztuk</t>
  </si>
  <si>
    <t>Filtr PTFE do pipetora</t>
  </si>
  <si>
    <t>Filtr membranowy 0.2 µm – sterylny. do pipetora.</t>
  </si>
  <si>
    <t>Filtry strzykawkowe MCE</t>
  </si>
  <si>
    <t>Sterylne filtry strzykawkowe. Membrana wykonana z mieszanych estrów celulozy (MCE). Do filtracji roztworów wodnych (śr. porów 0,22 µm) Obudowa z modyfikowanego akrylu.</t>
  </si>
  <si>
    <t>Sączki ilościowe</t>
  </si>
  <si>
    <t>Bezpopiołowa bibuła filtracyjna (szybka) - 100% celuloza, substancja wiążąca: brak, Zawartość popiołu 0,007%,  średnica 55 mm, grubość 0,17 mm, wielkość porów 8-12 μm.</t>
  </si>
  <si>
    <t xml:space="preserve">Opakowanie = 100 sztuk </t>
  </si>
  <si>
    <t>Kuweta UV mikro ze szkła kwarcowego</t>
  </si>
  <si>
    <t>Kuweta UV mikro ze szkła kwarcowego. Pojemność 0,7 ml. Długość drogi optycznej 10 mm, wymiary 45 mm x 12,5 mm x 12,5 mm</t>
  </si>
  <si>
    <t>1 szt.</t>
  </si>
  <si>
    <t>opakowanie = 100 sztuk</t>
  </si>
  <si>
    <t>Zestaw fiolki z nakrętkami do autosamplera</t>
  </si>
  <si>
    <t>Fiolki szklane ND9 (100 szt.), przeźroczyste, z polem do opisu, o wymiarach śr. 12 x wys. 32 mm  i pojemności 2 ml, w zestawie z kompatybilnymi niebieskimi nakrętkami (100 szt.) z otworem z septą PTFE/silikon, fiolki kompatybilne z autosmplereem Agilent serii 1200</t>
  </si>
  <si>
    <t>opakowanie = zestaw 100 sztuk fiolek + 100 sztuk nakrętek</t>
  </si>
  <si>
    <t>Strzykawki jednorazowe sterylna o pojemności 1 ml</t>
  </si>
  <si>
    <t>Opakowanie=100 sztuk</t>
  </si>
  <si>
    <t>Strzykawki jednorazowe - zielone - końcówka typu Luer 2 ml - sterylne</t>
  </si>
  <si>
    <t>Strzykawki dwuczęściowe. Cylinder wykonany z PP, tłok z PE. Zielone, z czarną podziałką, przekraczającą pojemność nominalną (3 ml). Sterylizowane tlenkiem etylenu. Pakowane indywidualnie. Nie zawierają silikonu, lateksu i polichlorku winylu. </t>
  </si>
  <si>
    <t>Strzykawki jednorazowe - zielone - końcówka typu Luer 5 ml - sterylne</t>
  </si>
  <si>
    <t>Strzykawki dwuczęściowe. Cylinder wykonany z PP, tłok z PE. Zielone, z czarną podziałką, przekraczającą pojemność nominalną (6 ml). Sterylizowane tlenkiem etylenu. Pakowane indywidualnie. Nie zawierają silikonu, lateksu i polichlorku winylu</t>
  </si>
  <si>
    <t>Strzykawki jednorazowe - zielone - końcówka typu Luer 10 ml - sterylne</t>
  </si>
  <si>
    <t>Strzykawki dwuczęściowe. Cylinder wykonany z PP, tłok z PE. Zielone, z czarną podziałką, przekraczającą pojemność nominalną (12 ml). Sterylizowane tlenkiem etylenu. Pakowane indywidualnie. Nie zawierają silikonu, lateksu i polichlorku winylu. </t>
  </si>
  <si>
    <t>Strzykawki jednorazowe - zielone - końcówka typu Luer 20  ml - sterylne</t>
  </si>
  <si>
    <t>Strzykawki dwuczęściowe. Cylinder wykonany z PP, tłok z PE. Zielone, z czarną podziałką, przekraczającą pojemność nominalną (24 ml). Sterylizowane tlenkiem etylenu. Pakowane indywidualnie. Nie zawierają silikonu, lateksu i polichlorku winylu. </t>
  </si>
  <si>
    <t>Specjalne strzykawki z końcówką BD Luer-Lock - sterylne, Pojemność: 5 ml</t>
  </si>
  <si>
    <t>Igły do strzykawek</t>
  </si>
  <si>
    <t>Igły do strzykawek 21G , Długość: 1 ½ cala. .</t>
  </si>
  <si>
    <t xml:space="preserve">Igły do strzykawek </t>
  </si>
  <si>
    <t>Igły do strzykawek 18G , Długość: 1 ½ cala. .</t>
  </si>
  <si>
    <t>Chusteczki czyszczące do soczewek</t>
  </si>
  <si>
    <t>Chusteczki wykonane z niestrzępiącego się papieru, nadają się do czyszczenia soczewek, przyrządów optycznych, obiektywów itp. Nie rysują czyszczonych powierzchni. Wymiary 100 x 150 mm</t>
  </si>
  <si>
    <t>Ręczniki do delikatnych powierzchni</t>
  </si>
  <si>
    <t xml:space="preserve">Neutralne chemicznie. Doskonale wchłaniają niewielkie ilości płynów. Nadają się także do osuszania naczyń, pipet lub szkiełek podstawowych. Oferowane w kartonowych pudełkach. Wymiary: 20,5x20 cm. </t>
  </si>
  <si>
    <t>Opakowanie = 200 szt.</t>
  </si>
  <si>
    <t>xxxxxxxx</t>
  </si>
  <si>
    <t>Mieszadełko magnetyczne 8x1,5 mm</t>
  </si>
  <si>
    <t>Mieszadełko magnetyczne pokryte PTFE 8x1,5mm</t>
  </si>
  <si>
    <t>Mieszadełko magnetyczne 8x3 mm</t>
  </si>
  <si>
    <t>Mieszadełko magnetyczne pokryte  PTFE 8x3mm</t>
  </si>
  <si>
    <t>Mieszadełko magnetyczne 12x4,5-5 mm</t>
  </si>
  <si>
    <t>Mieszadełko magnetyczne pokryte PTFE 12x4,5-5 mm</t>
  </si>
  <si>
    <t>Mieszadełko magnetyczne 10x6 mm</t>
  </si>
  <si>
    <t>Mieszadełko magnetyczne pokryte PTFE 10x6 mm</t>
  </si>
  <si>
    <t>Mieszadełko magnetyczne 15x6 mm</t>
  </si>
  <si>
    <t>Mieszadełko magnetyczne pokryte  PTFE 15x6 mm</t>
  </si>
  <si>
    <t>Mieszadełko magnetyczne 20x8 mm</t>
  </si>
  <si>
    <t>Mieszadełko magnetyczne pokryte PTFE 20x8 mm</t>
  </si>
  <si>
    <t>Mieszadełko magnetyczne 25x8 mm</t>
  </si>
  <si>
    <t>Mieszadełko magnetyczne pokryte  PTFE 25x8 mm</t>
  </si>
  <si>
    <t>Mieszadełko magnetyczne 30x8 mm</t>
  </si>
  <si>
    <t>Mieszadełko magnetyczne pokryte PTFE 30x8 mm</t>
  </si>
  <si>
    <t>Mieszadełko magnetyczne 50x8 mm</t>
  </si>
  <si>
    <t>Mieszadełko magnetyczne pokryte  PTFE 50x8 mm</t>
  </si>
  <si>
    <t>Mieszadełko magnetyczne kształt krzyżowy 10x5 mm</t>
  </si>
  <si>
    <t>Mieszadełko magnetyczne pokryte PTFE. Wymiary: średnica 10mm,  wys. 5 mm  Kształt: krzyżowy</t>
  </si>
  <si>
    <t>Mieszadełko magnetyczne z pierścieniem na środku 12-13x8 mm</t>
  </si>
  <si>
    <t>Mieszadełko magnetyczne pokryte PTFE. Długość x średnica: 12-13x8 mm. Autoklawowalne.</t>
  </si>
  <si>
    <t>Pęseta prosta końcówki półokrągłe 105 mm</t>
  </si>
  <si>
    <t>Pęseta z końcówkami półokrąłymi wykonana ze stali nierdzewnej.  Długość 105 mm</t>
  </si>
  <si>
    <t>Pęseta prosta końcówki półokrągłe 130 mm</t>
  </si>
  <si>
    <t>Pęseta z końcówkami półokrąłymi wykonana ze stali nierdzewnej. Długość 130 mm</t>
  </si>
  <si>
    <t>Pęseta prosta końcówki półokrągłe 200mm</t>
  </si>
  <si>
    <t>Pęseta z końcówkami półokrąłymi wykonana ze stali nierdzewnej. Długość 200 mm</t>
  </si>
  <si>
    <t>Pęseta prosta  końcówki półokrągłe 300mm</t>
  </si>
  <si>
    <t>Pęseta z końcówkami półokrąłymi wykonana ze stali nierdzewnej. Długość 300 mm</t>
  </si>
  <si>
    <t>Pęseta prosta końcówki ostre 105 mm</t>
  </si>
  <si>
    <t>Pęseta z końcówkami ostrymi. Wykonana ze stali nierdzewnej. Długość 105 mm</t>
  </si>
  <si>
    <t>Pęseta prosta końcówki ostre 115 mm</t>
  </si>
  <si>
    <t>Pęseta z końcówkami ostrymi. Wykonana ze stali nierdzewnej. Długość 115 mm</t>
  </si>
  <si>
    <t>Pęseta prosta końcówki ostre  145 mm</t>
  </si>
  <si>
    <t>Pęseta z końcówkami ostrymi. Wykonana ze stali nierdzewnej. Długość 145 mm</t>
  </si>
  <si>
    <t>Pęseta prosta końcówki ostre  180 mm</t>
  </si>
  <si>
    <t>Pęseta z końcówkami ostrymi. Wykonana ze stali nierdzewnej. Długość 180 mm</t>
  </si>
  <si>
    <t>Pęseta końcówki ostre  zagięte 105 mm</t>
  </si>
  <si>
    <t>Pęseta z końcówkami ostrymi zagiętymi. Wykonana ze stali nierdzewnej. Długość 105 mm</t>
  </si>
  <si>
    <t>Pęseta końcówki ostre zagięte  145mm</t>
  </si>
  <si>
    <t>Pęseta z końcówkami ostrymi zagiętymi. Wykonana ze stali nierdzewnj. Długość 145mm</t>
  </si>
  <si>
    <t>Pęseta końcówki ostre  zagięte 200 mm</t>
  </si>
  <si>
    <t>Pęseta z końcówkami ostrymi zagiętymi. Wykonana ze stali nierdzewnej. Długość 200 mm</t>
  </si>
  <si>
    <t>Pęseta precyzyjna, bardzo cienka końcówka długość 110 mm</t>
  </si>
  <si>
    <t>Precyzyjna pinceta wykonana z nierdzewnej stali szlachetnej. Z bardzo cienką końcówką. Prosta. Długość 110 mm</t>
  </si>
  <si>
    <t>Pęseta zagięta, cienka końcówka 200 mm</t>
  </si>
  <si>
    <t>Wykonana ze stali szlachetnej. Zagięta. Z cienką końcówką. Długość: 200 mm</t>
  </si>
  <si>
    <t>30.</t>
  </si>
  <si>
    <t>Zestaw pincet  szpiczastych ze stali nierdzewnej</t>
  </si>
  <si>
    <t>Zestaw zawierający 5 pęset laboratoryjnych o różnych kształtach: 2 pincety proste, 2 zaokrąglone i jedna zakrzywiona (np. do trzymania szkiełek podstawowych). Wszystkie ze szpiczastymi końcówkami.</t>
  </si>
  <si>
    <t>Opakowanie = 5 sztuk</t>
  </si>
  <si>
    <t>Szczypce do tygli  300 mm</t>
  </si>
  <si>
    <t>Szczypce do tygli ze stali nierdzewnej. Długość 300 mm</t>
  </si>
  <si>
    <t>Szpatułko-łyżeczka 120 mm</t>
  </si>
  <si>
    <t>Łyżeczka - szpatułka chemiczna z jednej strony zakończona łyżeczką, z drugiej szpatułką. Wykonana z ze stali szlachetnej, polerowana. Wymiary łyżeczki (dł. x szer.) 31x23 mm, wymiary szpatułki (dł. x szer.) 30x20 mm. Długość 120 mm.</t>
  </si>
  <si>
    <t>Łyżeczko-szpatułka  150mm</t>
  </si>
  <si>
    <t xml:space="preserve">Łyżeczka typu POLY z jednej strony zakończona łyżeczką, z drugiej szpatułką. Wykonana z  stali szlachetnje polerowana.  Wymiary łyżeczki (dł. x szer.) 35x15 mm, wymiary szpatułki (dł. x szer.) 30x14 mm. Długość 150 mm. </t>
  </si>
  <si>
    <t>Szpatułko-łyżeczka 180 mm</t>
  </si>
  <si>
    <t xml:space="preserve">Łyżeczka typu POLY z jednej strony zakończona łyżeczką, z drugiej szpatułką. Wykonana z  stali szlachetnej, polerowana.  Wymiary łyżeczki (dł. x szer.) 35x15 mm, wymiary szpatułki (dł. x szer.) 30x22 mm. Długość 180 mm. </t>
  </si>
  <si>
    <t>Szpatułko-łyżeczka typ analityczny 210 mm</t>
  </si>
  <si>
    <t xml:space="preserve"> Jeden koniec zgięta szpatułka, drugi - łyżeczka. Stal szlachetna polerowana Wymiary łyzeczki  (dł. x szer.) 30x18mm, wymiary szpatułki  (dł. x szer.) 35x10 mm. Długość 210 mm.</t>
  </si>
  <si>
    <t>Szpatułko-łyżeczka z małym ostrzem</t>
  </si>
  <si>
    <t xml:space="preserve">Szpatułko-łyżeczka z małym ostrzem, okrągła. Szer. ostrza: 5 mm. Dł. całk.: 150 mm. </t>
  </si>
  <si>
    <t>Łyżeczka podwójna długość 120 mm</t>
  </si>
  <si>
    <t>Łyżeczka dwustronna chemiczna ze stali szlachetnej, polerowana. Wymiary łyżeczek I  (dł. x szer.) 30x32 mm i II (dł. x szer.) 23x17  mm. Długość 120 mm.</t>
  </si>
  <si>
    <t>Łyżeczka podwójna długość 150 mm</t>
  </si>
  <si>
    <t>Łyżeczka dwustronna chemiczna ze stali szlachetnej, polerowana. Wymiary łyżeczek I  (dł. x szer.) 30x22 mm i II (dł. x szer.) 23x17  mm. Długość 150 mm.</t>
  </si>
  <si>
    <t>Łyżeczka podwójna długość 180 mm</t>
  </si>
  <si>
    <t>Łyżeczka dwustronna chemiczna ze stali szlachetnej, polerowana. Wymiary łyżeczek I  (dł. x szer.) 40x29 mm i II (dł. x szer.) 30x22  mm. Długość 180 mm.</t>
  </si>
  <si>
    <t>Szpatułka podwójna z zakrzywionymi brzegami</t>
  </si>
  <si>
    <t xml:space="preserve">Szerokość ostrza –4mm Długość – 150mm </t>
  </si>
  <si>
    <t>Szpatułka podwójna do możdzierzy 150 mm</t>
  </si>
  <si>
    <t xml:space="preserve">Szpatułka podwójna do możdzierzy ze stali szlachetnej, polerowana. Jeden koniec zaokrąglony, drugi prostokątny. Wymiary ostrza (dł. x szer.) 45 x 20 mm. Długość 150 mm. </t>
  </si>
  <si>
    <t>Ostrza do skalpela, niesterylne, nr 19</t>
  </si>
  <si>
    <t>Jednorazowe ostrza do skalpela wykonane ze stali węglowej. Boczne wprowadzanie ostrzy w trzonki oraz łatwe blokowanie zmniejszają ryzyko skaleczenia. Typ: nr 19; pakowane po 12 szt.</t>
  </si>
  <si>
    <t xml:space="preserve">Opakowanie = 12 sztuk </t>
  </si>
  <si>
    <t>Ostrza wymienne do skalpeli rozmiar 23</t>
  </si>
  <si>
    <t>Ostrza wymienne do skalpeli  jednorazowe ostrza wykonane ze stali węglowej . jałowe.  rozmiar wygrawerowany na ostrzu.</t>
  </si>
  <si>
    <t>Skalpel z wymiennymi ostrzami</t>
  </si>
  <si>
    <t>Skalpel posiada aluminiowy trzonek. Nasadka ochronna wykonana z tworzywa sztucznego. Stalowe ostrza wymienne są ostre i idealnie nadają się do precyzyjnego cięcia. W komplecie zawarte są 4 ostrza szpiczaste</t>
  </si>
  <si>
    <t>Opakowanie = 1 zestaw = 4 ostrza</t>
  </si>
  <si>
    <t>Zapasowe ostrza do skalpela zaokrąglone</t>
  </si>
  <si>
    <t>Zapasowe ostrza do sklapela zokrąglone</t>
  </si>
  <si>
    <t>Opakowanie=10 sztuk</t>
  </si>
  <si>
    <t>Uchwyt do skalpeli nr 4</t>
  </si>
  <si>
    <t>uchwyt do skalpeli nr 4, wykonany ze stali nierdzewnej, pasujący do ostrzy typu 18-26</t>
  </si>
  <si>
    <t>xxxxxxxxxxx</t>
  </si>
  <si>
    <t>Pojemność – 120 ml; Śr. szyjki – 36 mm; Śr. x wys. – 56 x 71 mm, z szeroką szyją, korkiem i zakrętką</t>
  </si>
  <si>
    <t>Pojemność – 250 ml; Śr. szyjki – 50 mm; Śr. x wys. – 69 x 94 mm, z szeroką szyją, korkiem i zakrętką</t>
  </si>
  <si>
    <t>Okrągłe pojemniki z HDPE, z szeroką szyją, korkiem i zakrętką, 0,5 l</t>
  </si>
  <si>
    <t>Pojemność – 500 ml; Śr. szyjki – 70 mm; Śr. x wys. – 86 x 107 mm, z szeroką szyją, korkiem i zakrętką</t>
  </si>
  <si>
    <t>Okrągłe pojemniki z HDPE, z szeroką szyją, korkiem i zakrętką, 1 l</t>
  </si>
  <si>
    <t>Pojemność – 1000 ml; Śr. szyjki – 85 mm; Śr. x wys. – 111 x 128 mm, z szeroką szyją, korkiem i zakrętką</t>
  </si>
  <si>
    <t>Butelka czworokątna z HDPE z szeroką szyjką 1000 ml</t>
  </si>
  <si>
    <t>Pojemność: 1000 ml, Wys.: 212- mm, Średnica: 85 mm, Śr. szyjki: 43 mm</t>
  </si>
  <si>
    <t>Butelka PP z nakrętką i szeroką szyją 1000 ml</t>
  </si>
  <si>
    <t>Butelka wykonana z PP ze czarną skalą. Autoklawowalne max. do 121°C. Gwint: GL 65 mm. Pojemność 1000 ml.</t>
  </si>
  <si>
    <t>Butla z kranem 5 l</t>
  </si>
  <si>
    <t xml:space="preserve">Butla z kranem - śr. 165-170mm Pojemność: 5 l </t>
  </si>
  <si>
    <t>Czerwone zakrętki i pierścienie wylewowe z PP GL 45</t>
  </si>
  <si>
    <t>Zakrętki i pierścienie wylewowe z PP, Kolor: czerwone Gwint: GL 45, Możliwośc autoklawowania do temp. co najmmiej 120C</t>
  </si>
  <si>
    <t>Czerwone zakrętkPP GL 25</t>
  </si>
  <si>
    <t>Zakrętki  z PP, Kolor: czerwone Gwint: GL 25, Możliwośc autoklawowania do temp. co najmniej 120C</t>
  </si>
  <si>
    <t>Małe pojemniki z pokrywką 5 ml</t>
  </si>
  <si>
    <t>Pojemniki na próbki, z PP z zatyczką z LDPE, obj. 5 ml, z plastikowym wieczkiem z LDPE na zatrzask.</t>
  </si>
  <si>
    <t>Opakowanie = 25 sztuk</t>
  </si>
  <si>
    <t>Minipojemnik 500 ml</t>
  </si>
  <si>
    <t xml:space="preserve">Przeźroczyste pojemniki z zaokrąglonymi brzegami. Odporne na temperatury od -40°C do +80°C. Ze szczelnie zamykającą pokrywką zatrzaskową. Pojemność: 500 ml </t>
  </si>
  <si>
    <t>Okrągłe pojemniki z pokrywkami 49x16</t>
  </si>
  <si>
    <t>Wymiary: 49 x 16 mm</t>
  </si>
  <si>
    <t>Okrągłe pojemniki z pokrywkami 49x36</t>
  </si>
  <si>
    <t>Wymiary: 49 x 36 mm</t>
  </si>
  <si>
    <t>Perełki suche wskaźnikowe</t>
  </si>
  <si>
    <t xml:space="preserve">Perełki suche wskaźnikowe Pojemność: 1000 ml </t>
  </si>
  <si>
    <t>Pipety Pasteura o poj. 1 ml (z bańką ssącą ok. 4-5 ml). z podziałką: 0.25 / 0.5 / 0.75 / 1.0 ml. Wymiary: 5x150 mm.</t>
  </si>
  <si>
    <t>Opakowanie = 500 sztuk</t>
  </si>
  <si>
    <t>Pipety o poj. 3 ml (z bańką ssącą ok. 4-5ml), z podziałką: 0.5 / 1.0 / 1.5 / 2.0 / 2.5 / 3.0 ml - Wymiary: 7,8 x 150 mm</t>
  </si>
  <si>
    <t>Pipety Pasteura z LDPE bez szwu</t>
  </si>
  <si>
    <t>Wysokiej jakości pipety Pasteura wykonane z jednej części, bez szwu. Z bańką ssącą o dużej sile ssania. Końcówka: standardowa, pojemność: 2 ml, wielkość kropli: ok 45 µl, długość: 155 mm.</t>
  </si>
  <si>
    <t>Opakowanie = 500 szt.</t>
  </si>
  <si>
    <t xml:space="preserve">Pojemnik wielofunkcyjny </t>
  </si>
  <si>
    <t>Pojemnik wielofunkcyjny z PP, kolor czerwony, wyposażony w wytrzymałe zawiasy i praktyczne zamknięcie na zatrzask. Może być myty w zmywarce.</t>
  </si>
  <si>
    <t>Pojemnik wielofunkcyjny z PP, kolor niebieski, wyposażony w wytrzymałe zawiasy i praktyczne zamknięcie na zatrzask. Może być myty w zmywarce.</t>
  </si>
  <si>
    <t>Pojemniki z gwintowaną pokrywką, poj. 100-125ml ml tzw. "moczówki"</t>
  </si>
  <si>
    <t xml:space="preserve">Stabilne i wytrzymałe, przeźroczyste pojemniki z PP. Z podziałką. Pojemność 100-125 ml. Kolorowa, szczelna pokrywka wykonana z  HDPE. Odporne na zgniatanie i pęknięcia. Posiadają pole do opisu oraz matową powierzchnię opisową na pokrywce. </t>
  </si>
  <si>
    <t>Probówki 5 ml sterylne</t>
  </si>
  <si>
    <t>Opakowanie= 200 sztuk</t>
  </si>
  <si>
    <t>Probówki 15 ml typu Falcon sterylne</t>
  </si>
  <si>
    <t>Probówki 50ml typu Falcon sterylne</t>
  </si>
  <si>
    <t>Probówki 15 ml typu Falcon niesterylne</t>
  </si>
  <si>
    <t>Opakowanie zbiorcze= 100 sztuk</t>
  </si>
  <si>
    <t>Probówki 50ml typu Falcon niesterylne</t>
  </si>
  <si>
    <t>Probówki wirówkowe z zakrętkami 15 ml</t>
  </si>
  <si>
    <t>Probówki wirówkowe typu Falcon lub równoważne. stożkowe. wykonane z medycznego polipropylenu. Posiadają wyraźną. nieścieralną skalę. odporną na czynniki chemiczne oraz duże pole do opisu. Przezroczyste ściany umożliwiają łatwą kontrolę nad zawartością probówki. Skalowane co 1 ml. Odporność temperaturowa min.: od -20°C do +80°C. W komplecie zakrętki wykonane z polietylenu (PE). Biologicznie obojętne. odporne chemicznie. Lepsza szczelność dzięki zastosowaniu podwójnego gwintowania. Możliwość wirowania: do min. 8400 x g.  z zakrętką Plug-Seal. Sterylne.</t>
  </si>
  <si>
    <t>Probówki wirówkowe z zakrętkami 50 ml</t>
  </si>
  <si>
    <t>Probówki wirówkowe typu Falcon lub równoważne. stożkowe. wykonane z medycznego polipropylenu. Posiadają wyraźną. nieścieralną skalę. odporną na czynniki chemiczne oraz duże pole do opisu. Przezroczyste ściany umożliwiają łatwą kontrolę nad zawartością probówki. Skalowane co 5 ml. Odporność temperaturowa min.: od -20°C do +80°C.W komplecie zakrętki wykonane z polietylenu (PE). Biologicznie obojętne. odporne chemicznie. Lepsza szczelność dzięki zastosowaniu podwójnego gwintowania. Możliwość wirowania: do min. 9400 x g.  z zakrętką Plug-Seal. Sterylne.</t>
  </si>
  <si>
    <t>Probówki z PP 1,5 ml</t>
  </si>
  <si>
    <t>Probówki 1,5 ml wykonane z polipropylenu o najwyższej czystości, produkowane bez plastyfikatorów i biocydów. Z zamknięciem typu Safe-Lock, chroniącym przed przypadkowym otwarciem probówki i utratą próbki. Szczelna pokrywka zapobiega wyparowywaniu zawartości. Posiadają skalę i matowe pole do opisu. Odporne na temperatury od -86°C do 100°C, autoklawowalne w 121°C. Można je wirować do 30.000 x g</t>
  </si>
  <si>
    <t>Opakowanie = 1000 sztuk</t>
  </si>
  <si>
    <t>Probówki do PCR 0,2 ml z zamknięciem</t>
  </si>
  <si>
    <t>Probówki do PCR, zamknięcie: wypukła pokrywka, pojemność: 0,2 ml, kolor: przezroczyste</t>
  </si>
  <si>
    <t>Probówki typu Eppendorf reakcyjne Low Binding 1,6 ml</t>
  </si>
  <si>
    <t>Probówki reakcyjne Low Binding, Pojemność 1,6 ml, Materiał bezbarwny polipropylen,</t>
  </si>
  <si>
    <t>Opakowanie = 250 sztuk</t>
  </si>
  <si>
    <t>Probówki typu Eppendorf reakcyjne Low Binding 2,0 ml</t>
  </si>
  <si>
    <t>Probówki reakcyjne Low Binding, Pojemność 2,0  ml, Materiał bezbarwny polipropylen,</t>
  </si>
  <si>
    <t>Opakowanie=250 sztuk</t>
  </si>
  <si>
    <t>Probówki typu Eppendorf z PP 5 ml</t>
  </si>
  <si>
    <t>Probówki z polipropylenu. Pojemność 5 ml. Z dnem stożkowym i płaską zatyczką. Posiadają pole opisowe i skalę. Niesterylne. Autoklawowalne w 121°C (20 min).</t>
  </si>
  <si>
    <t>Pudełka wielofunkcyjne z pokrywką 0,8 l</t>
  </si>
  <si>
    <t>Wymiary 12 x 12 x 8 cm Pojemność 0,8 l. Wyposażone w szczelnie zamykającą, elastyczną pokrywkę.</t>
  </si>
  <si>
    <t>Pudełko PP do przechowywania probówek</t>
  </si>
  <si>
    <t>Pudełko do przechowywania 50 probówek o śr. do 12 mm i wys. do wys. 46 mm (fiolki do HPLC, krioprobówki, probówki reakcyjne 1,5/2 ml) wykonane z PP. Odporne na temp. od -90°C do 121°C. Autoklawowalne. Posiadają szczelnie zamykającą pokrywkę na zawiasach, Z możliwością ustawiania piętrowego. Kolor: pomarańczowy</t>
  </si>
  <si>
    <t>Szalki Petriego średnica 120 mm</t>
  </si>
  <si>
    <t xml:space="preserve">Szalki Petriego śr.120mm niewentylowane, jałowe </t>
  </si>
  <si>
    <t>Kwadratowe szalki Petriego</t>
  </si>
  <si>
    <t>Szalki Petriego wykonane z polistyrenu. Kwadratowe. Posiadają żebra wentylacyjne. Wymiary 120 x 120 x 17 mm</t>
  </si>
  <si>
    <t>Rury dializacyjne z uwodnionej celulozy</t>
  </si>
  <si>
    <t>Rury dializacyjne z uwodnionej celulozy Szerokość: 62,8 mm. Długość: 25 m. Średnica: 40 mm.</t>
  </si>
  <si>
    <t>Sześciokątne naczynka wagowe jednorazowego użytku</t>
  </si>
  <si>
    <t>Sześciokątne naczynka wagowe jednorazowego użytku o pojemności 8 ml, 45x8 mm</t>
  </si>
  <si>
    <t>Sześciokątne naczynka wagowe jednorazowego użytku o pojemności 50 ml, 78x18 mm</t>
  </si>
  <si>
    <t>Torebki do zgrzewarki próżniowej</t>
  </si>
  <si>
    <t>Torebki do zgrzewarki próżniowej - strukturyzowane, o wymiarach 20 x 30cm</t>
  </si>
  <si>
    <t>Woreczki strunowe z LDPE na próbki z polem opisowym 40x60</t>
  </si>
  <si>
    <t xml:space="preserve">Worki strunowe z LDPE z polem opisowym Szer. x dł. 40 x 60 mm </t>
  </si>
  <si>
    <t>Woreczki strunowe z LDPE na próbki z polem opisowym 60x80</t>
  </si>
  <si>
    <t xml:space="preserve">Worki strunowe z LDPE z polem opisowym Szer. x dł. 60 x 80 mm </t>
  </si>
  <si>
    <t>Woreczki strunowe z LDPE na próbki z polem opisowym 80x120</t>
  </si>
  <si>
    <t>Worki strunowe z LDPE z polem opisowym Szer. x dł. 80 x 120 mm</t>
  </si>
  <si>
    <t>Woreczki strunowe z LDPE na próbki, z polem opisowym 120x170</t>
  </si>
  <si>
    <t>Worki strunowe z LDPE z polem opisowym Szer. x dł. 120 x 170 mm</t>
  </si>
  <si>
    <t>Woreczki strunowe z LDPE na próbki, z polem opisowym 180x250</t>
  </si>
  <si>
    <t>Worki strunowe z LDPE z polem opisowym Szer. x dł. 180 x 250 mm</t>
  </si>
  <si>
    <t>Woreczki strunowe z LDPE na próbki, z polem opisowym 300x400</t>
  </si>
  <si>
    <t>Worki strunowe z LDPE z polem opisowym Szer. x dł. 350x450 mm</t>
  </si>
  <si>
    <t>Końcówki do pipet automatycznych 5000 µl</t>
  </si>
  <si>
    <t>Oryginalne końcówki do pipet, Brand - w worku, Pojemność: 500-5000 μl</t>
  </si>
  <si>
    <t>Końcówki 100-5000 µl</t>
  </si>
  <si>
    <t>Końcówki typu Optifit do pipet Sartorius Biohit  lub równoważne, pojemność: 100-5000 µl, długość: 150 mm</t>
  </si>
  <si>
    <t>Końcówki 500-10000 µl</t>
  </si>
  <si>
    <t>Końcówki typu Optifit do pipet Sartorius Biohit lub równoważne z Midi Plus, pojemność: 500-10000 µl, długość: 242 mm</t>
  </si>
  <si>
    <t>Końcówki do pipet HTL 100 ul</t>
  </si>
  <si>
    <t>Końcówki do pipet HTL100 ul, pakowane w pudełka, sterylne</t>
  </si>
  <si>
    <t>Bagietka z PP średnica 6 mm długość 150 mm</t>
  </si>
  <si>
    <t xml:space="preserve">Bagietka wykonana z tworzywa PP o średnicy 6 mm i dlugosci 150 mm. </t>
  </si>
  <si>
    <t>Końcówki do pipet HTL 100-1000 ul</t>
  </si>
  <si>
    <t xml:space="preserve">Końcówki do pipet HTL, zakres: 100-1000 ul, pakowane w worki, niesterylne </t>
  </si>
  <si>
    <t xml:space="preserve">Końcówki do pipet HTL, zakres: 100-1000 ul, pakowane w pudełka, niesterylne </t>
  </si>
  <si>
    <t>Czasomierz laboratoryjny z magnesem</t>
  </si>
  <si>
    <t>Czasomierz laboratoryjny z magnesem – TFA, Z czytelnym wyświetlaczem LCD, Z funkcją odliczania w przód i wstecz, Powleczony gumą, Zasilanie: bateria LR44 (dołączona), Niewielki: wymiary max 55 mm średnica, 20 mm grubość, Waga do 50 g,</t>
  </si>
  <si>
    <t>Termohigrometr</t>
  </si>
  <si>
    <t xml:space="preserve">Termohigrometr cyfrowy Elektroniczny termometr z funkcją higrometru.   zakres temperatury: -10°C ÷ +60°C, zakres wilgotności: 10% ÷ 99%, wyświetlacz: temperatura i wilgotność w jednym czasie, przełączanie °C/°F, dokładność pomiaru temperatury: ±1°, dokładność pomiaru wilgotności: ±5%, rozdzielczość: 0,1°C, 1%  Z możliwością zawieszenia na ścianie lub postawieni na biurku. Wykonany z białego plastiku. Zasilany przez 2 baterie 1,5 V AAA. </t>
  </si>
  <si>
    <t>Marker laboratoryjny czarny</t>
  </si>
  <si>
    <t xml:space="preserve">Czarny marker laboratoryjny Securline® lub równoważny. z cienką końcówką. Odpowiednie do powierzchni suchych lub wilgotnych. zimnych lub ciepłych. Przystosowane do opisywania rozmaitych materiałów w laboratorium. m.in. szkła. tworzywa sztucznego. porcelany. metalu. drewna. papieru. Odporne na działanie wody i alkoholu. </t>
  </si>
  <si>
    <t xml:space="preserve">Marker laboratoryjny niebieski </t>
  </si>
  <si>
    <t xml:space="preserve">Niebieski marker laboratoryjny Securline® lub równoważny. z cienką końcówką. Odpowiednie do powierzchni suchych lub wilgotnych. zimnych lub ciepłych. Przystosowane do opisywania rozmaitych materiałów w laboratorium. m.in. szkła. tworzywa sztucznego. porcelany. metalu. drewna. papieru. Odporne na działanie wody i alkoholu. </t>
  </si>
  <si>
    <t>Marker odporny na niskie temperatury</t>
  </si>
  <si>
    <t>Marker odporny na niskie temperatury. Przeznaczone do opisywania krioprobówek i pudełek, kolor czarny</t>
  </si>
  <si>
    <t>Nożyczki mikroskopowe 110 mm</t>
  </si>
  <si>
    <t xml:space="preserve">Nożyczki mikroskopowe, dł. 110 mm, proste </t>
  </si>
  <si>
    <t>Nożyczki proste końce ostre 175 mm</t>
  </si>
  <si>
    <t xml:space="preserve">Nożyczki proste laboratoryjne wykonane ze stali nierdzewnej. Końce ostre. Długość 175 mm. </t>
  </si>
  <si>
    <t>Nożyczki proste końce ostre 105 mm</t>
  </si>
  <si>
    <t xml:space="preserve">Nożyczki proste laboratoryjne wykonane ze stali nierdzewnej. Końce ostre. Długość 105 mm. </t>
  </si>
  <si>
    <t xml:space="preserve">Taśma do opisywania  </t>
  </si>
  <si>
    <t>Kolorowa taśma do opisywania, Przeznaczona do szklanych i plastikowych naczyń laboratoryjnych, np. statywów, probówek itp. Przyklejają się do wszystkich czystych powierzchni, także tych z powłoką antyadhezyjną. Nie pozostawiają śladów po oderwaniu. Oznaczenia naniesione długopisem lub tuszem nie ulegają rozmazaniu. Odporne na wilgoć i rozpuszczalniki. Wytrzymałe na wielokrotne podgrzewanie oraz temperatury do -73°C. Szerokość: 12,5 mm, Kolor: czerwony, Dł. rolki: min. 36 m</t>
  </si>
  <si>
    <t>Kolorowa taśma do opisywania, Przeznaczona do szklanych i plastikowych naczyń laboratoryjnych, np. statywów, probówek itp. Przyklejają się do wszystkich czystych powierzchni, także tych z powłoką antyadhezyjną. Nie pozostawiają śladów po oderwaniu. Oznaczenia naniesione długopisem lub tuszem nie ulegają rozmazaniu. Odporne na wilgoć i rozpuszczalniki. Wytrzymałe na wielokrotne podgrzewanie oraz temperatury do -73°C. Szerokość: 12,5 mm, Kolor: żółty, Dł. rolki: min. 36 m</t>
  </si>
  <si>
    <t>Taśma uszczelniająca z teflonu</t>
  </si>
  <si>
    <t>Taśma uszczelniająca z teflonu o szerokości 12 mm, grubości 0.1mm, długość 12 m</t>
  </si>
  <si>
    <t>Samoprzylepne etykiety do oznaczania próbek 6 x 38 mm</t>
  </si>
  <si>
    <t>Naklejki na rolce - prostokątne, Etykiety wykonane z chemicznie obojętnego poliestru, doskonałe do naklejania na bokach płytek mikrotitracyjnych lub szalek Petriego. Można używać podczas sterylizacji parą wodną, w łaźniach wodnych i w zamrażarkach (do max. -40°C). Nieścieralne, można na nich opisywać większością rodzajów znaczników i długopisów. Nadają się do wszystkich rodzajów powierzchni sztucznych. Wymiary: 6 x 38 mm, Kolor: białe, 1000 szt/rolka</t>
  </si>
  <si>
    <t>Opakowanie = 1000 sztuk = 1 rolka</t>
  </si>
  <si>
    <t>Tryskawka z LDPE ze skalą 250 ml</t>
  </si>
  <si>
    <t>Tryskawki wykonane z mlecznego LDPE, ze skalą, w komplecie z nasadką tryskającą. Pojemność: 250 ml, podziałka: 50 ml</t>
  </si>
  <si>
    <t>Tryskawka z LDPE ze skalą 500 ml</t>
  </si>
  <si>
    <t>Tryskawki wykonane z mlecznego LDPE, ze skalą, w komplecie z nasadką tryskającą. Pojemność: 500 ml, podziałka: 100 ml</t>
  </si>
  <si>
    <t>Tryskawka 250 ml z nadrukiem ACETONE</t>
  </si>
  <si>
    <t>Tryskawka z szeroką szyjką z nadrukiem ACETONE, Pojemność: 250 ml. Nadrukowane/naklejone symbole ostrzegawcze.  Możliwość dokładnego opróżnienia butelki dzięki przesuwanej rurce. Przy zmiennej temperaturze nie dochodzi do wyciekania cieczy. Rurka z zaostrzonym końcem.</t>
  </si>
  <si>
    <t xml:space="preserve">Tryskawka 500 ml z nadrukiem ACETONE </t>
  </si>
  <si>
    <t>Tryskawka  z szeroką szyjką z nadrukiem ACETONE.  Pojemność 500 ml. Nadrukowane/naklejone symbole ostrzegawcze.Możliwość dokładnego opróżnienia butelki dzięki przesuwanej rurce. Przy zmiennej temperaturze nie dochodzi do wyciekania cieczy. Rurka z zaostrzonym końcem.</t>
  </si>
  <si>
    <t>Tryskawka 250 ml z nadrukiem DEST.WATER</t>
  </si>
  <si>
    <t>Tryskawka  z szeroką szyjką z nadrukiem DEST.WATER  Pojemność 250 ml. Nadrukowane/naklejone symbole ostrzegawcze.Możliwość dokładnego opróżnienia butelki dzięki przesuwanej rurce. Przy zmiennej temperaturze nie dochodzi do wyciekania cieczy. Rurka z zaostrzonym końcem.</t>
  </si>
  <si>
    <t>Tryskawka  z szeroką szyjką z nadrukiem DEST.WASTER  Pojemność 500 ml. Nadrukowane/naklejone symbole ostrzegawcze.Możliwość dokładnego opróżnienia butelki dzięki przesuwanej rurce. Przy zmiennej temperaturze nie dochodzi do wyciekania cieczy. Rurka z zaostrzonym końcem.</t>
  </si>
  <si>
    <t>Tryskawka 250 ml z nadrukiem ISOPROPANOL</t>
  </si>
  <si>
    <t>Tryskawka  z szeroką szyjką z nadrukiem ISOPROPANOL  Pojemność 250 ml. Nadrukowane/naklejone symbole ostrzegawcze.Możliwość dokładnego opróżnienia butelki dzięki przesuwanej rurce. Przy zmiennej temperaturze nie dochodzi do wyciekania cieczy. Rurka z zaostrzonym końcem.</t>
  </si>
  <si>
    <t>Tryskawka 500 ml z nadrukiem ISOPROPANOL</t>
  </si>
  <si>
    <t>Tryskawka  z szeroką szyjką z nadrukiem ISOPROPANOL  Pojemność 500 ml. Nadrukowane/naklejone symbole ostrzegawcze.Możliwość dokładnego opróżnienia butelki dzięki przesuwanej rurce. Przy zmiennej temperaturze nie dochodzi do wyciekania cieczy. Rurka z zaostrzonym końcem.</t>
  </si>
  <si>
    <t>Ociekacz laboratoryjny</t>
  </si>
  <si>
    <t>Suszarka laboratoryjna 32 stanowiskowa ze stali pokrytej PCV, komplet z płytą dolną (z ociekaczem), ilość bolców 32, odstępy między bolcami 30 mm, wymiary 100 mm. Wymiary: szerokość 360mm, wysokość 480m</t>
  </si>
  <si>
    <t>1 szt</t>
  </si>
  <si>
    <t>Podnośnik aluminiowy</t>
  </si>
  <si>
    <t>Podnośnik laboratoryjny z  aluminium: szerokość platformy  150x150 mm, wysokość wznoszenia  280 mm</t>
  </si>
  <si>
    <t>Podnośnik ze stali nierdzewnej</t>
  </si>
  <si>
    <t>Podnośnik laboratoryjny ze stali nierdzewnej, szerokość platformy 100x100 mm, wysokość wznoszenia 55-120 mm</t>
  </si>
  <si>
    <t xml:space="preserve">1 szt </t>
  </si>
  <si>
    <t>Parafilm 50mmx75m</t>
  </si>
  <si>
    <t>Folia uszczelniająca parafilm o szerokości 50 mm i głubości 75 m</t>
  </si>
  <si>
    <t>Parafilm 100 mm x 38 m</t>
  </si>
  <si>
    <t>Uniwersalna, funkcjonalna folia do zabezpieczania probówek i innych naczyń reakcyjnych. Odporny na roztwory solne i kwasy nieorganiczne. Szerokość 100 mm, długość 38 m</t>
  </si>
  <si>
    <t>Parafilm 100 mm x 75 m</t>
  </si>
  <si>
    <t>Uniwersalna, funkcjonalna folia do zabezpieczania probówek i innych naczyń reakcyjnych. Odporny na roztwory solne i kwasy nieorganiczne. Szerokość 100 mm, długość 75 m</t>
  </si>
  <si>
    <t>Kanister z HDPE 20 l</t>
  </si>
  <si>
    <t xml:space="preserve">Kanister z HDPE, bez zakrętki, poj. 20 l, niebieski. Gwint: GL 60 Nr atestu: UN 3H1/X1.9/250 </t>
  </si>
  <si>
    <t>zakrętka z pompką do kanistrów 5/10L</t>
  </si>
  <si>
    <t>zakrętka z pompką wykonana z HDPE, pasująca do kanistrów 5/10 L, gwint GL50</t>
  </si>
  <si>
    <t>Kasetka na szkiełka podstawowe</t>
  </si>
  <si>
    <t>Kasetka na 100 sztuk szkiełek podstawowych.Posiada korkowy wkład na dnie chroniący przed uszkodzeniami. Na pokrywce znajduje się karta do opisu i identyfikacji szkiełek. Możliwość ustawiania piętrowego. Kasetka posiada specjalne metalowe zamknięcie.</t>
  </si>
  <si>
    <t>Smoczek do pipet z silikonu 3ml</t>
  </si>
  <si>
    <t>Silikonowy smoczek do pipet, biały. Pojemnośc 3ml.</t>
  </si>
  <si>
    <t>Smoczek do pipet z silikonu 5ml</t>
  </si>
  <si>
    <t>Silikonowy smoczek do pipet, biały. Pojemnośc 5 ml.</t>
  </si>
  <si>
    <t>Statyw obrotowy typu Twis Star</t>
  </si>
  <si>
    <t>Statyw obrotowy typu TwisStar lub równoważny, wykonany z polipropylenu (PP), zestaw łączonych elementów - 4 obrotowych elementów, umożliwia dowolną konfigurację, w zależności od potrzeb, każda z czterech sekcji pomieści: 2 probówki 50 ml (maks. śr. 30 mm), 8 probówek 15 ml (maks. śr. 18 mm), 12 probówek 1,5 / 2,0 ml (maks. śr. 11 mm), 6 probówek 0,5 ml (maks. śr. 8,0 mm), 48 probówek PCR 0,2 ml, 6 pasków PCR 8-probówkowych. Po połączeniu dwóch sekcji można umieścić: 96-dołkową płytkę PCR, 8 pasków PCR 12-probówkowych. Możliwość autoklawowania w 121°C, wymiary (szer. x gł. x wys.): 257 x 108 x 108 mm (łącznie) i 69 x 108 x 108 mm (indywidualny przekrój)</t>
  </si>
  <si>
    <t>Opakowanie = zestaw 4 sztuk</t>
  </si>
  <si>
    <t xml:space="preserve">Statyw typu Top Rack </t>
  </si>
  <si>
    <t xml:space="preserve">8-kanałowy adapter do aspiratora butelkowego. </t>
  </si>
  <si>
    <t xml:space="preserve">8-kanałowy adapter do aspiratora butelkowego. Autoklawowalna 8-kanałowa końcówka, która ułatwia pracę z płytkami mikrotitracyjnymi. </t>
  </si>
  <si>
    <t>Aspirator butelkowy</t>
  </si>
  <si>
    <t xml:space="preserve">Aspirator butelkowy do odsysania płynów z płytek, probówek, szalek i butelek do hodowli. Z mikrokompresorem wytwarzającym podciśnienie -500 mbar. Końcówka odsysająca jest połączona z butelką za pomocą wężyka wykonanego z PP. Filtr hydrofobowy mikrobiologiczny typu 2200/02 w komplecie. </t>
  </si>
  <si>
    <t>Pipetor elektroniczny</t>
  </si>
  <si>
    <t>Pipetor elektroniczny. Do seryjnego dozowania cieczy o różnych objętościach z wykorzystaniem pipet serologicznych o pojemności 0,1 – 100 ml. Prędkość pipetowania może być płynnie regulowana czubkami palców. Pipetor wyposażony jest w pojemny akumulator litowo-jonowy zapewniający długą pracę. Zestaw obejmuje pipetor z zasilaczem, statyw, uchwyt na ścianę oraz 2 filtry membranowe 0,45 µm, 0,1 – 100 ml.</t>
  </si>
  <si>
    <t>Korki gumowe 30 x 32/26 mm</t>
  </si>
  <si>
    <t>Korki gumowe (wysokość = 30 mm, górna średnica = 32 mm, dolna srednica =  26 mm)</t>
  </si>
  <si>
    <t>Korki gumowe 35 x 38/31 mm</t>
  </si>
  <si>
    <t>Korki gumowe (wysokość = 35 mm, górna średnica = 38 mm, dolna srednica =  31 mm)</t>
  </si>
  <si>
    <t>Moździerz porcelanowy z tłuczkiem, pojemność: 50 ml</t>
  </si>
  <si>
    <t xml:space="preserve">Moździerz porcelanowy z wylewem i tłuczkiem Pojemność: 50 ml Górna średnica: 80 mm Dolna średnica: 44 mm Wys.: 41 mm Tłuczek śr./dług.: 26/90 mm </t>
  </si>
  <si>
    <t>Moździerz porcelanowy z tłuczkiem,pojemność: 150 ml</t>
  </si>
  <si>
    <t>Moździerz posiadający wylew i glazurowaną powierzchnię zewnętrzną. Wnętrze matowe. Tłuczek glazurowany z pominięciem głowicy. Średnica górna 105 mm. Średnica wew. 100 mm. Pojemność 150 ml.</t>
  </si>
  <si>
    <t>Moździerz porcelanowy z tłuczkiem, pojemność: 275 ml</t>
  </si>
  <si>
    <t>Moździerz posiadający wylew i glazurowaną powierzchnię zewnętrzną. Wnętrze matowe. Tłuczek glazurowany z pominięciem głowicy. Średnica górna 125 mm. Średnica wew. 100 mm. Pojemność 275 ml.</t>
  </si>
  <si>
    <t>Moździerz agatowy z tłuczkiem</t>
  </si>
  <si>
    <t>Moździeż i tłuczek wykonane wysokiej jakości polerowanego, naturalnego agatu o bardzo wysokiej twardości. Skala twardości (minerałów) Mohs'a: 6,5. Średnica zew. 125 mm, śr. wew. 114 mm, wysokość 51 mm.</t>
  </si>
  <si>
    <t>Szczotka do kolb 1000 ml</t>
  </si>
  <si>
    <t>Szczotka do kolb o pojemności 1000 ml</t>
  </si>
  <si>
    <t>Szczotka do zlewek 250 ml</t>
  </si>
  <si>
    <t>Szczotka do zlewek o pojemności 250 ml. Długość włosia 120 mm. Średnica włosia 60 mm. Długość całkowita 230 mm.</t>
  </si>
  <si>
    <t>Szczotka do zlewek 500 ml</t>
  </si>
  <si>
    <t>Szczotka do zlewek o pojemności 500 ml. Długość włosia 120 mm. Średnica włosia 70 mm. Długość całkowita 210 mm.</t>
  </si>
  <si>
    <t>Komory zliczeniowe</t>
  </si>
  <si>
    <t>jednorazowe komory zliczeniowe c-chip typu Burker lub równoważne, głębokość komory 0,1 mm</t>
  </si>
  <si>
    <t>Jednorazowe komory zliczeniowe c-chip typu Burker-Turk lub równoważne, głębokość komory 0,1 mm</t>
  </si>
  <si>
    <t>Pojemnik na odczynniki do mikropipety wielokanałowej</t>
  </si>
  <si>
    <t>Pojemnik na odczynniki do mikropipety wielokanałowej, materiał: PP, możliwość autoklawowania. Pojemnik wielofunkcyjny zawierający trzy pojemniki na odczynniki w jednym układzie tj. 1) pojemnik na odczynniki ze skalą o maksymalnej pojemności 50 ml. Podziałka przy 10, 25, 40 i 50 ml. 2) Pojemnik z 8 oddzielnymi komorami, każda o pojemności 5 ml. 3) Pojemnik z 12 oddzielnymi komorami, każda o pojemności 5 ml. Komory są numerowane</t>
  </si>
  <si>
    <t>Statyw do mrożenia</t>
  </si>
  <si>
    <t>Statyw do mrożenia z polipropylenu trwały do -86°C. Posiadający  alfa-numerycznie oznakowanych 81 miejsc na probówki 1-1,8 ml. Pokrywa montowana na zawiasy z zamknięciem na zatrzask. Posiadający gniazda przystosowane do pojemności max - 2,0 ml.</t>
  </si>
  <si>
    <t>Pudełko kartonowe powlekane</t>
  </si>
  <si>
    <t>Pudełko kartonowe powlekane posiadający 81 gniazd na probówki 1 i 2 ml. Do przechowywania i ochrony zamarzniętych próbek wytrzymały w bardzo niskich temperaturach, laminowana powierzchnia chroniąca pudełko przed wilgocią lub cieczą. Wymiary [mm] 132 x 132 x 50.</t>
  </si>
  <si>
    <t>Krioprobówki PP 2 ml sterylne</t>
  </si>
  <si>
    <t>Krioprobówki 2 ml z PP z gwintem wewnętrznym i uszczelką.  Samostojące, Posiadają białe pole opisowe. Z uszczelką silikonową. Sterylne. Wolne od DNaz, RNaz, endotoksyn i obcego DNA. Odporne na temperatury w zakresie od -196°C do 121°C. Nadają się do przechowywana w fazie gazowej ciekłego azotu. Kolor zakrętki: czerwona</t>
  </si>
  <si>
    <t>Opakowanie zbiorcze= 25 x 20 sztuk</t>
  </si>
  <si>
    <t>Kriopudełka z PC</t>
  </si>
  <si>
    <t>Kriopudełka z poliwęglanu. Autoklawowalne. Odporne na temperatury od -196ºC do +121ºC. Z kratką i numeracją stanowisk na pokrywie. Wymiary: 76 x 76 x 52 mm (dlugość + szerokość x wysokość). Rzędy 5 x 5.</t>
  </si>
  <si>
    <t>Pojemnik do zamrażania</t>
  </si>
  <si>
    <t xml:space="preserve">Wykonany z przezroczystego poliwęglanu. Pokrywka i uchwyty na fiolki wykonane z HDPE, z piankową wyściółką. Pomieści 18 fiolek krio o pojemności od 1,0 do 2,0 ml. Umożliwia stały spadek temperatury ok. 1 °C/minutę i zapewnia skuteczną kriokonserwację. Łatwy w użyciu ze 100% izopropanolem i urządzeniem do zamrażania. Brak bezpośredniego kontaktu między fiolkami a alkoholem. </t>
  </si>
  <si>
    <t>Jednorazowe pipety serologiczne 2 ml</t>
  </si>
  <si>
    <t>Jednorazowe sterylne pipety serologiczne 2 ml. Wykonane z ultraprzejrzystego polistyrenu. Wyposażone w czytelną, precyzyjną skalę. Pakowane pojedynczo do pudełek z podajnikami. Wolne od pirogenów DNA, RNaz i DNaz. Niecytotoksyczne.</t>
  </si>
  <si>
    <t>Opakowanie = 600 sztuk</t>
  </si>
  <si>
    <t>Jednorazowe pipety serologiczne 5 ml</t>
  </si>
  <si>
    <t>Jednorazowe sterylne pipety serologiczne 2 ml. Wykonane z ultraprzejrzystego polistyrenu. Wyposażone w czytelną, precyzyjną skalę. Pakowane pojedynczo. Wolne od pirogenów DNA, RNaz i DNaz. Niecytotoksyczne.</t>
  </si>
  <si>
    <t>Pipety serologiczne 10 ml</t>
  </si>
  <si>
    <t>Jednorazowe sterylne pipety serologiczne 10 ml. Wykonane z ultraprzejrzystego polistyrenu. Wyposażone w czytelną, precyzyjną skalę. Pakowane pojedynczo. Wolne od pirogenów DNA, RNaz i DNaz. Niecytotoksyczne.</t>
  </si>
  <si>
    <t>Jednorazowe pipety serologiczne 25 ml</t>
  </si>
  <si>
    <t>Jednorazowe sterylne pipety serologiczne 25 ml. Wykonane z ultraprzejrzystego polistyrenu. Wyposażone w czytelną, precyzyjną skalę. Pakowane pojedynczo. Wolne od pirogenów DNA, RNaz i DNaz. Niecytotoksyczne.</t>
  </si>
  <si>
    <t>Butelki na pożywki 125 ml</t>
  </si>
  <si>
    <t>Sterylne butelki na pożywki z PETG. kwadratowe. Pojemność 125 ml. Wymiary 52 x 52 x 108 mm</t>
  </si>
  <si>
    <t>Opakowanie = 24 sztuki</t>
  </si>
  <si>
    <t>Butelki na pożywki 250 ml</t>
  </si>
  <si>
    <t xml:space="preserve">Sterylne butelki na pożywki z PETG. kwadratowe. Pojemność 250 ml. Wymiary 58 x 58 x 147 mm. </t>
  </si>
  <si>
    <t xml:space="preserve">Płytki testowe. 6-dołkowe. </t>
  </si>
  <si>
    <t>Płytki 6-dołkowe TPP lub równoważne. profl F.Sterylne. Objętość dołka 15.53ml. Materiał PS. Wyposażone w pokrywkę zapewniającą wentylację oraz wykluczającą możliwość nieprawidłowego założenia. dzięki specjalnemu wyprofilowaniu i oznakowaniu żółtym paskiem. Prążkowany obszar z boku płytki gwarantuje pewny chwyt podczas jej przenoszenia. Oznakowane alfanumerycznie. Krystalicznie przejrzyste. Dno dołka płaskie (profil F). Pakowane po 4 szt. lub indywidualnie. Wolne od DNaz i RNaz.</t>
  </si>
  <si>
    <t>Opakowanie = 72 sztuki</t>
  </si>
  <si>
    <t>Płytki testowe 12-dołkowe</t>
  </si>
  <si>
    <t>Płytki 12-dołkowe TPP lub równoważne. profl F.Sterylne. Objętość dołka 6,30ml. Materiał PS. Wyposażone w pokrywkę zapewniającą wentylację oraz wykluczającą możliwość nieprawidłowego założenia. dzięki specjalnemu wyprofilowaniu i oznakowaniu żółtym paskiem. Prążkowany obszar z boku płytki gwarantuje pewny chwyt podczas jej przenoszenia. Oznakowane alfanumerycznie. Krystalicznie przejrzyste. Dno dołka płaskie (profil F). Pakowane indywidualnie. Wolne od DNaz i RNaz.</t>
  </si>
  <si>
    <t>Opakowanie = 126 sztuk</t>
  </si>
  <si>
    <t>Płytki testowe 24-dołkowe</t>
  </si>
  <si>
    <t>Płytki 24-dołkowe TPP lub równoważne. profl F.Sterylne. Objętość dołka 3,29ml. Materiał PS. Wyposażone w pokrywkę zapewniającą wentylację oraz wykluczającą możliwość nieprawidłowego założenia. dzięki specjalnemu wyprofilowaniu i oznakowaniu żółtym paskiem. Prążkowany obszar z boku płytki gwarantuje pewny chwyt podczas jej przenoszenia. Oznakowane alfanumerycznie. Krystalicznie przejrzyste. Dno dołka płaskie (profil F). Pakowane indywidualnie. Wolne od DNaz i RNaz.</t>
  </si>
  <si>
    <t>Płytki hodowlane 6-dołkowe</t>
  </si>
  <si>
    <t>6 dołków, dno płaskie</t>
  </si>
  <si>
    <t>Płytki hodowlane 12-dołkowe</t>
  </si>
  <si>
    <t>12 dołków, dno płaskie;</t>
  </si>
  <si>
    <t>Płytki hodowlane 24-dołkowe</t>
  </si>
  <si>
    <t xml:space="preserve">24 dołków, dno płaskie; </t>
  </si>
  <si>
    <t>Płytki hodowlane 48-dołkowe</t>
  </si>
  <si>
    <t>48 dołków, płaskie dno</t>
  </si>
  <si>
    <t>Testowe płytki hodowlane 96-dołkowe</t>
  </si>
  <si>
    <t>96 dołków, płaskie dno</t>
  </si>
  <si>
    <r>
      <t>Butelki do hodowli komórkowych 75 cm</t>
    </r>
    <r>
      <rPr>
        <vertAlign val="superscript"/>
        <sz val="11"/>
        <color theme="1"/>
        <rFont val="Times New Roman"/>
        <family val="1"/>
        <charset val="238"/>
      </rPr>
      <t>2</t>
    </r>
  </si>
  <si>
    <t xml:space="preserve">Butelki sterylne do hodowli komórkowych TPP - Butelki do hodowli komórkowych z zakrętką z membraną. Pow. wzrostu 75 cm². Objętość maks. 270 ml. </t>
  </si>
  <si>
    <t>Pipeta automatyczna</t>
  </si>
  <si>
    <t>Pipeta automatyczna jednokanałowa z tłokiem wypierającym powietrze Pojemność 2 ml</t>
  </si>
  <si>
    <t>Eppendorf Xplorer® plus, 1-kanałowa, zmienna, 10 – 200 μL, żółty</t>
  </si>
  <si>
    <t>Eppendorf Xplorer® plus, 1-kanałowa, zmienna, 0,2 – 5 mL,fioletowy</t>
  </si>
  <si>
    <t>Eppendorf Xplorer® plus, 1-kanałowa, zmienna, 50 – 1 000μL, niebieski</t>
  </si>
  <si>
    <t>Akumulator litowo-polimerowy, do serii pipet Eppendorf Xplorer®</t>
  </si>
  <si>
    <t>Ładowarka karuzelowa 2, na 6 szt. Eppendorf Xplorer®/Xplorer® plus, dołączony zasilacz sieciowy, dodatkowe uchwyty ładujące i uchwyty do pipet dostępne opcjonalnie</t>
  </si>
  <si>
    <t>Probówki 50 ml typu Falcon sterylne z wentylowaną zakrętką</t>
  </si>
  <si>
    <t>Opakowanie = 25 x 12 sztuk</t>
  </si>
  <si>
    <t xml:space="preserve">Jednokanałowa pipeta wyporowa 100-1000 µL </t>
  </si>
  <si>
    <t>Końcówki do pipety wyporowej o objętości 100-1000 µL</t>
  </si>
  <si>
    <t xml:space="preserve">Mikroformy do odlewania szalek Petriego </t>
  </si>
  <si>
    <t>Mikroformy MicroTissues® 3D Petri Dish® lub równoważne do odlewania szalek Petrego z agarozy w celu wytwarzania sferoid komórkowych w rozmiarze S; wielokrotnego użytku do 12 razy; autoklawowalne; do stosowania w płytkach 24-dołkowych; posiadają 96 okrągłych wgłębień w układzie 8 x 12; nominalne wymiary każdego wgłębienia: śr. 400 μm x  D 800 μm</t>
  </si>
  <si>
    <t>Szkiełka zegarkowe zakres fi 60-80</t>
  </si>
  <si>
    <t>Szkiełka zegarkowe do zastosowania w laboratorium. Wykonane ze szkła sodowo-wapniowego.</t>
  </si>
  <si>
    <t>opakowanie=1 sztuka</t>
  </si>
  <si>
    <t>Szkiełka zegarkowe zakres fi 40- 50</t>
  </si>
  <si>
    <t>Cylinder pomiarowy z PP poj 10 ml – klasa B</t>
  </si>
  <si>
    <t xml:space="preserve">Cylinder miarowy z PP,pojemność	10 ml	skala 0,1 ml	</t>
  </si>
  <si>
    <t>Cylinder pomiarowy z PP poj 50 ml– klasa B</t>
  </si>
  <si>
    <t xml:space="preserve">Cylinder miarowy z PP,pojemność	50 ml	skala 1 ml	</t>
  </si>
  <si>
    <t>Butelka PP na odczynniki z zakretką. Poj 100 ml</t>
  </si>
  <si>
    <t xml:space="preserve">Butle z PP z nakrętką – wąska szyjka – o poj. 100 ml </t>
  </si>
  <si>
    <t>opakowanie= 20 szt.</t>
  </si>
  <si>
    <t>Cylinder miarowy z podstawą szęściokątną, klasa A. Tolerancja ± 2,5 ml. Wykonany ze szkła borokrzemowego 3.3. Zgodny z normą ISO 4788. Pojemność 500 ml.</t>
  </si>
  <si>
    <t>Cylinder miarowy z podstawą szęściokątną, klasa A. Tolerancja ± 5 ml. Wykonany ze szkła borokrzemowego 3.3. Zgodny z normą ISO 4788. Pojemność 1000 ml.</t>
  </si>
  <si>
    <t>Opakoanie = 1 sztuka</t>
  </si>
  <si>
    <t>Opakoanie = 100 sztuk</t>
  </si>
  <si>
    <t>Końcówki do pipet automatycznych 200 ul</t>
  </si>
  <si>
    <t>Końcówki typ do pipet automatycznych, typu Eppendorf, Pojemność 5-200 µl, Kolor żółte, niesterylne,</t>
  </si>
  <si>
    <t>Mikroprobóki 0,5 ml</t>
  </si>
  <si>
    <t>Probówki typu Eppendorf lub równoważne. Pojemność 0,5 ml. Wykonane z polipropylenu. Szczelna pokrywka zapobiega wyparowywaniu zawartości. Z podziałką i polem do opisu. Wolne od DNaz, RNaz i endotoksyn.</t>
  </si>
  <si>
    <t>Zlewka plastikowa 100 ml</t>
  </si>
  <si>
    <t>Wykonane z PP. Ze skalą i wylewem, pojemność 100 ml</t>
  </si>
  <si>
    <t>Oryginalne końcówki do pipet – Brand 50-1000 µl</t>
  </si>
  <si>
    <t>Oryginalne Końcówki do Pipet Brand, wykonane z wysokiej jakości tworzywa. Wyposażone są w podziałkę pomocną w określaniu ilości pobieranej cieczy. Końcówki mogą być sterylizowane w autoklawie. Końcówki bez filtra o poj. 1000-1500 µl.</t>
  </si>
  <si>
    <t>Worek 2 x 500 szt.</t>
  </si>
  <si>
    <t>Oryginalne końcówki do pipet – Brand 5-300 µl</t>
  </si>
  <si>
    <t>Oryginalne Końcówki do Pipet Brand, wykonane z wysokiej jakości tworzywa. Wyposażone są w podziałkę pomocną w określaniu ilości pobieranej cieczy. Końcówki mogą być sterylizowane w autoklawie. Końcówki bez filtra o poj. 5-300 µl.</t>
  </si>
  <si>
    <t>Worek = 1000 szt.</t>
  </si>
  <si>
    <t>Buteleczki do hodowli kultur komórkowych z zakrętką</t>
  </si>
  <si>
    <t>Buteleczki Wheaton do hodowli kultur komórkowych z zakrętką, przeźroczyste, pojemność 8 mL, autoklawowalne</t>
  </si>
  <si>
    <t>Opakowanie = 144 sztuki</t>
  </si>
  <si>
    <t xml:space="preserve">Papierki/paski --wskaźnikowe </t>
  </si>
  <si>
    <t>Papierki/paski --wskaźnikowe pH 1 -14 w formie książeczki potrzebne do weryfikacji pH przygotowywanych roztworów</t>
  </si>
  <si>
    <t>Opakowanie 100 szt</t>
  </si>
  <si>
    <t>Czasza grzejna 1000ml do statywu</t>
  </si>
  <si>
    <t xml:space="preserve">płaszcz grzejny na pręcie W-3, 400W, 1000ml </t>
  </si>
  <si>
    <t>opakowanie = 1 szt</t>
  </si>
  <si>
    <t>Czasza grzejna 500ml do statywu</t>
  </si>
  <si>
    <t>płaszcz grzejny na pręcie W-2 310W 500ml</t>
  </si>
  <si>
    <t>Czasza grzejna 100ml do statywu</t>
  </si>
  <si>
    <t xml:space="preserve">płaszcz grzejny na pręcie W-8 155W 100ml </t>
  </si>
  <si>
    <t>Klamra aluminiowa z widełkami i wkładem korkowym</t>
  </si>
  <si>
    <t xml:space="preserve">Klamra aluminiowa z 4 widełkami i wkładem korkowym, zaokrąglona, rozpiętość 0-75mm, </t>
  </si>
  <si>
    <t xml:space="preserve">opakowanie = 5 szt </t>
  </si>
  <si>
    <t>Podwójna mufa z aluminium</t>
  </si>
  <si>
    <t>Podwójna mufa, rozpiętość 5-15mm, długość bez śrub 80 mm</t>
  </si>
  <si>
    <t>Płyta statywu, STAL LAK., 300 x 150 x 10 mm</t>
  </si>
  <si>
    <t>Opakowanie = 1 szt.</t>
  </si>
  <si>
    <t>Pręt stalowy do statywu z gwintem</t>
  </si>
  <si>
    <t>Końcówki do pipet 200ul</t>
  </si>
  <si>
    <t>Końcówki do pipet Qualitix, 0.1-200ul, bezbarwne, uniwersalne, niesterylne</t>
  </si>
  <si>
    <t>Opakowanie = 1000 szt</t>
  </si>
  <si>
    <t>Szalki Petriego PS 35/10</t>
  </si>
  <si>
    <t>Opakowanie = 74*10 szt.</t>
  </si>
  <si>
    <t>Szkiełka nakrywkowe okrągłe, średnica 14 mm. Wykonane ze szkła borokrzemowego o grubości od 0,13 do 0,16 mm. Do zastosowania 
w mikroskopii fluorescencyjnej. Zgodne z normą DIN ISO 8255-1.</t>
  </si>
  <si>
    <t>Szkiełka nakrywkowe okrągłe fi 14 mm</t>
  </si>
  <si>
    <t>Szkiełka nakrywkowe okrągłe fi 12 mm</t>
  </si>
  <si>
    <t>Cylinder miarowy kl A 1000 ml</t>
  </si>
  <si>
    <t>Specjalne strzykawki z końcówką luer-lock 5 ml</t>
  </si>
  <si>
    <t>Specjalne strzykawki z końcówką luer-lock 3 ml</t>
  </si>
  <si>
    <t>Specjalne strzykawki z końcówką BD Luer-Lock - sterylne, Pojemność: 3 ml</t>
  </si>
  <si>
    <t>Pręt ze stali nierdzewnej, 12 / 1000 mm, gwint M 10</t>
  </si>
  <si>
    <t>Szalki Petriego PS 35/10, niesterylne z żebrami wentylacyjnymi</t>
  </si>
  <si>
    <t>Cylinder miarowy kl A 500 ml</t>
  </si>
  <si>
    <t>Końcówki do pipety wyporowej o objętości 1000 µL. Technologia końcówki: Kapilara z tłokiem. Pakowane w statywach Tipack.  Gilson Microman lub równoważne pod względem technologii końcówki</t>
  </si>
  <si>
    <t>Jednokanałowa pipeta wyporowa Microman Gilson o zakresie objętości 100-1000 µL. Błąd dokładności ± 3,0; 5,0; 8,0 µL dla objętości odpowiednio 100, 500 oraz 1000 µL. Technologia końcówki: kapilara z tłokiem.</t>
  </si>
  <si>
    <t>Formularz asortymentowo-cenowy 
Część II Filtry i strzykawki</t>
  </si>
  <si>
    <t>Formularz asortymentowo-cenowy 
Część III Akcesoria metalowe, mieszadełka</t>
  </si>
  <si>
    <t>Formularz asortymentowo-cenowy 
Część IV Plastiki i pojemniki</t>
  </si>
  <si>
    <t>Formularz asortymentowo-cenowy 
Część V Akcesoria</t>
  </si>
  <si>
    <t>Formularz asortymentowo-cenowy 
Część VI Komórki</t>
  </si>
  <si>
    <t>Formularz asortymentowo-cenowy 
Część VII Pipety</t>
  </si>
  <si>
    <t>Formularz asortymentowo-cenowy 
Część VIII Pipety specjalistyczne</t>
  </si>
  <si>
    <t>Tryskawka 500 ml z nadrukiem DEST.WATER</t>
  </si>
  <si>
    <t>Opakowanie zbiorcze = 
2 x 91 sztuk</t>
  </si>
  <si>
    <t>Paski pH-metryczne</t>
  </si>
  <si>
    <t>Paski wskaźnikowe pH-metryczne, uniwersalne, z co najmniej potrójnym polem kolorymetrycznym, do pomiaru pH z zakresu     0-14</t>
  </si>
  <si>
    <t>Strzykawki jednorazowe 
1 ml</t>
  </si>
  <si>
    <t>Membanowy filtr PTFE na nośniku z HDPE</t>
  </si>
  <si>
    <t xml:space="preserve">Filtr membranowy wykonany hydrofobowego z PTFE na nośniku z HDPE, 85% prorowatośći, średnica porów 0,22 μm, średnica membrany 25mm, grubość 150 μm, maxsymalna temperatura pracy 130 °C (fluoropore FGLP02500 lub równoważny) </t>
  </si>
  <si>
    <t>Okrągłe pojemniki 
z HDPE, z szeroką szyją, korkiem i zakrętką, 0,120 l</t>
  </si>
  <si>
    <t>Okrągłe pojemniki 
z HDPE, z szeroką szyją, korkiem i zakrętką, 0,250 l</t>
  </si>
  <si>
    <t>Pipety Pasteura 
o poj. 1 m</t>
  </si>
  <si>
    <t>Pipety Pasteura
o poj. 3 ml</t>
  </si>
  <si>
    <t>Probówki wirówkowe typu Falcon  z PP, Typ stożkowodenne, Pojemność 50 ml, niesterylne.</t>
  </si>
  <si>
    <t>Probówki wirówkowe typu Falcon  z PP, Typ stożkowodenne, Pojemność 15 ml, niesterylne.</t>
  </si>
  <si>
    <t>Probówki typu Falcon lub równoważne z PP, Typ stożkowodenne, Pojemność 50 ml, sterylne.</t>
  </si>
  <si>
    <t>Probówki wirówkowe typu Falcon  z PP, Typ stożkowodenne, Pojemność 15 ml, sterylne.</t>
  </si>
  <si>
    <t>Probówki wirówkowe typu Falcon z PP, Typ stożkowodenne, Pojemność 5 ml, sterylne.</t>
  </si>
  <si>
    <t>Probówki 50 ml typu Falcon z PP, posiadające 4 otwory wentylacyjne w zakrętce, typ: stożkowodenne, sterylne.</t>
  </si>
  <si>
    <t>Opakowanie=
320 sztuk</t>
  </si>
  <si>
    <t>Opakowanie=
240 sztuk</t>
  </si>
  <si>
    <t>Opakowanie = 
1 sztuka</t>
  </si>
  <si>
    <t>Opakowanie=
10x96 sztuk</t>
  </si>
  <si>
    <t>Opakowanie=
1000 sztuk</t>
  </si>
  <si>
    <t>Opakowanie zbiorcze = 
10 x 100 sztuk</t>
  </si>
  <si>
    <t>Opakowanie=
25 sztuk</t>
  </si>
  <si>
    <t>Opakowanie=
50 sztuk sztuk</t>
  </si>
  <si>
    <t>Opakowanie = 
5 sztuk</t>
  </si>
  <si>
    <t xml:space="preserve">Transformator do czasz grzejnych </t>
  </si>
  <si>
    <t>Transformator do czasz grzejnych, REGULATOR NAPIĘCIA MOCY GRZAŁKI 4000W funkcja OFF</t>
  </si>
  <si>
    <t>Statyw obrotowy na pipety automatyczne</t>
  </si>
  <si>
    <t>Statyw obrotowy do pipet automatycznych, 8-stanowiskowy, kompatybilny z pipetami HTL jedno- i wielokanałowymi</t>
  </si>
  <si>
    <t>Opakowanie =
 6 sztuk</t>
  </si>
  <si>
    <t>Opakowanie zbiorcze = 
20 x 5 sztuk</t>
  </si>
  <si>
    <t>Pipeta automatyczna 5 ml</t>
  </si>
  <si>
    <t>Pipeta automatyczna 1 ml</t>
  </si>
  <si>
    <t>Akumulatory do pipet</t>
  </si>
  <si>
    <t>Statyw do pipet automatycznych</t>
  </si>
  <si>
    <t>Końcówki do pipet Eppendorf 5 ml</t>
  </si>
  <si>
    <t>Końcówki do pipet Eppendorf, pojemność max. 5 ml</t>
  </si>
  <si>
    <t>Pipeta automatyczna 
0,2 ml</t>
  </si>
  <si>
    <t>Pipeta automatyczna 10-100ul</t>
  </si>
  <si>
    <t>Pipeta automatyczna 100-1000ul</t>
  </si>
  <si>
    <t>Pipeta automatyczna 0.5-5ml</t>
  </si>
  <si>
    <t>Pipeta jednokanałowa Acura 825, 10-100ul</t>
  </si>
  <si>
    <t>Pipeta jednokanałowa Acura 825, 100-1000ul</t>
  </si>
  <si>
    <t>Pipeta jednokanałowa Acura 835, 0.5-5ml</t>
  </si>
  <si>
    <t>Kolumny chromatograficzne</t>
  </si>
  <si>
    <t>Kolumny chromatograficzne, biureta, wywinięte obrzeże, pojemność: 35 ml, średnica wewnętrzna 15 mm, długość 200 mm, zawór PTFE</t>
  </si>
  <si>
    <t>Kolby Erlenmeyera 250 ml</t>
  </si>
  <si>
    <t>Kolby Erlenmeyera ze szkła typu Simax lub równoważne, pojemność 250 ml,  śr Kolby 85 mm, wysokość 145 mm</t>
  </si>
  <si>
    <t>Pęseta prosta końcówki półokrągłe 115 mm</t>
  </si>
  <si>
    <t>Pęseta z końcówkami półokrąłymi wykonana ze stali nierdzewnej. Długość 115 mm</t>
  </si>
  <si>
    <t>Pęseta końcówki ostre zagięte 115 mm</t>
  </si>
  <si>
    <t>Pęseta z końcówkami ostrymi zagiętymi. Wykonana ze stali nierdzewnej. Długość 115mm</t>
  </si>
  <si>
    <t>Pęseta precyzyjna, cienka, lekko wygięta, 115 mm</t>
  </si>
  <si>
    <t>Końcówka - b. cienka, lekko wygięta Typ - 5A-SA-E Długość – 115mm</t>
  </si>
  <si>
    <t>Szczypce do kolb</t>
  </si>
  <si>
    <t>Szczypce do kolb, zakrzywione wykonane ze stali szlachetnej . Posiadają szczęki pokryte winylem zapobiegające wyślizgiwaniu się kolb. Rozstaw 17-60mm, długość 220 mm</t>
  </si>
  <si>
    <t>Szpatułka podwójna z małym ostrzem</t>
  </si>
  <si>
    <t>Szerokość ostrza – 5mm Długość – 100mm</t>
  </si>
  <si>
    <t>Pudełko na końcówki do pipet o poj. 10 ml</t>
  </si>
  <si>
    <t>Pudełko na końcówki do pipet o pojemności 10 ml, może pomieścić 25 szt. końcówek o pojemności 10 ml, wielokrotnego użytku, autoklawowalne, głębokość pudełka (od otworów do dna): ok. 13,7 cm</t>
  </si>
  <si>
    <t>Szczotka do zlewek 100 ml</t>
  </si>
  <si>
    <t>Szczotka do zlewek o pojemności 100 ml. Długość włosia 100 mm. Średnica włosia 50 mm. Długość całkowita 210 mm.</t>
  </si>
  <si>
    <t>Probówki laboratoryjne zwężone na górze 16x160</t>
  </si>
  <si>
    <t>Probówki laboratoryjne zwężone na górze, wymiary (śr. x wys.): 16 x 160 mm, grubość ścianki: 0,6 mm</t>
  </si>
  <si>
    <t>Fiolki gwintowane ND13 4ml</t>
  </si>
  <si>
    <t>Przeźroczyste fiolki wykonane ze szkła borokrzemowego Wheaton 33. Pojemność 4 ml.</t>
  </si>
  <si>
    <t>Fiolki na próbki 4 ml -  szkło borokrzemianowe, bezbarwne, GL 13</t>
  </si>
  <si>
    <t>Fiolki na próbki 4 ml - Rotilabo® lub równoważne pod względem materiały wykonania i i gwintu, szkło borokrzemianowe, bezbarwne, GL13</t>
  </si>
  <si>
    <t>Butelka 2 ml bezbarwna GL 8</t>
  </si>
  <si>
    <t>Mieszadełka magnetyczne z powłoką teflonową. Cylindryczne, z zaokrąglonymi końcami.</t>
  </si>
  <si>
    <t>Mieszadełka magnetyczne z powłoką teflonową. Cylindryczne, z zaokrąglonymi końcami. Długość x szerokość: 15 x 1,5 mm</t>
  </si>
  <si>
    <t>Statywy do probówek – ze stali nierdzewnej pokrytej PE</t>
  </si>
  <si>
    <t>Statywy do probówek pokryte tworzywem PE, wykonane ze stali nierdzewnej, średnica otworu: 14 mm, liczba miejsc: 2x10, wysokość: 60 mm.</t>
  </si>
  <si>
    <t>Szpatułko-łyżeczka z małym ostrzem, okrągła</t>
  </si>
  <si>
    <t>Szpatułko-łyżeczka wykonana ze stali szlachetnej. Posiada z jednej strony proste ostrze, a z drugiej zaokrągloną łyżeczkę. Autoklawowalna. Szerokośc ostrza 5 mm, długość całkowita 100 mm</t>
  </si>
  <si>
    <t>Uchwyt do ezy</t>
  </si>
  <si>
    <t>Uchwyt do ezy według Kolle. Solidne wykonanie z mosiądzu. Chromowane. Nierdzewne. Z kolorową rączką z tworzywa sztucznego. Długość całkowita 240 mm, średnica uchwytu 6 mm</t>
  </si>
  <si>
    <t>Eza ze stali szlachetnej</t>
  </si>
  <si>
    <t>Eza ze stali szlachetnej pętla 3 mm</t>
  </si>
  <si>
    <t>Pudełko na końcówki do pipet o poj. 1 ml</t>
  </si>
  <si>
    <t>Pudełko na końcówki do pipet o poj. 1000 μl</t>
  </si>
  <si>
    <t>Lejek z PP 50 mm</t>
  </si>
  <si>
    <t>Lejek wykonany z tworzywa sztucznego (PP), śr. górna 50 mm, śr. zew. nóżki 9 mm</t>
  </si>
  <si>
    <t>Lejek z tworzywa sztucznego (PP) 75x10</t>
  </si>
  <si>
    <t>Lejki wykonane z tworzywa sztucznego (PP). Śr. górna 75 mm, Śr. zew. nóżki 10 mm.</t>
  </si>
  <si>
    <t>Nakrętki gwintowane ND 13</t>
  </si>
  <si>
    <t>Nakrętki gwintowane ND13 bez otworu</t>
  </si>
  <si>
    <t>Zlewka plastikowa 50 ml</t>
  </si>
  <si>
    <t>Wykonane z PP. Ze skalą i wylewem, pojemność 50 ml</t>
  </si>
  <si>
    <t>Zlewka plastikowa 250 ml</t>
  </si>
  <si>
    <t>Wykonane z PP. Ze skalą i wylewem, pojemność 250 ml</t>
  </si>
  <si>
    <t>Nakrętka GL 8 czarna</t>
  </si>
  <si>
    <t>Zakrętki bez otworu do E159.1, E160.1, C518.1</t>
  </si>
  <si>
    <t>Nakrętka GL13 czarna</t>
  </si>
  <si>
    <t xml:space="preserve">Nakrętka GL13 czarna </t>
  </si>
  <si>
    <t>Pipeta wielokanałowa 50-300 µl, 8 kanałowa</t>
  </si>
  <si>
    <t>Pipeta wielokanałowa typu HTL Discovery Comfort lub równoważna, pojemność 50-300 µl, 8 kanałowa, gwarantująca dokładność, precyzję i bezpieczeństwo pracy, posiada blokadę zapobiegającą przypadkowej zmianie nastawionej objętości, dwie możliwości nastawiania objętości – pokrętłem bądź przyciskiem pipetowania, odporna na sterylizację za pomocą promieniowania UV oraz w pełni autoklawowalna (bez konieczności rekalibracji po każdym cyklu autoklawowania)</t>
  </si>
  <si>
    <t>Szczotka do probówek 21 cm</t>
  </si>
  <si>
    <t>Szczotka do probówek, główka: bawełniana, dł. rączki: 14,5 cm, dł. włosia: 6,5 cm, śr. główki: 1 cm, długość: 21 cm</t>
  </si>
  <si>
    <t>Folia przeźroczysta</t>
  </si>
  <si>
    <t>Wykonana z polietylenu. Przeznaczona do zamykania kubków, naczyń, szalek, próbek lub pojemników. Odznacza się znakomitą przyczepnością oraz silną rozciągliwością. Do uniwersalnego zastosowania. Przystosowana do przechowywania żywności. Przyjazna środowisku.</t>
  </si>
  <si>
    <t>Rolka = 75m</t>
  </si>
  <si>
    <t>Septy przeznaczone do fiolek z gwintem ND13.</t>
  </si>
  <si>
    <t>Septy przeznaczone do fiolek z gwintem ND13. butyl czerwony/PTFE szary</t>
  </si>
  <si>
    <t>Uszczelka GL 13 PTFE</t>
  </si>
  <si>
    <t>Septa PTFE, zakrętki 12 mm do fiolek na próbki 4 ml Rotilabo®</t>
  </si>
  <si>
    <t>Replikatory TSP do płytek 96-dołkowych</t>
  </si>
  <si>
    <t>Replikatory TSP (Transferable Solid Phase) do płytek 96-dołkowych, wykonane z przejrzystego polistyrenu, wypustki replikatora TSP zanurzają się w studzienkach płytki 96-dołkowej, umożliwiając transfer materiału na kolejną</t>
  </si>
  <si>
    <t>XXXXXX</t>
  </si>
  <si>
    <t>Formularz asortymentowo-cenowy 
Część IX Drobny sprzęt laboratoryjny</t>
  </si>
  <si>
    <t>szt.</t>
  </si>
  <si>
    <t>48.</t>
  </si>
  <si>
    <r>
      <t xml:space="preserve">Szklana kolba miarowa klasy "A" . Posiadająca korek z PP na  szlif </t>
    </r>
    <r>
      <rPr>
        <strike/>
        <sz val="11"/>
        <color rgb="FFFF0000"/>
        <rFont val="Times New Roman"/>
        <family val="1"/>
        <charset val="238"/>
      </rPr>
      <t>24/29</t>
    </r>
    <r>
      <rPr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>29/32</t>
    </r>
    <r>
      <rPr>
        <sz val="11"/>
        <rFont val="Times New Roman"/>
        <family val="1"/>
        <charset val="238"/>
      </rPr>
      <t xml:space="preserve">
Nadruk niebieski. Zgodna z normą ISO 1042. Wykonana ze szkła borokrzemowego 3.3.
Toleracja ±0,6 ml. Pojemność: 2000 ml.</t>
    </r>
  </si>
  <si>
    <r>
      <t xml:space="preserve">Zlewka niska </t>
    </r>
    <r>
      <rPr>
        <strike/>
        <sz val="11"/>
        <color rgb="FFFF0000"/>
        <rFont val="Times New Roman"/>
        <family val="1"/>
        <charset val="238"/>
      </rPr>
      <t>300</t>
    </r>
    <r>
      <rPr>
        <sz val="11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>400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ml</t>
    </r>
  </si>
  <si>
    <r>
      <t xml:space="preserve">Zlewka niska z wylewem.
Posiadająca pole do opisu i skalę w kolorze białym. Zgodna z  ISO 3819, DIN 12331. Wykonana ze  szkła borokrzemowego 3.3. Pojemność: </t>
    </r>
    <r>
      <rPr>
        <strike/>
        <sz val="11"/>
        <color rgb="FFFF0000"/>
        <rFont val="Times New Roman"/>
        <family val="1"/>
        <charset val="238"/>
      </rPr>
      <t>300</t>
    </r>
    <r>
      <rPr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>400</t>
    </r>
    <r>
      <rPr>
        <sz val="11"/>
        <rFont val="Times New Roman"/>
        <family val="1"/>
        <charset val="238"/>
      </rPr>
      <t xml:space="preserve"> ml.</t>
    </r>
  </si>
  <si>
    <r>
      <t xml:space="preserve">Zlewka szklana z uchem o pojemności </t>
    </r>
    <r>
      <rPr>
        <strike/>
        <sz val="11"/>
        <color rgb="FFFF0000"/>
        <rFont val="Times New Roman"/>
        <family val="1"/>
        <charset val="238"/>
      </rPr>
      <t>500</t>
    </r>
    <r>
      <rPr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>600</t>
    </r>
    <r>
      <rPr>
        <sz val="11"/>
        <rFont val="Times New Roman"/>
        <family val="1"/>
        <charset val="238"/>
      </rPr>
      <t xml:space="preserve"> ml wykonan ze szkła borokrzemowego </t>
    </r>
  </si>
  <si>
    <r>
      <t xml:space="preserve">Zlewka szklana z uchem o pojemności </t>
    </r>
    <r>
      <rPr>
        <strike/>
        <sz val="11"/>
        <color rgb="FFFF0000"/>
        <rFont val="Times New Roman"/>
        <family val="1"/>
        <charset val="238"/>
      </rPr>
      <t>500</t>
    </r>
    <r>
      <rPr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>600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ml</t>
    </r>
  </si>
  <si>
    <r>
      <t xml:space="preserve">Formularz asortymentowo-cenowy </t>
    </r>
    <r>
      <rPr>
        <b/>
        <sz val="14"/>
        <color rgb="FFFF0000"/>
        <rFont val="Times New Roman"/>
        <family val="1"/>
        <charset val="238"/>
      </rPr>
      <t>po zmianach z dnia 09.06.2022 r.</t>
    </r>
    <r>
      <rPr>
        <b/>
        <sz val="14"/>
        <color theme="1"/>
        <rFont val="Times New Roman"/>
        <family val="1"/>
        <charset val="238"/>
      </rPr>
      <t xml:space="preserve">
Część I Wyroby szklane</t>
    </r>
  </si>
  <si>
    <r>
      <t xml:space="preserve">Butelka szklana ze szlifem i z  pustym </t>
    </r>
    <r>
      <rPr>
        <b/>
        <sz val="11"/>
        <color rgb="FFFF0000"/>
        <rFont val="Times New Roman"/>
        <family val="1"/>
        <charset val="238"/>
      </rPr>
      <t>lub pełnym</t>
    </r>
    <r>
      <rPr>
        <sz val="11"/>
        <color theme="1"/>
        <rFont val="Times New Roman"/>
        <family val="1"/>
        <charset val="238"/>
      </rPr>
      <t xml:space="preserve">   korkiem, z wąską szyją biała 50 ml</t>
    </r>
  </si>
  <si>
    <r>
      <t>Butelki ze szlifem, wąską szyjką. Wykonane ze szkła sodowo-wapniowego, wyposażone w szklane, puste</t>
    </r>
    <r>
      <rPr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>lub pełne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korki. Pojemność 50 ml.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</si>
</sst>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 * #,##0.00_)\ &quot;PLN&quot;_ ;_ * \(#,##0.00\)\ &quot;PLN&quot;_ ;_ * &quot;-&quot;??_)\ &quot;PLN&quot;_ ;_ @_ 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7.7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333333"/>
      <name val="Ubuntu"/>
      <family val="2"/>
      <charset val="1"/>
    </font>
    <font>
      <sz val="8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28">
    <xf numFmtId="0" fontId="0" fillId="0" borderId="0" xfId="0"/>
    <xf numFmtId="44" fontId="7" fillId="0" borderId="3" xfId="0" applyNumberFormat="1" applyFont="1" applyBorder="1" applyAlignment="1" applyProtection="1">
      <alignment horizontal="center" vertical="center" wrapText="1"/>
      <protection locked="0"/>
    </xf>
    <xf numFmtId="9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4" fontId="7" fillId="0" borderId="4" xfId="0" applyNumberFormat="1" applyFont="1" applyBorder="1" applyAlignment="1" applyProtection="1">
      <alignment horizontal="center" vertical="center" wrapText="1"/>
      <protection locked="0"/>
    </xf>
    <xf numFmtId="44" fontId="7" fillId="0" borderId="5" xfId="0" applyNumberFormat="1" applyFont="1" applyBorder="1" applyAlignment="1" applyProtection="1">
      <alignment horizontal="center" vertical="center" wrapText="1"/>
      <protection locked="0"/>
    </xf>
    <xf numFmtId="9" fontId="7" fillId="0" borderId="5" xfId="0" applyNumberFormat="1" applyFont="1" applyBorder="1" applyAlignment="1" applyProtection="1">
      <alignment horizontal="center" vertical="center" wrapText="1"/>
      <protection locked="0"/>
    </xf>
    <xf numFmtId="44" fontId="7" fillId="0" borderId="6" xfId="0" applyNumberFormat="1" applyFont="1" applyBorder="1" applyAlignment="1" applyProtection="1">
      <alignment horizontal="center" vertical="center" wrapText="1"/>
      <protection locked="0"/>
    </xf>
    <xf numFmtId="9" fontId="7" fillId="0" borderId="6" xfId="0" applyNumberFormat="1" applyFont="1" applyBorder="1" applyAlignment="1" applyProtection="1">
      <alignment horizontal="center" vertical="center" wrapText="1"/>
      <protection locked="0"/>
    </xf>
    <xf numFmtId="44" fontId="7" fillId="0" borderId="10" xfId="0" applyNumberFormat="1" applyFont="1" applyBorder="1" applyAlignment="1" applyProtection="1">
      <alignment horizontal="center" vertical="center" wrapText="1"/>
      <protection locked="0"/>
    </xf>
    <xf numFmtId="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4" fontId="7" fillId="0" borderId="3" xfId="0" applyNumberFormat="1" applyFont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6" xfId="2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vertical="center" wrapText="1"/>
    </xf>
    <xf numFmtId="0" fontId="9" fillId="3" borderId="5" xfId="0" applyFont="1" applyFill="1" applyBorder="1" applyAlignment="1" applyProtection="1">
      <alignment vertical="center" wrapText="1"/>
    </xf>
    <xf numFmtId="0" fontId="9" fillId="3" borderId="10" xfId="0" applyFont="1" applyFill="1" applyBorder="1" applyAlignment="1" applyProtection="1">
      <alignment vertical="center" wrapText="1"/>
    </xf>
    <xf numFmtId="0" fontId="9" fillId="3" borderId="0" xfId="0" applyFont="1" applyFill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" fontId="12" fillId="0" borderId="3" xfId="0" applyNumberFormat="1" applyFont="1" applyBorder="1" applyAlignment="1" applyProtection="1">
      <alignment horizontal="center" vertical="center"/>
      <protection locked="0"/>
    </xf>
    <xf numFmtId="44" fontId="7" fillId="0" borderId="4" xfId="0" applyNumberFormat="1" applyFont="1" applyBorder="1" applyAlignment="1" applyProtection="1">
      <alignment horizontal="center" vertical="center"/>
      <protection locked="0"/>
    </xf>
    <xf numFmtId="9" fontId="7" fillId="0" borderId="4" xfId="0" applyNumberFormat="1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right" vertical="center" wrapText="1"/>
    </xf>
    <xf numFmtId="0" fontId="0" fillId="0" borderId="0" xfId="0" applyProtection="1"/>
    <xf numFmtId="164" fontId="5" fillId="3" borderId="4" xfId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164" fontId="5" fillId="3" borderId="3" xfId="1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44" fontId="7" fillId="0" borderId="5" xfId="0" applyNumberFormat="1" applyFont="1" applyBorder="1" applyAlignment="1" applyProtection="1">
      <alignment horizontal="center" vertical="center" wrapText="1"/>
    </xf>
    <xf numFmtId="44" fontId="7" fillId="0" borderId="3" xfId="0" applyNumberFormat="1" applyFont="1" applyBorder="1" applyAlignment="1" applyProtection="1">
      <alignment horizontal="center" vertical="center" wrapText="1"/>
    </xf>
    <xf numFmtId="9" fontId="7" fillId="0" borderId="3" xfId="0" applyNumberFormat="1" applyFont="1" applyBorder="1" applyAlignment="1" applyProtection="1">
      <alignment horizontal="center" vertical="center" wrapText="1"/>
    </xf>
    <xf numFmtId="44" fontId="18" fillId="3" borderId="3" xfId="0" applyNumberFormat="1" applyFont="1" applyFill="1" applyBorder="1" applyAlignment="1" applyProtection="1">
      <alignment horizontal="center" vertical="center" wrapText="1"/>
    </xf>
    <xf numFmtId="44" fontId="18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164" fontId="15" fillId="3" borderId="4" xfId="1" applyFont="1" applyFill="1" applyBorder="1" applyAlignment="1" applyProtection="1">
      <alignment horizontal="center" vertical="center" wrapText="1"/>
    </xf>
    <xf numFmtId="164" fontId="5" fillId="3" borderId="12" xfId="1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44" fontId="7" fillId="0" borderId="6" xfId="0" applyNumberFormat="1" applyFont="1" applyBorder="1" applyAlignment="1" applyProtection="1">
      <alignment horizontal="center" vertical="center" wrapText="1"/>
    </xf>
    <xf numFmtId="44" fontId="7" fillId="0" borderId="8" xfId="0" applyNumberFormat="1" applyFont="1" applyBorder="1" applyAlignment="1" applyProtection="1">
      <alignment horizontal="center" vertical="center" wrapText="1"/>
    </xf>
    <xf numFmtId="44" fontId="18" fillId="3" borderId="3" xfId="0" applyNumberFormat="1" applyFont="1" applyFill="1" applyBorder="1" applyAlignment="1" applyProtection="1">
      <alignment horizontal="center" vertical="center"/>
    </xf>
    <xf numFmtId="44" fontId="18" fillId="0" borderId="3" xfId="0" applyNumberFormat="1" applyFont="1" applyBorder="1" applyAlignment="1" applyProtection="1">
      <alignment vertical="center"/>
    </xf>
    <xf numFmtId="0" fontId="7" fillId="0" borderId="0" xfId="0" applyFont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/>
    </xf>
    <xf numFmtId="164" fontId="15" fillId="3" borderId="3" xfId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left" vertical="center"/>
    </xf>
    <xf numFmtId="44" fontId="18" fillId="3" borderId="3" xfId="0" applyNumberFormat="1" applyFont="1" applyFill="1" applyBorder="1" applyAlignment="1" applyProtection="1">
      <alignment horizontal="right" vertical="center"/>
    </xf>
    <xf numFmtId="44" fontId="18" fillId="0" borderId="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7" fillId="3" borderId="9" xfId="0" applyFont="1" applyFill="1" applyBorder="1" applyAlignment="1" applyProtection="1">
      <alignment horizontal="center" vertical="center" wrapText="1"/>
    </xf>
    <xf numFmtId="44" fontId="18" fillId="3" borderId="5" xfId="0" applyNumberFormat="1" applyFont="1" applyFill="1" applyBorder="1" applyAlignment="1" applyProtection="1">
      <alignment horizontal="center" vertical="center" wrapText="1"/>
    </xf>
    <xf numFmtId="44" fontId="18" fillId="0" borderId="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/>
    <xf numFmtId="164" fontId="7" fillId="3" borderId="3" xfId="1" applyFont="1" applyFill="1" applyBorder="1" applyAlignment="1" applyProtection="1">
      <alignment horizontal="center" vertical="center" wrapText="1"/>
    </xf>
    <xf numFmtId="164" fontId="5" fillId="3" borderId="7" xfId="1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44" fontId="7" fillId="0" borderId="7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horizontal="left"/>
    </xf>
    <xf numFmtId="164" fontId="5" fillId="3" borderId="3" xfId="1" applyFont="1" applyFill="1" applyBorder="1" applyAlignment="1" applyProtection="1">
      <alignment horizontal="left" vertical="center" wrapText="1"/>
    </xf>
    <xf numFmtId="44" fontId="7" fillId="0" borderId="3" xfId="0" applyNumberFormat="1" applyFont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left" vertical="center" wrapText="1"/>
    </xf>
    <xf numFmtId="0" fontId="11" fillId="3" borderId="9" xfId="0" applyFont="1" applyFill="1" applyBorder="1" applyAlignment="1" applyProtection="1">
      <alignment horizontal="center" vertical="center"/>
    </xf>
    <xf numFmtId="44" fontId="11" fillId="0" borderId="9" xfId="0" applyNumberFormat="1" applyFont="1" applyBorder="1" applyAlignment="1" applyProtection="1">
      <alignment horizontal="center" vertical="center"/>
    </xf>
    <xf numFmtId="9" fontId="11" fillId="0" borderId="9" xfId="0" applyNumberFormat="1" applyFont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left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44" fontId="11" fillId="0" borderId="14" xfId="0" applyNumberFormat="1" applyFont="1" applyBorder="1" applyAlignment="1" applyProtection="1">
      <alignment horizontal="center" vertical="center" wrapText="1"/>
    </xf>
    <xf numFmtId="9" fontId="11" fillId="0" borderId="14" xfId="0" applyNumberFormat="1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right" vertical="center" wrapText="1"/>
    </xf>
    <xf numFmtId="164" fontId="20" fillId="3" borderId="3" xfId="1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7" fillId="3" borderId="3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center" vertical="center"/>
    </xf>
    <xf numFmtId="44" fontId="20" fillId="0" borderId="3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9" fontId="7" fillId="0" borderId="3" xfId="0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right" vertical="center"/>
    </xf>
  </cellXfs>
  <cellStyles count="3">
    <cellStyle name="Neutralny" xfId="2" builtinId="2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BE38-6B56-CF41-AEB4-663BB1F9B4CF}">
  <dimension ref="A1:L81"/>
  <sheetViews>
    <sheetView tabSelected="1" topLeftCell="A22" zoomScale="90" zoomScaleNormal="90" workbookViewId="0">
      <selection activeCell="F24" sqref="F24"/>
    </sheetView>
  </sheetViews>
  <sheetFormatPr defaultColWidth="11" defaultRowHeight="15.75" x14ac:dyDescent="0.25"/>
  <cols>
    <col min="1" max="1" width="11" style="47"/>
    <col min="2" max="2" width="20.5" style="47" bestFit="1" customWidth="1"/>
    <col min="3" max="3" width="52" style="60" customWidth="1"/>
    <col min="4" max="4" width="14.125" style="47" customWidth="1"/>
    <col min="5" max="5" width="8.625" style="47"/>
    <col min="6" max="6" width="13.875" style="47" customWidth="1"/>
    <col min="7" max="7" width="13.125" style="47" customWidth="1"/>
    <col min="8" max="8" width="16.875" style="47" customWidth="1"/>
    <col min="9" max="9" width="18.625" style="47" customWidth="1"/>
    <col min="10" max="10" width="15.625" style="47" customWidth="1"/>
    <col min="11" max="11" width="19.375" style="47" customWidth="1"/>
    <col min="12" max="12" width="42.5" style="47" customWidth="1"/>
    <col min="13" max="16384" width="11" style="47"/>
  </cols>
  <sheetData>
    <row r="1" spans="1:12" ht="36.75" customHeight="1" x14ac:dyDescent="0.25">
      <c r="A1" s="121" t="s">
        <v>777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6" t="s">
        <v>0</v>
      </c>
    </row>
    <row r="2" spans="1:12" ht="25.5" x14ac:dyDescent="0.25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49" t="s">
        <v>9</v>
      </c>
      <c r="J2" s="48" t="s">
        <v>10</v>
      </c>
      <c r="K2" s="48" t="s">
        <v>11</v>
      </c>
      <c r="L2" s="50" t="s">
        <v>12</v>
      </c>
    </row>
    <row r="3" spans="1:12" x14ac:dyDescent="0.25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  <c r="H3" s="51">
        <v>8</v>
      </c>
      <c r="I3" s="52">
        <v>9</v>
      </c>
      <c r="J3" s="51">
        <v>10</v>
      </c>
      <c r="K3" s="51">
        <v>11</v>
      </c>
      <c r="L3" s="53">
        <v>12</v>
      </c>
    </row>
    <row r="4" spans="1:12" ht="30" x14ac:dyDescent="0.25">
      <c r="A4" s="11">
        <f>ROW(A1)</f>
        <v>1</v>
      </c>
      <c r="B4" s="11" t="s">
        <v>14</v>
      </c>
      <c r="C4" s="28" t="s">
        <v>15</v>
      </c>
      <c r="D4" s="11" t="s">
        <v>16</v>
      </c>
      <c r="E4" s="11">
        <f>5+30</f>
        <v>35</v>
      </c>
      <c r="F4" s="5"/>
      <c r="G4" s="6">
        <v>0.23</v>
      </c>
      <c r="H4" s="54">
        <f t="shared" ref="H4:H69" si="0">F4*G4</f>
        <v>0</v>
      </c>
      <c r="I4" s="54">
        <f t="shared" ref="I4:I67" si="1">F4*E4</f>
        <v>0</v>
      </c>
      <c r="J4" s="54">
        <f t="shared" ref="J4:J67" si="2">H4*E4</f>
        <v>0</v>
      </c>
      <c r="K4" s="54">
        <f t="shared" ref="K4:K67" si="3">I4+J4</f>
        <v>0</v>
      </c>
      <c r="L4" s="3"/>
    </row>
    <row r="5" spans="1:12" ht="30" x14ac:dyDescent="0.25">
      <c r="A5" s="11">
        <f t="shared" ref="A5:A68" si="4">ROW(A2)</f>
        <v>2</v>
      </c>
      <c r="B5" s="12" t="s">
        <v>18</v>
      </c>
      <c r="C5" s="29" t="s">
        <v>19</v>
      </c>
      <c r="D5" s="12" t="s">
        <v>16</v>
      </c>
      <c r="E5" s="12">
        <f>5+30</f>
        <v>35</v>
      </c>
      <c r="F5" s="1"/>
      <c r="G5" s="2">
        <v>0.23</v>
      </c>
      <c r="H5" s="54">
        <f t="shared" si="0"/>
        <v>0</v>
      </c>
      <c r="I5" s="54">
        <f t="shared" si="1"/>
        <v>0</v>
      </c>
      <c r="J5" s="54">
        <f t="shared" si="2"/>
        <v>0</v>
      </c>
      <c r="K5" s="54">
        <f t="shared" si="3"/>
        <v>0</v>
      </c>
      <c r="L5" s="3"/>
    </row>
    <row r="6" spans="1:12" ht="30" x14ac:dyDescent="0.25">
      <c r="A6" s="11">
        <f t="shared" si="4"/>
        <v>3</v>
      </c>
      <c r="B6" s="13" t="s">
        <v>21</v>
      </c>
      <c r="C6" s="30" t="s">
        <v>22</v>
      </c>
      <c r="D6" s="13" t="s">
        <v>16</v>
      </c>
      <c r="E6" s="12">
        <v>10</v>
      </c>
      <c r="F6" s="1"/>
      <c r="G6" s="2">
        <v>0.23</v>
      </c>
      <c r="H6" s="54">
        <f t="shared" si="0"/>
        <v>0</v>
      </c>
      <c r="I6" s="54">
        <f t="shared" si="1"/>
        <v>0</v>
      </c>
      <c r="J6" s="54">
        <f t="shared" si="2"/>
        <v>0</v>
      </c>
      <c r="K6" s="54">
        <f t="shared" si="3"/>
        <v>0</v>
      </c>
      <c r="L6" s="3"/>
    </row>
    <row r="7" spans="1:12" ht="30" x14ac:dyDescent="0.25">
      <c r="A7" s="11">
        <f t="shared" si="4"/>
        <v>4</v>
      </c>
      <c r="B7" s="13" t="s">
        <v>24</v>
      </c>
      <c r="C7" s="30" t="s">
        <v>25</v>
      </c>
      <c r="D7" s="13" t="s">
        <v>16</v>
      </c>
      <c r="E7" s="12">
        <v>5</v>
      </c>
      <c r="F7" s="1"/>
      <c r="G7" s="2">
        <v>0.23</v>
      </c>
      <c r="H7" s="54">
        <f t="shared" si="0"/>
        <v>0</v>
      </c>
      <c r="I7" s="54">
        <f t="shared" si="1"/>
        <v>0</v>
      </c>
      <c r="J7" s="54">
        <f t="shared" si="2"/>
        <v>0</v>
      </c>
      <c r="K7" s="54">
        <f t="shared" si="3"/>
        <v>0</v>
      </c>
      <c r="L7" s="3"/>
    </row>
    <row r="8" spans="1:12" ht="30" x14ac:dyDescent="0.25">
      <c r="A8" s="11">
        <f t="shared" si="4"/>
        <v>5</v>
      </c>
      <c r="B8" s="13" t="s">
        <v>27</v>
      </c>
      <c r="C8" s="30" t="s">
        <v>28</v>
      </c>
      <c r="D8" s="13" t="s">
        <v>16</v>
      </c>
      <c r="E8" s="12">
        <f>3+5+3+30</f>
        <v>41</v>
      </c>
      <c r="F8" s="1"/>
      <c r="G8" s="2">
        <v>0.23</v>
      </c>
      <c r="H8" s="54">
        <f t="shared" si="0"/>
        <v>0</v>
      </c>
      <c r="I8" s="54">
        <f t="shared" si="1"/>
        <v>0</v>
      </c>
      <c r="J8" s="54">
        <f t="shared" si="2"/>
        <v>0</v>
      </c>
      <c r="K8" s="54">
        <f t="shared" si="3"/>
        <v>0</v>
      </c>
      <c r="L8" s="3"/>
    </row>
    <row r="9" spans="1:12" ht="45" x14ac:dyDescent="0.25">
      <c r="A9" s="11">
        <f t="shared" si="4"/>
        <v>6</v>
      </c>
      <c r="B9" s="13" t="s">
        <v>31</v>
      </c>
      <c r="C9" s="30" t="s">
        <v>32</v>
      </c>
      <c r="D9" s="13" t="s">
        <v>16</v>
      </c>
      <c r="E9" s="12">
        <v>2</v>
      </c>
      <c r="F9" s="1"/>
      <c r="G9" s="2">
        <v>0.23</v>
      </c>
      <c r="H9" s="54">
        <f t="shared" si="0"/>
        <v>0</v>
      </c>
      <c r="I9" s="54">
        <f t="shared" si="1"/>
        <v>0</v>
      </c>
      <c r="J9" s="54">
        <f t="shared" si="2"/>
        <v>0</v>
      </c>
      <c r="K9" s="54">
        <f t="shared" si="3"/>
        <v>0</v>
      </c>
      <c r="L9" s="3"/>
    </row>
    <row r="10" spans="1:12" ht="45" x14ac:dyDescent="0.25">
      <c r="A10" s="11">
        <f t="shared" si="4"/>
        <v>7</v>
      </c>
      <c r="B10" s="13" t="s">
        <v>35</v>
      </c>
      <c r="C10" s="30" t="s">
        <v>36</v>
      </c>
      <c r="D10" s="13" t="s">
        <v>16</v>
      </c>
      <c r="E10" s="12">
        <v>2</v>
      </c>
      <c r="F10" s="1"/>
      <c r="G10" s="2">
        <v>0.23</v>
      </c>
      <c r="H10" s="54">
        <f t="shared" si="0"/>
        <v>0</v>
      </c>
      <c r="I10" s="54">
        <f t="shared" si="1"/>
        <v>0</v>
      </c>
      <c r="J10" s="54">
        <f t="shared" si="2"/>
        <v>0</v>
      </c>
      <c r="K10" s="54">
        <f t="shared" si="3"/>
        <v>0</v>
      </c>
      <c r="L10" s="3"/>
    </row>
    <row r="11" spans="1:12" ht="45" x14ac:dyDescent="0.25">
      <c r="A11" s="11">
        <f t="shared" si="4"/>
        <v>8</v>
      </c>
      <c r="B11" s="12" t="s">
        <v>41</v>
      </c>
      <c r="C11" s="29" t="s">
        <v>42</v>
      </c>
      <c r="D11" s="12" t="s">
        <v>16</v>
      </c>
      <c r="E11" s="12">
        <f>10+10</f>
        <v>20</v>
      </c>
      <c r="F11" s="1"/>
      <c r="G11" s="2">
        <v>0.23</v>
      </c>
      <c r="H11" s="54">
        <f t="shared" si="0"/>
        <v>0</v>
      </c>
      <c r="I11" s="54">
        <f t="shared" si="1"/>
        <v>0</v>
      </c>
      <c r="J11" s="54">
        <f t="shared" si="2"/>
        <v>0</v>
      </c>
      <c r="K11" s="54">
        <f t="shared" si="3"/>
        <v>0</v>
      </c>
      <c r="L11" s="3"/>
    </row>
    <row r="12" spans="1:12" ht="45" x14ac:dyDescent="0.25">
      <c r="A12" s="11">
        <f t="shared" si="4"/>
        <v>9</v>
      </c>
      <c r="B12" s="12" t="s">
        <v>44</v>
      </c>
      <c r="C12" s="29" t="s">
        <v>45</v>
      </c>
      <c r="D12" s="12" t="s">
        <v>16</v>
      </c>
      <c r="E12" s="12">
        <f>10+10</f>
        <v>20</v>
      </c>
      <c r="F12" s="1"/>
      <c r="G12" s="2">
        <v>0.23</v>
      </c>
      <c r="H12" s="54">
        <f t="shared" si="0"/>
        <v>0</v>
      </c>
      <c r="I12" s="54">
        <f t="shared" si="1"/>
        <v>0</v>
      </c>
      <c r="J12" s="54">
        <f t="shared" si="2"/>
        <v>0</v>
      </c>
      <c r="K12" s="54">
        <f t="shared" si="3"/>
        <v>0</v>
      </c>
      <c r="L12" s="3"/>
    </row>
    <row r="13" spans="1:12" ht="45" x14ac:dyDescent="0.25">
      <c r="A13" s="11">
        <f t="shared" si="4"/>
        <v>10</v>
      </c>
      <c r="B13" s="12" t="s">
        <v>47</v>
      </c>
      <c r="C13" s="29" t="s">
        <v>48</v>
      </c>
      <c r="D13" s="12" t="s">
        <v>16</v>
      </c>
      <c r="E13" s="12">
        <v>10</v>
      </c>
      <c r="F13" s="1"/>
      <c r="G13" s="2">
        <v>0.23</v>
      </c>
      <c r="H13" s="54">
        <f t="shared" si="0"/>
        <v>0</v>
      </c>
      <c r="I13" s="54">
        <f t="shared" si="1"/>
        <v>0</v>
      </c>
      <c r="J13" s="54">
        <f t="shared" si="2"/>
        <v>0</v>
      </c>
      <c r="K13" s="54">
        <f t="shared" si="3"/>
        <v>0</v>
      </c>
      <c r="L13" s="3"/>
    </row>
    <row r="14" spans="1:12" ht="45" x14ac:dyDescent="0.25">
      <c r="A14" s="11">
        <f t="shared" si="4"/>
        <v>11</v>
      </c>
      <c r="B14" s="12" t="s">
        <v>50</v>
      </c>
      <c r="C14" s="29" t="s">
        <v>51</v>
      </c>
      <c r="D14" s="12" t="s">
        <v>16</v>
      </c>
      <c r="E14" s="12">
        <v>9</v>
      </c>
      <c r="F14" s="1"/>
      <c r="G14" s="2">
        <v>0.23</v>
      </c>
      <c r="H14" s="54">
        <f t="shared" si="0"/>
        <v>0</v>
      </c>
      <c r="I14" s="54">
        <f t="shared" si="1"/>
        <v>0</v>
      </c>
      <c r="J14" s="54">
        <f t="shared" si="2"/>
        <v>0</v>
      </c>
      <c r="K14" s="54">
        <f t="shared" si="3"/>
        <v>0</v>
      </c>
      <c r="L14" s="3"/>
    </row>
    <row r="15" spans="1:12" ht="45" x14ac:dyDescent="0.25">
      <c r="A15" s="11">
        <f t="shared" si="4"/>
        <v>12</v>
      </c>
      <c r="B15" s="12" t="s">
        <v>53</v>
      </c>
      <c r="C15" s="29" t="s">
        <v>54</v>
      </c>
      <c r="D15" s="12" t="s">
        <v>16</v>
      </c>
      <c r="E15" s="12">
        <v>5</v>
      </c>
      <c r="F15" s="1"/>
      <c r="G15" s="2">
        <v>0.23</v>
      </c>
      <c r="H15" s="54">
        <f t="shared" si="0"/>
        <v>0</v>
      </c>
      <c r="I15" s="54">
        <f t="shared" si="1"/>
        <v>0</v>
      </c>
      <c r="J15" s="54">
        <f t="shared" si="2"/>
        <v>0</v>
      </c>
      <c r="K15" s="54">
        <f t="shared" si="3"/>
        <v>0</v>
      </c>
      <c r="L15" s="3"/>
    </row>
    <row r="16" spans="1:12" ht="81.75" customHeight="1" x14ac:dyDescent="0.25">
      <c r="A16" s="11">
        <f t="shared" si="4"/>
        <v>13</v>
      </c>
      <c r="B16" s="12" t="s">
        <v>56</v>
      </c>
      <c r="C16" s="30" t="s">
        <v>57</v>
      </c>
      <c r="D16" s="12" t="s">
        <v>16</v>
      </c>
      <c r="E16" s="12">
        <v>10</v>
      </c>
      <c r="F16" s="1"/>
      <c r="G16" s="2">
        <v>0.23</v>
      </c>
      <c r="H16" s="54">
        <f t="shared" si="0"/>
        <v>0</v>
      </c>
      <c r="I16" s="54">
        <f t="shared" si="1"/>
        <v>0</v>
      </c>
      <c r="J16" s="54">
        <f t="shared" si="2"/>
        <v>0</v>
      </c>
      <c r="K16" s="54">
        <f t="shared" si="3"/>
        <v>0</v>
      </c>
      <c r="L16" s="3"/>
    </row>
    <row r="17" spans="1:12" ht="86.25" customHeight="1" x14ac:dyDescent="0.25">
      <c r="A17" s="11">
        <f t="shared" si="4"/>
        <v>14</v>
      </c>
      <c r="B17" s="12" t="s">
        <v>59</v>
      </c>
      <c r="C17" s="30" t="s">
        <v>60</v>
      </c>
      <c r="D17" s="12" t="s">
        <v>16</v>
      </c>
      <c r="E17" s="12">
        <f>6+10+15</f>
        <v>31</v>
      </c>
      <c r="F17" s="1"/>
      <c r="G17" s="2">
        <v>0.23</v>
      </c>
      <c r="H17" s="54">
        <f t="shared" si="0"/>
        <v>0</v>
      </c>
      <c r="I17" s="54">
        <f t="shared" si="1"/>
        <v>0</v>
      </c>
      <c r="J17" s="54">
        <f t="shared" si="2"/>
        <v>0</v>
      </c>
      <c r="K17" s="54">
        <f t="shared" si="3"/>
        <v>0</v>
      </c>
      <c r="L17" s="3"/>
    </row>
    <row r="18" spans="1:12" ht="60" x14ac:dyDescent="0.25">
      <c r="A18" s="11">
        <f t="shared" si="4"/>
        <v>15</v>
      </c>
      <c r="B18" s="13" t="s">
        <v>62</v>
      </c>
      <c r="C18" s="30" t="s">
        <v>63</v>
      </c>
      <c r="D18" s="13" t="s">
        <v>16</v>
      </c>
      <c r="E18" s="12">
        <f>10+10+15</f>
        <v>35</v>
      </c>
      <c r="F18" s="1"/>
      <c r="G18" s="2">
        <v>0.23</v>
      </c>
      <c r="H18" s="54">
        <f t="shared" si="0"/>
        <v>0</v>
      </c>
      <c r="I18" s="54">
        <f t="shared" si="1"/>
        <v>0</v>
      </c>
      <c r="J18" s="54">
        <f t="shared" si="2"/>
        <v>0</v>
      </c>
      <c r="K18" s="54">
        <f t="shared" si="3"/>
        <v>0</v>
      </c>
      <c r="L18" s="3"/>
    </row>
    <row r="19" spans="1:12" ht="60" x14ac:dyDescent="0.25">
      <c r="A19" s="11">
        <f t="shared" si="4"/>
        <v>16</v>
      </c>
      <c r="B19" s="13" t="s">
        <v>65</v>
      </c>
      <c r="C19" s="30" t="s">
        <v>66</v>
      </c>
      <c r="D19" s="13" t="s">
        <v>16</v>
      </c>
      <c r="E19" s="12">
        <f>10+15+5</f>
        <v>30</v>
      </c>
      <c r="F19" s="1"/>
      <c r="G19" s="2">
        <v>0.23</v>
      </c>
      <c r="H19" s="54">
        <f t="shared" si="0"/>
        <v>0</v>
      </c>
      <c r="I19" s="54">
        <f t="shared" si="1"/>
        <v>0</v>
      </c>
      <c r="J19" s="54">
        <f t="shared" si="2"/>
        <v>0</v>
      </c>
      <c r="K19" s="54">
        <f t="shared" si="3"/>
        <v>0</v>
      </c>
      <c r="L19" s="3"/>
    </row>
    <row r="20" spans="1:12" ht="60" x14ac:dyDescent="0.25">
      <c r="A20" s="11">
        <f t="shared" si="4"/>
        <v>17</v>
      </c>
      <c r="B20" s="12" t="s">
        <v>68</v>
      </c>
      <c r="C20" s="30" t="s">
        <v>69</v>
      </c>
      <c r="D20" s="12" t="s">
        <v>16</v>
      </c>
      <c r="E20" s="12">
        <f>10+10+5</f>
        <v>25</v>
      </c>
      <c r="F20" s="1"/>
      <c r="G20" s="2">
        <v>0.23</v>
      </c>
      <c r="H20" s="54">
        <f t="shared" si="0"/>
        <v>0</v>
      </c>
      <c r="I20" s="54">
        <f t="shared" si="1"/>
        <v>0</v>
      </c>
      <c r="J20" s="54">
        <f t="shared" si="2"/>
        <v>0</v>
      </c>
      <c r="K20" s="54">
        <f t="shared" si="3"/>
        <v>0</v>
      </c>
      <c r="L20" s="3"/>
    </row>
    <row r="21" spans="1:12" ht="60" x14ac:dyDescent="0.25">
      <c r="A21" s="11">
        <f t="shared" si="4"/>
        <v>18</v>
      </c>
      <c r="B21" s="12" t="s">
        <v>71</v>
      </c>
      <c r="C21" s="30" t="s">
        <v>72</v>
      </c>
      <c r="D21" s="12" t="s">
        <v>16</v>
      </c>
      <c r="E21" s="12">
        <f>5+10</f>
        <v>15</v>
      </c>
      <c r="F21" s="1"/>
      <c r="G21" s="2">
        <v>0.23</v>
      </c>
      <c r="H21" s="54">
        <f t="shared" si="0"/>
        <v>0</v>
      </c>
      <c r="I21" s="54">
        <f t="shared" si="1"/>
        <v>0</v>
      </c>
      <c r="J21" s="54">
        <f t="shared" si="2"/>
        <v>0</v>
      </c>
      <c r="K21" s="54">
        <f t="shared" si="3"/>
        <v>0</v>
      </c>
      <c r="L21" s="3"/>
    </row>
    <row r="22" spans="1:12" ht="60" x14ac:dyDescent="0.25">
      <c r="A22" s="11">
        <f t="shared" si="4"/>
        <v>19</v>
      </c>
      <c r="B22" s="13" t="s">
        <v>74</v>
      </c>
      <c r="C22" s="30" t="s">
        <v>75</v>
      </c>
      <c r="D22" s="13" t="s">
        <v>16</v>
      </c>
      <c r="E22" s="12">
        <f>3+10+10</f>
        <v>23</v>
      </c>
      <c r="F22" s="1"/>
      <c r="G22" s="2">
        <v>0.23</v>
      </c>
      <c r="H22" s="54">
        <f t="shared" si="0"/>
        <v>0</v>
      </c>
      <c r="I22" s="54">
        <f t="shared" si="1"/>
        <v>0</v>
      </c>
      <c r="J22" s="54">
        <f t="shared" si="2"/>
        <v>0</v>
      </c>
      <c r="K22" s="54">
        <f t="shared" si="3"/>
        <v>0</v>
      </c>
      <c r="L22" s="3"/>
    </row>
    <row r="23" spans="1:12" ht="45" x14ac:dyDescent="0.25">
      <c r="A23" s="11">
        <f t="shared" si="4"/>
        <v>20</v>
      </c>
      <c r="B23" s="12" t="s">
        <v>77</v>
      </c>
      <c r="C23" s="29" t="s">
        <v>78</v>
      </c>
      <c r="D23" s="12" t="s">
        <v>16</v>
      </c>
      <c r="E23" s="12">
        <f>4+10</f>
        <v>14</v>
      </c>
      <c r="F23" s="1"/>
      <c r="G23" s="2">
        <v>0.23</v>
      </c>
      <c r="H23" s="54">
        <f t="shared" si="0"/>
        <v>0</v>
      </c>
      <c r="I23" s="54">
        <f t="shared" si="1"/>
        <v>0</v>
      </c>
      <c r="J23" s="54">
        <f t="shared" si="2"/>
        <v>0</v>
      </c>
      <c r="K23" s="54">
        <f t="shared" si="3"/>
        <v>0</v>
      </c>
      <c r="L23" s="3"/>
    </row>
    <row r="24" spans="1:12" ht="73.5" customHeight="1" x14ac:dyDescent="0.25">
      <c r="A24" s="11">
        <f t="shared" si="4"/>
        <v>21</v>
      </c>
      <c r="B24" s="12" t="s">
        <v>778</v>
      </c>
      <c r="C24" s="29" t="s">
        <v>779</v>
      </c>
      <c r="D24" s="12" t="s">
        <v>16</v>
      </c>
      <c r="E24" s="12">
        <v>35</v>
      </c>
      <c r="F24" s="1"/>
      <c r="G24" s="2">
        <v>0.23</v>
      </c>
      <c r="H24" s="54">
        <f t="shared" si="0"/>
        <v>0</v>
      </c>
      <c r="I24" s="54">
        <f t="shared" si="1"/>
        <v>0</v>
      </c>
      <c r="J24" s="54">
        <f t="shared" si="2"/>
        <v>0</v>
      </c>
      <c r="K24" s="54">
        <f t="shared" si="3"/>
        <v>0</v>
      </c>
      <c r="L24" s="3"/>
    </row>
    <row r="25" spans="1:12" ht="56.25" customHeight="1" x14ac:dyDescent="0.25">
      <c r="A25" s="11">
        <f t="shared" si="4"/>
        <v>22</v>
      </c>
      <c r="B25" s="12" t="s">
        <v>82</v>
      </c>
      <c r="C25" s="29" t="s">
        <v>83</v>
      </c>
      <c r="D25" s="12" t="s">
        <v>16</v>
      </c>
      <c r="E25" s="12">
        <v>5</v>
      </c>
      <c r="F25" s="1"/>
      <c r="G25" s="2">
        <v>0.23</v>
      </c>
      <c r="H25" s="54">
        <f t="shared" si="0"/>
        <v>0</v>
      </c>
      <c r="I25" s="54">
        <f t="shared" si="1"/>
        <v>0</v>
      </c>
      <c r="J25" s="54">
        <f t="shared" si="2"/>
        <v>0</v>
      </c>
      <c r="K25" s="54">
        <f t="shared" si="3"/>
        <v>0</v>
      </c>
      <c r="L25" s="3"/>
    </row>
    <row r="26" spans="1:12" ht="63.75" customHeight="1" x14ac:dyDescent="0.25">
      <c r="A26" s="11">
        <f t="shared" si="4"/>
        <v>23</v>
      </c>
      <c r="B26" s="12" t="s">
        <v>85</v>
      </c>
      <c r="C26" s="29" t="s">
        <v>86</v>
      </c>
      <c r="D26" s="12" t="s">
        <v>16</v>
      </c>
      <c r="E26" s="12">
        <f>5+3</f>
        <v>8</v>
      </c>
      <c r="F26" s="1"/>
      <c r="G26" s="2">
        <v>0.23</v>
      </c>
      <c r="H26" s="54">
        <f t="shared" si="0"/>
        <v>0</v>
      </c>
      <c r="I26" s="54">
        <f t="shared" si="1"/>
        <v>0</v>
      </c>
      <c r="J26" s="54">
        <f t="shared" si="2"/>
        <v>0</v>
      </c>
      <c r="K26" s="54">
        <f t="shared" si="3"/>
        <v>0</v>
      </c>
      <c r="L26" s="3"/>
    </row>
    <row r="27" spans="1:12" ht="63.75" customHeight="1" x14ac:dyDescent="0.25">
      <c r="A27" s="11">
        <f t="shared" si="4"/>
        <v>24</v>
      </c>
      <c r="B27" s="12" t="s">
        <v>88</v>
      </c>
      <c r="C27" s="29" t="s">
        <v>89</v>
      </c>
      <c r="D27" s="12" t="s">
        <v>16</v>
      </c>
      <c r="E27" s="12">
        <v>3</v>
      </c>
      <c r="F27" s="1"/>
      <c r="G27" s="2">
        <v>0.23</v>
      </c>
      <c r="H27" s="54">
        <f t="shared" si="0"/>
        <v>0</v>
      </c>
      <c r="I27" s="54">
        <f t="shared" si="1"/>
        <v>0</v>
      </c>
      <c r="J27" s="54">
        <f t="shared" si="2"/>
        <v>0</v>
      </c>
      <c r="K27" s="54">
        <f t="shared" si="3"/>
        <v>0</v>
      </c>
      <c r="L27" s="3"/>
    </row>
    <row r="28" spans="1:12" ht="63.75" customHeight="1" x14ac:dyDescent="0.25">
      <c r="A28" s="11">
        <f t="shared" si="4"/>
        <v>25</v>
      </c>
      <c r="B28" s="12" t="s">
        <v>90</v>
      </c>
      <c r="C28" s="29" t="s">
        <v>91</v>
      </c>
      <c r="D28" s="12" t="s">
        <v>16</v>
      </c>
      <c r="E28" s="12">
        <v>5</v>
      </c>
      <c r="F28" s="1"/>
      <c r="G28" s="2">
        <v>0.23</v>
      </c>
      <c r="H28" s="54">
        <f t="shared" si="0"/>
        <v>0</v>
      </c>
      <c r="I28" s="54">
        <f t="shared" si="1"/>
        <v>0</v>
      </c>
      <c r="J28" s="54">
        <f t="shared" si="2"/>
        <v>0</v>
      </c>
      <c r="K28" s="54">
        <f t="shared" si="3"/>
        <v>0</v>
      </c>
      <c r="L28" s="3"/>
    </row>
    <row r="29" spans="1:12" ht="63.75" customHeight="1" x14ac:dyDescent="0.25">
      <c r="A29" s="11">
        <f t="shared" si="4"/>
        <v>26</v>
      </c>
      <c r="B29" s="12" t="s">
        <v>93</v>
      </c>
      <c r="C29" s="29" t="s">
        <v>94</v>
      </c>
      <c r="D29" s="12" t="s">
        <v>16</v>
      </c>
      <c r="E29" s="12">
        <v>5</v>
      </c>
      <c r="F29" s="1"/>
      <c r="G29" s="2">
        <v>0.23</v>
      </c>
      <c r="H29" s="54">
        <f t="shared" si="0"/>
        <v>0</v>
      </c>
      <c r="I29" s="54">
        <f t="shared" si="1"/>
        <v>0</v>
      </c>
      <c r="J29" s="54">
        <f t="shared" si="2"/>
        <v>0</v>
      </c>
      <c r="K29" s="54">
        <f t="shared" si="3"/>
        <v>0</v>
      </c>
      <c r="L29" s="3"/>
    </row>
    <row r="30" spans="1:12" ht="67.5" customHeight="1" x14ac:dyDescent="0.25">
      <c r="A30" s="11">
        <f t="shared" si="4"/>
        <v>27</v>
      </c>
      <c r="B30" s="14" t="s">
        <v>101</v>
      </c>
      <c r="C30" s="31" t="s">
        <v>102</v>
      </c>
      <c r="D30" s="14" t="s">
        <v>16</v>
      </c>
      <c r="E30" s="12">
        <f>1+5</f>
        <v>6</v>
      </c>
      <c r="F30" s="1"/>
      <c r="G30" s="2">
        <v>0.23</v>
      </c>
      <c r="H30" s="54">
        <f t="shared" si="0"/>
        <v>0</v>
      </c>
      <c r="I30" s="54">
        <f t="shared" si="1"/>
        <v>0</v>
      </c>
      <c r="J30" s="54">
        <f t="shared" si="2"/>
        <v>0</v>
      </c>
      <c r="K30" s="54">
        <f t="shared" si="3"/>
        <v>0</v>
      </c>
      <c r="L30" s="3"/>
    </row>
    <row r="31" spans="1:12" ht="67.5" customHeight="1" x14ac:dyDescent="0.25">
      <c r="A31" s="11">
        <f t="shared" si="4"/>
        <v>28</v>
      </c>
      <c r="B31" s="14" t="s">
        <v>704</v>
      </c>
      <c r="C31" s="31" t="s">
        <v>705</v>
      </c>
      <c r="D31" s="14" t="s">
        <v>16</v>
      </c>
      <c r="E31" s="12">
        <v>2</v>
      </c>
      <c r="F31" s="1"/>
      <c r="G31" s="2">
        <v>0.23</v>
      </c>
      <c r="H31" s="54">
        <f t="shared" si="0"/>
        <v>0</v>
      </c>
      <c r="I31" s="54">
        <f t="shared" si="1"/>
        <v>0</v>
      </c>
      <c r="J31" s="54">
        <f t="shared" si="2"/>
        <v>0</v>
      </c>
      <c r="K31" s="54">
        <f t="shared" si="3"/>
        <v>0</v>
      </c>
      <c r="L31" s="3"/>
    </row>
    <row r="32" spans="1:12" ht="60" x14ac:dyDescent="0.25">
      <c r="A32" s="11">
        <f t="shared" si="4"/>
        <v>29</v>
      </c>
      <c r="B32" s="13" t="s">
        <v>106</v>
      </c>
      <c r="C32" s="30" t="s">
        <v>107</v>
      </c>
      <c r="D32" s="13" t="s">
        <v>16</v>
      </c>
      <c r="E32" s="12">
        <v>2</v>
      </c>
      <c r="F32" s="1"/>
      <c r="G32" s="2">
        <v>0.23</v>
      </c>
      <c r="H32" s="54">
        <f t="shared" si="0"/>
        <v>0</v>
      </c>
      <c r="I32" s="54">
        <f t="shared" si="1"/>
        <v>0</v>
      </c>
      <c r="J32" s="54">
        <f t="shared" si="2"/>
        <v>0</v>
      </c>
      <c r="K32" s="54">
        <f t="shared" si="3"/>
        <v>0</v>
      </c>
      <c r="L32" s="3"/>
    </row>
    <row r="33" spans="1:12" ht="60" x14ac:dyDescent="0.25">
      <c r="A33" s="11">
        <f t="shared" si="4"/>
        <v>30</v>
      </c>
      <c r="B33" s="13" t="s">
        <v>109</v>
      </c>
      <c r="C33" s="30" t="s">
        <v>110</v>
      </c>
      <c r="D33" s="13" t="s">
        <v>16</v>
      </c>
      <c r="E33" s="12">
        <f>10+10</f>
        <v>20</v>
      </c>
      <c r="F33" s="1"/>
      <c r="G33" s="2">
        <v>0.23</v>
      </c>
      <c r="H33" s="54">
        <f t="shared" si="0"/>
        <v>0</v>
      </c>
      <c r="I33" s="54">
        <f t="shared" si="1"/>
        <v>0</v>
      </c>
      <c r="J33" s="54">
        <f t="shared" si="2"/>
        <v>0</v>
      </c>
      <c r="K33" s="54">
        <f t="shared" si="3"/>
        <v>0</v>
      </c>
      <c r="L33" s="3"/>
    </row>
    <row r="34" spans="1:12" ht="57" customHeight="1" x14ac:dyDescent="0.25">
      <c r="A34" s="11">
        <f t="shared" si="4"/>
        <v>31</v>
      </c>
      <c r="B34" s="12" t="s">
        <v>649</v>
      </c>
      <c r="C34" s="29" t="s">
        <v>598</v>
      </c>
      <c r="D34" s="12" t="s">
        <v>16</v>
      </c>
      <c r="E34" s="12">
        <v>2</v>
      </c>
      <c r="F34" s="1"/>
      <c r="G34" s="2">
        <v>0.23</v>
      </c>
      <c r="H34" s="54">
        <f t="shared" si="0"/>
        <v>0</v>
      </c>
      <c r="I34" s="54">
        <f t="shared" si="1"/>
        <v>0</v>
      </c>
      <c r="J34" s="54">
        <f t="shared" si="2"/>
        <v>0</v>
      </c>
      <c r="K34" s="54">
        <f t="shared" si="3"/>
        <v>0</v>
      </c>
      <c r="L34" s="3"/>
    </row>
    <row r="35" spans="1:12" ht="53.1" customHeight="1" x14ac:dyDescent="0.25">
      <c r="A35" s="11">
        <f t="shared" si="4"/>
        <v>32</v>
      </c>
      <c r="B35" s="12" t="s">
        <v>643</v>
      </c>
      <c r="C35" s="29" t="s">
        <v>599</v>
      </c>
      <c r="D35" s="12" t="s">
        <v>600</v>
      </c>
      <c r="E35" s="12">
        <v>1</v>
      </c>
      <c r="F35" s="1"/>
      <c r="G35" s="2">
        <v>0.23</v>
      </c>
      <c r="H35" s="54">
        <f t="shared" si="0"/>
        <v>0</v>
      </c>
      <c r="I35" s="54">
        <f t="shared" si="1"/>
        <v>0</v>
      </c>
      <c r="J35" s="54">
        <f t="shared" si="2"/>
        <v>0</v>
      </c>
      <c r="K35" s="54">
        <f t="shared" si="3"/>
        <v>0</v>
      </c>
      <c r="L35" s="3"/>
    </row>
    <row r="36" spans="1:12" ht="45" x14ac:dyDescent="0.25">
      <c r="A36" s="11">
        <f t="shared" si="4"/>
        <v>33</v>
      </c>
      <c r="B36" s="13" t="s">
        <v>112</v>
      </c>
      <c r="C36" s="30" t="s">
        <v>113</v>
      </c>
      <c r="D36" s="13" t="s">
        <v>16</v>
      </c>
      <c r="E36" s="12">
        <f>1+1+1+6</f>
        <v>9</v>
      </c>
      <c r="F36" s="1"/>
      <c r="G36" s="2">
        <v>0.23</v>
      </c>
      <c r="H36" s="54">
        <f t="shared" si="0"/>
        <v>0</v>
      </c>
      <c r="I36" s="54">
        <f t="shared" si="1"/>
        <v>0</v>
      </c>
      <c r="J36" s="54">
        <f t="shared" si="2"/>
        <v>0</v>
      </c>
      <c r="K36" s="54">
        <f t="shared" si="3"/>
        <v>0</v>
      </c>
      <c r="L36" s="3"/>
    </row>
    <row r="37" spans="1:12" ht="45" x14ac:dyDescent="0.25">
      <c r="A37" s="11">
        <f t="shared" si="4"/>
        <v>34</v>
      </c>
      <c r="B37" s="12" t="s">
        <v>115</v>
      </c>
      <c r="C37" s="30" t="s">
        <v>116</v>
      </c>
      <c r="D37" s="12" t="s">
        <v>16</v>
      </c>
      <c r="E37" s="12">
        <f>10+2+1+10</f>
        <v>23</v>
      </c>
      <c r="F37" s="1"/>
      <c r="G37" s="2">
        <v>0.23</v>
      </c>
      <c r="H37" s="54">
        <f t="shared" si="0"/>
        <v>0</v>
      </c>
      <c r="I37" s="54">
        <f t="shared" si="1"/>
        <v>0</v>
      </c>
      <c r="J37" s="54">
        <f t="shared" si="2"/>
        <v>0</v>
      </c>
      <c r="K37" s="54">
        <f t="shared" si="3"/>
        <v>0</v>
      </c>
      <c r="L37" s="3"/>
    </row>
    <row r="38" spans="1:12" ht="45" x14ac:dyDescent="0.25">
      <c r="A38" s="11">
        <f t="shared" si="4"/>
        <v>35</v>
      </c>
      <c r="B38" s="13" t="s">
        <v>118</v>
      </c>
      <c r="C38" s="30" t="s">
        <v>119</v>
      </c>
      <c r="D38" s="13" t="s">
        <v>16</v>
      </c>
      <c r="E38" s="12">
        <f>1+1+6+1</f>
        <v>9</v>
      </c>
      <c r="F38" s="1"/>
      <c r="G38" s="2">
        <v>0.23</v>
      </c>
      <c r="H38" s="54">
        <f t="shared" si="0"/>
        <v>0</v>
      </c>
      <c r="I38" s="54">
        <f t="shared" si="1"/>
        <v>0</v>
      </c>
      <c r="J38" s="54">
        <f t="shared" si="2"/>
        <v>0</v>
      </c>
      <c r="K38" s="54">
        <f t="shared" si="3"/>
        <v>0</v>
      </c>
      <c r="L38" s="3"/>
    </row>
    <row r="39" spans="1:12" ht="30" x14ac:dyDescent="0.25">
      <c r="A39" s="11">
        <f t="shared" si="4"/>
        <v>36</v>
      </c>
      <c r="B39" s="12" t="s">
        <v>122</v>
      </c>
      <c r="C39" s="29" t="s">
        <v>123</v>
      </c>
      <c r="D39" s="12" t="s">
        <v>16</v>
      </c>
      <c r="E39" s="12">
        <f>1+2</f>
        <v>3</v>
      </c>
      <c r="F39" s="1"/>
      <c r="G39" s="2">
        <v>0.23</v>
      </c>
      <c r="H39" s="54">
        <f t="shared" si="0"/>
        <v>0</v>
      </c>
      <c r="I39" s="54">
        <f t="shared" si="1"/>
        <v>0</v>
      </c>
      <c r="J39" s="54">
        <f t="shared" si="2"/>
        <v>0</v>
      </c>
      <c r="K39" s="54">
        <f t="shared" si="3"/>
        <v>0</v>
      </c>
      <c r="L39" s="3"/>
    </row>
    <row r="40" spans="1:12" ht="45" x14ac:dyDescent="0.25">
      <c r="A40" s="11">
        <f t="shared" si="4"/>
        <v>37</v>
      </c>
      <c r="B40" s="12" t="s">
        <v>125</v>
      </c>
      <c r="C40" s="29" t="s">
        <v>126</v>
      </c>
      <c r="D40" s="12" t="s">
        <v>127</v>
      </c>
      <c r="E40" s="12">
        <v>1</v>
      </c>
      <c r="F40" s="1"/>
      <c r="G40" s="2">
        <v>0.23</v>
      </c>
      <c r="H40" s="54">
        <f t="shared" si="0"/>
        <v>0</v>
      </c>
      <c r="I40" s="54">
        <f t="shared" si="1"/>
        <v>0</v>
      </c>
      <c r="J40" s="54">
        <f t="shared" si="2"/>
        <v>0</v>
      </c>
      <c r="K40" s="54">
        <f t="shared" si="3"/>
        <v>0</v>
      </c>
      <c r="L40" s="3"/>
    </row>
    <row r="41" spans="1:12" ht="45" x14ac:dyDescent="0.25">
      <c r="A41" s="11">
        <f t="shared" si="4"/>
        <v>38</v>
      </c>
      <c r="B41" s="12" t="s">
        <v>128</v>
      </c>
      <c r="C41" s="29" t="s">
        <v>129</v>
      </c>
      <c r="D41" s="12" t="s">
        <v>127</v>
      </c>
      <c r="E41" s="12">
        <f>1+1+1</f>
        <v>3</v>
      </c>
      <c r="F41" s="1"/>
      <c r="G41" s="2">
        <v>0.23</v>
      </c>
      <c r="H41" s="54">
        <f t="shared" si="0"/>
        <v>0</v>
      </c>
      <c r="I41" s="54">
        <f t="shared" si="1"/>
        <v>0</v>
      </c>
      <c r="J41" s="54">
        <f t="shared" si="2"/>
        <v>0</v>
      </c>
      <c r="K41" s="54">
        <f t="shared" si="3"/>
        <v>0</v>
      </c>
      <c r="L41" s="3"/>
    </row>
    <row r="42" spans="1:12" ht="45" x14ac:dyDescent="0.25">
      <c r="A42" s="11">
        <f t="shared" si="4"/>
        <v>39</v>
      </c>
      <c r="B42" s="12" t="s">
        <v>130</v>
      </c>
      <c r="C42" s="29" t="s">
        <v>131</v>
      </c>
      <c r="D42" s="12" t="s">
        <v>127</v>
      </c>
      <c r="E42" s="12">
        <f>1+1+1</f>
        <v>3</v>
      </c>
      <c r="F42" s="1"/>
      <c r="G42" s="2">
        <v>0.23</v>
      </c>
      <c r="H42" s="54">
        <f t="shared" si="0"/>
        <v>0</v>
      </c>
      <c r="I42" s="54">
        <f t="shared" si="1"/>
        <v>0</v>
      </c>
      <c r="J42" s="54">
        <f t="shared" si="2"/>
        <v>0</v>
      </c>
      <c r="K42" s="54">
        <f t="shared" si="3"/>
        <v>0</v>
      </c>
      <c r="L42" s="3"/>
    </row>
    <row r="43" spans="1:12" ht="45" x14ac:dyDescent="0.25">
      <c r="A43" s="11">
        <f t="shared" si="4"/>
        <v>40</v>
      </c>
      <c r="B43" s="12" t="s">
        <v>132</v>
      </c>
      <c r="C43" s="29" t="s">
        <v>133</v>
      </c>
      <c r="D43" s="12" t="s">
        <v>127</v>
      </c>
      <c r="E43" s="12">
        <v>2</v>
      </c>
      <c r="F43" s="1"/>
      <c r="G43" s="2">
        <v>0.23</v>
      </c>
      <c r="H43" s="54">
        <f t="shared" si="0"/>
        <v>0</v>
      </c>
      <c r="I43" s="54">
        <f t="shared" si="1"/>
        <v>0</v>
      </c>
      <c r="J43" s="54">
        <f t="shared" si="2"/>
        <v>0</v>
      </c>
      <c r="K43" s="54">
        <f t="shared" si="3"/>
        <v>0</v>
      </c>
      <c r="L43" s="3"/>
    </row>
    <row r="44" spans="1:12" ht="30" x14ac:dyDescent="0.25">
      <c r="A44" s="11">
        <f t="shared" si="4"/>
        <v>41</v>
      </c>
      <c r="B44" s="12" t="s">
        <v>134</v>
      </c>
      <c r="C44" s="29" t="s">
        <v>135</v>
      </c>
      <c r="D44" s="12" t="s">
        <v>16</v>
      </c>
      <c r="E44" s="12">
        <v>1</v>
      </c>
      <c r="F44" s="1"/>
      <c r="G44" s="2">
        <v>0.23</v>
      </c>
      <c r="H44" s="54">
        <f t="shared" si="0"/>
        <v>0</v>
      </c>
      <c r="I44" s="54">
        <f t="shared" si="1"/>
        <v>0</v>
      </c>
      <c r="J44" s="54">
        <f t="shared" si="2"/>
        <v>0</v>
      </c>
      <c r="K44" s="54">
        <f t="shared" si="3"/>
        <v>0</v>
      </c>
      <c r="L44" s="3"/>
    </row>
    <row r="45" spans="1:12" ht="60" x14ac:dyDescent="0.25">
      <c r="A45" s="11">
        <f t="shared" si="4"/>
        <v>42</v>
      </c>
      <c r="B45" s="13" t="s">
        <v>136</v>
      </c>
      <c r="C45" s="30" t="s">
        <v>137</v>
      </c>
      <c r="D45" s="13" t="s">
        <v>16</v>
      </c>
      <c r="E45" s="12">
        <f>10+10</f>
        <v>20</v>
      </c>
      <c r="F45" s="1"/>
      <c r="G45" s="2">
        <v>0.23</v>
      </c>
      <c r="H45" s="54">
        <f t="shared" si="0"/>
        <v>0</v>
      </c>
      <c r="I45" s="54">
        <f t="shared" si="1"/>
        <v>0</v>
      </c>
      <c r="J45" s="54">
        <f t="shared" si="2"/>
        <v>0</v>
      </c>
      <c r="K45" s="54">
        <f t="shared" si="3"/>
        <v>0</v>
      </c>
      <c r="L45" s="3"/>
    </row>
    <row r="46" spans="1:12" ht="60" x14ac:dyDescent="0.25">
      <c r="A46" s="11">
        <f t="shared" si="4"/>
        <v>43</v>
      </c>
      <c r="B46" s="13" t="s">
        <v>138</v>
      </c>
      <c r="C46" s="30" t="s">
        <v>139</v>
      </c>
      <c r="D46" s="13" t="s">
        <v>16</v>
      </c>
      <c r="E46" s="12">
        <v>10</v>
      </c>
      <c r="F46" s="1"/>
      <c r="G46" s="2">
        <v>0.23</v>
      </c>
      <c r="H46" s="54">
        <f t="shared" si="0"/>
        <v>0</v>
      </c>
      <c r="I46" s="54">
        <f t="shared" si="1"/>
        <v>0</v>
      </c>
      <c r="J46" s="54">
        <f t="shared" si="2"/>
        <v>0</v>
      </c>
      <c r="K46" s="54">
        <f t="shared" si="3"/>
        <v>0</v>
      </c>
      <c r="L46" s="3"/>
    </row>
    <row r="47" spans="1:12" ht="87" customHeight="1" x14ac:dyDescent="0.25">
      <c r="A47" s="11">
        <f t="shared" si="4"/>
        <v>44</v>
      </c>
      <c r="B47" s="13" t="s">
        <v>140</v>
      </c>
      <c r="C47" s="30" t="s">
        <v>772</v>
      </c>
      <c r="D47" s="13" t="s">
        <v>16</v>
      </c>
      <c r="E47" s="12">
        <v>5</v>
      </c>
      <c r="F47" s="1"/>
      <c r="G47" s="2">
        <v>0.23</v>
      </c>
      <c r="H47" s="54">
        <f t="shared" si="0"/>
        <v>0</v>
      </c>
      <c r="I47" s="54">
        <f t="shared" si="1"/>
        <v>0</v>
      </c>
      <c r="J47" s="54">
        <f t="shared" si="2"/>
        <v>0</v>
      </c>
      <c r="K47" s="54">
        <f t="shared" si="3"/>
        <v>0</v>
      </c>
      <c r="L47" s="3"/>
    </row>
    <row r="48" spans="1:12" ht="45" x14ac:dyDescent="0.25">
      <c r="A48" s="11">
        <f t="shared" si="4"/>
        <v>45</v>
      </c>
      <c r="B48" s="13" t="s">
        <v>141</v>
      </c>
      <c r="C48" s="30" t="s">
        <v>142</v>
      </c>
      <c r="D48" s="13" t="s">
        <v>16</v>
      </c>
      <c r="E48" s="12">
        <v>3</v>
      </c>
      <c r="F48" s="1"/>
      <c r="G48" s="2">
        <v>0.23</v>
      </c>
      <c r="H48" s="54">
        <f t="shared" si="0"/>
        <v>0</v>
      </c>
      <c r="I48" s="54">
        <f t="shared" si="1"/>
        <v>0</v>
      </c>
      <c r="J48" s="54">
        <f t="shared" si="2"/>
        <v>0</v>
      </c>
      <c r="K48" s="54">
        <f t="shared" si="3"/>
        <v>0</v>
      </c>
      <c r="L48" s="3"/>
    </row>
    <row r="49" spans="1:12" ht="30" x14ac:dyDescent="0.25">
      <c r="A49" s="11">
        <f t="shared" si="4"/>
        <v>46</v>
      </c>
      <c r="B49" s="13" t="s">
        <v>706</v>
      </c>
      <c r="C49" s="30" t="s">
        <v>707</v>
      </c>
      <c r="D49" s="13" t="s">
        <v>16</v>
      </c>
      <c r="E49" s="12">
        <v>10</v>
      </c>
      <c r="F49" s="41"/>
      <c r="G49" s="2">
        <v>0.23</v>
      </c>
      <c r="H49" s="54">
        <f t="shared" si="0"/>
        <v>0</v>
      </c>
      <c r="I49" s="54">
        <f t="shared" si="1"/>
        <v>0</v>
      </c>
      <c r="J49" s="54">
        <f t="shared" si="2"/>
        <v>0</v>
      </c>
      <c r="K49" s="54">
        <f t="shared" si="3"/>
        <v>0</v>
      </c>
      <c r="L49" s="3"/>
    </row>
    <row r="50" spans="1:12" ht="72.75" customHeight="1" x14ac:dyDescent="0.25">
      <c r="A50" s="11">
        <f t="shared" si="4"/>
        <v>47</v>
      </c>
      <c r="B50" s="13" t="s">
        <v>143</v>
      </c>
      <c r="C50" s="30" t="s">
        <v>144</v>
      </c>
      <c r="D50" s="13" t="s">
        <v>16</v>
      </c>
      <c r="E50" s="13">
        <f>2+5+1+2</f>
        <v>10</v>
      </c>
      <c r="F50" s="1"/>
      <c r="G50" s="2">
        <v>0.23</v>
      </c>
      <c r="H50" s="54">
        <f t="shared" si="0"/>
        <v>0</v>
      </c>
      <c r="I50" s="54">
        <f t="shared" si="1"/>
        <v>0</v>
      </c>
      <c r="J50" s="54">
        <f t="shared" si="2"/>
        <v>0</v>
      </c>
      <c r="K50" s="54">
        <f t="shared" si="3"/>
        <v>0</v>
      </c>
      <c r="L50" s="3"/>
    </row>
    <row r="51" spans="1:12" ht="30" x14ac:dyDescent="0.25">
      <c r="A51" s="11">
        <f t="shared" si="4"/>
        <v>48</v>
      </c>
      <c r="B51" s="12" t="s">
        <v>145</v>
      </c>
      <c r="C51" s="29" t="s">
        <v>146</v>
      </c>
      <c r="D51" s="12" t="s">
        <v>16</v>
      </c>
      <c r="E51" s="12">
        <v>1</v>
      </c>
      <c r="F51" s="1"/>
      <c r="G51" s="2">
        <v>0.23</v>
      </c>
      <c r="H51" s="54">
        <f t="shared" si="0"/>
        <v>0</v>
      </c>
      <c r="I51" s="54">
        <f t="shared" si="1"/>
        <v>0</v>
      </c>
      <c r="J51" s="54">
        <f t="shared" si="2"/>
        <v>0</v>
      </c>
      <c r="K51" s="54">
        <f t="shared" si="3"/>
        <v>0</v>
      </c>
      <c r="L51" s="3"/>
    </row>
    <row r="52" spans="1:12" ht="49.5" customHeight="1" x14ac:dyDescent="0.25">
      <c r="A52" s="11">
        <f t="shared" si="4"/>
        <v>49</v>
      </c>
      <c r="B52" s="12" t="s">
        <v>147</v>
      </c>
      <c r="C52" s="29" t="s">
        <v>148</v>
      </c>
      <c r="D52" s="12" t="s">
        <v>16</v>
      </c>
      <c r="E52" s="12">
        <v>1</v>
      </c>
      <c r="F52" s="1"/>
      <c r="G52" s="2">
        <v>0.23</v>
      </c>
      <c r="H52" s="54">
        <f t="shared" si="0"/>
        <v>0</v>
      </c>
      <c r="I52" s="54">
        <f t="shared" si="1"/>
        <v>0</v>
      </c>
      <c r="J52" s="54">
        <f t="shared" si="2"/>
        <v>0</v>
      </c>
      <c r="K52" s="54">
        <f t="shared" si="3"/>
        <v>0</v>
      </c>
      <c r="L52" s="3"/>
    </row>
    <row r="53" spans="1:12" ht="42" customHeight="1" x14ac:dyDescent="0.25">
      <c r="A53" s="11">
        <f t="shared" si="4"/>
        <v>50</v>
      </c>
      <c r="B53" s="12" t="s">
        <v>149</v>
      </c>
      <c r="C53" s="29" t="s">
        <v>150</v>
      </c>
      <c r="D53" s="12" t="s">
        <v>16</v>
      </c>
      <c r="E53" s="12">
        <v>1</v>
      </c>
      <c r="F53" s="1"/>
      <c r="G53" s="2">
        <v>0.23</v>
      </c>
      <c r="H53" s="54">
        <f t="shared" si="0"/>
        <v>0</v>
      </c>
      <c r="I53" s="54">
        <f t="shared" si="1"/>
        <v>0</v>
      </c>
      <c r="J53" s="54">
        <f t="shared" si="2"/>
        <v>0</v>
      </c>
      <c r="K53" s="54">
        <f t="shared" si="3"/>
        <v>0</v>
      </c>
      <c r="L53" s="3"/>
    </row>
    <row r="54" spans="1:12" ht="63.75" customHeight="1" x14ac:dyDescent="0.25">
      <c r="A54" s="11">
        <f t="shared" si="4"/>
        <v>51</v>
      </c>
      <c r="B54" s="12" t="s">
        <v>151</v>
      </c>
      <c r="C54" s="29" t="s">
        <v>152</v>
      </c>
      <c r="D54" s="12" t="s">
        <v>16</v>
      </c>
      <c r="E54" s="12">
        <v>3</v>
      </c>
      <c r="F54" s="1"/>
      <c r="G54" s="2">
        <v>0.23</v>
      </c>
      <c r="H54" s="54">
        <f t="shared" si="0"/>
        <v>0</v>
      </c>
      <c r="I54" s="54">
        <f t="shared" si="1"/>
        <v>0</v>
      </c>
      <c r="J54" s="54">
        <f t="shared" si="2"/>
        <v>0</v>
      </c>
      <c r="K54" s="54">
        <f t="shared" si="3"/>
        <v>0</v>
      </c>
      <c r="L54" s="3"/>
    </row>
    <row r="55" spans="1:12" ht="54.75" customHeight="1" x14ac:dyDescent="0.25">
      <c r="A55" s="11">
        <f t="shared" si="4"/>
        <v>52</v>
      </c>
      <c r="B55" s="12" t="s">
        <v>153</v>
      </c>
      <c r="C55" s="29" t="s">
        <v>154</v>
      </c>
      <c r="D55" s="12" t="s">
        <v>16</v>
      </c>
      <c r="E55" s="12">
        <v>1</v>
      </c>
      <c r="F55" s="1"/>
      <c r="G55" s="2">
        <v>0.23</v>
      </c>
      <c r="H55" s="54">
        <f t="shared" si="0"/>
        <v>0</v>
      </c>
      <c r="I55" s="54">
        <f t="shared" si="1"/>
        <v>0</v>
      </c>
      <c r="J55" s="54">
        <f t="shared" si="2"/>
        <v>0</v>
      </c>
      <c r="K55" s="54">
        <f t="shared" si="3"/>
        <v>0</v>
      </c>
      <c r="L55" s="3"/>
    </row>
    <row r="56" spans="1:12" ht="45.75" customHeight="1" x14ac:dyDescent="0.25">
      <c r="A56" s="11">
        <f t="shared" si="4"/>
        <v>53</v>
      </c>
      <c r="B56" s="12" t="s">
        <v>155</v>
      </c>
      <c r="C56" s="29" t="s">
        <v>156</v>
      </c>
      <c r="D56" s="12" t="s">
        <v>16</v>
      </c>
      <c r="E56" s="12">
        <v>5</v>
      </c>
      <c r="F56" s="1"/>
      <c r="G56" s="2">
        <v>0.23</v>
      </c>
      <c r="H56" s="54">
        <f t="shared" si="0"/>
        <v>0</v>
      </c>
      <c r="I56" s="54">
        <f t="shared" si="1"/>
        <v>0</v>
      </c>
      <c r="J56" s="54">
        <f t="shared" si="2"/>
        <v>0</v>
      </c>
      <c r="K56" s="54">
        <f t="shared" si="3"/>
        <v>0</v>
      </c>
      <c r="L56" s="3"/>
    </row>
    <row r="57" spans="1:12" ht="45.75" customHeight="1" x14ac:dyDescent="0.25">
      <c r="A57" s="11">
        <f t="shared" si="4"/>
        <v>54</v>
      </c>
      <c r="B57" s="12" t="s">
        <v>157</v>
      </c>
      <c r="C57" s="29" t="s">
        <v>158</v>
      </c>
      <c r="D57" s="12" t="s">
        <v>16</v>
      </c>
      <c r="E57" s="12">
        <f>5+5</f>
        <v>10</v>
      </c>
      <c r="F57" s="1"/>
      <c r="G57" s="2">
        <v>0.23</v>
      </c>
      <c r="H57" s="54">
        <f t="shared" si="0"/>
        <v>0</v>
      </c>
      <c r="I57" s="54">
        <f t="shared" si="1"/>
        <v>0</v>
      </c>
      <c r="J57" s="54">
        <f t="shared" si="2"/>
        <v>0</v>
      </c>
      <c r="K57" s="54">
        <f t="shared" si="3"/>
        <v>0</v>
      </c>
      <c r="L57" s="3"/>
    </row>
    <row r="58" spans="1:12" ht="45.75" customHeight="1" x14ac:dyDescent="0.25">
      <c r="A58" s="11">
        <f t="shared" si="4"/>
        <v>55</v>
      </c>
      <c r="B58" s="12" t="s">
        <v>159</v>
      </c>
      <c r="C58" s="29" t="s">
        <v>160</v>
      </c>
      <c r="D58" s="12" t="s">
        <v>16</v>
      </c>
      <c r="E58" s="12">
        <f>5+3+5</f>
        <v>13</v>
      </c>
      <c r="F58" s="1"/>
      <c r="G58" s="2">
        <v>0.23</v>
      </c>
      <c r="H58" s="54">
        <f t="shared" si="0"/>
        <v>0</v>
      </c>
      <c r="I58" s="54">
        <f t="shared" si="1"/>
        <v>0</v>
      </c>
      <c r="J58" s="54">
        <f t="shared" si="2"/>
        <v>0</v>
      </c>
      <c r="K58" s="54">
        <f t="shared" si="3"/>
        <v>0</v>
      </c>
      <c r="L58" s="3"/>
    </row>
    <row r="59" spans="1:12" ht="46.5" customHeight="1" x14ac:dyDescent="0.25">
      <c r="A59" s="11">
        <f t="shared" si="4"/>
        <v>56</v>
      </c>
      <c r="B59" s="12" t="s">
        <v>161</v>
      </c>
      <c r="C59" s="29" t="s">
        <v>162</v>
      </c>
      <c r="D59" s="12" t="s">
        <v>163</v>
      </c>
      <c r="E59" s="12">
        <f>5+5</f>
        <v>10</v>
      </c>
      <c r="F59" s="1"/>
      <c r="G59" s="2">
        <v>0.23</v>
      </c>
      <c r="H59" s="54">
        <f t="shared" si="0"/>
        <v>0</v>
      </c>
      <c r="I59" s="54">
        <f t="shared" si="1"/>
        <v>0</v>
      </c>
      <c r="J59" s="54">
        <f t="shared" si="2"/>
        <v>0</v>
      </c>
      <c r="K59" s="54">
        <f t="shared" si="3"/>
        <v>0</v>
      </c>
      <c r="L59" s="3"/>
    </row>
    <row r="60" spans="1:12" ht="60" x14ac:dyDescent="0.25">
      <c r="A60" s="11">
        <f t="shared" si="4"/>
        <v>57</v>
      </c>
      <c r="B60" s="12" t="s">
        <v>164</v>
      </c>
      <c r="C60" s="29" t="s">
        <v>165</v>
      </c>
      <c r="D60" s="12" t="s">
        <v>163</v>
      </c>
      <c r="E60" s="12">
        <v>1</v>
      </c>
      <c r="F60" s="1"/>
      <c r="G60" s="2">
        <v>0.23</v>
      </c>
      <c r="H60" s="54">
        <f t="shared" si="0"/>
        <v>0</v>
      </c>
      <c r="I60" s="54">
        <f t="shared" si="1"/>
        <v>0</v>
      </c>
      <c r="J60" s="54">
        <f t="shared" si="2"/>
        <v>0</v>
      </c>
      <c r="K60" s="54">
        <f t="shared" si="3"/>
        <v>0</v>
      </c>
      <c r="L60" s="3"/>
    </row>
    <row r="61" spans="1:12" ht="57.75" customHeight="1" x14ac:dyDescent="0.25">
      <c r="A61" s="11">
        <f t="shared" si="4"/>
        <v>58</v>
      </c>
      <c r="B61" s="13" t="s">
        <v>166</v>
      </c>
      <c r="C61" s="30" t="s">
        <v>167</v>
      </c>
      <c r="D61" s="13" t="s">
        <v>168</v>
      </c>
      <c r="E61" s="12">
        <f>4+1+1</f>
        <v>6</v>
      </c>
      <c r="F61" s="1"/>
      <c r="G61" s="2">
        <v>0.23</v>
      </c>
      <c r="H61" s="54">
        <f t="shared" si="0"/>
        <v>0</v>
      </c>
      <c r="I61" s="54">
        <f t="shared" si="1"/>
        <v>0</v>
      </c>
      <c r="J61" s="54">
        <f t="shared" si="2"/>
        <v>0</v>
      </c>
      <c r="K61" s="54">
        <f t="shared" si="3"/>
        <v>0</v>
      </c>
      <c r="L61" s="3"/>
    </row>
    <row r="62" spans="1:12" ht="61.5" customHeight="1" x14ac:dyDescent="0.25">
      <c r="A62" s="11">
        <f t="shared" si="4"/>
        <v>59</v>
      </c>
      <c r="B62" s="13" t="s">
        <v>169</v>
      </c>
      <c r="C62" s="30" t="s">
        <v>170</v>
      </c>
      <c r="D62" s="13" t="s">
        <v>168</v>
      </c>
      <c r="E62" s="12">
        <f>4+1</f>
        <v>5</v>
      </c>
      <c r="F62" s="1"/>
      <c r="G62" s="2">
        <v>0.23</v>
      </c>
      <c r="H62" s="54">
        <f t="shared" si="0"/>
        <v>0</v>
      </c>
      <c r="I62" s="54">
        <f t="shared" si="1"/>
        <v>0</v>
      </c>
      <c r="J62" s="54">
        <f t="shared" si="2"/>
        <v>0</v>
      </c>
      <c r="K62" s="54">
        <f t="shared" si="3"/>
        <v>0</v>
      </c>
      <c r="L62" s="3"/>
    </row>
    <row r="63" spans="1:12" ht="61.5" customHeight="1" x14ac:dyDescent="0.25">
      <c r="A63" s="11">
        <f t="shared" si="4"/>
        <v>60</v>
      </c>
      <c r="B63" s="12" t="s">
        <v>171</v>
      </c>
      <c r="C63" s="29" t="s">
        <v>172</v>
      </c>
      <c r="D63" s="15" t="s">
        <v>163</v>
      </c>
      <c r="E63" s="12">
        <f>1+5</f>
        <v>6</v>
      </c>
      <c r="F63" s="1"/>
      <c r="G63" s="2">
        <v>0.23</v>
      </c>
      <c r="H63" s="54">
        <f t="shared" si="0"/>
        <v>0</v>
      </c>
      <c r="I63" s="54">
        <f t="shared" si="1"/>
        <v>0</v>
      </c>
      <c r="J63" s="54">
        <f t="shared" si="2"/>
        <v>0</v>
      </c>
      <c r="K63" s="54">
        <f t="shared" si="3"/>
        <v>0</v>
      </c>
      <c r="L63" s="3"/>
    </row>
    <row r="64" spans="1:12" ht="61.5" customHeight="1" x14ac:dyDescent="0.25">
      <c r="A64" s="11">
        <f t="shared" si="4"/>
        <v>61</v>
      </c>
      <c r="B64" s="12" t="s">
        <v>587</v>
      </c>
      <c r="C64" s="29" t="s">
        <v>588</v>
      </c>
      <c r="D64" s="12" t="s">
        <v>589</v>
      </c>
      <c r="E64" s="12">
        <v>10</v>
      </c>
      <c r="F64" s="1"/>
      <c r="G64" s="2">
        <v>0.23</v>
      </c>
      <c r="H64" s="54">
        <f t="shared" si="0"/>
        <v>0</v>
      </c>
      <c r="I64" s="54">
        <f t="shared" si="1"/>
        <v>0</v>
      </c>
      <c r="J64" s="54">
        <f t="shared" si="2"/>
        <v>0</v>
      </c>
      <c r="K64" s="54">
        <f t="shared" si="3"/>
        <v>0</v>
      </c>
      <c r="L64" s="3"/>
    </row>
    <row r="65" spans="1:12" ht="61.5" customHeight="1" x14ac:dyDescent="0.25">
      <c r="A65" s="11">
        <f t="shared" si="4"/>
        <v>62</v>
      </c>
      <c r="B65" s="12" t="s">
        <v>590</v>
      </c>
      <c r="C65" s="29" t="s">
        <v>588</v>
      </c>
      <c r="D65" s="12" t="s">
        <v>589</v>
      </c>
      <c r="E65" s="12">
        <v>10</v>
      </c>
      <c r="F65" s="1"/>
      <c r="G65" s="2">
        <v>0.23</v>
      </c>
      <c r="H65" s="54">
        <f t="shared" si="0"/>
        <v>0</v>
      </c>
      <c r="I65" s="54">
        <f t="shared" si="1"/>
        <v>0</v>
      </c>
      <c r="J65" s="54">
        <f t="shared" si="2"/>
        <v>0</v>
      </c>
      <c r="K65" s="54">
        <f t="shared" si="3"/>
        <v>0</v>
      </c>
      <c r="L65" s="3"/>
    </row>
    <row r="66" spans="1:12" ht="30" x14ac:dyDescent="0.25">
      <c r="A66" s="11">
        <f t="shared" si="4"/>
        <v>63</v>
      </c>
      <c r="B66" s="12" t="s">
        <v>173</v>
      </c>
      <c r="C66" s="29" t="s">
        <v>174</v>
      </c>
      <c r="D66" s="14" t="s">
        <v>175</v>
      </c>
      <c r="E66" s="12">
        <f>10+10</f>
        <v>20</v>
      </c>
      <c r="F66" s="1"/>
      <c r="G66" s="2">
        <v>0.23</v>
      </c>
      <c r="H66" s="54">
        <f t="shared" si="0"/>
        <v>0</v>
      </c>
      <c r="I66" s="54">
        <f t="shared" si="1"/>
        <v>0</v>
      </c>
      <c r="J66" s="54">
        <f t="shared" si="2"/>
        <v>0</v>
      </c>
      <c r="K66" s="54">
        <f t="shared" si="3"/>
        <v>0</v>
      </c>
      <c r="L66" s="3"/>
    </row>
    <row r="67" spans="1:12" ht="86.25" customHeight="1" x14ac:dyDescent="0.25">
      <c r="A67" s="11">
        <f t="shared" si="4"/>
        <v>64</v>
      </c>
      <c r="B67" s="12" t="s">
        <v>642</v>
      </c>
      <c r="C67" s="29" t="s">
        <v>176</v>
      </c>
      <c r="D67" s="14" t="s">
        <v>127</v>
      </c>
      <c r="E67" s="12">
        <v>1</v>
      </c>
      <c r="F67" s="1"/>
      <c r="G67" s="2">
        <v>0.23</v>
      </c>
      <c r="H67" s="54">
        <f t="shared" si="0"/>
        <v>0</v>
      </c>
      <c r="I67" s="54">
        <f t="shared" si="1"/>
        <v>0</v>
      </c>
      <c r="J67" s="54">
        <f t="shared" si="2"/>
        <v>0</v>
      </c>
      <c r="K67" s="54">
        <f t="shared" si="3"/>
        <v>0</v>
      </c>
      <c r="L67" s="3"/>
    </row>
    <row r="68" spans="1:12" ht="86.25" customHeight="1" x14ac:dyDescent="0.25">
      <c r="A68" s="11">
        <f t="shared" si="4"/>
        <v>65</v>
      </c>
      <c r="B68" s="12" t="s">
        <v>641</v>
      </c>
      <c r="C68" s="29" t="s">
        <v>640</v>
      </c>
      <c r="D68" s="12" t="s">
        <v>601</v>
      </c>
      <c r="E68" s="12">
        <v>1</v>
      </c>
      <c r="F68" s="1"/>
      <c r="G68" s="2">
        <v>0.23</v>
      </c>
      <c r="H68" s="54">
        <f t="shared" si="0"/>
        <v>0</v>
      </c>
      <c r="I68" s="54">
        <f t="shared" ref="I68:I80" si="5">F68*E68</f>
        <v>0</v>
      </c>
      <c r="J68" s="54">
        <f t="shared" ref="J68:J80" si="6">H68*E68</f>
        <v>0</v>
      </c>
      <c r="K68" s="54">
        <f t="shared" ref="K68:K80" si="7">I68+J68</f>
        <v>0</v>
      </c>
      <c r="L68" s="3"/>
    </row>
    <row r="69" spans="1:12" ht="90" customHeight="1" x14ac:dyDescent="0.25">
      <c r="A69" s="11">
        <f t="shared" ref="A69:A80" si="8">ROW(A66)</f>
        <v>66</v>
      </c>
      <c r="B69" s="12" t="s">
        <v>177</v>
      </c>
      <c r="C69" s="29" t="s">
        <v>178</v>
      </c>
      <c r="D69" s="14" t="s">
        <v>179</v>
      </c>
      <c r="E69" s="12">
        <f>10+4+10</f>
        <v>24</v>
      </c>
      <c r="F69" s="1"/>
      <c r="G69" s="2">
        <v>0.23</v>
      </c>
      <c r="H69" s="54">
        <f t="shared" si="0"/>
        <v>0</v>
      </c>
      <c r="I69" s="54">
        <f t="shared" si="5"/>
        <v>0</v>
      </c>
      <c r="J69" s="54">
        <f t="shared" si="6"/>
        <v>0</v>
      </c>
      <c r="K69" s="54">
        <f t="shared" si="7"/>
        <v>0</v>
      </c>
      <c r="L69" s="3"/>
    </row>
    <row r="70" spans="1:12" ht="62.25" customHeight="1" x14ac:dyDescent="0.25">
      <c r="A70" s="11">
        <f t="shared" si="8"/>
        <v>67</v>
      </c>
      <c r="B70" s="12" t="s">
        <v>180</v>
      </c>
      <c r="C70" s="29" t="s">
        <v>181</v>
      </c>
      <c r="D70" s="17" t="s">
        <v>16</v>
      </c>
      <c r="E70" s="12">
        <f>5+10+5+6</f>
        <v>26</v>
      </c>
      <c r="F70" s="1"/>
      <c r="G70" s="2">
        <v>0.23</v>
      </c>
      <c r="H70" s="54">
        <f t="shared" ref="H70:H80" si="9">F70*G70</f>
        <v>0</v>
      </c>
      <c r="I70" s="54">
        <f t="shared" si="5"/>
        <v>0</v>
      </c>
      <c r="J70" s="54">
        <f t="shared" si="6"/>
        <v>0</v>
      </c>
      <c r="K70" s="54">
        <f t="shared" si="7"/>
        <v>0</v>
      </c>
      <c r="L70" s="3"/>
    </row>
    <row r="71" spans="1:12" ht="60" x14ac:dyDescent="0.25">
      <c r="A71" s="11">
        <f t="shared" si="8"/>
        <v>68</v>
      </c>
      <c r="B71" s="13" t="s">
        <v>182</v>
      </c>
      <c r="C71" s="30" t="s">
        <v>183</v>
      </c>
      <c r="D71" s="14" t="s">
        <v>16</v>
      </c>
      <c r="E71" s="12">
        <f>5+5</f>
        <v>10</v>
      </c>
      <c r="F71" s="1"/>
      <c r="G71" s="2">
        <v>0.23</v>
      </c>
      <c r="H71" s="54">
        <f t="shared" si="9"/>
        <v>0</v>
      </c>
      <c r="I71" s="54">
        <f t="shared" si="5"/>
        <v>0</v>
      </c>
      <c r="J71" s="54">
        <f t="shared" si="6"/>
        <v>0</v>
      </c>
      <c r="K71" s="54">
        <f t="shared" si="7"/>
        <v>0</v>
      </c>
      <c r="L71" s="3"/>
    </row>
    <row r="72" spans="1:12" ht="45" x14ac:dyDescent="0.25">
      <c r="A72" s="11">
        <f t="shared" si="8"/>
        <v>69</v>
      </c>
      <c r="B72" s="13" t="s">
        <v>184</v>
      </c>
      <c r="C72" s="30" t="s">
        <v>185</v>
      </c>
      <c r="D72" s="14" t="s">
        <v>16</v>
      </c>
      <c r="E72" s="12">
        <f>2+5+5+20+2</f>
        <v>34</v>
      </c>
      <c r="F72" s="1"/>
      <c r="G72" s="2">
        <v>0.23</v>
      </c>
      <c r="H72" s="54">
        <f t="shared" si="9"/>
        <v>0</v>
      </c>
      <c r="I72" s="54">
        <f t="shared" si="5"/>
        <v>0</v>
      </c>
      <c r="J72" s="54">
        <f t="shared" si="6"/>
        <v>0</v>
      </c>
      <c r="K72" s="54">
        <f t="shared" si="7"/>
        <v>0</v>
      </c>
      <c r="L72" s="3"/>
    </row>
    <row r="73" spans="1:12" ht="45" x14ac:dyDescent="0.25">
      <c r="A73" s="11">
        <f t="shared" si="8"/>
        <v>70</v>
      </c>
      <c r="B73" s="13" t="s">
        <v>186</v>
      </c>
      <c r="C73" s="30" t="s">
        <v>187</v>
      </c>
      <c r="D73" s="14" t="s">
        <v>16</v>
      </c>
      <c r="E73" s="12">
        <f>3+5+20+20</f>
        <v>48</v>
      </c>
      <c r="F73" s="1"/>
      <c r="G73" s="2">
        <v>0.23</v>
      </c>
      <c r="H73" s="54">
        <f t="shared" si="9"/>
        <v>0</v>
      </c>
      <c r="I73" s="54">
        <f t="shared" si="5"/>
        <v>0</v>
      </c>
      <c r="J73" s="54">
        <f t="shared" si="6"/>
        <v>0</v>
      </c>
      <c r="K73" s="54">
        <f t="shared" si="7"/>
        <v>0</v>
      </c>
      <c r="L73" s="3"/>
    </row>
    <row r="74" spans="1:12" ht="60" x14ac:dyDescent="0.25">
      <c r="A74" s="11">
        <f t="shared" si="8"/>
        <v>71</v>
      </c>
      <c r="B74" s="13" t="s">
        <v>188</v>
      </c>
      <c r="C74" s="30" t="s">
        <v>189</v>
      </c>
      <c r="D74" s="14" t="s">
        <v>16</v>
      </c>
      <c r="E74" s="12">
        <v>6</v>
      </c>
      <c r="F74" s="1"/>
      <c r="G74" s="2">
        <v>0.23</v>
      </c>
      <c r="H74" s="54">
        <f t="shared" si="9"/>
        <v>0</v>
      </c>
      <c r="I74" s="54">
        <f t="shared" si="5"/>
        <v>0</v>
      </c>
      <c r="J74" s="54">
        <f t="shared" si="6"/>
        <v>0</v>
      </c>
      <c r="K74" s="54">
        <f t="shared" si="7"/>
        <v>0</v>
      </c>
      <c r="L74" s="3"/>
    </row>
    <row r="75" spans="1:12" ht="45" x14ac:dyDescent="0.25">
      <c r="A75" s="11">
        <f t="shared" si="8"/>
        <v>72</v>
      </c>
      <c r="B75" s="13" t="s">
        <v>190</v>
      </c>
      <c r="C75" s="30" t="s">
        <v>191</v>
      </c>
      <c r="D75" s="14" t="s">
        <v>16</v>
      </c>
      <c r="E75" s="12">
        <f>2+3+5+20+2+20</f>
        <v>52</v>
      </c>
      <c r="F75" s="1"/>
      <c r="G75" s="2">
        <v>0.23</v>
      </c>
      <c r="H75" s="54">
        <f t="shared" si="9"/>
        <v>0</v>
      </c>
      <c r="I75" s="54">
        <f t="shared" si="5"/>
        <v>0</v>
      </c>
      <c r="J75" s="54">
        <f t="shared" si="6"/>
        <v>0</v>
      </c>
      <c r="K75" s="54">
        <f t="shared" si="7"/>
        <v>0</v>
      </c>
      <c r="L75" s="3"/>
    </row>
    <row r="76" spans="1:12" ht="60" x14ac:dyDescent="0.25">
      <c r="A76" s="11">
        <f t="shared" si="8"/>
        <v>73</v>
      </c>
      <c r="B76" s="13" t="s">
        <v>773</v>
      </c>
      <c r="C76" s="30" t="s">
        <v>774</v>
      </c>
      <c r="D76" s="14" t="s">
        <v>16</v>
      </c>
      <c r="E76" s="12">
        <f>7+10</f>
        <v>17</v>
      </c>
      <c r="F76" s="1"/>
      <c r="G76" s="2">
        <v>0.23</v>
      </c>
      <c r="H76" s="54">
        <f t="shared" si="9"/>
        <v>0</v>
      </c>
      <c r="I76" s="54">
        <f t="shared" si="5"/>
        <v>0</v>
      </c>
      <c r="J76" s="54">
        <f t="shared" si="6"/>
        <v>0</v>
      </c>
      <c r="K76" s="54">
        <f t="shared" si="7"/>
        <v>0</v>
      </c>
      <c r="L76" s="3"/>
    </row>
    <row r="77" spans="1:12" ht="45" x14ac:dyDescent="0.25">
      <c r="A77" s="11">
        <f t="shared" si="8"/>
        <v>74</v>
      </c>
      <c r="B77" s="13" t="s">
        <v>192</v>
      </c>
      <c r="C77" s="30" t="s">
        <v>193</v>
      </c>
      <c r="D77" s="14" t="s">
        <v>16</v>
      </c>
      <c r="E77" s="12">
        <f>2+3+5+10+1+20+2+5+10</f>
        <v>58</v>
      </c>
      <c r="F77" s="1"/>
      <c r="G77" s="2">
        <v>0.23</v>
      </c>
      <c r="H77" s="54">
        <f t="shared" si="9"/>
        <v>0</v>
      </c>
      <c r="I77" s="54">
        <f t="shared" si="5"/>
        <v>0</v>
      </c>
      <c r="J77" s="54">
        <f t="shared" si="6"/>
        <v>0</v>
      </c>
      <c r="K77" s="54">
        <f t="shared" si="7"/>
        <v>0</v>
      </c>
      <c r="L77" s="3"/>
    </row>
    <row r="78" spans="1:12" ht="45" x14ac:dyDescent="0.25">
      <c r="A78" s="11">
        <f t="shared" si="8"/>
        <v>75</v>
      </c>
      <c r="B78" s="13" t="s">
        <v>194</v>
      </c>
      <c r="C78" s="30" t="s">
        <v>195</v>
      </c>
      <c r="D78" s="14" t="s">
        <v>16</v>
      </c>
      <c r="E78" s="12">
        <v>5</v>
      </c>
      <c r="F78" s="1"/>
      <c r="G78" s="2">
        <v>0.23</v>
      </c>
      <c r="H78" s="54">
        <f t="shared" si="9"/>
        <v>0</v>
      </c>
      <c r="I78" s="54">
        <f t="shared" si="5"/>
        <v>0</v>
      </c>
      <c r="J78" s="54">
        <f t="shared" si="6"/>
        <v>0</v>
      </c>
      <c r="K78" s="54">
        <f t="shared" si="7"/>
        <v>0</v>
      </c>
      <c r="L78" s="3"/>
    </row>
    <row r="79" spans="1:12" ht="45" x14ac:dyDescent="0.25">
      <c r="A79" s="11">
        <f t="shared" si="8"/>
        <v>76</v>
      </c>
      <c r="B79" s="13" t="s">
        <v>196</v>
      </c>
      <c r="C79" s="30" t="s">
        <v>197</v>
      </c>
      <c r="D79" s="14" t="s">
        <v>16</v>
      </c>
      <c r="E79" s="12">
        <f>10+5+22+10+5+10</f>
        <v>62</v>
      </c>
      <c r="F79" s="1"/>
      <c r="G79" s="2">
        <v>0.23</v>
      </c>
      <c r="H79" s="54">
        <f t="shared" si="9"/>
        <v>0</v>
      </c>
      <c r="I79" s="54">
        <f t="shared" si="5"/>
        <v>0</v>
      </c>
      <c r="J79" s="54">
        <f t="shared" si="6"/>
        <v>0</v>
      </c>
      <c r="K79" s="54">
        <f t="shared" si="7"/>
        <v>0</v>
      </c>
      <c r="L79" s="3"/>
    </row>
    <row r="80" spans="1:12" ht="30" x14ac:dyDescent="0.25">
      <c r="A80" s="11">
        <f t="shared" si="8"/>
        <v>77</v>
      </c>
      <c r="B80" s="13" t="s">
        <v>776</v>
      </c>
      <c r="C80" s="30" t="s">
        <v>775</v>
      </c>
      <c r="D80" s="14" t="s">
        <v>16</v>
      </c>
      <c r="E80" s="12">
        <f>10+2+2</f>
        <v>14</v>
      </c>
      <c r="F80" s="1"/>
      <c r="G80" s="2">
        <v>0.23</v>
      </c>
      <c r="H80" s="54">
        <f t="shared" si="9"/>
        <v>0</v>
      </c>
      <c r="I80" s="54">
        <f t="shared" si="5"/>
        <v>0</v>
      </c>
      <c r="J80" s="54">
        <f t="shared" si="6"/>
        <v>0</v>
      </c>
      <c r="K80" s="54">
        <f t="shared" si="7"/>
        <v>0</v>
      </c>
      <c r="L80" s="3"/>
    </row>
    <row r="81" spans="1:12" x14ac:dyDescent="0.25">
      <c r="A81" s="123" t="s">
        <v>198</v>
      </c>
      <c r="B81" s="123"/>
      <c r="C81" s="123"/>
      <c r="D81" s="123"/>
      <c r="E81" s="123"/>
      <c r="F81" s="57" t="s">
        <v>199</v>
      </c>
      <c r="G81" s="57" t="s">
        <v>199</v>
      </c>
      <c r="H81" s="58">
        <f>SUM(H4:H80)</f>
        <v>0</v>
      </c>
      <c r="I81" s="58">
        <f>SUM(I4:I80)</f>
        <v>0</v>
      </c>
      <c r="J81" s="58">
        <f>SUM(J4:J80)</f>
        <v>0</v>
      </c>
      <c r="K81" s="58">
        <f>SUM(K4:K80)</f>
        <v>0</v>
      </c>
      <c r="L81" s="59"/>
    </row>
  </sheetData>
  <sheetProtection algorithmName="SHA-512" hashValue="AoNHM8JaRpsP7CEi4bqlqKcGvBygr3cQB6r6jsGk4/G5vDRCJCsBgqboLJEYPpdr60R27rQZS89jMqY+yVO8LQ==" saltValue="n1md4gDhnkUWZozmeiccpw==" spinCount="100000" sheet="1" objects="1" scenarios="1" selectLockedCells="1"/>
  <autoFilter ref="A2:L81" xr:uid="{4022BE38-6B56-CF41-AEB4-663BB1F9B4CF}"/>
  <mergeCells count="2">
    <mergeCell ref="A1:K1"/>
    <mergeCell ref="A81:E8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68F96-5186-C74E-9F6B-29B1D1CECD27}">
  <dimension ref="A1:L27"/>
  <sheetViews>
    <sheetView zoomScale="90" zoomScaleNormal="90" workbookViewId="0">
      <selection activeCell="F11" sqref="F11"/>
    </sheetView>
  </sheetViews>
  <sheetFormatPr defaultColWidth="11" defaultRowHeight="15.75" x14ac:dyDescent="0.25"/>
  <cols>
    <col min="1" max="1" width="8.625" style="72" customWidth="1"/>
    <col min="2" max="2" width="21.875" style="73" customWidth="1"/>
    <col min="3" max="3" width="43" style="74" bestFit="1" customWidth="1"/>
    <col min="4" max="4" width="15.875" style="47" customWidth="1"/>
    <col min="5" max="5" width="9.125" style="47"/>
    <col min="6" max="6" width="13.625" style="47" customWidth="1"/>
    <col min="7" max="7" width="10.625" style="47" customWidth="1"/>
    <col min="8" max="8" width="16.375" style="47" customWidth="1"/>
    <col min="9" max="9" width="17" style="47" customWidth="1"/>
    <col min="10" max="10" width="17.75" style="47" customWidth="1"/>
    <col min="11" max="11" width="21.75" style="47" customWidth="1"/>
    <col min="12" max="12" width="48.375" style="47" customWidth="1"/>
    <col min="13" max="16384" width="11" style="47"/>
  </cols>
  <sheetData>
    <row r="1" spans="1:12" ht="45" customHeight="1" x14ac:dyDescent="0.25">
      <c r="A1" s="121" t="s">
        <v>652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6" t="s">
        <v>0</v>
      </c>
    </row>
    <row r="2" spans="1:12" ht="34.5" customHeight="1" x14ac:dyDescent="0.25">
      <c r="A2" s="61" t="s">
        <v>1</v>
      </c>
      <c r="B2" s="61" t="s">
        <v>2</v>
      </c>
      <c r="C2" s="61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49" t="s">
        <v>9</v>
      </c>
      <c r="J2" s="48" t="s">
        <v>10</v>
      </c>
      <c r="K2" s="62" t="s">
        <v>11</v>
      </c>
      <c r="L2" s="50" t="s">
        <v>12</v>
      </c>
    </row>
    <row r="3" spans="1:12" x14ac:dyDescent="0.25">
      <c r="A3" s="63">
        <v>1</v>
      </c>
      <c r="B3" s="63">
        <v>2</v>
      </c>
      <c r="C3" s="63">
        <v>3</v>
      </c>
      <c r="D3" s="64">
        <v>4</v>
      </c>
      <c r="E3" s="64">
        <v>5</v>
      </c>
      <c r="F3" s="64">
        <v>6</v>
      </c>
      <c r="G3" s="64">
        <v>7</v>
      </c>
      <c r="H3" s="64">
        <v>8</v>
      </c>
      <c r="I3" s="64">
        <v>9</v>
      </c>
      <c r="J3" s="64">
        <v>10</v>
      </c>
      <c r="K3" s="65">
        <v>11</v>
      </c>
      <c r="L3" s="66">
        <v>12</v>
      </c>
    </row>
    <row r="4" spans="1:12" ht="30" x14ac:dyDescent="0.25">
      <c r="A4" s="19">
        <f>ROW(A1)</f>
        <v>1</v>
      </c>
      <c r="B4" s="19" t="s">
        <v>200</v>
      </c>
      <c r="C4" s="32" t="s">
        <v>201</v>
      </c>
      <c r="D4" s="19" t="s">
        <v>202</v>
      </c>
      <c r="E4" s="19">
        <f>1+4+2+5</f>
        <v>12</v>
      </c>
      <c r="F4" s="7"/>
      <c r="G4" s="8">
        <v>0.23</v>
      </c>
      <c r="H4" s="67">
        <f t="shared" ref="H4:H26" si="0">F4*G4</f>
        <v>0</v>
      </c>
      <c r="I4" s="67">
        <f t="shared" ref="I4:I26" si="1">F4*E4</f>
        <v>0</v>
      </c>
      <c r="J4" s="67">
        <f t="shared" ref="J4:J26" si="2">H4*E4</f>
        <v>0</v>
      </c>
      <c r="K4" s="68">
        <f t="shared" ref="K4:K26" si="3">I4+J4</f>
        <v>0</v>
      </c>
      <c r="L4" s="3"/>
    </row>
    <row r="5" spans="1:12" ht="30" x14ac:dyDescent="0.25">
      <c r="A5" s="19">
        <f t="shared" ref="A5:A26" si="4">ROW(A2)</f>
        <v>2</v>
      </c>
      <c r="B5" s="19" t="s">
        <v>200</v>
      </c>
      <c r="C5" s="32" t="s">
        <v>203</v>
      </c>
      <c r="D5" s="19" t="s">
        <v>127</v>
      </c>
      <c r="E5" s="19">
        <v>1</v>
      </c>
      <c r="F5" s="7"/>
      <c r="G5" s="8">
        <v>0.23</v>
      </c>
      <c r="H5" s="67">
        <f t="shared" si="0"/>
        <v>0</v>
      </c>
      <c r="I5" s="67">
        <f t="shared" si="1"/>
        <v>0</v>
      </c>
      <c r="J5" s="67">
        <f t="shared" si="2"/>
        <v>0</v>
      </c>
      <c r="K5" s="68">
        <f t="shared" si="3"/>
        <v>0</v>
      </c>
      <c r="L5" s="3"/>
    </row>
    <row r="6" spans="1:12" ht="45" x14ac:dyDescent="0.25">
      <c r="A6" s="19">
        <f t="shared" si="4"/>
        <v>3</v>
      </c>
      <c r="B6" s="19" t="s">
        <v>204</v>
      </c>
      <c r="C6" s="32" t="s">
        <v>205</v>
      </c>
      <c r="D6" s="19" t="s">
        <v>127</v>
      </c>
      <c r="E6" s="19">
        <f>2+1+5</f>
        <v>8</v>
      </c>
      <c r="F6" s="7"/>
      <c r="G6" s="8">
        <v>0.23</v>
      </c>
      <c r="H6" s="67">
        <f t="shared" si="0"/>
        <v>0</v>
      </c>
      <c r="I6" s="67">
        <f t="shared" si="1"/>
        <v>0</v>
      </c>
      <c r="J6" s="67">
        <f t="shared" si="2"/>
        <v>0</v>
      </c>
      <c r="K6" s="68">
        <f t="shared" si="3"/>
        <v>0</v>
      </c>
      <c r="L6" s="3"/>
    </row>
    <row r="7" spans="1:12" ht="45" x14ac:dyDescent="0.25">
      <c r="A7" s="19">
        <f t="shared" si="4"/>
        <v>4</v>
      </c>
      <c r="B7" s="19" t="s">
        <v>204</v>
      </c>
      <c r="C7" s="32" t="s">
        <v>206</v>
      </c>
      <c r="D7" s="19" t="s">
        <v>127</v>
      </c>
      <c r="E7" s="19">
        <v>1</v>
      </c>
      <c r="F7" s="7"/>
      <c r="G7" s="8">
        <v>0.23</v>
      </c>
      <c r="H7" s="67">
        <f t="shared" si="0"/>
        <v>0</v>
      </c>
      <c r="I7" s="67">
        <f t="shared" si="1"/>
        <v>0</v>
      </c>
      <c r="J7" s="67">
        <f t="shared" si="2"/>
        <v>0</v>
      </c>
      <c r="K7" s="68">
        <f t="shared" si="3"/>
        <v>0</v>
      </c>
      <c r="L7" s="3"/>
    </row>
    <row r="8" spans="1:12" ht="30" x14ac:dyDescent="0.25">
      <c r="A8" s="19">
        <f t="shared" si="4"/>
        <v>5</v>
      </c>
      <c r="B8" s="19" t="s">
        <v>208</v>
      </c>
      <c r="C8" s="32" t="s">
        <v>209</v>
      </c>
      <c r="D8" s="19" t="s">
        <v>16</v>
      </c>
      <c r="E8" s="19">
        <f>4+1</f>
        <v>5</v>
      </c>
      <c r="F8" s="7"/>
      <c r="G8" s="8">
        <v>0.23</v>
      </c>
      <c r="H8" s="67">
        <f t="shared" si="0"/>
        <v>0</v>
      </c>
      <c r="I8" s="67">
        <f t="shared" si="1"/>
        <v>0</v>
      </c>
      <c r="J8" s="67">
        <f t="shared" si="2"/>
        <v>0</v>
      </c>
      <c r="K8" s="68">
        <f t="shared" si="3"/>
        <v>0</v>
      </c>
      <c r="L8" s="3"/>
    </row>
    <row r="9" spans="1:12" ht="60" x14ac:dyDescent="0.25">
      <c r="A9" s="19">
        <f t="shared" si="4"/>
        <v>6</v>
      </c>
      <c r="B9" s="19" t="s">
        <v>210</v>
      </c>
      <c r="C9" s="32" t="s">
        <v>211</v>
      </c>
      <c r="D9" s="19" t="s">
        <v>202</v>
      </c>
      <c r="E9" s="19">
        <v>1</v>
      </c>
      <c r="F9" s="7"/>
      <c r="G9" s="8">
        <v>0.23</v>
      </c>
      <c r="H9" s="67">
        <f t="shared" si="0"/>
        <v>0</v>
      </c>
      <c r="I9" s="67">
        <f t="shared" si="1"/>
        <v>0</v>
      </c>
      <c r="J9" s="67">
        <f t="shared" si="2"/>
        <v>0</v>
      </c>
      <c r="K9" s="68">
        <f t="shared" si="3"/>
        <v>0</v>
      </c>
      <c r="L9" s="3"/>
    </row>
    <row r="10" spans="1:12" ht="92.1" customHeight="1" x14ac:dyDescent="0.25">
      <c r="A10" s="19">
        <f t="shared" si="4"/>
        <v>7</v>
      </c>
      <c r="B10" s="13" t="s">
        <v>664</v>
      </c>
      <c r="C10" s="30" t="s">
        <v>665</v>
      </c>
      <c r="D10" s="13" t="s">
        <v>223</v>
      </c>
      <c r="E10" s="13">
        <v>1</v>
      </c>
      <c r="F10" s="1"/>
      <c r="G10" s="2">
        <v>0.23</v>
      </c>
      <c r="H10" s="67">
        <f t="shared" si="0"/>
        <v>0</v>
      </c>
      <c r="I10" s="67">
        <f t="shared" si="1"/>
        <v>0</v>
      </c>
      <c r="J10" s="67">
        <f t="shared" si="2"/>
        <v>0</v>
      </c>
      <c r="K10" s="68">
        <f t="shared" si="3"/>
        <v>0</v>
      </c>
      <c r="L10" s="3"/>
    </row>
    <row r="11" spans="1:12" ht="60" x14ac:dyDescent="0.25">
      <c r="A11" s="19">
        <f t="shared" si="4"/>
        <v>8</v>
      </c>
      <c r="B11" s="19" t="s">
        <v>212</v>
      </c>
      <c r="C11" s="33" t="s">
        <v>213</v>
      </c>
      <c r="D11" s="19" t="s">
        <v>214</v>
      </c>
      <c r="E11" s="19">
        <f>3+5</f>
        <v>8</v>
      </c>
      <c r="F11" s="7"/>
      <c r="G11" s="8">
        <v>0.23</v>
      </c>
      <c r="H11" s="67">
        <f t="shared" si="0"/>
        <v>0</v>
      </c>
      <c r="I11" s="67">
        <f t="shared" si="1"/>
        <v>0</v>
      </c>
      <c r="J11" s="67">
        <f t="shared" si="2"/>
        <v>0</v>
      </c>
      <c r="K11" s="68">
        <f t="shared" si="3"/>
        <v>0</v>
      </c>
      <c r="L11" s="3"/>
    </row>
    <row r="12" spans="1:12" ht="45" x14ac:dyDescent="0.25">
      <c r="A12" s="19">
        <f t="shared" si="4"/>
        <v>9</v>
      </c>
      <c r="B12" s="19" t="s">
        <v>215</v>
      </c>
      <c r="C12" s="32" t="s">
        <v>216</v>
      </c>
      <c r="D12" s="19" t="s">
        <v>770</v>
      </c>
      <c r="E12" s="19">
        <v>6</v>
      </c>
      <c r="F12" s="7"/>
      <c r="G12" s="8">
        <v>0.23</v>
      </c>
      <c r="H12" s="67">
        <f t="shared" si="0"/>
        <v>0</v>
      </c>
      <c r="I12" s="67">
        <f t="shared" si="1"/>
        <v>0</v>
      </c>
      <c r="J12" s="67">
        <f t="shared" si="2"/>
        <v>0</v>
      </c>
      <c r="K12" s="68">
        <f t="shared" si="3"/>
        <v>0</v>
      </c>
      <c r="L12" s="3"/>
    </row>
    <row r="13" spans="1:12" ht="45" x14ac:dyDescent="0.25">
      <c r="A13" s="19">
        <f t="shared" si="4"/>
        <v>10</v>
      </c>
      <c r="B13" s="19" t="s">
        <v>661</v>
      </c>
      <c r="C13" s="32" t="s">
        <v>662</v>
      </c>
      <c r="D13" s="19" t="s">
        <v>218</v>
      </c>
      <c r="E13" s="19">
        <f>15+3</f>
        <v>18</v>
      </c>
      <c r="F13" s="7"/>
      <c r="G13" s="8">
        <v>0.23</v>
      </c>
      <c r="H13" s="67">
        <f t="shared" si="0"/>
        <v>0</v>
      </c>
      <c r="I13" s="67">
        <f t="shared" si="1"/>
        <v>0</v>
      </c>
      <c r="J13" s="67">
        <f t="shared" si="2"/>
        <v>0</v>
      </c>
      <c r="K13" s="68">
        <f t="shared" si="3"/>
        <v>0</v>
      </c>
      <c r="L13" s="3"/>
    </row>
    <row r="14" spans="1:12" ht="45" x14ac:dyDescent="0.25">
      <c r="A14" s="19">
        <f t="shared" si="4"/>
        <v>11</v>
      </c>
      <c r="B14" s="13" t="s">
        <v>617</v>
      </c>
      <c r="C14" s="30" t="s">
        <v>618</v>
      </c>
      <c r="D14" s="13" t="s">
        <v>619</v>
      </c>
      <c r="E14" s="13">
        <v>10</v>
      </c>
      <c r="F14" s="1"/>
      <c r="G14" s="2">
        <v>0.23</v>
      </c>
      <c r="H14" s="67">
        <f t="shared" si="0"/>
        <v>0</v>
      </c>
      <c r="I14" s="67">
        <f t="shared" si="1"/>
        <v>0</v>
      </c>
      <c r="J14" s="67">
        <f t="shared" si="2"/>
        <v>0</v>
      </c>
      <c r="K14" s="68">
        <f t="shared" si="3"/>
        <v>0</v>
      </c>
      <c r="L14" s="3"/>
    </row>
    <row r="15" spans="1:12" ht="99" customHeight="1" x14ac:dyDescent="0.25">
      <c r="A15" s="19">
        <f t="shared" si="4"/>
        <v>12</v>
      </c>
      <c r="B15" s="19" t="s">
        <v>219</v>
      </c>
      <c r="C15" s="32" t="s">
        <v>220</v>
      </c>
      <c r="D15" s="19" t="s">
        <v>221</v>
      </c>
      <c r="E15" s="19">
        <f>2+10</f>
        <v>12</v>
      </c>
      <c r="F15" s="7"/>
      <c r="G15" s="8">
        <v>0.23</v>
      </c>
      <c r="H15" s="67">
        <f t="shared" si="0"/>
        <v>0</v>
      </c>
      <c r="I15" s="67">
        <f t="shared" si="1"/>
        <v>0</v>
      </c>
      <c r="J15" s="67">
        <f t="shared" si="2"/>
        <v>0</v>
      </c>
      <c r="K15" s="68">
        <f t="shared" si="3"/>
        <v>0</v>
      </c>
      <c r="L15" s="3"/>
    </row>
    <row r="16" spans="1:12" ht="30" x14ac:dyDescent="0.25">
      <c r="A16" s="19">
        <f t="shared" si="4"/>
        <v>13</v>
      </c>
      <c r="B16" s="19" t="s">
        <v>663</v>
      </c>
      <c r="C16" s="32" t="s">
        <v>222</v>
      </c>
      <c r="D16" s="19" t="s">
        <v>223</v>
      </c>
      <c r="E16" s="19">
        <v>1</v>
      </c>
      <c r="F16" s="7"/>
      <c r="G16" s="8">
        <v>0.23</v>
      </c>
      <c r="H16" s="67">
        <f t="shared" si="0"/>
        <v>0</v>
      </c>
      <c r="I16" s="67">
        <f t="shared" si="1"/>
        <v>0</v>
      </c>
      <c r="J16" s="67">
        <f t="shared" si="2"/>
        <v>0</v>
      </c>
      <c r="K16" s="68">
        <f t="shared" si="3"/>
        <v>0</v>
      </c>
      <c r="L16" s="3"/>
    </row>
    <row r="17" spans="1:12" ht="75" x14ac:dyDescent="0.25">
      <c r="A17" s="19">
        <f t="shared" si="4"/>
        <v>14</v>
      </c>
      <c r="B17" s="19" t="s">
        <v>224</v>
      </c>
      <c r="C17" s="32" t="s">
        <v>225</v>
      </c>
      <c r="D17" s="19" t="s">
        <v>127</v>
      </c>
      <c r="E17" s="19">
        <f>2+1+2+1</f>
        <v>6</v>
      </c>
      <c r="F17" s="7"/>
      <c r="G17" s="8">
        <v>0.23</v>
      </c>
      <c r="H17" s="67">
        <f t="shared" si="0"/>
        <v>0</v>
      </c>
      <c r="I17" s="67">
        <f t="shared" si="1"/>
        <v>0</v>
      </c>
      <c r="J17" s="67">
        <f t="shared" si="2"/>
        <v>0</v>
      </c>
      <c r="K17" s="68">
        <f t="shared" si="3"/>
        <v>0</v>
      </c>
      <c r="L17" s="3"/>
    </row>
    <row r="18" spans="1:12" ht="75" x14ac:dyDescent="0.25">
      <c r="A18" s="19">
        <f t="shared" si="4"/>
        <v>15</v>
      </c>
      <c r="B18" s="19" t="s">
        <v>226</v>
      </c>
      <c r="C18" s="32" t="s">
        <v>227</v>
      </c>
      <c r="D18" s="19" t="s">
        <v>127</v>
      </c>
      <c r="E18" s="19">
        <f>2+1</f>
        <v>3</v>
      </c>
      <c r="F18" s="7"/>
      <c r="G18" s="8">
        <v>0.23</v>
      </c>
      <c r="H18" s="67">
        <f t="shared" si="0"/>
        <v>0</v>
      </c>
      <c r="I18" s="67">
        <f t="shared" si="1"/>
        <v>0</v>
      </c>
      <c r="J18" s="67">
        <f t="shared" si="2"/>
        <v>0</v>
      </c>
      <c r="K18" s="68">
        <f t="shared" si="3"/>
        <v>0</v>
      </c>
      <c r="L18" s="3"/>
    </row>
    <row r="19" spans="1:12" ht="75" x14ac:dyDescent="0.25">
      <c r="A19" s="19">
        <f t="shared" si="4"/>
        <v>16</v>
      </c>
      <c r="B19" s="19" t="s">
        <v>228</v>
      </c>
      <c r="C19" s="32" t="s">
        <v>229</v>
      </c>
      <c r="D19" s="19" t="s">
        <v>127</v>
      </c>
      <c r="E19" s="19">
        <f>2+1+1</f>
        <v>4</v>
      </c>
      <c r="F19" s="7"/>
      <c r="G19" s="8">
        <v>0.23</v>
      </c>
      <c r="H19" s="67">
        <f t="shared" si="0"/>
        <v>0</v>
      </c>
      <c r="I19" s="67">
        <f t="shared" si="1"/>
        <v>0</v>
      </c>
      <c r="J19" s="67">
        <f t="shared" si="2"/>
        <v>0</v>
      </c>
      <c r="K19" s="68">
        <f t="shared" si="3"/>
        <v>0</v>
      </c>
      <c r="L19" s="3"/>
    </row>
    <row r="20" spans="1:12" ht="98.25" customHeight="1" x14ac:dyDescent="0.25">
      <c r="A20" s="19">
        <f t="shared" si="4"/>
        <v>17</v>
      </c>
      <c r="B20" s="19" t="s">
        <v>230</v>
      </c>
      <c r="C20" s="32" t="s">
        <v>231</v>
      </c>
      <c r="D20" s="19" t="s">
        <v>127</v>
      </c>
      <c r="E20" s="19">
        <f>1+1</f>
        <v>2</v>
      </c>
      <c r="F20" s="7"/>
      <c r="G20" s="8">
        <v>0.23</v>
      </c>
      <c r="H20" s="67">
        <f t="shared" si="0"/>
        <v>0</v>
      </c>
      <c r="I20" s="67">
        <f t="shared" si="1"/>
        <v>0</v>
      </c>
      <c r="J20" s="67">
        <f t="shared" si="2"/>
        <v>0</v>
      </c>
      <c r="K20" s="68">
        <f t="shared" si="3"/>
        <v>0</v>
      </c>
      <c r="L20" s="3"/>
    </row>
    <row r="21" spans="1:12" ht="43.5" customHeight="1" x14ac:dyDescent="0.25">
      <c r="A21" s="19">
        <f t="shared" si="4"/>
        <v>18</v>
      </c>
      <c r="B21" s="19" t="s">
        <v>645</v>
      </c>
      <c r="C21" s="32" t="s">
        <v>646</v>
      </c>
      <c r="D21" s="19" t="s">
        <v>223</v>
      </c>
      <c r="E21" s="19">
        <v>4</v>
      </c>
      <c r="F21" s="1"/>
      <c r="G21" s="2">
        <v>0.23</v>
      </c>
      <c r="H21" s="67">
        <f t="shared" si="0"/>
        <v>0</v>
      </c>
      <c r="I21" s="67">
        <f t="shared" si="1"/>
        <v>0</v>
      </c>
      <c r="J21" s="67">
        <f t="shared" si="2"/>
        <v>0</v>
      </c>
      <c r="K21" s="68">
        <f t="shared" si="3"/>
        <v>0</v>
      </c>
      <c r="L21" s="3"/>
    </row>
    <row r="22" spans="1:12" ht="53.25" customHeight="1" x14ac:dyDescent="0.25">
      <c r="A22" s="19">
        <f t="shared" si="4"/>
        <v>19</v>
      </c>
      <c r="B22" s="19" t="s">
        <v>644</v>
      </c>
      <c r="C22" s="32" t="s">
        <v>232</v>
      </c>
      <c r="D22" s="19" t="s">
        <v>127</v>
      </c>
      <c r="E22" s="19">
        <v>3</v>
      </c>
      <c r="F22" s="7"/>
      <c r="G22" s="8">
        <v>0.23</v>
      </c>
      <c r="H22" s="67">
        <f t="shared" si="0"/>
        <v>0</v>
      </c>
      <c r="I22" s="67">
        <f t="shared" si="1"/>
        <v>0</v>
      </c>
      <c r="J22" s="67">
        <f t="shared" si="2"/>
        <v>0</v>
      </c>
      <c r="K22" s="68">
        <f t="shared" si="3"/>
        <v>0</v>
      </c>
      <c r="L22" s="3"/>
    </row>
    <row r="23" spans="1:12" ht="38.25" customHeight="1" x14ac:dyDescent="0.25">
      <c r="A23" s="19">
        <f t="shared" si="4"/>
        <v>20</v>
      </c>
      <c r="B23" s="19" t="s">
        <v>233</v>
      </c>
      <c r="C23" s="32" t="s">
        <v>234</v>
      </c>
      <c r="D23" s="19" t="s">
        <v>127</v>
      </c>
      <c r="E23" s="19">
        <f>5+2</f>
        <v>7</v>
      </c>
      <c r="F23" s="7"/>
      <c r="G23" s="8">
        <v>0.23</v>
      </c>
      <c r="H23" s="67">
        <f t="shared" si="0"/>
        <v>0</v>
      </c>
      <c r="I23" s="67">
        <f t="shared" si="1"/>
        <v>0</v>
      </c>
      <c r="J23" s="67">
        <f t="shared" si="2"/>
        <v>0</v>
      </c>
      <c r="K23" s="68">
        <f t="shared" si="3"/>
        <v>0</v>
      </c>
      <c r="L23" s="3"/>
    </row>
    <row r="24" spans="1:12" ht="38.25" customHeight="1" x14ac:dyDescent="0.25">
      <c r="A24" s="19">
        <f t="shared" si="4"/>
        <v>21</v>
      </c>
      <c r="B24" s="19" t="s">
        <v>235</v>
      </c>
      <c r="C24" s="32" t="s">
        <v>236</v>
      </c>
      <c r="D24" s="19" t="s">
        <v>127</v>
      </c>
      <c r="E24" s="19">
        <f>5+2+5+5+3</f>
        <v>20</v>
      </c>
      <c r="F24" s="7"/>
      <c r="G24" s="8">
        <v>0.23</v>
      </c>
      <c r="H24" s="67">
        <f t="shared" si="0"/>
        <v>0</v>
      </c>
      <c r="I24" s="67">
        <f t="shared" si="1"/>
        <v>0</v>
      </c>
      <c r="J24" s="67">
        <f t="shared" si="2"/>
        <v>0</v>
      </c>
      <c r="K24" s="68">
        <f t="shared" si="3"/>
        <v>0</v>
      </c>
      <c r="L24" s="3"/>
    </row>
    <row r="25" spans="1:12" ht="67.5" customHeight="1" x14ac:dyDescent="0.25">
      <c r="A25" s="19">
        <f t="shared" si="4"/>
        <v>22</v>
      </c>
      <c r="B25" s="19" t="s">
        <v>237</v>
      </c>
      <c r="C25" s="32" t="s">
        <v>238</v>
      </c>
      <c r="D25" s="19" t="s">
        <v>127</v>
      </c>
      <c r="E25" s="19">
        <f>1+1+1+1+3+2</f>
        <v>9</v>
      </c>
      <c r="F25" s="7"/>
      <c r="G25" s="8">
        <v>0.23</v>
      </c>
      <c r="H25" s="67">
        <f t="shared" si="0"/>
        <v>0</v>
      </c>
      <c r="I25" s="67">
        <f t="shared" si="1"/>
        <v>0</v>
      </c>
      <c r="J25" s="67">
        <f t="shared" si="2"/>
        <v>0</v>
      </c>
      <c r="K25" s="68">
        <f t="shared" si="3"/>
        <v>0</v>
      </c>
      <c r="L25" s="3"/>
    </row>
    <row r="26" spans="1:12" ht="60" x14ac:dyDescent="0.25">
      <c r="A26" s="19">
        <f t="shared" si="4"/>
        <v>23</v>
      </c>
      <c r="B26" s="19" t="s">
        <v>239</v>
      </c>
      <c r="C26" s="32" t="s">
        <v>240</v>
      </c>
      <c r="D26" s="19" t="s">
        <v>241</v>
      </c>
      <c r="E26" s="19">
        <f>5+3+4</f>
        <v>12</v>
      </c>
      <c r="F26" s="7"/>
      <c r="G26" s="8">
        <v>0.23</v>
      </c>
      <c r="H26" s="67">
        <f t="shared" si="0"/>
        <v>0</v>
      </c>
      <c r="I26" s="67">
        <f t="shared" si="1"/>
        <v>0</v>
      </c>
      <c r="J26" s="67">
        <f t="shared" si="2"/>
        <v>0</v>
      </c>
      <c r="K26" s="68">
        <f t="shared" si="3"/>
        <v>0</v>
      </c>
      <c r="L26" s="3"/>
    </row>
    <row r="27" spans="1:12" x14ac:dyDescent="0.25">
      <c r="A27" s="124" t="s">
        <v>198</v>
      </c>
      <c r="B27" s="124"/>
      <c r="C27" s="124"/>
      <c r="D27" s="124"/>
      <c r="E27" s="124"/>
      <c r="F27" s="69" t="s">
        <v>242</v>
      </c>
      <c r="G27" s="69" t="s">
        <v>242</v>
      </c>
      <c r="H27" s="70">
        <f>SUM(H4:H26)</f>
        <v>0</v>
      </c>
      <c r="I27" s="70">
        <f>SUM(I4:I26)</f>
        <v>0</v>
      </c>
      <c r="J27" s="70">
        <f>SUM(J4:J26)</f>
        <v>0</v>
      </c>
      <c r="K27" s="70">
        <f>SUM(K4:K26)</f>
        <v>0</v>
      </c>
      <c r="L27" s="71"/>
    </row>
  </sheetData>
  <sheetProtection algorithmName="SHA-512" hashValue="MVhgHR1ijMk4lQ49HSmgm2vmrN/GD/zVp889KKl4L5QD3tiaudp+8FfJ48uk0/6WSTBXMhUXggBDYABqvRMo7A==" saltValue="9nr7RnATH32MS3XPGMZVVA==" spinCount="100000" sheet="1" objects="1" scenarios="1" selectLockedCells="1"/>
  <autoFilter ref="A2:L27" xr:uid="{C4B68F96-5186-C74E-9F6B-29B1D1CECD27}"/>
  <mergeCells count="2">
    <mergeCell ref="A1:K1"/>
    <mergeCell ref="A27:E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BF8E-750D-5645-A4C7-5A39636E6600}">
  <dimension ref="A1:L57"/>
  <sheetViews>
    <sheetView topLeftCell="A34" zoomScale="90" zoomScaleNormal="90" workbookViewId="0">
      <selection activeCell="L39" sqref="L39"/>
    </sheetView>
  </sheetViews>
  <sheetFormatPr defaultColWidth="11" defaultRowHeight="15.75" x14ac:dyDescent="0.25"/>
  <cols>
    <col min="1" max="1" width="9.125" style="72"/>
    <col min="2" max="2" width="20.625" style="81" customWidth="1"/>
    <col min="3" max="3" width="41.875" style="60" customWidth="1"/>
    <col min="4" max="4" width="14.5" style="47" customWidth="1"/>
    <col min="5" max="5" width="10.875" style="47" customWidth="1"/>
    <col min="6" max="6" width="14.125" style="47" customWidth="1"/>
    <col min="7" max="7" width="15" style="47" customWidth="1"/>
    <col min="8" max="8" width="17.375" style="47" customWidth="1"/>
    <col min="9" max="9" width="18.375" style="47" customWidth="1"/>
    <col min="10" max="10" width="16.125" style="47" customWidth="1"/>
    <col min="11" max="11" width="18.5" style="47" customWidth="1"/>
    <col min="12" max="12" width="47" style="47" customWidth="1"/>
    <col min="13" max="13" width="52.875" style="47" customWidth="1"/>
    <col min="14" max="16384" width="11" style="47"/>
  </cols>
  <sheetData>
    <row r="1" spans="1:12" ht="40.5" customHeight="1" x14ac:dyDescent="0.25">
      <c r="A1" s="121" t="s">
        <v>653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6" t="s">
        <v>0</v>
      </c>
    </row>
    <row r="2" spans="1:12" ht="25.5" x14ac:dyDescent="0.25">
      <c r="A2" s="75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76" t="s">
        <v>9</v>
      </c>
      <c r="J2" s="50" t="s">
        <v>10</v>
      </c>
      <c r="K2" s="50" t="s">
        <v>11</v>
      </c>
      <c r="L2" s="50" t="s">
        <v>12</v>
      </c>
    </row>
    <row r="3" spans="1:12" x14ac:dyDescent="0.25">
      <c r="A3" s="77">
        <v>1</v>
      </c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66">
        <v>7</v>
      </c>
      <c r="H3" s="66">
        <v>8</v>
      </c>
      <c r="I3" s="66">
        <v>9</v>
      </c>
      <c r="J3" s="66">
        <v>10</v>
      </c>
      <c r="K3" s="66">
        <v>11</v>
      </c>
      <c r="L3" s="66">
        <v>12</v>
      </c>
    </row>
    <row r="4" spans="1:12" ht="30" x14ac:dyDescent="0.25">
      <c r="A4" s="13">
        <f>ROW(A1)</f>
        <v>1</v>
      </c>
      <c r="B4" s="13" t="s">
        <v>243</v>
      </c>
      <c r="C4" s="30" t="s">
        <v>244</v>
      </c>
      <c r="D4" s="13" t="s">
        <v>16</v>
      </c>
      <c r="E4" s="13">
        <v>5</v>
      </c>
      <c r="F4" s="1"/>
      <c r="G4" s="2">
        <v>0.23</v>
      </c>
      <c r="H4" s="55">
        <f>F4*G4</f>
        <v>0</v>
      </c>
      <c r="I4" s="55">
        <f>F4*E4</f>
        <v>0</v>
      </c>
      <c r="J4" s="55">
        <f>H4*E4</f>
        <v>0</v>
      </c>
      <c r="K4" s="55">
        <f>I4+J4</f>
        <v>0</v>
      </c>
      <c r="L4" s="3"/>
    </row>
    <row r="5" spans="1:12" ht="30" x14ac:dyDescent="0.25">
      <c r="A5" s="13">
        <f t="shared" ref="A5:A56" si="0">ROW(A2)</f>
        <v>2</v>
      </c>
      <c r="B5" s="13" t="s">
        <v>245</v>
      </c>
      <c r="C5" s="30" t="s">
        <v>246</v>
      </c>
      <c r="D5" s="13" t="s">
        <v>16</v>
      </c>
      <c r="E5" s="13">
        <f>20+3</f>
        <v>23</v>
      </c>
      <c r="F5" s="1"/>
      <c r="G5" s="2">
        <v>0.23</v>
      </c>
      <c r="H5" s="55">
        <f t="shared" ref="H5:H56" si="1">F5*G5</f>
        <v>0</v>
      </c>
      <c r="I5" s="55">
        <f t="shared" ref="I5:I56" si="2">F5*E5</f>
        <v>0</v>
      </c>
      <c r="J5" s="55">
        <f t="shared" ref="J5:J56" si="3">H5*E5</f>
        <v>0</v>
      </c>
      <c r="K5" s="55">
        <f t="shared" ref="K5:K56" si="4">I5+J5</f>
        <v>0</v>
      </c>
      <c r="L5" s="3"/>
    </row>
    <row r="6" spans="1:12" ht="45" x14ac:dyDescent="0.25">
      <c r="A6" s="13">
        <f t="shared" si="0"/>
        <v>3</v>
      </c>
      <c r="B6" s="13" t="s">
        <v>247</v>
      </c>
      <c r="C6" s="30" t="s">
        <v>248</v>
      </c>
      <c r="D6" s="13" t="s">
        <v>16</v>
      </c>
      <c r="E6" s="13">
        <f>6+5+3</f>
        <v>14</v>
      </c>
      <c r="F6" s="1"/>
      <c r="G6" s="2">
        <v>0.23</v>
      </c>
      <c r="H6" s="55">
        <f t="shared" si="1"/>
        <v>0</v>
      </c>
      <c r="I6" s="55">
        <f t="shared" si="2"/>
        <v>0</v>
      </c>
      <c r="J6" s="55">
        <f t="shared" si="3"/>
        <v>0</v>
      </c>
      <c r="K6" s="55">
        <f t="shared" si="4"/>
        <v>0</v>
      </c>
      <c r="L6" s="3"/>
    </row>
    <row r="7" spans="1:12" ht="30" x14ac:dyDescent="0.25">
      <c r="A7" s="13">
        <f t="shared" si="0"/>
        <v>4</v>
      </c>
      <c r="B7" s="12" t="s">
        <v>249</v>
      </c>
      <c r="C7" s="30" t="s">
        <v>250</v>
      </c>
      <c r="D7" s="13" t="s">
        <v>16</v>
      </c>
      <c r="E7" s="13">
        <f>10+10+5+20+30+3+10</f>
        <v>88</v>
      </c>
      <c r="F7" s="1"/>
      <c r="G7" s="2">
        <v>0.23</v>
      </c>
      <c r="H7" s="55">
        <f t="shared" si="1"/>
        <v>0</v>
      </c>
      <c r="I7" s="55">
        <f t="shared" si="2"/>
        <v>0</v>
      </c>
      <c r="J7" s="55">
        <f t="shared" si="3"/>
        <v>0</v>
      </c>
      <c r="K7" s="55">
        <f t="shared" si="4"/>
        <v>0</v>
      </c>
      <c r="L7" s="3"/>
    </row>
    <row r="8" spans="1:12" ht="30" x14ac:dyDescent="0.25">
      <c r="A8" s="13">
        <f t="shared" si="0"/>
        <v>5</v>
      </c>
      <c r="B8" s="12" t="s">
        <v>251</v>
      </c>
      <c r="C8" s="30" t="s">
        <v>252</v>
      </c>
      <c r="D8" s="13" t="s">
        <v>16</v>
      </c>
      <c r="E8" s="13">
        <f>20+10+5+3+10</f>
        <v>48</v>
      </c>
      <c r="F8" s="1"/>
      <c r="G8" s="2">
        <v>0.23</v>
      </c>
      <c r="H8" s="55">
        <f t="shared" si="1"/>
        <v>0</v>
      </c>
      <c r="I8" s="55">
        <f t="shared" si="2"/>
        <v>0</v>
      </c>
      <c r="J8" s="55">
        <f t="shared" si="3"/>
        <v>0</v>
      </c>
      <c r="K8" s="55">
        <f t="shared" si="4"/>
        <v>0</v>
      </c>
      <c r="L8" s="3"/>
    </row>
    <row r="9" spans="1:12" ht="30" x14ac:dyDescent="0.25">
      <c r="A9" s="13">
        <f t="shared" si="0"/>
        <v>6</v>
      </c>
      <c r="B9" s="12" t="s">
        <v>253</v>
      </c>
      <c r="C9" s="30" t="s">
        <v>254</v>
      </c>
      <c r="D9" s="13" t="s">
        <v>16</v>
      </c>
      <c r="E9" s="13">
        <f>10+10+5+20+30+3+10</f>
        <v>88</v>
      </c>
      <c r="F9" s="1"/>
      <c r="G9" s="2">
        <v>0.23</v>
      </c>
      <c r="H9" s="55">
        <f t="shared" si="1"/>
        <v>0</v>
      </c>
      <c r="I9" s="55">
        <f t="shared" si="2"/>
        <v>0</v>
      </c>
      <c r="J9" s="55">
        <f t="shared" si="3"/>
        <v>0</v>
      </c>
      <c r="K9" s="55">
        <f t="shared" si="4"/>
        <v>0</v>
      </c>
      <c r="L9" s="3"/>
    </row>
    <row r="10" spans="1:12" ht="30" x14ac:dyDescent="0.25">
      <c r="A10" s="13">
        <f t="shared" si="0"/>
        <v>7</v>
      </c>
      <c r="B10" s="12" t="s">
        <v>255</v>
      </c>
      <c r="C10" s="30" t="s">
        <v>256</v>
      </c>
      <c r="D10" s="13" t="s">
        <v>16</v>
      </c>
      <c r="E10" s="13">
        <f>10+5+20+3+10</f>
        <v>48</v>
      </c>
      <c r="F10" s="1"/>
      <c r="G10" s="2">
        <v>0.23</v>
      </c>
      <c r="H10" s="55">
        <f t="shared" si="1"/>
        <v>0</v>
      </c>
      <c r="I10" s="55">
        <f t="shared" si="2"/>
        <v>0</v>
      </c>
      <c r="J10" s="55">
        <f t="shared" si="3"/>
        <v>0</v>
      </c>
      <c r="K10" s="55">
        <f t="shared" si="4"/>
        <v>0</v>
      </c>
      <c r="L10" s="3"/>
    </row>
    <row r="11" spans="1:12" ht="30" x14ac:dyDescent="0.25">
      <c r="A11" s="13">
        <f t="shared" si="0"/>
        <v>8</v>
      </c>
      <c r="B11" s="12" t="s">
        <v>257</v>
      </c>
      <c r="C11" s="30" t="s">
        <v>258</v>
      </c>
      <c r="D11" s="13" t="s">
        <v>16</v>
      </c>
      <c r="E11" s="13">
        <f>10+5+5+10</f>
        <v>30</v>
      </c>
      <c r="F11" s="1"/>
      <c r="G11" s="2">
        <v>0.23</v>
      </c>
      <c r="H11" s="55">
        <f t="shared" si="1"/>
        <v>0</v>
      </c>
      <c r="I11" s="55">
        <f t="shared" si="2"/>
        <v>0</v>
      </c>
      <c r="J11" s="55">
        <f t="shared" si="3"/>
        <v>0</v>
      </c>
      <c r="K11" s="55">
        <f t="shared" si="4"/>
        <v>0</v>
      </c>
      <c r="L11" s="3"/>
    </row>
    <row r="12" spans="1:12" ht="30" x14ac:dyDescent="0.25">
      <c r="A12" s="13">
        <f t="shared" si="0"/>
        <v>9</v>
      </c>
      <c r="B12" s="12" t="s">
        <v>259</v>
      </c>
      <c r="C12" s="30" t="s">
        <v>260</v>
      </c>
      <c r="D12" s="13" t="s">
        <v>16</v>
      </c>
      <c r="E12" s="13">
        <f>5+5</f>
        <v>10</v>
      </c>
      <c r="F12" s="1"/>
      <c r="G12" s="2">
        <v>0.23</v>
      </c>
      <c r="H12" s="55">
        <f t="shared" si="1"/>
        <v>0</v>
      </c>
      <c r="I12" s="55">
        <f t="shared" si="2"/>
        <v>0</v>
      </c>
      <c r="J12" s="55">
        <f t="shared" si="3"/>
        <v>0</v>
      </c>
      <c r="K12" s="55">
        <f t="shared" si="4"/>
        <v>0</v>
      </c>
      <c r="L12" s="3"/>
    </row>
    <row r="13" spans="1:12" ht="62.25" customHeight="1" x14ac:dyDescent="0.25">
      <c r="A13" s="13">
        <f t="shared" si="0"/>
        <v>10</v>
      </c>
      <c r="B13" s="12" t="s">
        <v>261</v>
      </c>
      <c r="C13" s="29" t="s">
        <v>262</v>
      </c>
      <c r="D13" s="13" t="s">
        <v>16</v>
      </c>
      <c r="E13" s="13">
        <v>5</v>
      </c>
      <c r="F13" s="1"/>
      <c r="G13" s="2">
        <v>0.23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>
        <f t="shared" si="4"/>
        <v>0</v>
      </c>
      <c r="L13" s="3"/>
    </row>
    <row r="14" spans="1:12" ht="60" x14ac:dyDescent="0.25">
      <c r="A14" s="13">
        <f t="shared" si="0"/>
        <v>11</v>
      </c>
      <c r="B14" s="12" t="s">
        <v>263</v>
      </c>
      <c r="C14" s="29" t="s">
        <v>264</v>
      </c>
      <c r="D14" s="13" t="s">
        <v>16</v>
      </c>
      <c r="E14" s="13">
        <v>6</v>
      </c>
      <c r="F14" s="1"/>
      <c r="G14" s="2">
        <v>0.23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>
        <f t="shared" si="4"/>
        <v>0</v>
      </c>
      <c r="L14" s="3"/>
    </row>
    <row r="15" spans="1:12" ht="30" x14ac:dyDescent="0.25">
      <c r="A15" s="13">
        <f t="shared" si="0"/>
        <v>12</v>
      </c>
      <c r="B15" s="13" t="s">
        <v>265</v>
      </c>
      <c r="C15" s="30" t="s">
        <v>266</v>
      </c>
      <c r="D15" s="13" t="s">
        <v>16</v>
      </c>
      <c r="E15" s="13">
        <v>10</v>
      </c>
      <c r="F15" s="1"/>
      <c r="G15" s="2">
        <v>0.23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>
        <f t="shared" si="4"/>
        <v>0</v>
      </c>
      <c r="L15" s="1"/>
    </row>
    <row r="16" spans="1:12" ht="30" x14ac:dyDescent="0.25">
      <c r="A16" s="13">
        <f t="shared" si="0"/>
        <v>13</v>
      </c>
      <c r="B16" s="13" t="s">
        <v>708</v>
      </c>
      <c r="C16" s="30" t="s">
        <v>709</v>
      </c>
      <c r="D16" s="13" t="s">
        <v>16</v>
      </c>
      <c r="E16" s="13">
        <v>1</v>
      </c>
      <c r="F16" s="41"/>
      <c r="G16" s="2">
        <v>0.23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>
        <f t="shared" si="4"/>
        <v>0</v>
      </c>
      <c r="L16" s="1"/>
    </row>
    <row r="17" spans="1:12" ht="48" customHeight="1" x14ac:dyDescent="0.25">
      <c r="A17" s="13">
        <f t="shared" si="0"/>
        <v>14</v>
      </c>
      <c r="B17" s="13" t="s">
        <v>267</v>
      </c>
      <c r="C17" s="30" t="s">
        <v>268</v>
      </c>
      <c r="D17" s="13" t="s">
        <v>16</v>
      </c>
      <c r="E17" s="13">
        <f>2+2+4</f>
        <v>8</v>
      </c>
      <c r="F17" s="1"/>
      <c r="G17" s="2">
        <v>0.23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>
        <f t="shared" si="4"/>
        <v>0</v>
      </c>
      <c r="L17" s="3"/>
    </row>
    <row r="18" spans="1:12" ht="30" x14ac:dyDescent="0.25">
      <c r="A18" s="13">
        <f t="shared" si="0"/>
        <v>15</v>
      </c>
      <c r="B18" s="13" t="s">
        <v>269</v>
      </c>
      <c r="C18" s="30" t="s">
        <v>270</v>
      </c>
      <c r="D18" s="13" t="s">
        <v>16</v>
      </c>
      <c r="E18" s="13">
        <f>1+3+10+1+2</f>
        <v>17</v>
      </c>
      <c r="F18" s="1"/>
      <c r="G18" s="2">
        <v>0.23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>
        <f t="shared" si="4"/>
        <v>0</v>
      </c>
      <c r="L18" s="3"/>
    </row>
    <row r="19" spans="1:12" ht="30" x14ac:dyDescent="0.25">
      <c r="A19" s="13">
        <f t="shared" si="0"/>
        <v>16</v>
      </c>
      <c r="B19" s="13" t="s">
        <v>271</v>
      </c>
      <c r="C19" s="30" t="s">
        <v>272</v>
      </c>
      <c r="D19" s="13" t="s">
        <v>16</v>
      </c>
      <c r="E19" s="13">
        <f>4+2</f>
        <v>6</v>
      </c>
      <c r="F19" s="1"/>
      <c r="G19" s="2">
        <v>0.23</v>
      </c>
      <c r="H19" s="55">
        <f t="shared" si="1"/>
        <v>0</v>
      </c>
      <c r="I19" s="55">
        <f t="shared" si="2"/>
        <v>0</v>
      </c>
      <c r="J19" s="55">
        <f t="shared" si="3"/>
        <v>0</v>
      </c>
      <c r="K19" s="55">
        <f t="shared" si="4"/>
        <v>0</v>
      </c>
      <c r="L19" s="3"/>
    </row>
    <row r="20" spans="1:12" ht="80.25" customHeight="1" x14ac:dyDescent="0.25">
      <c r="A20" s="13">
        <f t="shared" si="0"/>
        <v>17</v>
      </c>
      <c r="B20" s="13" t="s">
        <v>273</v>
      </c>
      <c r="C20" s="30" t="s">
        <v>274</v>
      </c>
      <c r="D20" s="13" t="s">
        <v>16</v>
      </c>
      <c r="E20" s="13">
        <f>5+4+2+2</f>
        <v>13</v>
      </c>
      <c r="F20" s="1"/>
      <c r="G20" s="2">
        <v>0.23</v>
      </c>
      <c r="H20" s="55">
        <f t="shared" si="1"/>
        <v>0</v>
      </c>
      <c r="I20" s="55">
        <f t="shared" si="2"/>
        <v>0</v>
      </c>
      <c r="J20" s="55">
        <f t="shared" si="3"/>
        <v>0</v>
      </c>
      <c r="K20" s="55">
        <f t="shared" si="4"/>
        <v>0</v>
      </c>
      <c r="L20" s="3"/>
    </row>
    <row r="21" spans="1:12" ht="30" x14ac:dyDescent="0.25">
      <c r="A21" s="13">
        <f t="shared" si="0"/>
        <v>18</v>
      </c>
      <c r="B21" s="13" t="s">
        <v>275</v>
      </c>
      <c r="C21" s="30" t="s">
        <v>276</v>
      </c>
      <c r="D21" s="13" t="s">
        <v>16</v>
      </c>
      <c r="E21" s="13">
        <f>2+2+2+1</f>
        <v>7</v>
      </c>
      <c r="F21" s="1"/>
      <c r="G21" s="2">
        <v>0.23</v>
      </c>
      <c r="H21" s="55">
        <f t="shared" si="1"/>
        <v>0</v>
      </c>
      <c r="I21" s="55">
        <f t="shared" si="2"/>
        <v>0</v>
      </c>
      <c r="J21" s="55">
        <f t="shared" si="3"/>
        <v>0</v>
      </c>
      <c r="K21" s="55">
        <f t="shared" si="4"/>
        <v>0</v>
      </c>
      <c r="L21" s="3"/>
    </row>
    <row r="22" spans="1:12" ht="30" x14ac:dyDescent="0.25">
      <c r="A22" s="13">
        <f t="shared" si="0"/>
        <v>19</v>
      </c>
      <c r="B22" s="13" t="s">
        <v>277</v>
      </c>
      <c r="C22" s="30" t="s">
        <v>278</v>
      </c>
      <c r="D22" s="13" t="s">
        <v>16</v>
      </c>
      <c r="E22" s="13">
        <f>1+1</f>
        <v>2</v>
      </c>
      <c r="F22" s="1"/>
      <c r="G22" s="2">
        <v>0.23</v>
      </c>
      <c r="H22" s="55">
        <f t="shared" si="1"/>
        <v>0</v>
      </c>
      <c r="I22" s="55">
        <f t="shared" si="2"/>
        <v>0</v>
      </c>
      <c r="J22" s="55">
        <f t="shared" si="3"/>
        <v>0</v>
      </c>
      <c r="K22" s="55">
        <f t="shared" si="4"/>
        <v>0</v>
      </c>
      <c r="L22" s="3"/>
    </row>
    <row r="23" spans="1:12" ht="30" x14ac:dyDescent="0.25">
      <c r="A23" s="13">
        <f t="shared" si="0"/>
        <v>20</v>
      </c>
      <c r="B23" s="13" t="s">
        <v>279</v>
      </c>
      <c r="C23" s="30" t="s">
        <v>280</v>
      </c>
      <c r="D23" s="13" t="s">
        <v>16</v>
      </c>
      <c r="E23" s="13">
        <f>1+2+1</f>
        <v>4</v>
      </c>
      <c r="F23" s="1"/>
      <c r="G23" s="2">
        <v>0.23</v>
      </c>
      <c r="H23" s="55">
        <f t="shared" si="1"/>
        <v>0</v>
      </c>
      <c r="I23" s="55">
        <f t="shared" si="2"/>
        <v>0</v>
      </c>
      <c r="J23" s="55">
        <f t="shared" si="3"/>
        <v>0</v>
      </c>
      <c r="K23" s="55">
        <f t="shared" si="4"/>
        <v>0</v>
      </c>
      <c r="L23" s="3"/>
    </row>
    <row r="24" spans="1:12" ht="31.5" customHeight="1" x14ac:dyDescent="0.25">
      <c r="A24" s="13">
        <f t="shared" si="0"/>
        <v>21</v>
      </c>
      <c r="B24" s="13" t="s">
        <v>281</v>
      </c>
      <c r="C24" s="30" t="s">
        <v>282</v>
      </c>
      <c r="D24" s="13" t="s">
        <v>16</v>
      </c>
      <c r="E24" s="13">
        <v>4</v>
      </c>
      <c r="F24" s="1"/>
      <c r="G24" s="2">
        <v>0.23</v>
      </c>
      <c r="H24" s="55">
        <f t="shared" si="1"/>
        <v>0</v>
      </c>
      <c r="I24" s="55">
        <f t="shared" si="2"/>
        <v>0</v>
      </c>
      <c r="J24" s="55">
        <f t="shared" si="3"/>
        <v>0</v>
      </c>
      <c r="K24" s="55">
        <f t="shared" si="4"/>
        <v>0</v>
      </c>
      <c r="L24" s="3"/>
    </row>
    <row r="25" spans="1:12" ht="31.5" customHeight="1" x14ac:dyDescent="0.25">
      <c r="A25" s="13">
        <f t="shared" si="0"/>
        <v>22</v>
      </c>
      <c r="B25" s="13" t="s">
        <v>710</v>
      </c>
      <c r="C25" s="30" t="s">
        <v>711</v>
      </c>
      <c r="D25" s="13" t="s">
        <v>16</v>
      </c>
      <c r="E25" s="13">
        <v>1</v>
      </c>
      <c r="F25" s="1"/>
      <c r="G25" s="2">
        <v>0.23</v>
      </c>
      <c r="H25" s="55">
        <f t="shared" si="1"/>
        <v>0</v>
      </c>
      <c r="I25" s="55">
        <f t="shared" si="2"/>
        <v>0</v>
      </c>
      <c r="J25" s="55">
        <f t="shared" si="3"/>
        <v>0</v>
      </c>
      <c r="K25" s="55">
        <f t="shared" si="4"/>
        <v>0</v>
      </c>
      <c r="L25" s="3"/>
    </row>
    <row r="26" spans="1:12" ht="30" x14ac:dyDescent="0.25">
      <c r="A26" s="13">
        <f t="shared" si="0"/>
        <v>23</v>
      </c>
      <c r="B26" s="13" t="s">
        <v>283</v>
      </c>
      <c r="C26" s="30" t="s">
        <v>284</v>
      </c>
      <c r="D26" s="13" t="s">
        <v>16</v>
      </c>
      <c r="E26" s="13">
        <v>2</v>
      </c>
      <c r="F26" s="1"/>
      <c r="G26" s="2">
        <v>0.23</v>
      </c>
      <c r="H26" s="55">
        <f t="shared" si="1"/>
        <v>0</v>
      </c>
      <c r="I26" s="55">
        <f t="shared" si="2"/>
        <v>0</v>
      </c>
      <c r="J26" s="55">
        <f t="shared" si="3"/>
        <v>0</v>
      </c>
      <c r="K26" s="55">
        <f t="shared" si="4"/>
        <v>0</v>
      </c>
      <c r="L26" s="3"/>
    </row>
    <row r="27" spans="1:12" ht="47.25" customHeight="1" x14ac:dyDescent="0.25">
      <c r="A27" s="13">
        <f t="shared" si="0"/>
        <v>24</v>
      </c>
      <c r="B27" s="13" t="s">
        <v>285</v>
      </c>
      <c r="C27" s="30" t="s">
        <v>286</v>
      </c>
      <c r="D27" s="13" t="s">
        <v>16</v>
      </c>
      <c r="E27" s="13">
        <f>1+2</f>
        <v>3</v>
      </c>
      <c r="F27" s="1"/>
      <c r="G27" s="2">
        <v>0.23</v>
      </c>
      <c r="H27" s="55">
        <f t="shared" si="1"/>
        <v>0</v>
      </c>
      <c r="I27" s="55">
        <f t="shared" si="2"/>
        <v>0</v>
      </c>
      <c r="J27" s="55">
        <f t="shared" si="3"/>
        <v>0</v>
      </c>
      <c r="K27" s="55">
        <f t="shared" si="4"/>
        <v>0</v>
      </c>
      <c r="L27" s="3"/>
    </row>
    <row r="28" spans="1:12" ht="45" x14ac:dyDescent="0.25">
      <c r="A28" s="13">
        <f t="shared" si="0"/>
        <v>25</v>
      </c>
      <c r="B28" s="12" t="s">
        <v>287</v>
      </c>
      <c r="C28" s="29" t="s">
        <v>288</v>
      </c>
      <c r="D28" s="12" t="s">
        <v>16</v>
      </c>
      <c r="E28" s="13">
        <v>1</v>
      </c>
      <c r="F28" s="1"/>
      <c r="G28" s="2">
        <v>0.23</v>
      </c>
      <c r="H28" s="55">
        <f t="shared" si="1"/>
        <v>0</v>
      </c>
      <c r="I28" s="55">
        <f t="shared" si="2"/>
        <v>0</v>
      </c>
      <c r="J28" s="55">
        <f t="shared" si="3"/>
        <v>0</v>
      </c>
      <c r="K28" s="55">
        <f t="shared" si="4"/>
        <v>0</v>
      </c>
      <c r="L28" s="3"/>
    </row>
    <row r="29" spans="1:12" ht="45" x14ac:dyDescent="0.25">
      <c r="A29" s="13">
        <f t="shared" si="0"/>
        <v>26</v>
      </c>
      <c r="B29" s="12" t="s">
        <v>712</v>
      </c>
      <c r="C29" s="29" t="s">
        <v>713</v>
      </c>
      <c r="D29" s="12" t="s">
        <v>16</v>
      </c>
      <c r="E29" s="13">
        <v>1</v>
      </c>
      <c r="F29" s="41"/>
      <c r="G29" s="2">
        <v>0.23</v>
      </c>
      <c r="H29" s="55">
        <f t="shared" si="1"/>
        <v>0</v>
      </c>
      <c r="I29" s="55">
        <f t="shared" si="2"/>
        <v>0</v>
      </c>
      <c r="J29" s="55">
        <f t="shared" si="3"/>
        <v>0</v>
      </c>
      <c r="K29" s="55">
        <f t="shared" si="4"/>
        <v>0</v>
      </c>
      <c r="L29" s="3"/>
    </row>
    <row r="30" spans="1:12" ht="48.75" customHeight="1" x14ac:dyDescent="0.25">
      <c r="A30" s="13">
        <f t="shared" si="0"/>
        <v>27</v>
      </c>
      <c r="B30" s="12" t="s">
        <v>289</v>
      </c>
      <c r="C30" s="29" t="s">
        <v>290</v>
      </c>
      <c r="D30" s="12" t="s">
        <v>16</v>
      </c>
      <c r="E30" s="13">
        <f>2+1</f>
        <v>3</v>
      </c>
      <c r="F30" s="1"/>
      <c r="G30" s="2">
        <v>0.23</v>
      </c>
      <c r="H30" s="55">
        <f t="shared" si="1"/>
        <v>0</v>
      </c>
      <c r="I30" s="55">
        <f t="shared" si="2"/>
        <v>0</v>
      </c>
      <c r="J30" s="55">
        <f t="shared" si="3"/>
        <v>0</v>
      </c>
      <c r="K30" s="55">
        <f t="shared" si="4"/>
        <v>0</v>
      </c>
      <c r="L30" s="3"/>
    </row>
    <row r="31" spans="1:12" ht="75" x14ac:dyDescent="0.25">
      <c r="A31" s="13">
        <f t="shared" si="0"/>
        <v>28</v>
      </c>
      <c r="B31" s="12" t="s">
        <v>292</v>
      </c>
      <c r="C31" s="29" t="s">
        <v>293</v>
      </c>
      <c r="D31" s="12" t="s">
        <v>294</v>
      </c>
      <c r="E31" s="13">
        <f>1+1</f>
        <v>2</v>
      </c>
      <c r="F31" s="1"/>
      <c r="G31" s="2">
        <v>0.23</v>
      </c>
      <c r="H31" s="55">
        <f t="shared" si="1"/>
        <v>0</v>
      </c>
      <c r="I31" s="55">
        <f t="shared" si="2"/>
        <v>0</v>
      </c>
      <c r="J31" s="55">
        <f t="shared" si="3"/>
        <v>0</v>
      </c>
      <c r="K31" s="55">
        <f t="shared" si="4"/>
        <v>0</v>
      </c>
      <c r="L31" s="3"/>
    </row>
    <row r="32" spans="1:12" ht="30" x14ac:dyDescent="0.25">
      <c r="A32" s="13">
        <f t="shared" si="0"/>
        <v>29</v>
      </c>
      <c r="B32" s="13" t="s">
        <v>295</v>
      </c>
      <c r="C32" s="30" t="s">
        <v>296</v>
      </c>
      <c r="D32" s="13" t="s">
        <v>16</v>
      </c>
      <c r="E32" s="13">
        <f>1+1+1</f>
        <v>3</v>
      </c>
      <c r="F32" s="1"/>
      <c r="G32" s="2">
        <v>0.23</v>
      </c>
      <c r="H32" s="55">
        <f t="shared" si="1"/>
        <v>0</v>
      </c>
      <c r="I32" s="55">
        <f t="shared" si="2"/>
        <v>0</v>
      </c>
      <c r="J32" s="55">
        <f t="shared" si="3"/>
        <v>0</v>
      </c>
      <c r="K32" s="55">
        <f t="shared" si="4"/>
        <v>0</v>
      </c>
      <c r="L32" s="3"/>
    </row>
    <row r="33" spans="1:12" ht="60" x14ac:dyDescent="0.25">
      <c r="A33" s="13">
        <f t="shared" si="0"/>
        <v>30</v>
      </c>
      <c r="B33" s="13" t="s">
        <v>714</v>
      </c>
      <c r="C33" s="30" t="s">
        <v>715</v>
      </c>
      <c r="D33" s="13" t="s">
        <v>16</v>
      </c>
      <c r="E33" s="13">
        <v>1</v>
      </c>
      <c r="F33" s="41"/>
      <c r="G33" s="2">
        <v>0.23</v>
      </c>
      <c r="H33" s="55">
        <f t="shared" si="1"/>
        <v>0</v>
      </c>
      <c r="I33" s="55">
        <f t="shared" si="2"/>
        <v>0</v>
      </c>
      <c r="J33" s="55">
        <f t="shared" si="3"/>
        <v>0</v>
      </c>
      <c r="K33" s="55">
        <f t="shared" si="4"/>
        <v>0</v>
      </c>
      <c r="L33" s="3"/>
    </row>
    <row r="34" spans="1:12" ht="93.75" customHeight="1" x14ac:dyDescent="0.25">
      <c r="A34" s="13">
        <f t="shared" si="0"/>
        <v>31</v>
      </c>
      <c r="B34" s="12" t="s">
        <v>297</v>
      </c>
      <c r="C34" s="30" t="s">
        <v>298</v>
      </c>
      <c r="D34" s="13" t="s">
        <v>16</v>
      </c>
      <c r="E34" s="13">
        <f>5+5+4</f>
        <v>14</v>
      </c>
      <c r="F34" s="1"/>
      <c r="G34" s="2">
        <v>0.23</v>
      </c>
      <c r="H34" s="55">
        <f t="shared" si="1"/>
        <v>0</v>
      </c>
      <c r="I34" s="55">
        <f t="shared" si="2"/>
        <v>0</v>
      </c>
      <c r="J34" s="55">
        <f t="shared" si="3"/>
        <v>0</v>
      </c>
      <c r="K34" s="55">
        <f t="shared" si="4"/>
        <v>0</v>
      </c>
      <c r="L34" s="3"/>
    </row>
    <row r="35" spans="1:12" ht="83.25" customHeight="1" x14ac:dyDescent="0.25">
      <c r="A35" s="13">
        <f t="shared" si="0"/>
        <v>32</v>
      </c>
      <c r="B35" s="13" t="s">
        <v>299</v>
      </c>
      <c r="C35" s="30" t="s">
        <v>300</v>
      </c>
      <c r="D35" s="13" t="s">
        <v>16</v>
      </c>
      <c r="E35" s="13">
        <f>5+1+1</f>
        <v>7</v>
      </c>
      <c r="F35" s="1"/>
      <c r="G35" s="2">
        <v>0.23</v>
      </c>
      <c r="H35" s="55">
        <f t="shared" si="1"/>
        <v>0</v>
      </c>
      <c r="I35" s="55">
        <f t="shared" si="2"/>
        <v>0</v>
      </c>
      <c r="J35" s="55">
        <f t="shared" si="3"/>
        <v>0</v>
      </c>
      <c r="K35" s="55">
        <f t="shared" si="4"/>
        <v>0</v>
      </c>
      <c r="L35" s="3"/>
    </row>
    <row r="36" spans="1:12" ht="75.75" customHeight="1" x14ac:dyDescent="0.25">
      <c r="A36" s="13">
        <f t="shared" si="0"/>
        <v>33</v>
      </c>
      <c r="B36" s="12" t="s">
        <v>301</v>
      </c>
      <c r="C36" s="30" t="s">
        <v>302</v>
      </c>
      <c r="D36" s="13" t="s">
        <v>16</v>
      </c>
      <c r="E36" s="13">
        <f>2+5+2+5</f>
        <v>14</v>
      </c>
      <c r="F36" s="1"/>
      <c r="G36" s="2">
        <v>0.23</v>
      </c>
      <c r="H36" s="55">
        <f t="shared" si="1"/>
        <v>0</v>
      </c>
      <c r="I36" s="55">
        <f t="shared" si="2"/>
        <v>0</v>
      </c>
      <c r="J36" s="55">
        <f t="shared" si="3"/>
        <v>0</v>
      </c>
      <c r="K36" s="55">
        <f t="shared" si="4"/>
        <v>0</v>
      </c>
      <c r="L36" s="3"/>
    </row>
    <row r="37" spans="1:12" ht="72" customHeight="1" x14ac:dyDescent="0.25">
      <c r="A37" s="13">
        <f t="shared" si="0"/>
        <v>34</v>
      </c>
      <c r="B37" s="13" t="s">
        <v>303</v>
      </c>
      <c r="C37" s="30" t="s">
        <v>304</v>
      </c>
      <c r="D37" s="14" t="s">
        <v>16</v>
      </c>
      <c r="E37" s="13">
        <v>10</v>
      </c>
      <c r="F37" s="1"/>
      <c r="G37" s="2">
        <v>0.23</v>
      </c>
      <c r="H37" s="55">
        <f t="shared" si="1"/>
        <v>0</v>
      </c>
      <c r="I37" s="55">
        <f t="shared" si="2"/>
        <v>0</v>
      </c>
      <c r="J37" s="55">
        <f t="shared" si="3"/>
        <v>0</v>
      </c>
      <c r="K37" s="55">
        <f t="shared" si="4"/>
        <v>0</v>
      </c>
      <c r="L37" s="3"/>
    </row>
    <row r="38" spans="1:12" ht="30" x14ac:dyDescent="0.25">
      <c r="A38" s="13">
        <f t="shared" si="0"/>
        <v>35</v>
      </c>
      <c r="B38" s="12" t="s">
        <v>305</v>
      </c>
      <c r="C38" s="29" t="s">
        <v>306</v>
      </c>
      <c r="D38" s="13" t="s">
        <v>16</v>
      </c>
      <c r="E38" s="13">
        <f>1+4</f>
        <v>5</v>
      </c>
      <c r="F38" s="1"/>
      <c r="G38" s="2">
        <v>0.23</v>
      </c>
      <c r="H38" s="55">
        <f t="shared" si="1"/>
        <v>0</v>
      </c>
      <c r="I38" s="55">
        <f t="shared" si="2"/>
        <v>0</v>
      </c>
      <c r="J38" s="55">
        <f t="shared" si="3"/>
        <v>0</v>
      </c>
      <c r="K38" s="55">
        <f t="shared" si="4"/>
        <v>0</v>
      </c>
      <c r="L38" s="3"/>
    </row>
    <row r="39" spans="1:12" ht="60.75" customHeight="1" x14ac:dyDescent="0.25">
      <c r="A39" s="13">
        <f t="shared" si="0"/>
        <v>36</v>
      </c>
      <c r="B39" s="13" t="s">
        <v>307</v>
      </c>
      <c r="C39" s="30" t="s">
        <v>308</v>
      </c>
      <c r="D39" s="13" t="s">
        <v>16</v>
      </c>
      <c r="E39" s="13">
        <f>2+2</f>
        <v>4</v>
      </c>
      <c r="F39" s="1"/>
      <c r="G39" s="2">
        <v>0.23</v>
      </c>
      <c r="H39" s="55">
        <f t="shared" si="1"/>
        <v>0</v>
      </c>
      <c r="I39" s="55">
        <f t="shared" si="2"/>
        <v>0</v>
      </c>
      <c r="J39" s="55">
        <f t="shared" si="3"/>
        <v>0</v>
      </c>
      <c r="K39" s="55">
        <f t="shared" si="4"/>
        <v>0</v>
      </c>
      <c r="L39" s="3"/>
    </row>
    <row r="40" spans="1:12" ht="61.5" customHeight="1" x14ac:dyDescent="0.25">
      <c r="A40" s="13">
        <f t="shared" si="0"/>
        <v>37</v>
      </c>
      <c r="B40" s="13" t="s">
        <v>309</v>
      </c>
      <c r="C40" s="30" t="s">
        <v>310</v>
      </c>
      <c r="D40" s="13" t="s">
        <v>16</v>
      </c>
      <c r="E40" s="13">
        <f>2+2+1</f>
        <v>5</v>
      </c>
      <c r="F40" s="1"/>
      <c r="G40" s="2">
        <v>0.23</v>
      </c>
      <c r="H40" s="55">
        <f t="shared" si="1"/>
        <v>0</v>
      </c>
      <c r="I40" s="55">
        <f t="shared" si="2"/>
        <v>0</v>
      </c>
      <c r="J40" s="55">
        <f t="shared" si="3"/>
        <v>0</v>
      </c>
      <c r="K40" s="55">
        <f t="shared" si="4"/>
        <v>0</v>
      </c>
      <c r="L40" s="3"/>
    </row>
    <row r="41" spans="1:12" ht="57.75" customHeight="1" x14ac:dyDescent="0.25">
      <c r="A41" s="13">
        <f t="shared" si="0"/>
        <v>38</v>
      </c>
      <c r="B41" s="13" t="s">
        <v>311</v>
      </c>
      <c r="C41" s="30" t="s">
        <v>312</v>
      </c>
      <c r="D41" s="13" t="s">
        <v>16</v>
      </c>
      <c r="E41" s="13">
        <f>2+2+2+2</f>
        <v>8</v>
      </c>
      <c r="F41" s="1"/>
      <c r="G41" s="2">
        <v>0.23</v>
      </c>
      <c r="H41" s="55">
        <f t="shared" si="1"/>
        <v>0</v>
      </c>
      <c r="I41" s="55">
        <f t="shared" si="2"/>
        <v>0</v>
      </c>
      <c r="J41" s="55">
        <f t="shared" si="3"/>
        <v>0</v>
      </c>
      <c r="K41" s="55">
        <f t="shared" si="4"/>
        <v>0</v>
      </c>
      <c r="L41" s="3"/>
    </row>
    <row r="42" spans="1:12" ht="30" x14ac:dyDescent="0.25">
      <c r="A42" s="13">
        <f t="shared" si="0"/>
        <v>39</v>
      </c>
      <c r="B42" s="12" t="s">
        <v>313</v>
      </c>
      <c r="C42" s="29" t="s">
        <v>314</v>
      </c>
      <c r="D42" s="14" t="s">
        <v>16</v>
      </c>
      <c r="E42" s="13">
        <f>1+2+1+1</f>
        <v>5</v>
      </c>
      <c r="F42" s="1"/>
      <c r="G42" s="2">
        <v>0.23</v>
      </c>
      <c r="H42" s="55">
        <f t="shared" si="1"/>
        <v>0</v>
      </c>
      <c r="I42" s="55">
        <f t="shared" si="2"/>
        <v>0</v>
      </c>
      <c r="J42" s="55">
        <f t="shared" si="3"/>
        <v>0</v>
      </c>
      <c r="K42" s="55">
        <f t="shared" si="4"/>
        <v>0</v>
      </c>
      <c r="L42" s="3"/>
    </row>
    <row r="43" spans="1:12" ht="30" x14ac:dyDescent="0.25">
      <c r="A43" s="13">
        <f t="shared" si="0"/>
        <v>40</v>
      </c>
      <c r="B43" s="12" t="s">
        <v>716</v>
      </c>
      <c r="C43" s="29" t="s">
        <v>717</v>
      </c>
      <c r="D43" s="14" t="s">
        <v>16</v>
      </c>
      <c r="E43" s="13">
        <v>1</v>
      </c>
      <c r="F43" s="41"/>
      <c r="G43" s="2">
        <v>0.23</v>
      </c>
      <c r="H43" s="55">
        <f t="shared" si="1"/>
        <v>0</v>
      </c>
      <c r="I43" s="55">
        <f t="shared" si="2"/>
        <v>0</v>
      </c>
      <c r="J43" s="55">
        <f t="shared" si="3"/>
        <v>0</v>
      </c>
      <c r="K43" s="55">
        <f t="shared" si="4"/>
        <v>0</v>
      </c>
      <c r="L43" s="3"/>
    </row>
    <row r="44" spans="1:12" ht="63" customHeight="1" x14ac:dyDescent="0.25">
      <c r="A44" s="13">
        <f t="shared" si="0"/>
        <v>41</v>
      </c>
      <c r="B44" s="13" t="s">
        <v>315</v>
      </c>
      <c r="C44" s="30" t="s">
        <v>316</v>
      </c>
      <c r="D44" s="13" t="s">
        <v>16</v>
      </c>
      <c r="E44" s="13">
        <f>2+2</f>
        <v>4</v>
      </c>
      <c r="F44" s="1"/>
      <c r="G44" s="2">
        <v>0.23</v>
      </c>
      <c r="H44" s="55">
        <f t="shared" si="1"/>
        <v>0</v>
      </c>
      <c r="I44" s="55">
        <f t="shared" si="2"/>
        <v>0</v>
      </c>
      <c r="J44" s="55">
        <f t="shared" si="3"/>
        <v>0</v>
      </c>
      <c r="K44" s="55">
        <f t="shared" si="4"/>
        <v>0</v>
      </c>
      <c r="L44" s="3"/>
    </row>
    <row r="45" spans="1:12" ht="64.5" customHeight="1" x14ac:dyDescent="0.25">
      <c r="A45" s="13">
        <f t="shared" si="0"/>
        <v>42</v>
      </c>
      <c r="B45" s="12" t="s">
        <v>317</v>
      </c>
      <c r="C45" s="29" t="s">
        <v>318</v>
      </c>
      <c r="D45" s="12" t="s">
        <v>319</v>
      </c>
      <c r="E45" s="21">
        <v>1</v>
      </c>
      <c r="F45" s="1"/>
      <c r="G45" s="2">
        <v>0.23</v>
      </c>
      <c r="H45" s="55">
        <f t="shared" si="1"/>
        <v>0</v>
      </c>
      <c r="I45" s="55">
        <f t="shared" si="2"/>
        <v>0</v>
      </c>
      <c r="J45" s="55">
        <f t="shared" si="3"/>
        <v>0</v>
      </c>
      <c r="K45" s="55">
        <f t="shared" si="4"/>
        <v>0</v>
      </c>
      <c r="L45" s="3"/>
    </row>
    <row r="46" spans="1:12" ht="47.25" customHeight="1" x14ac:dyDescent="0.25">
      <c r="A46" s="13">
        <f t="shared" si="0"/>
        <v>43</v>
      </c>
      <c r="B46" s="12" t="s">
        <v>320</v>
      </c>
      <c r="C46" s="29" t="s">
        <v>321</v>
      </c>
      <c r="D46" s="12" t="s">
        <v>127</v>
      </c>
      <c r="E46" s="21">
        <f>1+2+1+5+4</f>
        <v>13</v>
      </c>
      <c r="F46" s="1"/>
      <c r="G46" s="2">
        <v>0.23</v>
      </c>
      <c r="H46" s="55">
        <f t="shared" si="1"/>
        <v>0</v>
      </c>
      <c r="I46" s="55">
        <f t="shared" si="2"/>
        <v>0</v>
      </c>
      <c r="J46" s="55">
        <f t="shared" si="3"/>
        <v>0</v>
      </c>
      <c r="K46" s="55">
        <f t="shared" si="4"/>
        <v>0</v>
      </c>
      <c r="L46" s="3"/>
    </row>
    <row r="47" spans="1:12" ht="78.75" customHeight="1" x14ac:dyDescent="0.25">
      <c r="A47" s="13">
        <f t="shared" si="0"/>
        <v>44</v>
      </c>
      <c r="B47" s="12" t="s">
        <v>322</v>
      </c>
      <c r="C47" s="29" t="s">
        <v>323</v>
      </c>
      <c r="D47" s="14" t="s">
        <v>324</v>
      </c>
      <c r="E47" s="21">
        <f>2+2+2+2</f>
        <v>8</v>
      </c>
      <c r="F47" s="1"/>
      <c r="G47" s="2">
        <v>0.23</v>
      </c>
      <c r="H47" s="55">
        <f t="shared" si="1"/>
        <v>0</v>
      </c>
      <c r="I47" s="55">
        <f t="shared" si="2"/>
        <v>0</v>
      </c>
      <c r="J47" s="55">
        <f t="shared" si="3"/>
        <v>0</v>
      </c>
      <c r="K47" s="55">
        <f t="shared" si="4"/>
        <v>0</v>
      </c>
      <c r="L47" s="3"/>
    </row>
    <row r="48" spans="1:12" ht="30" x14ac:dyDescent="0.25">
      <c r="A48" s="13">
        <f t="shared" si="0"/>
        <v>45</v>
      </c>
      <c r="B48" s="12" t="s">
        <v>325</v>
      </c>
      <c r="C48" s="29" t="s">
        <v>326</v>
      </c>
      <c r="D48" s="14" t="s">
        <v>327</v>
      </c>
      <c r="E48" s="21">
        <v>2</v>
      </c>
      <c r="F48" s="1"/>
      <c r="G48" s="2">
        <v>0.23</v>
      </c>
      <c r="H48" s="55">
        <f t="shared" si="1"/>
        <v>0</v>
      </c>
      <c r="I48" s="55">
        <f t="shared" si="2"/>
        <v>0</v>
      </c>
      <c r="J48" s="55">
        <f t="shared" si="3"/>
        <v>0</v>
      </c>
      <c r="K48" s="55">
        <f t="shared" si="4"/>
        <v>0</v>
      </c>
      <c r="L48" s="3"/>
    </row>
    <row r="49" spans="1:12" ht="34.5" customHeight="1" x14ac:dyDescent="0.25">
      <c r="A49" s="13">
        <f t="shared" si="0"/>
        <v>46</v>
      </c>
      <c r="B49" s="12" t="s">
        <v>328</v>
      </c>
      <c r="C49" s="29" t="s">
        <v>329</v>
      </c>
      <c r="D49" s="12" t="s">
        <v>16</v>
      </c>
      <c r="E49" s="21">
        <f>1+10+3</f>
        <v>14</v>
      </c>
      <c r="F49" s="1"/>
      <c r="G49" s="2">
        <v>0.23</v>
      </c>
      <c r="H49" s="55">
        <f t="shared" si="1"/>
        <v>0</v>
      </c>
      <c r="I49" s="55">
        <f t="shared" si="2"/>
        <v>0</v>
      </c>
      <c r="J49" s="55">
        <f t="shared" si="3"/>
        <v>0</v>
      </c>
      <c r="K49" s="55">
        <f t="shared" si="4"/>
        <v>0</v>
      </c>
      <c r="L49" s="3"/>
    </row>
    <row r="50" spans="1:12" ht="30" x14ac:dyDescent="0.25">
      <c r="A50" s="13">
        <f t="shared" si="0"/>
        <v>47</v>
      </c>
      <c r="B50" s="12" t="s">
        <v>620</v>
      </c>
      <c r="C50" s="29" t="s">
        <v>621</v>
      </c>
      <c r="D50" s="12" t="s">
        <v>622</v>
      </c>
      <c r="E50" s="12">
        <v>1</v>
      </c>
      <c r="F50" s="1"/>
      <c r="G50" s="2">
        <v>0.23</v>
      </c>
      <c r="H50" s="55">
        <f t="shared" si="1"/>
        <v>0</v>
      </c>
      <c r="I50" s="55">
        <f t="shared" si="2"/>
        <v>0</v>
      </c>
      <c r="J50" s="55">
        <f t="shared" si="3"/>
        <v>0</v>
      </c>
      <c r="K50" s="55">
        <f t="shared" si="4"/>
        <v>0</v>
      </c>
      <c r="L50" s="3"/>
    </row>
    <row r="51" spans="1:12" ht="30" x14ac:dyDescent="0.25">
      <c r="A51" s="13">
        <f t="shared" si="0"/>
        <v>48</v>
      </c>
      <c r="B51" s="12" t="s">
        <v>623</v>
      </c>
      <c r="C51" s="29" t="s">
        <v>624</v>
      </c>
      <c r="D51" s="12" t="s">
        <v>622</v>
      </c>
      <c r="E51" s="12">
        <v>1</v>
      </c>
      <c r="F51" s="1"/>
      <c r="G51" s="2">
        <v>0.23</v>
      </c>
      <c r="H51" s="55">
        <f t="shared" si="1"/>
        <v>0</v>
      </c>
      <c r="I51" s="55">
        <f t="shared" si="2"/>
        <v>0</v>
      </c>
      <c r="J51" s="55">
        <f t="shared" si="3"/>
        <v>0</v>
      </c>
      <c r="K51" s="55">
        <f t="shared" si="4"/>
        <v>0</v>
      </c>
      <c r="L51" s="3"/>
    </row>
    <row r="52" spans="1:12" ht="30" x14ac:dyDescent="0.25">
      <c r="A52" s="13">
        <f t="shared" si="0"/>
        <v>49</v>
      </c>
      <c r="B52" s="12" t="s">
        <v>625</v>
      </c>
      <c r="C52" s="29" t="s">
        <v>626</v>
      </c>
      <c r="D52" s="12" t="s">
        <v>622</v>
      </c>
      <c r="E52" s="12">
        <v>1</v>
      </c>
      <c r="F52" s="1"/>
      <c r="G52" s="2">
        <v>0.23</v>
      </c>
      <c r="H52" s="55">
        <f t="shared" si="1"/>
        <v>0</v>
      </c>
      <c r="I52" s="55">
        <f t="shared" si="2"/>
        <v>0</v>
      </c>
      <c r="J52" s="55">
        <f t="shared" si="3"/>
        <v>0</v>
      </c>
      <c r="K52" s="55">
        <f t="shared" si="4"/>
        <v>0</v>
      </c>
      <c r="L52" s="3"/>
    </row>
    <row r="53" spans="1:12" ht="45" x14ac:dyDescent="0.25">
      <c r="A53" s="13">
        <f t="shared" si="0"/>
        <v>50</v>
      </c>
      <c r="B53" s="12" t="s">
        <v>627</v>
      </c>
      <c r="C53" s="29" t="s">
        <v>628</v>
      </c>
      <c r="D53" s="12" t="s">
        <v>629</v>
      </c>
      <c r="E53" s="12">
        <v>1</v>
      </c>
      <c r="F53" s="1"/>
      <c r="G53" s="2">
        <v>0.23</v>
      </c>
      <c r="H53" s="55">
        <f t="shared" si="1"/>
        <v>0</v>
      </c>
      <c r="I53" s="55">
        <f t="shared" si="2"/>
        <v>0</v>
      </c>
      <c r="J53" s="55">
        <f t="shared" si="3"/>
        <v>0</v>
      </c>
      <c r="K53" s="55">
        <f t="shared" si="4"/>
        <v>0</v>
      </c>
      <c r="L53" s="3"/>
    </row>
    <row r="54" spans="1:12" ht="30" x14ac:dyDescent="0.25">
      <c r="A54" s="13">
        <f t="shared" si="0"/>
        <v>51</v>
      </c>
      <c r="B54" s="12" t="s">
        <v>630</v>
      </c>
      <c r="C54" s="29" t="s">
        <v>631</v>
      </c>
      <c r="D54" s="12" t="s">
        <v>629</v>
      </c>
      <c r="E54" s="12">
        <v>1</v>
      </c>
      <c r="F54" s="1"/>
      <c r="G54" s="2">
        <v>0.23</v>
      </c>
      <c r="H54" s="55">
        <f t="shared" si="1"/>
        <v>0</v>
      </c>
      <c r="I54" s="55">
        <f t="shared" si="2"/>
        <v>0</v>
      </c>
      <c r="J54" s="55">
        <f t="shared" si="3"/>
        <v>0</v>
      </c>
      <c r="K54" s="55">
        <f t="shared" si="4"/>
        <v>0</v>
      </c>
      <c r="L54" s="3"/>
    </row>
    <row r="55" spans="1:12" ht="30" x14ac:dyDescent="0.25">
      <c r="A55" s="13">
        <f t="shared" si="0"/>
        <v>52</v>
      </c>
      <c r="B55" s="12" t="s">
        <v>632</v>
      </c>
      <c r="C55" s="29" t="s">
        <v>632</v>
      </c>
      <c r="D55" s="12" t="s">
        <v>633</v>
      </c>
      <c r="E55" s="12">
        <v>3</v>
      </c>
      <c r="F55" s="1"/>
      <c r="G55" s="2">
        <v>0.23</v>
      </c>
      <c r="H55" s="55">
        <f t="shared" si="1"/>
        <v>0</v>
      </c>
      <c r="I55" s="55">
        <f t="shared" si="2"/>
        <v>0</v>
      </c>
      <c r="J55" s="55">
        <f t="shared" si="3"/>
        <v>0</v>
      </c>
      <c r="K55" s="55">
        <f t="shared" si="4"/>
        <v>0</v>
      </c>
      <c r="L55" s="3"/>
    </row>
    <row r="56" spans="1:12" ht="30" x14ac:dyDescent="0.25">
      <c r="A56" s="13">
        <f t="shared" si="0"/>
        <v>53</v>
      </c>
      <c r="B56" s="14" t="s">
        <v>634</v>
      </c>
      <c r="C56" s="78" t="s">
        <v>647</v>
      </c>
      <c r="D56" s="14" t="s">
        <v>633</v>
      </c>
      <c r="E56" s="14">
        <v>3</v>
      </c>
      <c r="F56" s="44"/>
      <c r="G56" s="45">
        <v>0.23</v>
      </c>
      <c r="H56" s="55">
        <f t="shared" si="1"/>
        <v>0</v>
      </c>
      <c r="I56" s="55">
        <f t="shared" si="2"/>
        <v>0</v>
      </c>
      <c r="J56" s="55">
        <f t="shared" si="3"/>
        <v>0</v>
      </c>
      <c r="K56" s="55">
        <f t="shared" si="4"/>
        <v>0</v>
      </c>
      <c r="L56" s="23"/>
    </row>
    <row r="57" spans="1:12" x14ac:dyDescent="0.25">
      <c r="A57" s="125" t="s">
        <v>198</v>
      </c>
      <c r="B57" s="125"/>
      <c r="C57" s="125"/>
      <c r="D57" s="125"/>
      <c r="E57" s="125"/>
      <c r="F57" s="69" t="s">
        <v>330</v>
      </c>
      <c r="G57" s="79" t="s">
        <v>330</v>
      </c>
      <c r="H57" s="80">
        <f>SUM(H4:H56)</f>
        <v>0</v>
      </c>
      <c r="I57" s="80">
        <f>SUM(I4:I56)</f>
        <v>0</v>
      </c>
      <c r="J57" s="80">
        <f>SUM(J4:J56)</f>
        <v>0</v>
      </c>
      <c r="K57" s="80">
        <f>SUM(K4:K56)</f>
        <v>0</v>
      </c>
      <c r="L57" s="71"/>
    </row>
  </sheetData>
  <sheetProtection algorithmName="SHA-512" hashValue="IYgSVWLV528kAxgUl1QWvTxd7sg6GAVtkXpkta51uGDMx8LY+R4cVCWgvb/+nVY1u6gSs1EU0UCyPumEpLPc6g==" saltValue="muUdOI8aXU57l4OkPf89Mg==" spinCount="100000" sheet="1" objects="1" scenarios="1" selectLockedCells="1"/>
  <autoFilter ref="A2:L57" xr:uid="{7507BF8E-750D-5645-A4C7-5A39636E6600}"/>
  <mergeCells count="2">
    <mergeCell ref="A1:K1"/>
    <mergeCell ref="A57:E57"/>
  </mergeCells>
  <phoneticPr fontId="1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B820D-A269-8C4D-BE62-7C7E0480F8BA}">
  <dimension ref="A1:L68"/>
  <sheetViews>
    <sheetView topLeftCell="A56" zoomScale="90" zoomScaleNormal="90" workbookViewId="0">
      <selection activeCell="F67" sqref="F67"/>
    </sheetView>
  </sheetViews>
  <sheetFormatPr defaultColWidth="11" defaultRowHeight="15.75" x14ac:dyDescent="0.25"/>
  <cols>
    <col min="1" max="1" width="6.875" style="47" customWidth="1"/>
    <col min="2" max="2" width="20.5" style="73" bestFit="1" customWidth="1"/>
    <col min="3" max="3" width="52" style="88" customWidth="1"/>
    <col min="4" max="4" width="14.125" style="47" customWidth="1"/>
    <col min="5" max="5" width="11" style="47"/>
    <col min="6" max="6" width="13.875" style="47" customWidth="1"/>
    <col min="7" max="7" width="13.125" style="47" customWidth="1"/>
    <col min="8" max="8" width="16" style="47" customWidth="1"/>
    <col min="9" max="9" width="18.5" style="47" customWidth="1"/>
    <col min="10" max="10" width="15.875" style="47" customWidth="1"/>
    <col min="11" max="11" width="21.125" style="47" customWidth="1"/>
    <col min="12" max="12" width="42.5" style="47" customWidth="1"/>
    <col min="13" max="13" width="88.125" style="47" customWidth="1"/>
    <col min="14" max="16384" width="11" style="47"/>
  </cols>
  <sheetData>
    <row r="1" spans="1:12" ht="47.25" customHeight="1" x14ac:dyDescent="0.25">
      <c r="A1" s="121" t="s">
        <v>654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6" t="s">
        <v>0</v>
      </c>
    </row>
    <row r="2" spans="1:12" ht="46.5" customHeight="1" x14ac:dyDescent="0.25">
      <c r="A2" s="50" t="s">
        <v>1</v>
      </c>
      <c r="B2" s="75" t="s">
        <v>2</v>
      </c>
      <c r="C2" s="75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76" t="s">
        <v>9</v>
      </c>
      <c r="J2" s="50" t="s">
        <v>10</v>
      </c>
      <c r="K2" s="50" t="s">
        <v>11</v>
      </c>
      <c r="L2" s="50" t="s">
        <v>12</v>
      </c>
    </row>
    <row r="3" spans="1:12" x14ac:dyDescent="0.25">
      <c r="A3" s="82">
        <v>1</v>
      </c>
      <c r="B3" s="83">
        <v>2</v>
      </c>
      <c r="C3" s="83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82">
        <v>9</v>
      </c>
      <c r="J3" s="82">
        <v>10</v>
      </c>
      <c r="K3" s="82">
        <v>11</v>
      </c>
      <c r="L3" s="66">
        <v>12</v>
      </c>
    </row>
    <row r="4" spans="1:12" ht="60" customHeight="1" x14ac:dyDescent="0.25">
      <c r="A4" s="12">
        <f>ROW(A1)</f>
        <v>1</v>
      </c>
      <c r="B4" s="13" t="s">
        <v>666</v>
      </c>
      <c r="C4" s="34" t="s">
        <v>331</v>
      </c>
      <c r="D4" s="12" t="s">
        <v>163</v>
      </c>
      <c r="E4" s="12">
        <f>4+4+4+1</f>
        <v>13</v>
      </c>
      <c r="F4" s="1"/>
      <c r="G4" s="2">
        <v>0.23</v>
      </c>
      <c r="H4" s="55">
        <f t="shared" ref="H4:H67" si="0">F4*G4</f>
        <v>0</v>
      </c>
      <c r="I4" s="55">
        <f t="shared" ref="I4:I67" si="1">F4*E4</f>
        <v>0</v>
      </c>
      <c r="J4" s="55">
        <f t="shared" ref="J4:J67" si="2">H4*E4</f>
        <v>0</v>
      </c>
      <c r="K4" s="55">
        <f t="shared" ref="K4:K67" si="3">I4+J4</f>
        <v>0</v>
      </c>
      <c r="L4" s="3"/>
    </row>
    <row r="5" spans="1:12" ht="82.5" customHeight="1" x14ac:dyDescent="0.25">
      <c r="A5" s="12">
        <f t="shared" ref="A5:A67" si="4">ROW(A2)</f>
        <v>2</v>
      </c>
      <c r="B5" s="13" t="s">
        <v>667</v>
      </c>
      <c r="C5" s="34" t="s">
        <v>332</v>
      </c>
      <c r="D5" s="12" t="s">
        <v>163</v>
      </c>
      <c r="E5" s="12">
        <f>4+5+2+4+1</f>
        <v>16</v>
      </c>
      <c r="F5" s="1"/>
      <c r="G5" s="2">
        <v>0.23</v>
      </c>
      <c r="H5" s="55">
        <f t="shared" si="0"/>
        <v>0</v>
      </c>
      <c r="I5" s="55">
        <f t="shared" si="1"/>
        <v>0</v>
      </c>
      <c r="J5" s="55">
        <f t="shared" si="2"/>
        <v>0</v>
      </c>
      <c r="K5" s="55">
        <f t="shared" si="3"/>
        <v>0</v>
      </c>
      <c r="L5" s="3"/>
    </row>
    <row r="6" spans="1:12" ht="45" x14ac:dyDescent="0.25">
      <c r="A6" s="12">
        <f t="shared" si="4"/>
        <v>3</v>
      </c>
      <c r="B6" s="13" t="s">
        <v>333</v>
      </c>
      <c r="C6" s="34" t="s">
        <v>334</v>
      </c>
      <c r="D6" s="12" t="s">
        <v>163</v>
      </c>
      <c r="E6" s="12">
        <f>2+4+2</f>
        <v>8</v>
      </c>
      <c r="F6" s="1"/>
      <c r="G6" s="2">
        <v>0.23</v>
      </c>
      <c r="H6" s="55">
        <f t="shared" si="0"/>
        <v>0</v>
      </c>
      <c r="I6" s="55">
        <f t="shared" si="1"/>
        <v>0</v>
      </c>
      <c r="J6" s="55">
        <f t="shared" si="2"/>
        <v>0</v>
      </c>
      <c r="K6" s="55">
        <f t="shared" si="3"/>
        <v>0</v>
      </c>
      <c r="L6" s="3"/>
    </row>
    <row r="7" spans="1:12" ht="45" x14ac:dyDescent="0.25">
      <c r="A7" s="12">
        <f t="shared" si="4"/>
        <v>4</v>
      </c>
      <c r="B7" s="13" t="s">
        <v>335</v>
      </c>
      <c r="C7" s="34" t="s">
        <v>336</v>
      </c>
      <c r="D7" s="12" t="s">
        <v>163</v>
      </c>
      <c r="E7" s="12">
        <f>2+2+2</f>
        <v>6</v>
      </c>
      <c r="F7" s="1"/>
      <c r="G7" s="2">
        <v>0.23</v>
      </c>
      <c r="H7" s="55">
        <f t="shared" si="0"/>
        <v>0</v>
      </c>
      <c r="I7" s="55">
        <f t="shared" si="1"/>
        <v>0</v>
      </c>
      <c r="J7" s="55">
        <f t="shared" si="2"/>
        <v>0</v>
      </c>
      <c r="K7" s="55">
        <f t="shared" si="3"/>
        <v>0</v>
      </c>
      <c r="L7" s="3"/>
    </row>
    <row r="8" spans="1:12" ht="45" x14ac:dyDescent="0.25">
      <c r="A8" s="12">
        <f t="shared" si="4"/>
        <v>5</v>
      </c>
      <c r="B8" s="13" t="s">
        <v>337</v>
      </c>
      <c r="C8" s="34" t="s">
        <v>338</v>
      </c>
      <c r="D8" s="12" t="s">
        <v>678</v>
      </c>
      <c r="E8" s="12">
        <f>5+3</f>
        <v>8</v>
      </c>
      <c r="F8" s="1"/>
      <c r="G8" s="2">
        <v>0.23</v>
      </c>
      <c r="H8" s="55">
        <f t="shared" si="0"/>
        <v>0</v>
      </c>
      <c r="I8" s="55">
        <f t="shared" si="1"/>
        <v>0</v>
      </c>
      <c r="J8" s="55">
        <f t="shared" si="2"/>
        <v>0</v>
      </c>
      <c r="K8" s="55">
        <f t="shared" si="3"/>
        <v>0</v>
      </c>
      <c r="L8" s="1"/>
    </row>
    <row r="9" spans="1:12" ht="30" x14ac:dyDescent="0.25">
      <c r="A9" s="12">
        <f t="shared" si="4"/>
        <v>6</v>
      </c>
      <c r="B9" s="13" t="s">
        <v>339</v>
      </c>
      <c r="C9" s="34" t="s">
        <v>340</v>
      </c>
      <c r="D9" s="12" t="s">
        <v>678</v>
      </c>
      <c r="E9" s="12">
        <f>20+30</f>
        <v>50</v>
      </c>
      <c r="F9" s="1"/>
      <c r="G9" s="2">
        <v>0.23</v>
      </c>
      <c r="H9" s="55">
        <f t="shared" si="0"/>
        <v>0</v>
      </c>
      <c r="I9" s="55">
        <f t="shared" si="1"/>
        <v>0</v>
      </c>
      <c r="J9" s="55">
        <f t="shared" si="2"/>
        <v>0</v>
      </c>
      <c r="K9" s="55">
        <f t="shared" si="3"/>
        <v>0</v>
      </c>
      <c r="L9" s="3"/>
    </row>
    <row r="10" spans="1:12" s="84" customFormat="1" ht="30" x14ac:dyDescent="0.25">
      <c r="A10" s="12">
        <f t="shared" si="4"/>
        <v>7</v>
      </c>
      <c r="B10" s="13" t="s">
        <v>595</v>
      </c>
      <c r="C10" s="34" t="s">
        <v>596</v>
      </c>
      <c r="D10" s="12" t="s">
        <v>597</v>
      </c>
      <c r="E10" s="12">
        <v>1</v>
      </c>
      <c r="F10" s="41"/>
      <c r="G10" s="42">
        <v>0.23</v>
      </c>
      <c r="H10" s="55">
        <f t="shared" si="0"/>
        <v>0</v>
      </c>
      <c r="I10" s="55">
        <f t="shared" si="1"/>
        <v>0</v>
      </c>
      <c r="J10" s="55">
        <f t="shared" si="2"/>
        <v>0</v>
      </c>
      <c r="K10" s="55">
        <f t="shared" si="3"/>
        <v>0</v>
      </c>
      <c r="L10" s="40"/>
    </row>
    <row r="11" spans="1:12" ht="30" x14ac:dyDescent="0.25">
      <c r="A11" s="12">
        <f t="shared" si="4"/>
        <v>8</v>
      </c>
      <c r="B11" s="13" t="s">
        <v>341</v>
      </c>
      <c r="C11" s="34" t="s">
        <v>342</v>
      </c>
      <c r="D11" s="12" t="s">
        <v>678</v>
      </c>
      <c r="E11" s="12">
        <v>1</v>
      </c>
      <c r="F11" s="1"/>
      <c r="G11" s="2">
        <v>0.23</v>
      </c>
      <c r="H11" s="55">
        <f t="shared" si="0"/>
        <v>0</v>
      </c>
      <c r="I11" s="55">
        <f t="shared" si="1"/>
        <v>0</v>
      </c>
      <c r="J11" s="55">
        <f t="shared" si="2"/>
        <v>0</v>
      </c>
      <c r="K11" s="55">
        <f t="shared" si="3"/>
        <v>0</v>
      </c>
      <c r="L11" s="3"/>
    </row>
    <row r="12" spans="1:12" ht="54.75" customHeight="1" x14ac:dyDescent="0.25">
      <c r="A12" s="12">
        <f t="shared" si="4"/>
        <v>9</v>
      </c>
      <c r="B12" s="39" t="s">
        <v>343</v>
      </c>
      <c r="C12" s="34" t="s">
        <v>344</v>
      </c>
      <c r="D12" s="12" t="s">
        <v>163</v>
      </c>
      <c r="E12" s="12">
        <v>1</v>
      </c>
      <c r="F12" s="1"/>
      <c r="G12" s="2">
        <v>0.23</v>
      </c>
      <c r="H12" s="55">
        <f t="shared" si="0"/>
        <v>0</v>
      </c>
      <c r="I12" s="55">
        <f t="shared" si="1"/>
        <v>0</v>
      </c>
      <c r="J12" s="55">
        <f t="shared" si="2"/>
        <v>0</v>
      </c>
      <c r="K12" s="55">
        <f t="shared" si="3"/>
        <v>0</v>
      </c>
      <c r="L12" s="3"/>
    </row>
    <row r="13" spans="1:12" ht="30" x14ac:dyDescent="0.25">
      <c r="A13" s="12">
        <f t="shared" si="4"/>
        <v>10</v>
      </c>
      <c r="B13" s="13" t="s">
        <v>345</v>
      </c>
      <c r="C13" s="34" t="s">
        <v>346</v>
      </c>
      <c r="D13" s="12" t="s">
        <v>163</v>
      </c>
      <c r="E13" s="12">
        <v>1</v>
      </c>
      <c r="F13" s="1"/>
      <c r="G13" s="2">
        <v>0.23</v>
      </c>
      <c r="H13" s="55">
        <f t="shared" si="0"/>
        <v>0</v>
      </c>
      <c r="I13" s="55">
        <f t="shared" si="1"/>
        <v>0</v>
      </c>
      <c r="J13" s="55">
        <f t="shared" si="2"/>
        <v>0</v>
      </c>
      <c r="K13" s="55">
        <f t="shared" si="3"/>
        <v>0</v>
      </c>
      <c r="L13" s="3"/>
    </row>
    <row r="14" spans="1:12" ht="30" x14ac:dyDescent="0.25">
      <c r="A14" s="12">
        <f t="shared" si="4"/>
        <v>11</v>
      </c>
      <c r="B14" s="13" t="s">
        <v>347</v>
      </c>
      <c r="C14" s="34" t="s">
        <v>348</v>
      </c>
      <c r="D14" s="12" t="s">
        <v>349</v>
      </c>
      <c r="E14" s="12">
        <v>8</v>
      </c>
      <c r="F14" s="1"/>
      <c r="G14" s="2">
        <v>0.23</v>
      </c>
      <c r="H14" s="55">
        <f t="shared" si="0"/>
        <v>0</v>
      </c>
      <c r="I14" s="55">
        <f t="shared" si="1"/>
        <v>0</v>
      </c>
      <c r="J14" s="55">
        <f t="shared" si="2"/>
        <v>0</v>
      </c>
      <c r="K14" s="55">
        <f t="shared" si="3"/>
        <v>0</v>
      </c>
      <c r="L14" s="3"/>
    </row>
    <row r="15" spans="1:12" ht="69.75" customHeight="1" x14ac:dyDescent="0.25">
      <c r="A15" s="12">
        <f t="shared" si="4"/>
        <v>12</v>
      </c>
      <c r="B15" s="13" t="s">
        <v>350</v>
      </c>
      <c r="C15" s="34" t="s">
        <v>351</v>
      </c>
      <c r="D15" s="12" t="s">
        <v>678</v>
      </c>
      <c r="E15" s="12">
        <v>2</v>
      </c>
      <c r="F15" s="1"/>
      <c r="G15" s="2">
        <v>0.23</v>
      </c>
      <c r="H15" s="55">
        <f t="shared" si="0"/>
        <v>0</v>
      </c>
      <c r="I15" s="55">
        <f t="shared" si="1"/>
        <v>0</v>
      </c>
      <c r="J15" s="55">
        <f t="shared" si="2"/>
        <v>0</v>
      </c>
      <c r="K15" s="55">
        <f t="shared" si="3"/>
        <v>0</v>
      </c>
      <c r="L15" s="3"/>
    </row>
    <row r="16" spans="1:12" ht="30" x14ac:dyDescent="0.25">
      <c r="A16" s="12">
        <f t="shared" si="4"/>
        <v>13</v>
      </c>
      <c r="B16" s="13" t="s">
        <v>352</v>
      </c>
      <c r="C16" s="34" t="s">
        <v>353</v>
      </c>
      <c r="D16" s="12" t="s">
        <v>163</v>
      </c>
      <c r="E16" s="12">
        <v>4</v>
      </c>
      <c r="F16" s="1"/>
      <c r="G16" s="2">
        <v>0.23</v>
      </c>
      <c r="H16" s="55">
        <f t="shared" si="0"/>
        <v>0</v>
      </c>
      <c r="I16" s="55">
        <f t="shared" si="1"/>
        <v>0</v>
      </c>
      <c r="J16" s="55">
        <f t="shared" si="2"/>
        <v>0</v>
      </c>
      <c r="K16" s="55">
        <f t="shared" si="3"/>
        <v>0</v>
      </c>
      <c r="L16" s="3"/>
    </row>
    <row r="17" spans="1:12" ht="30" x14ac:dyDescent="0.25">
      <c r="A17" s="12">
        <f t="shared" si="4"/>
        <v>14</v>
      </c>
      <c r="B17" s="13" t="s">
        <v>354</v>
      </c>
      <c r="C17" s="34" t="s">
        <v>355</v>
      </c>
      <c r="D17" s="12" t="s">
        <v>163</v>
      </c>
      <c r="E17" s="12">
        <v>4</v>
      </c>
      <c r="F17" s="1"/>
      <c r="G17" s="2">
        <v>0.23</v>
      </c>
      <c r="H17" s="55">
        <f t="shared" si="0"/>
        <v>0</v>
      </c>
      <c r="I17" s="55">
        <f t="shared" si="1"/>
        <v>0</v>
      </c>
      <c r="J17" s="55">
        <f t="shared" si="2"/>
        <v>0</v>
      </c>
      <c r="K17" s="55">
        <f t="shared" si="3"/>
        <v>0</v>
      </c>
      <c r="L17" s="3"/>
    </row>
    <row r="18" spans="1:12" ht="30" x14ac:dyDescent="0.25">
      <c r="A18" s="12">
        <f t="shared" si="4"/>
        <v>15</v>
      </c>
      <c r="B18" s="13" t="s">
        <v>356</v>
      </c>
      <c r="C18" s="34" t="s">
        <v>357</v>
      </c>
      <c r="D18" s="12" t="s">
        <v>678</v>
      </c>
      <c r="E18" s="12">
        <v>2</v>
      </c>
      <c r="F18" s="1"/>
      <c r="G18" s="2">
        <v>0.23</v>
      </c>
      <c r="H18" s="55">
        <f t="shared" si="0"/>
        <v>0</v>
      </c>
      <c r="I18" s="55">
        <f t="shared" si="1"/>
        <v>0</v>
      </c>
      <c r="J18" s="55">
        <f t="shared" si="2"/>
        <v>0</v>
      </c>
      <c r="K18" s="55">
        <f t="shared" si="3"/>
        <v>0</v>
      </c>
      <c r="L18" s="3"/>
    </row>
    <row r="19" spans="1:12" ht="30" x14ac:dyDescent="0.25">
      <c r="A19" s="12">
        <f t="shared" si="4"/>
        <v>16</v>
      </c>
      <c r="B19" s="13" t="s">
        <v>668</v>
      </c>
      <c r="C19" s="34" t="s">
        <v>358</v>
      </c>
      <c r="D19" s="12" t="s">
        <v>359</v>
      </c>
      <c r="E19" s="12">
        <f>2+1+2</f>
        <v>5</v>
      </c>
      <c r="F19" s="1"/>
      <c r="G19" s="2">
        <v>0.23</v>
      </c>
      <c r="H19" s="55">
        <f t="shared" si="0"/>
        <v>0</v>
      </c>
      <c r="I19" s="55">
        <f t="shared" si="1"/>
        <v>0</v>
      </c>
      <c r="J19" s="55">
        <f t="shared" si="2"/>
        <v>0</v>
      </c>
      <c r="K19" s="55">
        <f t="shared" si="3"/>
        <v>0</v>
      </c>
      <c r="L19" s="3"/>
    </row>
    <row r="20" spans="1:12" ht="30" x14ac:dyDescent="0.25">
      <c r="A20" s="12">
        <f t="shared" si="4"/>
        <v>17</v>
      </c>
      <c r="B20" s="13" t="s">
        <v>669</v>
      </c>
      <c r="C20" s="34" t="s">
        <v>360</v>
      </c>
      <c r="D20" s="12" t="s">
        <v>359</v>
      </c>
      <c r="E20" s="12">
        <f>3+10+2+1</f>
        <v>16</v>
      </c>
      <c r="F20" s="1"/>
      <c r="G20" s="2">
        <v>0.23</v>
      </c>
      <c r="H20" s="55">
        <f t="shared" si="0"/>
        <v>0</v>
      </c>
      <c r="I20" s="55">
        <f t="shared" si="1"/>
        <v>0</v>
      </c>
      <c r="J20" s="55">
        <f t="shared" si="2"/>
        <v>0</v>
      </c>
      <c r="K20" s="55">
        <f t="shared" si="3"/>
        <v>0</v>
      </c>
      <c r="L20" s="3"/>
    </row>
    <row r="21" spans="1:12" ht="45" x14ac:dyDescent="0.25">
      <c r="A21" s="12">
        <f t="shared" si="4"/>
        <v>18</v>
      </c>
      <c r="B21" s="13" t="s">
        <v>361</v>
      </c>
      <c r="C21" s="34" t="s">
        <v>362</v>
      </c>
      <c r="D21" s="12" t="s">
        <v>363</v>
      </c>
      <c r="E21" s="12">
        <f>1+1</f>
        <v>2</v>
      </c>
      <c r="F21" s="1"/>
      <c r="G21" s="2">
        <v>0.23</v>
      </c>
      <c r="H21" s="55">
        <f t="shared" si="0"/>
        <v>0</v>
      </c>
      <c r="I21" s="55">
        <f t="shared" si="1"/>
        <v>0</v>
      </c>
      <c r="J21" s="55">
        <f t="shared" si="2"/>
        <v>0</v>
      </c>
      <c r="K21" s="55">
        <f t="shared" si="3"/>
        <v>0</v>
      </c>
      <c r="L21" s="3"/>
    </row>
    <row r="22" spans="1:12" ht="45" x14ac:dyDescent="0.25">
      <c r="A22" s="12">
        <f t="shared" si="4"/>
        <v>19</v>
      </c>
      <c r="B22" s="13" t="s">
        <v>364</v>
      </c>
      <c r="C22" s="34" t="s">
        <v>365</v>
      </c>
      <c r="D22" s="12" t="s">
        <v>678</v>
      </c>
      <c r="E22" s="12">
        <v>4</v>
      </c>
      <c r="F22" s="1"/>
      <c r="G22" s="2">
        <v>0.23</v>
      </c>
      <c r="H22" s="55">
        <f t="shared" si="0"/>
        <v>0</v>
      </c>
      <c r="I22" s="55">
        <f t="shared" si="1"/>
        <v>0</v>
      </c>
      <c r="J22" s="55">
        <f t="shared" si="2"/>
        <v>0</v>
      </c>
      <c r="K22" s="55">
        <f t="shared" si="3"/>
        <v>0</v>
      </c>
      <c r="L22" s="3"/>
    </row>
    <row r="23" spans="1:12" ht="45" x14ac:dyDescent="0.25">
      <c r="A23" s="12">
        <f t="shared" si="4"/>
        <v>20</v>
      </c>
      <c r="B23" s="13" t="s">
        <v>364</v>
      </c>
      <c r="C23" s="34" t="s">
        <v>366</v>
      </c>
      <c r="D23" s="12" t="s">
        <v>678</v>
      </c>
      <c r="E23" s="12">
        <v>4</v>
      </c>
      <c r="F23" s="1"/>
      <c r="G23" s="2">
        <v>0.23</v>
      </c>
      <c r="H23" s="55">
        <f t="shared" si="0"/>
        <v>0</v>
      </c>
      <c r="I23" s="55">
        <f t="shared" si="1"/>
        <v>0</v>
      </c>
      <c r="J23" s="55">
        <f t="shared" si="2"/>
        <v>0</v>
      </c>
      <c r="K23" s="55">
        <f t="shared" si="3"/>
        <v>0</v>
      </c>
      <c r="L23" s="3"/>
    </row>
    <row r="24" spans="1:12" ht="60" x14ac:dyDescent="0.25">
      <c r="A24" s="12">
        <f t="shared" si="4"/>
        <v>21</v>
      </c>
      <c r="B24" s="13" t="s">
        <v>367</v>
      </c>
      <c r="C24" s="34" t="s">
        <v>368</v>
      </c>
      <c r="D24" s="12" t="s">
        <v>175</v>
      </c>
      <c r="E24" s="12">
        <f>1+1+5+2+6</f>
        <v>15</v>
      </c>
      <c r="F24" s="1"/>
      <c r="G24" s="2">
        <v>0.23</v>
      </c>
      <c r="H24" s="55">
        <f t="shared" si="0"/>
        <v>0</v>
      </c>
      <c r="I24" s="55">
        <f t="shared" si="1"/>
        <v>0</v>
      </c>
      <c r="J24" s="55">
        <f t="shared" si="2"/>
        <v>0</v>
      </c>
      <c r="K24" s="55">
        <f t="shared" si="3"/>
        <v>0</v>
      </c>
      <c r="L24" s="3"/>
    </row>
    <row r="25" spans="1:12" ht="30" x14ac:dyDescent="0.25">
      <c r="A25" s="12">
        <f t="shared" si="4"/>
        <v>22</v>
      </c>
      <c r="B25" s="13" t="s">
        <v>369</v>
      </c>
      <c r="C25" s="34" t="s">
        <v>674</v>
      </c>
      <c r="D25" s="12" t="s">
        <v>370</v>
      </c>
      <c r="E25" s="12">
        <f>1+2+1+1</f>
        <v>5</v>
      </c>
      <c r="F25" s="1"/>
      <c r="G25" s="2">
        <v>0.23</v>
      </c>
      <c r="H25" s="55">
        <f t="shared" si="0"/>
        <v>0</v>
      </c>
      <c r="I25" s="55">
        <f t="shared" si="1"/>
        <v>0</v>
      </c>
      <c r="J25" s="55">
        <f t="shared" si="2"/>
        <v>0</v>
      </c>
      <c r="K25" s="55">
        <f t="shared" si="3"/>
        <v>0</v>
      </c>
      <c r="L25" s="3"/>
    </row>
    <row r="26" spans="1:12" ht="30" x14ac:dyDescent="0.25">
      <c r="A26" s="12">
        <f t="shared" si="4"/>
        <v>23</v>
      </c>
      <c r="B26" s="13" t="s">
        <v>371</v>
      </c>
      <c r="C26" s="34" t="s">
        <v>673</v>
      </c>
      <c r="D26" s="12" t="s">
        <v>683</v>
      </c>
      <c r="E26" s="12">
        <f>2+4+15+4+2+2</f>
        <v>29</v>
      </c>
      <c r="F26" s="1"/>
      <c r="G26" s="2">
        <v>0.23</v>
      </c>
      <c r="H26" s="55">
        <f t="shared" si="0"/>
        <v>0</v>
      </c>
      <c r="I26" s="55">
        <f t="shared" si="1"/>
        <v>0</v>
      </c>
      <c r="J26" s="55">
        <f t="shared" si="2"/>
        <v>0</v>
      </c>
      <c r="K26" s="55">
        <f t="shared" si="3"/>
        <v>0</v>
      </c>
      <c r="L26" s="3"/>
    </row>
    <row r="27" spans="1:12" ht="39.75" customHeight="1" x14ac:dyDescent="0.25">
      <c r="A27" s="12">
        <f t="shared" si="4"/>
        <v>24</v>
      </c>
      <c r="B27" s="13" t="s">
        <v>372</v>
      </c>
      <c r="C27" s="34" t="s">
        <v>672</v>
      </c>
      <c r="D27" s="12" t="s">
        <v>682</v>
      </c>
      <c r="E27" s="12">
        <f>4+8+12+3+5+4</f>
        <v>36</v>
      </c>
      <c r="F27" s="1"/>
      <c r="G27" s="2">
        <v>0.23</v>
      </c>
      <c r="H27" s="55">
        <f t="shared" si="0"/>
        <v>0</v>
      </c>
      <c r="I27" s="55">
        <f t="shared" si="1"/>
        <v>0</v>
      </c>
      <c r="J27" s="55">
        <f t="shared" si="2"/>
        <v>0</v>
      </c>
      <c r="K27" s="55">
        <f t="shared" si="3"/>
        <v>0</v>
      </c>
      <c r="L27" s="3"/>
    </row>
    <row r="28" spans="1:12" ht="48.75" customHeight="1" x14ac:dyDescent="0.25">
      <c r="A28" s="12">
        <f t="shared" si="4"/>
        <v>25</v>
      </c>
      <c r="B28" s="13" t="s">
        <v>373</v>
      </c>
      <c r="C28" s="34" t="s">
        <v>671</v>
      </c>
      <c r="D28" s="12" t="s">
        <v>374</v>
      </c>
      <c r="E28" s="12">
        <f>10+15+1+2</f>
        <v>28</v>
      </c>
      <c r="F28" s="1"/>
      <c r="G28" s="2">
        <v>0.23</v>
      </c>
      <c r="H28" s="55">
        <f t="shared" si="0"/>
        <v>0</v>
      </c>
      <c r="I28" s="55">
        <f t="shared" si="1"/>
        <v>0</v>
      </c>
      <c r="J28" s="55">
        <f t="shared" si="2"/>
        <v>0</v>
      </c>
      <c r="K28" s="55">
        <f t="shared" si="3"/>
        <v>0</v>
      </c>
      <c r="L28" s="3"/>
    </row>
    <row r="29" spans="1:12" ht="30" x14ac:dyDescent="0.25">
      <c r="A29" s="12">
        <f t="shared" si="4"/>
        <v>26</v>
      </c>
      <c r="B29" s="13" t="s">
        <v>375</v>
      </c>
      <c r="C29" s="34" t="s">
        <v>670</v>
      </c>
      <c r="D29" s="12" t="s">
        <v>682</v>
      </c>
      <c r="E29" s="12">
        <f>5+25+3+8+1+20</f>
        <v>62</v>
      </c>
      <c r="F29" s="1"/>
      <c r="G29" s="2">
        <v>0.23</v>
      </c>
      <c r="H29" s="55">
        <f t="shared" si="0"/>
        <v>0</v>
      </c>
      <c r="I29" s="55">
        <f t="shared" si="1"/>
        <v>0</v>
      </c>
      <c r="J29" s="55">
        <f t="shared" si="2"/>
        <v>0</v>
      </c>
      <c r="K29" s="55">
        <f t="shared" si="3"/>
        <v>0</v>
      </c>
      <c r="L29" s="3"/>
    </row>
    <row r="30" spans="1:12" ht="45" x14ac:dyDescent="0.25">
      <c r="A30" s="12">
        <f t="shared" si="4"/>
        <v>27</v>
      </c>
      <c r="B30" s="13" t="s">
        <v>581</v>
      </c>
      <c r="C30" s="34" t="s">
        <v>675</v>
      </c>
      <c r="D30" s="12" t="s">
        <v>582</v>
      </c>
      <c r="E30" s="12">
        <v>1</v>
      </c>
      <c r="F30" s="1"/>
      <c r="G30" s="2">
        <v>0.23</v>
      </c>
      <c r="H30" s="55">
        <f t="shared" si="0"/>
        <v>0</v>
      </c>
      <c r="I30" s="55">
        <f t="shared" si="1"/>
        <v>0</v>
      </c>
      <c r="J30" s="55">
        <f t="shared" si="2"/>
        <v>0</v>
      </c>
      <c r="K30" s="55">
        <f t="shared" si="3"/>
        <v>0</v>
      </c>
      <c r="L30" s="3"/>
    </row>
    <row r="31" spans="1:12" ht="147.75" customHeight="1" x14ac:dyDescent="0.25">
      <c r="A31" s="12">
        <f t="shared" si="4"/>
        <v>28</v>
      </c>
      <c r="B31" s="13" t="s">
        <v>376</v>
      </c>
      <c r="C31" s="34" t="s">
        <v>377</v>
      </c>
      <c r="D31" s="14" t="s">
        <v>202</v>
      </c>
      <c r="E31" s="12">
        <f>8+10</f>
        <v>18</v>
      </c>
      <c r="F31" s="1"/>
      <c r="G31" s="2">
        <v>0.23</v>
      </c>
      <c r="H31" s="55">
        <f t="shared" si="0"/>
        <v>0</v>
      </c>
      <c r="I31" s="55">
        <f t="shared" si="1"/>
        <v>0</v>
      </c>
      <c r="J31" s="55">
        <f t="shared" si="2"/>
        <v>0</v>
      </c>
      <c r="K31" s="55">
        <f t="shared" si="3"/>
        <v>0</v>
      </c>
      <c r="L31" s="3"/>
    </row>
    <row r="32" spans="1:12" ht="156.75" customHeight="1" x14ac:dyDescent="0.25">
      <c r="A32" s="12">
        <f t="shared" si="4"/>
        <v>29</v>
      </c>
      <c r="B32" s="13" t="s">
        <v>378</v>
      </c>
      <c r="C32" s="34" t="s">
        <v>379</v>
      </c>
      <c r="D32" s="14" t="s">
        <v>349</v>
      </c>
      <c r="E32" s="12">
        <f>8+20+20</f>
        <v>48</v>
      </c>
      <c r="F32" s="1"/>
      <c r="G32" s="2">
        <v>0.23</v>
      </c>
      <c r="H32" s="55">
        <f t="shared" si="0"/>
        <v>0</v>
      </c>
      <c r="I32" s="55">
        <f t="shared" si="1"/>
        <v>0</v>
      </c>
      <c r="J32" s="55">
        <f t="shared" si="2"/>
        <v>0</v>
      </c>
      <c r="K32" s="55">
        <f t="shared" si="3"/>
        <v>0</v>
      </c>
      <c r="L32" s="3"/>
    </row>
    <row r="33" spans="1:12" ht="129" customHeight="1" x14ac:dyDescent="0.25">
      <c r="A33" s="12">
        <f t="shared" si="4"/>
        <v>30</v>
      </c>
      <c r="B33" s="13" t="s">
        <v>380</v>
      </c>
      <c r="C33" s="34" t="s">
        <v>381</v>
      </c>
      <c r="D33" s="14" t="s">
        <v>382</v>
      </c>
      <c r="E33" s="12">
        <f>1+2+2+1+1+1</f>
        <v>8</v>
      </c>
      <c r="F33" s="1"/>
      <c r="G33" s="2">
        <v>0.23</v>
      </c>
      <c r="H33" s="55">
        <f t="shared" si="0"/>
        <v>0</v>
      </c>
      <c r="I33" s="55">
        <f t="shared" si="1"/>
        <v>0</v>
      </c>
      <c r="J33" s="55">
        <f t="shared" si="2"/>
        <v>0</v>
      </c>
      <c r="K33" s="55">
        <f t="shared" si="3"/>
        <v>0</v>
      </c>
      <c r="L33" s="3"/>
    </row>
    <row r="34" spans="1:12" ht="49.5" customHeight="1" x14ac:dyDescent="0.25">
      <c r="A34" s="12">
        <f t="shared" si="4"/>
        <v>31</v>
      </c>
      <c r="B34" s="13" t="s">
        <v>383</v>
      </c>
      <c r="C34" s="34" t="s">
        <v>384</v>
      </c>
      <c r="D34" s="14" t="s">
        <v>382</v>
      </c>
      <c r="E34" s="12">
        <f>2+1</f>
        <v>3</v>
      </c>
      <c r="F34" s="1"/>
      <c r="G34" s="2">
        <v>0.23</v>
      </c>
      <c r="H34" s="55">
        <f t="shared" si="0"/>
        <v>0</v>
      </c>
      <c r="I34" s="55">
        <f t="shared" si="1"/>
        <v>0</v>
      </c>
      <c r="J34" s="55">
        <f t="shared" si="2"/>
        <v>0</v>
      </c>
      <c r="K34" s="55">
        <f t="shared" si="3"/>
        <v>0</v>
      </c>
      <c r="L34" s="3"/>
    </row>
    <row r="35" spans="1:12" ht="71.25" customHeight="1" x14ac:dyDescent="0.25">
      <c r="A35" s="12">
        <f t="shared" si="4"/>
        <v>32</v>
      </c>
      <c r="B35" s="13" t="s">
        <v>604</v>
      </c>
      <c r="C35" s="34" t="s">
        <v>605</v>
      </c>
      <c r="D35" s="12" t="s">
        <v>359</v>
      </c>
      <c r="E35" s="12">
        <v>1</v>
      </c>
      <c r="F35" s="1"/>
      <c r="G35" s="2">
        <v>0.23</v>
      </c>
      <c r="H35" s="55">
        <f t="shared" si="0"/>
        <v>0</v>
      </c>
      <c r="I35" s="55">
        <f t="shared" si="1"/>
        <v>0</v>
      </c>
      <c r="J35" s="55">
        <f t="shared" si="2"/>
        <v>0</v>
      </c>
      <c r="K35" s="55">
        <f t="shared" si="3"/>
        <v>0</v>
      </c>
      <c r="L35" s="3"/>
    </row>
    <row r="36" spans="1:12" ht="46.5" customHeight="1" x14ac:dyDescent="0.25">
      <c r="A36" s="12">
        <f t="shared" si="4"/>
        <v>33</v>
      </c>
      <c r="B36" s="13" t="s">
        <v>385</v>
      </c>
      <c r="C36" s="34" t="s">
        <v>386</v>
      </c>
      <c r="D36" s="12" t="s">
        <v>387</v>
      </c>
      <c r="E36" s="12">
        <f>1+5</f>
        <v>6</v>
      </c>
      <c r="F36" s="1"/>
      <c r="G36" s="2">
        <v>0.23</v>
      </c>
      <c r="H36" s="55">
        <f t="shared" si="0"/>
        <v>0</v>
      </c>
      <c r="I36" s="55">
        <f t="shared" si="1"/>
        <v>0</v>
      </c>
      <c r="J36" s="55">
        <f t="shared" si="2"/>
        <v>0</v>
      </c>
      <c r="K36" s="55">
        <f t="shared" si="3"/>
        <v>0</v>
      </c>
      <c r="L36" s="3"/>
    </row>
    <row r="37" spans="1:12" ht="52.5" customHeight="1" x14ac:dyDescent="0.25">
      <c r="A37" s="12">
        <f t="shared" si="4"/>
        <v>34</v>
      </c>
      <c r="B37" s="13" t="s">
        <v>388</v>
      </c>
      <c r="C37" s="34" t="s">
        <v>389</v>
      </c>
      <c r="D37" s="14" t="s">
        <v>390</v>
      </c>
      <c r="E37" s="12">
        <f>2+2+2+1+1+1+2</f>
        <v>11</v>
      </c>
      <c r="F37" s="1"/>
      <c r="G37" s="2">
        <v>0.23</v>
      </c>
      <c r="H37" s="55">
        <f t="shared" si="0"/>
        <v>0</v>
      </c>
      <c r="I37" s="55">
        <f t="shared" si="1"/>
        <v>0</v>
      </c>
      <c r="J37" s="55">
        <f t="shared" si="2"/>
        <v>0</v>
      </c>
      <c r="K37" s="55">
        <f t="shared" si="3"/>
        <v>0</v>
      </c>
      <c r="L37" s="3"/>
    </row>
    <row r="38" spans="1:12" s="84" customFormat="1" ht="45" x14ac:dyDescent="0.25">
      <c r="A38" s="12">
        <f t="shared" si="4"/>
        <v>35</v>
      </c>
      <c r="B38" s="13" t="s">
        <v>391</v>
      </c>
      <c r="C38" s="34" t="s">
        <v>392</v>
      </c>
      <c r="D38" s="14" t="s">
        <v>382</v>
      </c>
      <c r="E38" s="12">
        <f>1+2+2+1+1</f>
        <v>7</v>
      </c>
      <c r="F38" s="41"/>
      <c r="G38" s="42">
        <v>0.23</v>
      </c>
      <c r="H38" s="55">
        <f t="shared" si="0"/>
        <v>0</v>
      </c>
      <c r="I38" s="55">
        <f t="shared" si="1"/>
        <v>0</v>
      </c>
      <c r="J38" s="55">
        <f t="shared" si="2"/>
        <v>0</v>
      </c>
      <c r="K38" s="55">
        <f t="shared" si="3"/>
        <v>0</v>
      </c>
      <c r="L38" s="40"/>
    </row>
    <row r="39" spans="1:12" s="84" customFormat="1" ht="30" x14ac:dyDescent="0.25">
      <c r="A39" s="12">
        <f t="shared" si="4"/>
        <v>36</v>
      </c>
      <c r="B39" s="13" t="s">
        <v>606</v>
      </c>
      <c r="C39" s="34" t="s">
        <v>607</v>
      </c>
      <c r="D39" s="12" t="s">
        <v>678</v>
      </c>
      <c r="E39" s="12">
        <v>5</v>
      </c>
      <c r="F39" s="1"/>
      <c r="G39" s="2">
        <v>0.23</v>
      </c>
      <c r="H39" s="55">
        <f t="shared" si="0"/>
        <v>0</v>
      </c>
      <c r="I39" s="55">
        <f t="shared" si="1"/>
        <v>0</v>
      </c>
      <c r="J39" s="55">
        <f t="shared" si="2"/>
        <v>0</v>
      </c>
      <c r="K39" s="55">
        <f t="shared" si="3"/>
        <v>0</v>
      </c>
      <c r="L39" s="3"/>
    </row>
    <row r="40" spans="1:12" s="84" customFormat="1" ht="30" x14ac:dyDescent="0.25">
      <c r="A40" s="12">
        <f t="shared" si="4"/>
        <v>37</v>
      </c>
      <c r="B40" s="13" t="s">
        <v>591</v>
      </c>
      <c r="C40" s="34" t="s">
        <v>592</v>
      </c>
      <c r="D40" s="12" t="s">
        <v>678</v>
      </c>
      <c r="E40" s="12">
        <v>6</v>
      </c>
      <c r="F40" s="1"/>
      <c r="G40" s="2">
        <v>0.23</v>
      </c>
      <c r="H40" s="55">
        <f t="shared" si="0"/>
        <v>0</v>
      </c>
      <c r="I40" s="55">
        <f t="shared" si="1"/>
        <v>0</v>
      </c>
      <c r="J40" s="55">
        <f t="shared" si="2"/>
        <v>0</v>
      </c>
      <c r="K40" s="55">
        <f t="shared" si="3"/>
        <v>0</v>
      </c>
      <c r="L40" s="3"/>
    </row>
    <row r="41" spans="1:12" s="84" customFormat="1" ht="30" x14ac:dyDescent="0.25">
      <c r="A41" s="12">
        <f t="shared" si="4"/>
        <v>38</v>
      </c>
      <c r="B41" s="13" t="s">
        <v>593</v>
      </c>
      <c r="C41" s="34" t="s">
        <v>594</v>
      </c>
      <c r="D41" s="12" t="s">
        <v>678</v>
      </c>
      <c r="E41" s="12">
        <v>6</v>
      </c>
      <c r="F41" s="1"/>
      <c r="G41" s="2">
        <v>0.23</v>
      </c>
      <c r="H41" s="55">
        <f t="shared" si="0"/>
        <v>0</v>
      </c>
      <c r="I41" s="55">
        <f t="shared" si="1"/>
        <v>0</v>
      </c>
      <c r="J41" s="55">
        <f t="shared" si="2"/>
        <v>0</v>
      </c>
      <c r="K41" s="55">
        <f t="shared" si="3"/>
        <v>0</v>
      </c>
      <c r="L41" s="3"/>
    </row>
    <row r="42" spans="1:12" ht="30" x14ac:dyDescent="0.25">
      <c r="A42" s="12">
        <f t="shared" si="4"/>
        <v>39</v>
      </c>
      <c r="B42" s="13" t="s">
        <v>393</v>
      </c>
      <c r="C42" s="34" t="s">
        <v>394</v>
      </c>
      <c r="D42" s="12" t="s">
        <v>678</v>
      </c>
      <c r="E42" s="12">
        <v>20</v>
      </c>
      <c r="F42" s="1"/>
      <c r="G42" s="2">
        <v>0.23</v>
      </c>
      <c r="H42" s="55">
        <f t="shared" si="0"/>
        <v>0</v>
      </c>
      <c r="I42" s="55">
        <f t="shared" si="1"/>
        <v>0</v>
      </c>
      <c r="J42" s="55">
        <f t="shared" si="2"/>
        <v>0</v>
      </c>
      <c r="K42" s="55">
        <f t="shared" si="3"/>
        <v>0</v>
      </c>
      <c r="L42" s="3"/>
    </row>
    <row r="43" spans="1:12" ht="60" x14ac:dyDescent="0.25">
      <c r="A43" s="12"/>
      <c r="B43" s="13" t="s">
        <v>718</v>
      </c>
      <c r="C43" s="36" t="s">
        <v>719</v>
      </c>
      <c r="D43" s="12" t="s">
        <v>16</v>
      </c>
      <c r="E43" s="85">
        <v>1</v>
      </c>
      <c r="F43" s="41"/>
      <c r="G43" s="2">
        <v>0.23</v>
      </c>
      <c r="H43" s="55">
        <f t="shared" si="0"/>
        <v>0</v>
      </c>
      <c r="I43" s="55">
        <f t="shared" si="1"/>
        <v>0</v>
      </c>
      <c r="J43" s="55">
        <f t="shared" si="2"/>
        <v>0</v>
      </c>
      <c r="K43" s="55">
        <f t="shared" si="3"/>
        <v>0</v>
      </c>
      <c r="L43" s="3"/>
    </row>
    <row r="44" spans="1:12" ht="91.5" customHeight="1" x14ac:dyDescent="0.25">
      <c r="A44" s="12">
        <f>ROW(A40)</f>
        <v>40</v>
      </c>
      <c r="B44" s="13" t="s">
        <v>395</v>
      </c>
      <c r="C44" s="36" t="s">
        <v>396</v>
      </c>
      <c r="D44" s="12" t="s">
        <v>678</v>
      </c>
      <c r="E44" s="85">
        <v>3</v>
      </c>
      <c r="F44" s="1"/>
      <c r="G44" s="2">
        <v>0.23</v>
      </c>
      <c r="H44" s="55">
        <f t="shared" si="0"/>
        <v>0</v>
      </c>
      <c r="I44" s="55">
        <f t="shared" si="1"/>
        <v>0</v>
      </c>
      <c r="J44" s="55">
        <f t="shared" si="2"/>
        <v>0</v>
      </c>
      <c r="K44" s="55">
        <f t="shared" si="3"/>
        <v>0</v>
      </c>
      <c r="L44" s="3"/>
    </row>
    <row r="45" spans="1:12" ht="51.75" customHeight="1" x14ac:dyDescent="0.25">
      <c r="A45" s="12">
        <f>ROW(A41)</f>
        <v>41</v>
      </c>
      <c r="B45" s="13" t="s">
        <v>638</v>
      </c>
      <c r="C45" s="34" t="s">
        <v>648</v>
      </c>
      <c r="D45" s="12" t="s">
        <v>639</v>
      </c>
      <c r="E45" s="12">
        <v>1</v>
      </c>
      <c r="F45" s="1"/>
      <c r="G45" s="2">
        <v>0.23</v>
      </c>
      <c r="H45" s="55">
        <f t="shared" si="0"/>
        <v>0</v>
      </c>
      <c r="I45" s="55">
        <f t="shared" si="1"/>
        <v>0</v>
      </c>
      <c r="J45" s="55">
        <f t="shared" si="2"/>
        <v>0</v>
      </c>
      <c r="K45" s="55">
        <f t="shared" si="3"/>
        <v>0</v>
      </c>
      <c r="L45" s="3"/>
    </row>
    <row r="46" spans="1:12" ht="50.25" customHeight="1" x14ac:dyDescent="0.25">
      <c r="A46" s="12">
        <f>ROW(A42)</f>
        <v>42</v>
      </c>
      <c r="B46" s="13" t="s">
        <v>397</v>
      </c>
      <c r="C46" s="36" t="s">
        <v>398</v>
      </c>
      <c r="D46" s="18" t="s">
        <v>676</v>
      </c>
      <c r="E46" s="85">
        <f>1+1</f>
        <v>2</v>
      </c>
      <c r="F46" s="1"/>
      <c r="G46" s="2">
        <v>0.23</v>
      </c>
      <c r="H46" s="55">
        <f t="shared" si="0"/>
        <v>0</v>
      </c>
      <c r="I46" s="55">
        <f t="shared" si="1"/>
        <v>0</v>
      </c>
      <c r="J46" s="55">
        <f t="shared" si="2"/>
        <v>0</v>
      </c>
      <c r="K46" s="55">
        <f t="shared" si="3"/>
        <v>0</v>
      </c>
      <c r="L46" s="3"/>
    </row>
    <row r="47" spans="1:12" ht="45.75" customHeight="1" x14ac:dyDescent="0.25">
      <c r="A47" s="12">
        <f t="shared" si="4"/>
        <v>44</v>
      </c>
      <c r="B47" s="13" t="s">
        <v>399</v>
      </c>
      <c r="C47" s="36" t="s">
        <v>400</v>
      </c>
      <c r="D47" s="25" t="s">
        <v>677</v>
      </c>
      <c r="E47" s="85">
        <f>2+1+2</f>
        <v>5</v>
      </c>
      <c r="F47" s="1"/>
      <c r="G47" s="2">
        <v>0.23</v>
      </c>
      <c r="H47" s="55">
        <f t="shared" si="0"/>
        <v>0</v>
      </c>
      <c r="I47" s="55">
        <f t="shared" si="1"/>
        <v>0</v>
      </c>
      <c r="J47" s="55">
        <f t="shared" si="2"/>
        <v>0</v>
      </c>
      <c r="K47" s="55">
        <f t="shared" si="3"/>
        <v>0</v>
      </c>
      <c r="L47" s="3"/>
    </row>
    <row r="48" spans="1:12" ht="30" x14ac:dyDescent="0.25">
      <c r="A48" s="12">
        <f t="shared" si="4"/>
        <v>45</v>
      </c>
      <c r="B48" s="13" t="s">
        <v>401</v>
      </c>
      <c r="C48" s="34" t="s">
        <v>402</v>
      </c>
      <c r="D48" s="12" t="s">
        <v>678</v>
      </c>
      <c r="E48" s="12">
        <f>2+2+1+1</f>
        <v>6</v>
      </c>
      <c r="F48" s="1"/>
      <c r="G48" s="2">
        <v>0.23</v>
      </c>
      <c r="H48" s="55">
        <f t="shared" si="0"/>
        <v>0</v>
      </c>
      <c r="I48" s="55">
        <f t="shared" si="1"/>
        <v>0</v>
      </c>
      <c r="J48" s="55">
        <f t="shared" si="2"/>
        <v>0</v>
      </c>
      <c r="K48" s="55">
        <f t="shared" si="3"/>
        <v>0</v>
      </c>
      <c r="L48" s="3"/>
    </row>
    <row r="49" spans="1:12" ht="45" x14ac:dyDescent="0.25">
      <c r="A49" s="12">
        <f t="shared" si="4"/>
        <v>46</v>
      </c>
      <c r="B49" s="13" t="s">
        <v>403</v>
      </c>
      <c r="C49" s="34" t="s">
        <v>404</v>
      </c>
      <c r="D49" s="17" t="s">
        <v>359</v>
      </c>
      <c r="E49" s="12">
        <f>1+2+1</f>
        <v>4</v>
      </c>
      <c r="F49" s="1"/>
      <c r="G49" s="2">
        <v>0.23</v>
      </c>
      <c r="H49" s="55">
        <f t="shared" si="0"/>
        <v>0</v>
      </c>
      <c r="I49" s="55">
        <f t="shared" si="1"/>
        <v>0</v>
      </c>
      <c r="J49" s="55">
        <f t="shared" si="2"/>
        <v>0</v>
      </c>
      <c r="K49" s="55">
        <f t="shared" si="3"/>
        <v>0</v>
      </c>
      <c r="L49" s="3"/>
    </row>
    <row r="50" spans="1:12" ht="59.25" customHeight="1" x14ac:dyDescent="0.25">
      <c r="A50" s="12">
        <f t="shared" si="4"/>
        <v>47</v>
      </c>
      <c r="B50" s="13" t="s">
        <v>403</v>
      </c>
      <c r="C50" s="34" t="s">
        <v>405</v>
      </c>
      <c r="D50" s="14" t="s">
        <v>359</v>
      </c>
      <c r="E50" s="12">
        <f>1+1</f>
        <v>2</v>
      </c>
      <c r="F50" s="1"/>
      <c r="G50" s="2">
        <v>0.23</v>
      </c>
      <c r="H50" s="55">
        <f t="shared" si="0"/>
        <v>0</v>
      </c>
      <c r="I50" s="55">
        <f t="shared" si="1"/>
        <v>0</v>
      </c>
      <c r="J50" s="55">
        <f t="shared" si="2"/>
        <v>0</v>
      </c>
      <c r="K50" s="55">
        <f t="shared" si="3"/>
        <v>0</v>
      </c>
      <c r="L50" s="3"/>
    </row>
    <row r="51" spans="1:12" ht="30" x14ac:dyDescent="0.25">
      <c r="A51" s="12">
        <f t="shared" si="4"/>
        <v>48</v>
      </c>
      <c r="B51" s="16" t="s">
        <v>406</v>
      </c>
      <c r="C51" s="37" t="s">
        <v>407</v>
      </c>
      <c r="D51" s="12" t="s">
        <v>127</v>
      </c>
      <c r="E51" s="12">
        <f>2+2+1+1+1</f>
        <v>7</v>
      </c>
      <c r="F51" s="1"/>
      <c r="G51" s="2">
        <v>0.23</v>
      </c>
      <c r="H51" s="55">
        <f t="shared" si="0"/>
        <v>0</v>
      </c>
      <c r="I51" s="55">
        <f t="shared" si="1"/>
        <v>0</v>
      </c>
      <c r="J51" s="55">
        <f t="shared" si="2"/>
        <v>0</v>
      </c>
      <c r="K51" s="55">
        <f t="shared" si="3"/>
        <v>0</v>
      </c>
      <c r="L51" s="3"/>
    </row>
    <row r="52" spans="1:12" ht="45" x14ac:dyDescent="0.25">
      <c r="A52" s="12">
        <f t="shared" si="4"/>
        <v>49</v>
      </c>
      <c r="B52" s="13" t="s">
        <v>408</v>
      </c>
      <c r="C52" s="34" t="s">
        <v>409</v>
      </c>
      <c r="D52" s="12" t="s">
        <v>127</v>
      </c>
      <c r="E52" s="12">
        <f>1+2+1+1+1+1+1</f>
        <v>8</v>
      </c>
      <c r="F52" s="1"/>
      <c r="G52" s="2">
        <v>0.23</v>
      </c>
      <c r="H52" s="55">
        <f t="shared" si="0"/>
        <v>0</v>
      </c>
      <c r="I52" s="55">
        <f t="shared" si="1"/>
        <v>0</v>
      </c>
      <c r="J52" s="55">
        <f t="shared" si="2"/>
        <v>0</v>
      </c>
      <c r="K52" s="55">
        <f t="shared" si="3"/>
        <v>0</v>
      </c>
      <c r="L52" s="3"/>
    </row>
    <row r="53" spans="1:12" ht="45" x14ac:dyDescent="0.25">
      <c r="A53" s="12">
        <f t="shared" si="4"/>
        <v>50</v>
      </c>
      <c r="B53" s="13" t="s">
        <v>410</v>
      </c>
      <c r="C53" s="34" t="s">
        <v>411</v>
      </c>
      <c r="D53" s="12" t="s">
        <v>127</v>
      </c>
      <c r="E53" s="12">
        <f>1+5</f>
        <v>6</v>
      </c>
      <c r="F53" s="1"/>
      <c r="G53" s="2">
        <v>0.23</v>
      </c>
      <c r="H53" s="55">
        <f t="shared" si="0"/>
        <v>0</v>
      </c>
      <c r="I53" s="55">
        <f t="shared" si="1"/>
        <v>0</v>
      </c>
      <c r="J53" s="55">
        <f t="shared" si="2"/>
        <v>0</v>
      </c>
      <c r="K53" s="55">
        <f t="shared" si="3"/>
        <v>0</v>
      </c>
      <c r="L53" s="3"/>
    </row>
    <row r="54" spans="1:12" ht="45" x14ac:dyDescent="0.25">
      <c r="A54" s="12">
        <f t="shared" si="4"/>
        <v>51</v>
      </c>
      <c r="B54" s="13" t="s">
        <v>412</v>
      </c>
      <c r="C54" s="34" t="s">
        <v>413</v>
      </c>
      <c r="D54" s="12" t="s">
        <v>127</v>
      </c>
      <c r="E54" s="12">
        <f>1+2+1+5+1+1+1+1</f>
        <v>13</v>
      </c>
      <c r="F54" s="1"/>
      <c r="G54" s="2">
        <v>0.23</v>
      </c>
      <c r="H54" s="55">
        <f t="shared" si="0"/>
        <v>0</v>
      </c>
      <c r="I54" s="55">
        <f t="shared" si="1"/>
        <v>0</v>
      </c>
      <c r="J54" s="55">
        <f t="shared" si="2"/>
        <v>0</v>
      </c>
      <c r="K54" s="55">
        <f t="shared" si="3"/>
        <v>0</v>
      </c>
      <c r="L54" s="3"/>
    </row>
    <row r="55" spans="1:12" ht="45" x14ac:dyDescent="0.25">
      <c r="A55" s="12">
        <f t="shared" si="4"/>
        <v>52</v>
      </c>
      <c r="B55" s="13" t="s">
        <v>414</v>
      </c>
      <c r="C55" s="34" t="s">
        <v>415</v>
      </c>
      <c r="D55" s="12" t="s">
        <v>127</v>
      </c>
      <c r="E55" s="12">
        <f>1+5+1</f>
        <v>7</v>
      </c>
      <c r="F55" s="1"/>
      <c r="G55" s="2">
        <v>0.23</v>
      </c>
      <c r="H55" s="55">
        <f t="shared" si="0"/>
        <v>0</v>
      </c>
      <c r="I55" s="55">
        <f t="shared" si="1"/>
        <v>0</v>
      </c>
      <c r="J55" s="55">
        <f t="shared" si="2"/>
        <v>0</v>
      </c>
      <c r="K55" s="55">
        <f t="shared" si="3"/>
        <v>0</v>
      </c>
      <c r="L55" s="3"/>
    </row>
    <row r="56" spans="1:12" ht="45" x14ac:dyDescent="0.25">
      <c r="A56" s="12">
        <f t="shared" si="4"/>
        <v>53</v>
      </c>
      <c r="B56" s="13" t="s">
        <v>416</v>
      </c>
      <c r="C56" s="34" t="s">
        <v>417</v>
      </c>
      <c r="D56" s="15" t="s">
        <v>127</v>
      </c>
      <c r="E56" s="12">
        <f>2+1+2+1+2+4+2+10+1+1</f>
        <v>26</v>
      </c>
      <c r="F56" s="1"/>
      <c r="G56" s="2">
        <v>0.23</v>
      </c>
      <c r="H56" s="55">
        <f t="shared" si="0"/>
        <v>0</v>
      </c>
      <c r="I56" s="55">
        <f t="shared" si="1"/>
        <v>0</v>
      </c>
      <c r="J56" s="55">
        <f t="shared" si="2"/>
        <v>0</v>
      </c>
      <c r="K56" s="55">
        <f t="shared" si="3"/>
        <v>0</v>
      </c>
      <c r="L56" s="3"/>
    </row>
    <row r="57" spans="1:12" ht="45" x14ac:dyDescent="0.25">
      <c r="A57" s="12">
        <f t="shared" si="4"/>
        <v>54</v>
      </c>
      <c r="B57" s="13" t="s">
        <v>418</v>
      </c>
      <c r="C57" s="34" t="s">
        <v>419</v>
      </c>
      <c r="D57" s="15" t="s">
        <v>127</v>
      </c>
      <c r="E57" s="12">
        <f>1+2+1+1+3</f>
        <v>8</v>
      </c>
      <c r="F57" s="1"/>
      <c r="G57" s="2">
        <v>0.23</v>
      </c>
      <c r="H57" s="55">
        <f t="shared" si="0"/>
        <v>0</v>
      </c>
      <c r="I57" s="55">
        <f t="shared" si="1"/>
        <v>0</v>
      </c>
      <c r="J57" s="55">
        <f t="shared" si="2"/>
        <v>0</v>
      </c>
      <c r="K57" s="55">
        <f t="shared" si="3"/>
        <v>0</v>
      </c>
      <c r="L57" s="3"/>
    </row>
    <row r="58" spans="1:12" ht="30" x14ac:dyDescent="0.25">
      <c r="A58" s="12">
        <f t="shared" si="4"/>
        <v>55</v>
      </c>
      <c r="B58" s="13" t="s">
        <v>428</v>
      </c>
      <c r="C58" s="34" t="s">
        <v>429</v>
      </c>
      <c r="D58" s="13" t="s">
        <v>16</v>
      </c>
      <c r="E58" s="14">
        <v>5</v>
      </c>
      <c r="F58" s="4"/>
      <c r="G58" s="2">
        <v>0.23</v>
      </c>
      <c r="H58" s="55">
        <f t="shared" si="0"/>
        <v>0</v>
      </c>
      <c r="I58" s="55">
        <f t="shared" si="1"/>
        <v>0</v>
      </c>
      <c r="J58" s="55">
        <f t="shared" si="2"/>
        <v>0</v>
      </c>
      <c r="K58" s="55">
        <f t="shared" si="3"/>
        <v>0</v>
      </c>
      <c r="L58" s="3"/>
    </row>
    <row r="59" spans="1:12" ht="30" x14ac:dyDescent="0.25">
      <c r="A59" s="12">
        <f t="shared" si="4"/>
        <v>56</v>
      </c>
      <c r="B59" s="13" t="s">
        <v>420</v>
      </c>
      <c r="C59" s="34" t="s">
        <v>421</v>
      </c>
      <c r="D59" s="12" t="s">
        <v>382</v>
      </c>
      <c r="E59" s="12">
        <f>1+1+1</f>
        <v>3</v>
      </c>
      <c r="F59" s="1"/>
      <c r="G59" s="2">
        <v>0.23</v>
      </c>
      <c r="H59" s="55">
        <f t="shared" si="0"/>
        <v>0</v>
      </c>
      <c r="I59" s="55">
        <f t="shared" si="1"/>
        <v>0</v>
      </c>
      <c r="J59" s="55">
        <f t="shared" si="2"/>
        <v>0</v>
      </c>
      <c r="K59" s="55">
        <f t="shared" si="3"/>
        <v>0</v>
      </c>
      <c r="L59" s="3"/>
    </row>
    <row r="60" spans="1:12" ht="30" x14ac:dyDescent="0.25">
      <c r="A60" s="12">
        <f t="shared" si="4"/>
        <v>57</v>
      </c>
      <c r="B60" s="13" t="s">
        <v>422</v>
      </c>
      <c r="C60" s="34" t="s">
        <v>423</v>
      </c>
      <c r="D60" s="12" t="s">
        <v>382</v>
      </c>
      <c r="E60" s="12">
        <v>3</v>
      </c>
      <c r="F60" s="1"/>
      <c r="G60" s="2">
        <v>0.23</v>
      </c>
      <c r="H60" s="55">
        <f t="shared" si="0"/>
        <v>0</v>
      </c>
      <c r="I60" s="55">
        <f t="shared" si="1"/>
        <v>0</v>
      </c>
      <c r="J60" s="55">
        <f t="shared" si="2"/>
        <v>0</v>
      </c>
      <c r="K60" s="55">
        <f t="shared" si="3"/>
        <v>0</v>
      </c>
      <c r="L60" s="3"/>
    </row>
    <row r="61" spans="1:12" ht="30" x14ac:dyDescent="0.25">
      <c r="A61" s="12">
        <f t="shared" si="4"/>
        <v>58</v>
      </c>
      <c r="B61" s="13" t="s">
        <v>424</v>
      </c>
      <c r="C61" s="34" t="s">
        <v>425</v>
      </c>
      <c r="D61" s="12" t="s">
        <v>127</v>
      </c>
      <c r="E61" s="12">
        <v>5</v>
      </c>
      <c r="F61" s="1"/>
      <c r="G61" s="2">
        <v>0.23</v>
      </c>
      <c r="H61" s="55">
        <f t="shared" si="0"/>
        <v>0</v>
      </c>
      <c r="I61" s="55">
        <f t="shared" si="1"/>
        <v>0</v>
      </c>
      <c r="J61" s="55">
        <f t="shared" si="2"/>
        <v>0</v>
      </c>
      <c r="K61" s="55">
        <f t="shared" si="3"/>
        <v>0</v>
      </c>
      <c r="L61" s="3"/>
    </row>
    <row r="62" spans="1:12" ht="60" x14ac:dyDescent="0.25">
      <c r="A62" s="12">
        <f t="shared" si="4"/>
        <v>59</v>
      </c>
      <c r="B62" s="13" t="s">
        <v>611</v>
      </c>
      <c r="C62" s="34" t="s">
        <v>612</v>
      </c>
      <c r="D62" s="12" t="s">
        <v>613</v>
      </c>
      <c r="E62" s="12">
        <v>2</v>
      </c>
      <c r="F62" s="1"/>
      <c r="G62" s="2">
        <v>0.23</v>
      </c>
      <c r="H62" s="55">
        <f t="shared" si="0"/>
        <v>0</v>
      </c>
      <c r="I62" s="55">
        <f t="shared" si="1"/>
        <v>0</v>
      </c>
      <c r="J62" s="55">
        <f t="shared" si="2"/>
        <v>0</v>
      </c>
      <c r="K62" s="55">
        <f t="shared" si="3"/>
        <v>0</v>
      </c>
      <c r="L62" s="3"/>
    </row>
    <row r="63" spans="1:12" ht="75" x14ac:dyDescent="0.25">
      <c r="A63" s="12">
        <f t="shared" si="4"/>
        <v>60</v>
      </c>
      <c r="B63" s="13" t="s">
        <v>608</v>
      </c>
      <c r="C63" s="34" t="s">
        <v>609</v>
      </c>
      <c r="D63" s="12" t="s">
        <v>610</v>
      </c>
      <c r="E63" s="12">
        <v>4</v>
      </c>
      <c r="F63" s="1"/>
      <c r="G63" s="2">
        <v>0.23</v>
      </c>
      <c r="H63" s="55">
        <f t="shared" si="0"/>
        <v>0</v>
      </c>
      <c r="I63" s="55">
        <f t="shared" si="1"/>
        <v>0</v>
      </c>
      <c r="J63" s="55">
        <f t="shared" si="2"/>
        <v>0</v>
      </c>
      <c r="K63" s="55">
        <f t="shared" si="3"/>
        <v>0</v>
      </c>
      <c r="L63" s="3"/>
    </row>
    <row r="64" spans="1:12" ht="30" x14ac:dyDescent="0.25">
      <c r="A64" s="12">
        <f t="shared" si="4"/>
        <v>61</v>
      </c>
      <c r="B64" s="13" t="s">
        <v>635</v>
      </c>
      <c r="C64" s="34" t="s">
        <v>636</v>
      </c>
      <c r="D64" s="12" t="s">
        <v>637</v>
      </c>
      <c r="E64" s="12">
        <v>1</v>
      </c>
      <c r="F64" s="1"/>
      <c r="G64" s="2">
        <v>0.23</v>
      </c>
      <c r="H64" s="55">
        <f t="shared" si="0"/>
        <v>0</v>
      </c>
      <c r="I64" s="55">
        <f t="shared" si="1"/>
        <v>0</v>
      </c>
      <c r="J64" s="55">
        <f t="shared" si="2"/>
        <v>0</v>
      </c>
      <c r="K64" s="55">
        <f t="shared" si="3"/>
        <v>0</v>
      </c>
      <c r="L64" s="3"/>
    </row>
    <row r="65" spans="1:12" ht="30" x14ac:dyDescent="0.25">
      <c r="A65" s="12">
        <f t="shared" si="4"/>
        <v>62</v>
      </c>
      <c r="B65" s="35" t="s">
        <v>426</v>
      </c>
      <c r="C65" s="38" t="s">
        <v>427</v>
      </c>
      <c r="D65" s="16" t="s">
        <v>679</v>
      </c>
      <c r="E65" s="12">
        <f>1+1</f>
        <v>2</v>
      </c>
      <c r="F65" s="1"/>
      <c r="G65" s="2">
        <v>0.23</v>
      </c>
      <c r="H65" s="55">
        <f t="shared" si="0"/>
        <v>0</v>
      </c>
      <c r="I65" s="55">
        <f t="shared" si="1"/>
        <v>0</v>
      </c>
      <c r="J65" s="55">
        <f t="shared" si="2"/>
        <v>0</v>
      </c>
      <c r="K65" s="55">
        <f t="shared" si="3"/>
        <v>0</v>
      </c>
      <c r="L65" s="3"/>
    </row>
    <row r="66" spans="1:12" ht="30" x14ac:dyDescent="0.25">
      <c r="A66" s="12">
        <f t="shared" si="4"/>
        <v>63</v>
      </c>
      <c r="B66" s="35" t="s">
        <v>430</v>
      </c>
      <c r="C66" s="38" t="s">
        <v>431</v>
      </c>
      <c r="D66" s="20" t="s">
        <v>680</v>
      </c>
      <c r="E66" s="14">
        <f>1+2+2+2+1</f>
        <v>8</v>
      </c>
      <c r="F66" s="4"/>
      <c r="G66" s="2">
        <v>0.23</v>
      </c>
      <c r="H66" s="55">
        <f t="shared" si="0"/>
        <v>0</v>
      </c>
      <c r="I66" s="55">
        <f t="shared" si="1"/>
        <v>0</v>
      </c>
      <c r="J66" s="55">
        <f t="shared" si="2"/>
        <v>0</v>
      </c>
      <c r="K66" s="55">
        <f t="shared" si="3"/>
        <v>0</v>
      </c>
      <c r="L66" s="3"/>
    </row>
    <row r="67" spans="1:12" ht="45" x14ac:dyDescent="0.25">
      <c r="A67" s="12">
        <f t="shared" si="4"/>
        <v>64</v>
      </c>
      <c r="B67" s="35" t="s">
        <v>430</v>
      </c>
      <c r="C67" s="38" t="s">
        <v>432</v>
      </c>
      <c r="D67" s="15" t="s">
        <v>681</v>
      </c>
      <c r="E67" s="15">
        <v>1</v>
      </c>
      <c r="F67" s="9"/>
      <c r="G67" s="10">
        <v>0.23</v>
      </c>
      <c r="H67" s="55">
        <f t="shared" si="0"/>
        <v>0</v>
      </c>
      <c r="I67" s="55">
        <f t="shared" si="1"/>
        <v>0</v>
      </c>
      <c r="J67" s="55">
        <f t="shared" si="2"/>
        <v>0</v>
      </c>
      <c r="K67" s="55">
        <f t="shared" si="3"/>
        <v>0</v>
      </c>
      <c r="L67" s="3"/>
    </row>
    <row r="68" spans="1:12" x14ac:dyDescent="0.25">
      <c r="A68" s="126" t="s">
        <v>198</v>
      </c>
      <c r="B68" s="126"/>
      <c r="C68" s="126"/>
      <c r="D68" s="126"/>
      <c r="E68" s="126"/>
      <c r="F68" s="86" t="s">
        <v>199</v>
      </c>
      <c r="G68" s="86" t="s">
        <v>199</v>
      </c>
      <c r="H68" s="87">
        <f>SUM(H8:H67)</f>
        <v>0</v>
      </c>
      <c r="I68" s="87">
        <f>SUM(I8:I67)</f>
        <v>0</v>
      </c>
      <c r="J68" s="87">
        <f>SUM(J8:J67)</f>
        <v>0</v>
      </c>
      <c r="K68" s="87">
        <f>SUM(K8:K67)</f>
        <v>0</v>
      </c>
      <c r="L68" s="59"/>
    </row>
  </sheetData>
  <sheetProtection algorithmName="SHA-512" hashValue="v+IZhOl19yFvx8L2IygUUmOyVBrEuYWXccPvOWsiJigLOnUPYbjvEoafMwBC5iP/Ym4sjOvlPV7t1NsRQ6n3fg==" saltValue="AaFHSE14EzLGvyf35f4Q2A==" spinCount="100000" sheet="1" objects="1" scenarios="1" selectLockedCells="1"/>
  <autoFilter ref="A2:L68" xr:uid="{399B820D-A269-8C4D-BE62-7C7E0480F8BA}"/>
  <mergeCells count="2">
    <mergeCell ref="A1:K1"/>
    <mergeCell ref="A68:E6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DDC47-C1A0-4B45-8D59-A7340A483BDA}">
  <dimension ref="A1:L67"/>
  <sheetViews>
    <sheetView topLeftCell="A22" zoomScale="90" zoomScaleNormal="90" workbookViewId="0">
      <selection activeCell="F19" sqref="F19"/>
    </sheetView>
  </sheetViews>
  <sheetFormatPr defaultColWidth="11" defaultRowHeight="15.75" x14ac:dyDescent="0.25"/>
  <cols>
    <col min="1" max="1" width="7.75" style="47" customWidth="1"/>
    <col min="2" max="2" width="20.5" style="81" bestFit="1" customWidth="1"/>
    <col min="3" max="3" width="52" style="96" customWidth="1"/>
    <col min="4" max="4" width="14.125" style="47" customWidth="1"/>
    <col min="5" max="5" width="9" style="47"/>
    <col min="6" max="6" width="13.875" style="47" customWidth="1"/>
    <col min="7" max="7" width="13.125" style="47" customWidth="1"/>
    <col min="8" max="8" width="15.75" style="47" customWidth="1"/>
    <col min="9" max="9" width="18.75" style="47" customWidth="1"/>
    <col min="10" max="10" width="15.625" style="47" customWidth="1"/>
    <col min="11" max="11" width="19.375" style="47" customWidth="1"/>
    <col min="12" max="12" width="42.5" style="47" customWidth="1"/>
    <col min="13" max="13" width="77.625" style="47" customWidth="1"/>
    <col min="14" max="16384" width="11" style="47"/>
  </cols>
  <sheetData>
    <row r="1" spans="1:12" ht="37.5" customHeight="1" x14ac:dyDescent="0.25">
      <c r="A1" s="121" t="s">
        <v>655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6" t="s">
        <v>0</v>
      </c>
    </row>
    <row r="2" spans="1:12" ht="25.5" x14ac:dyDescent="0.25">
      <c r="A2" s="50" t="s">
        <v>1</v>
      </c>
      <c r="B2" s="50" t="s">
        <v>2</v>
      </c>
      <c r="C2" s="89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76" t="s">
        <v>9</v>
      </c>
      <c r="J2" s="50" t="s">
        <v>10</v>
      </c>
      <c r="K2" s="50" t="s">
        <v>11</v>
      </c>
      <c r="L2" s="90" t="s">
        <v>12</v>
      </c>
    </row>
    <row r="3" spans="1:12" x14ac:dyDescent="0.25">
      <c r="A3" s="82">
        <v>1</v>
      </c>
      <c r="B3" s="82">
        <v>2</v>
      </c>
      <c r="C3" s="14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82">
        <v>9</v>
      </c>
      <c r="J3" s="82">
        <v>10</v>
      </c>
      <c r="K3" s="82">
        <v>11</v>
      </c>
      <c r="L3" s="91">
        <v>12</v>
      </c>
    </row>
    <row r="4" spans="1:12" ht="60" x14ac:dyDescent="0.25">
      <c r="A4" s="13" t="s">
        <v>13</v>
      </c>
      <c r="B4" s="13" t="s">
        <v>433</v>
      </c>
      <c r="C4" s="29" t="s">
        <v>434</v>
      </c>
      <c r="D4" s="13" t="s">
        <v>678</v>
      </c>
      <c r="E4" s="13">
        <f>1+2+5+3+1</f>
        <v>12</v>
      </c>
      <c r="F4" s="1"/>
      <c r="G4" s="2">
        <v>0.23</v>
      </c>
      <c r="H4" s="55">
        <f t="shared" ref="H4:H51" si="0">F4*G4</f>
        <v>0</v>
      </c>
      <c r="I4" s="55">
        <f t="shared" ref="I4:I51" si="1">F4*E4</f>
        <v>0</v>
      </c>
      <c r="J4" s="55">
        <f t="shared" ref="J4:J51" si="2">H4*E4</f>
        <v>0</v>
      </c>
      <c r="K4" s="92">
        <f t="shared" ref="K4:K51" si="3">I4+J4</f>
        <v>0</v>
      </c>
      <c r="L4" s="3"/>
    </row>
    <row r="5" spans="1:12" ht="120.75" customHeight="1" x14ac:dyDescent="0.25">
      <c r="A5" s="13" t="s">
        <v>17</v>
      </c>
      <c r="B5" s="13" t="s">
        <v>435</v>
      </c>
      <c r="C5" s="29" t="s">
        <v>436</v>
      </c>
      <c r="D5" s="13" t="s">
        <v>678</v>
      </c>
      <c r="E5" s="13">
        <f>2+2</f>
        <v>4</v>
      </c>
      <c r="F5" s="1"/>
      <c r="G5" s="2">
        <v>0.23</v>
      </c>
      <c r="H5" s="55">
        <f t="shared" si="0"/>
        <v>0</v>
      </c>
      <c r="I5" s="55">
        <f t="shared" si="1"/>
        <v>0</v>
      </c>
      <c r="J5" s="55">
        <f t="shared" si="2"/>
        <v>0</v>
      </c>
      <c r="K5" s="92">
        <f t="shared" si="3"/>
        <v>0</v>
      </c>
      <c r="L5" s="3"/>
    </row>
    <row r="6" spans="1:12" ht="93.75" customHeight="1" x14ac:dyDescent="0.25">
      <c r="A6" s="13" t="s">
        <v>20</v>
      </c>
      <c r="B6" s="13" t="s">
        <v>437</v>
      </c>
      <c r="C6" s="29" t="s">
        <v>438</v>
      </c>
      <c r="D6" s="13" t="s">
        <v>678</v>
      </c>
      <c r="E6" s="13">
        <f>1+10+5+3+2+1+5+7+3</f>
        <v>37</v>
      </c>
      <c r="F6" s="1"/>
      <c r="G6" s="2">
        <v>0.23</v>
      </c>
      <c r="H6" s="55">
        <f t="shared" si="0"/>
        <v>0</v>
      </c>
      <c r="I6" s="55">
        <f t="shared" si="1"/>
        <v>0</v>
      </c>
      <c r="J6" s="55">
        <f t="shared" si="2"/>
        <v>0</v>
      </c>
      <c r="K6" s="92">
        <f t="shared" si="3"/>
        <v>0</v>
      </c>
      <c r="L6" s="3"/>
    </row>
    <row r="7" spans="1:12" ht="102.75" customHeight="1" x14ac:dyDescent="0.25">
      <c r="A7" s="13" t="s">
        <v>23</v>
      </c>
      <c r="B7" s="13" t="s">
        <v>439</v>
      </c>
      <c r="C7" s="29" t="s">
        <v>440</v>
      </c>
      <c r="D7" s="13" t="s">
        <v>678</v>
      </c>
      <c r="E7" s="13">
        <f>1+3+3+2</f>
        <v>9</v>
      </c>
      <c r="F7" s="1"/>
      <c r="G7" s="2">
        <v>0.23</v>
      </c>
      <c r="H7" s="55">
        <f t="shared" si="0"/>
        <v>0</v>
      </c>
      <c r="I7" s="55">
        <f t="shared" si="1"/>
        <v>0</v>
      </c>
      <c r="J7" s="55">
        <f t="shared" si="2"/>
        <v>0</v>
      </c>
      <c r="K7" s="92">
        <f t="shared" si="3"/>
        <v>0</v>
      </c>
      <c r="L7" s="3"/>
    </row>
    <row r="8" spans="1:12" ht="49.5" customHeight="1" x14ac:dyDescent="0.25">
      <c r="A8" s="13" t="s">
        <v>26</v>
      </c>
      <c r="B8" s="13" t="s">
        <v>441</v>
      </c>
      <c r="C8" s="29" t="s">
        <v>442</v>
      </c>
      <c r="D8" s="13" t="s">
        <v>678</v>
      </c>
      <c r="E8" s="13">
        <f>3+2+2+2</f>
        <v>9</v>
      </c>
      <c r="F8" s="1"/>
      <c r="G8" s="2">
        <v>0.23</v>
      </c>
      <c r="H8" s="55">
        <f t="shared" si="0"/>
        <v>0</v>
      </c>
      <c r="I8" s="55">
        <f t="shared" si="1"/>
        <v>0</v>
      </c>
      <c r="J8" s="55">
        <f t="shared" si="2"/>
        <v>0</v>
      </c>
      <c r="K8" s="92">
        <f t="shared" si="3"/>
        <v>0</v>
      </c>
      <c r="L8" s="3"/>
    </row>
    <row r="9" spans="1:12" ht="30" x14ac:dyDescent="0.25">
      <c r="A9" s="13" t="s">
        <v>29</v>
      </c>
      <c r="B9" s="13" t="s">
        <v>443</v>
      </c>
      <c r="C9" s="29" t="s">
        <v>444</v>
      </c>
      <c r="D9" s="13" t="s">
        <v>678</v>
      </c>
      <c r="E9" s="13">
        <v>1</v>
      </c>
      <c r="F9" s="1"/>
      <c r="G9" s="2">
        <v>0.23</v>
      </c>
      <c r="H9" s="55">
        <f t="shared" si="0"/>
        <v>0</v>
      </c>
      <c r="I9" s="55">
        <f t="shared" si="1"/>
        <v>0</v>
      </c>
      <c r="J9" s="55">
        <f t="shared" si="2"/>
        <v>0</v>
      </c>
      <c r="K9" s="92">
        <f t="shared" si="3"/>
        <v>0</v>
      </c>
      <c r="L9" s="3"/>
    </row>
    <row r="10" spans="1:12" ht="30" x14ac:dyDescent="0.25">
      <c r="A10" s="13" t="s">
        <v>30</v>
      </c>
      <c r="B10" s="13" t="s">
        <v>445</v>
      </c>
      <c r="C10" s="29" t="s">
        <v>446</v>
      </c>
      <c r="D10" s="13" t="s">
        <v>678</v>
      </c>
      <c r="E10" s="13">
        <f>1+1+1</f>
        <v>3</v>
      </c>
      <c r="F10" s="1"/>
      <c r="G10" s="2">
        <v>0.23</v>
      </c>
      <c r="H10" s="55">
        <f t="shared" si="0"/>
        <v>0</v>
      </c>
      <c r="I10" s="55">
        <f t="shared" si="1"/>
        <v>0</v>
      </c>
      <c r="J10" s="55">
        <f t="shared" si="2"/>
        <v>0</v>
      </c>
      <c r="K10" s="92">
        <f t="shared" si="3"/>
        <v>0</v>
      </c>
      <c r="L10" s="3"/>
    </row>
    <row r="11" spans="1:12" ht="30" x14ac:dyDescent="0.25">
      <c r="A11" s="13" t="s">
        <v>33</v>
      </c>
      <c r="B11" s="13" t="s">
        <v>447</v>
      </c>
      <c r="C11" s="29" t="s">
        <v>448</v>
      </c>
      <c r="D11" s="13" t="s">
        <v>678</v>
      </c>
      <c r="E11" s="13">
        <f>3+5</f>
        <v>8</v>
      </c>
      <c r="F11" s="1"/>
      <c r="G11" s="2">
        <v>0.23</v>
      </c>
      <c r="H11" s="55">
        <f t="shared" si="0"/>
        <v>0</v>
      </c>
      <c r="I11" s="55">
        <f t="shared" si="1"/>
        <v>0</v>
      </c>
      <c r="J11" s="55">
        <f t="shared" si="2"/>
        <v>0</v>
      </c>
      <c r="K11" s="92">
        <f t="shared" si="3"/>
        <v>0</v>
      </c>
      <c r="L11" s="3"/>
    </row>
    <row r="12" spans="1:12" ht="120" x14ac:dyDescent="0.25">
      <c r="A12" s="13" t="s">
        <v>34</v>
      </c>
      <c r="B12" s="13" t="s">
        <v>449</v>
      </c>
      <c r="C12" s="29" t="s">
        <v>450</v>
      </c>
      <c r="D12" s="13" t="s">
        <v>678</v>
      </c>
      <c r="E12" s="20">
        <f>1+1</f>
        <v>2</v>
      </c>
      <c r="F12" s="1"/>
      <c r="G12" s="2">
        <v>0.23</v>
      </c>
      <c r="H12" s="55">
        <f t="shared" si="0"/>
        <v>0</v>
      </c>
      <c r="I12" s="55">
        <f t="shared" si="1"/>
        <v>0</v>
      </c>
      <c r="J12" s="55">
        <f t="shared" si="2"/>
        <v>0</v>
      </c>
      <c r="K12" s="92">
        <f t="shared" si="3"/>
        <v>0</v>
      </c>
      <c r="L12" s="3"/>
    </row>
    <row r="13" spans="1:12" ht="120" x14ac:dyDescent="0.25">
      <c r="A13" s="13" t="s">
        <v>37</v>
      </c>
      <c r="B13" s="13" t="s">
        <v>449</v>
      </c>
      <c r="C13" s="29" t="s">
        <v>451</v>
      </c>
      <c r="D13" s="13" t="s">
        <v>678</v>
      </c>
      <c r="E13" s="13">
        <f>2+1</f>
        <v>3</v>
      </c>
      <c r="F13" s="1"/>
      <c r="G13" s="2">
        <v>0.23</v>
      </c>
      <c r="H13" s="55">
        <f t="shared" si="0"/>
        <v>0</v>
      </c>
      <c r="I13" s="55">
        <f t="shared" si="1"/>
        <v>0</v>
      </c>
      <c r="J13" s="55">
        <f t="shared" si="2"/>
        <v>0</v>
      </c>
      <c r="K13" s="92">
        <f t="shared" si="3"/>
        <v>0</v>
      </c>
      <c r="L13" s="3"/>
    </row>
    <row r="14" spans="1:12" ht="30" x14ac:dyDescent="0.25">
      <c r="A14" s="13" t="s">
        <v>39</v>
      </c>
      <c r="B14" s="13" t="s">
        <v>452</v>
      </c>
      <c r="C14" s="29" t="s">
        <v>453</v>
      </c>
      <c r="D14" s="13" t="s">
        <v>678</v>
      </c>
      <c r="E14" s="13">
        <f>4+4</f>
        <v>8</v>
      </c>
      <c r="F14" s="1"/>
      <c r="G14" s="2">
        <v>0.23</v>
      </c>
      <c r="H14" s="55">
        <f t="shared" si="0"/>
        <v>0</v>
      </c>
      <c r="I14" s="55">
        <f t="shared" si="1"/>
        <v>0</v>
      </c>
      <c r="J14" s="55">
        <f t="shared" si="2"/>
        <v>0</v>
      </c>
      <c r="K14" s="92">
        <f t="shared" si="3"/>
        <v>0</v>
      </c>
      <c r="L14" s="3"/>
    </row>
    <row r="15" spans="1:12" ht="125.25" customHeight="1" x14ac:dyDescent="0.25">
      <c r="A15" s="13" t="s">
        <v>40</v>
      </c>
      <c r="B15" s="13" t="s">
        <v>454</v>
      </c>
      <c r="C15" s="29" t="s">
        <v>455</v>
      </c>
      <c r="D15" s="20" t="s">
        <v>456</v>
      </c>
      <c r="E15" s="13">
        <f>1+1</f>
        <v>2</v>
      </c>
      <c r="F15" s="1"/>
      <c r="G15" s="2">
        <v>0.23</v>
      </c>
      <c r="H15" s="55">
        <f t="shared" si="0"/>
        <v>0</v>
      </c>
      <c r="I15" s="55">
        <f t="shared" si="1"/>
        <v>0</v>
      </c>
      <c r="J15" s="55">
        <f t="shared" si="2"/>
        <v>0</v>
      </c>
      <c r="K15" s="92">
        <f t="shared" si="3"/>
        <v>0</v>
      </c>
      <c r="L15" s="3"/>
    </row>
    <row r="16" spans="1:12" ht="30" x14ac:dyDescent="0.25">
      <c r="A16" s="13" t="s">
        <v>43</v>
      </c>
      <c r="B16" s="13" t="s">
        <v>457</v>
      </c>
      <c r="C16" s="29" t="s">
        <v>458</v>
      </c>
      <c r="D16" s="13" t="s">
        <v>678</v>
      </c>
      <c r="E16" s="13">
        <v>5</v>
      </c>
      <c r="F16" s="1"/>
      <c r="G16" s="2">
        <v>0.23</v>
      </c>
      <c r="H16" s="55">
        <f t="shared" si="0"/>
        <v>0</v>
      </c>
      <c r="I16" s="55">
        <f t="shared" si="1"/>
        <v>0</v>
      </c>
      <c r="J16" s="55">
        <f t="shared" si="2"/>
        <v>0</v>
      </c>
      <c r="K16" s="92">
        <f t="shared" si="3"/>
        <v>0</v>
      </c>
      <c r="L16" s="3"/>
    </row>
    <row r="17" spans="1:12" ht="57.75" customHeight="1" x14ac:dyDescent="0.25">
      <c r="A17" s="13" t="s">
        <v>46</v>
      </c>
      <c r="B17" s="13" t="s">
        <v>459</v>
      </c>
      <c r="C17" s="29" t="s">
        <v>460</v>
      </c>
      <c r="D17" s="13" t="s">
        <v>678</v>
      </c>
      <c r="E17" s="13">
        <f>5+2+3+5</f>
        <v>15</v>
      </c>
      <c r="F17" s="1"/>
      <c r="G17" s="2">
        <v>0.23</v>
      </c>
      <c r="H17" s="55">
        <f t="shared" si="0"/>
        <v>0</v>
      </c>
      <c r="I17" s="55">
        <f t="shared" si="1"/>
        <v>0</v>
      </c>
      <c r="J17" s="55">
        <f t="shared" si="2"/>
        <v>0</v>
      </c>
      <c r="K17" s="92">
        <f t="shared" si="3"/>
        <v>0</v>
      </c>
      <c r="L17" s="3"/>
    </row>
    <row r="18" spans="1:12" ht="76.5" customHeight="1" x14ac:dyDescent="0.25">
      <c r="A18" s="13" t="s">
        <v>49</v>
      </c>
      <c r="B18" s="13" t="s">
        <v>461</v>
      </c>
      <c r="C18" s="29" t="s">
        <v>462</v>
      </c>
      <c r="D18" s="13" t="s">
        <v>678</v>
      </c>
      <c r="E18" s="13">
        <f>1+5+2+1</f>
        <v>9</v>
      </c>
      <c r="F18" s="1"/>
      <c r="G18" s="2">
        <v>0.23</v>
      </c>
      <c r="H18" s="55">
        <f t="shared" si="0"/>
        <v>0</v>
      </c>
      <c r="I18" s="55">
        <f t="shared" si="1"/>
        <v>0</v>
      </c>
      <c r="J18" s="55">
        <f t="shared" si="2"/>
        <v>0</v>
      </c>
      <c r="K18" s="92">
        <f t="shared" si="3"/>
        <v>0</v>
      </c>
      <c r="L18" s="43"/>
    </row>
    <row r="19" spans="1:12" ht="79.5" customHeight="1" x14ac:dyDescent="0.25">
      <c r="A19" s="13" t="s">
        <v>52</v>
      </c>
      <c r="B19" s="13" t="s">
        <v>463</v>
      </c>
      <c r="C19" s="29" t="s">
        <v>464</v>
      </c>
      <c r="D19" s="13" t="s">
        <v>678</v>
      </c>
      <c r="E19" s="13">
        <v>10</v>
      </c>
      <c r="F19" s="1"/>
      <c r="G19" s="2">
        <v>0.23</v>
      </c>
      <c r="H19" s="55">
        <f t="shared" si="0"/>
        <v>0</v>
      </c>
      <c r="I19" s="55">
        <f t="shared" si="1"/>
        <v>0</v>
      </c>
      <c r="J19" s="55">
        <f t="shared" si="2"/>
        <v>0</v>
      </c>
      <c r="K19" s="92">
        <f t="shared" si="3"/>
        <v>0</v>
      </c>
      <c r="L19" s="3"/>
    </row>
    <row r="20" spans="1:12" ht="80.25" customHeight="1" x14ac:dyDescent="0.25">
      <c r="A20" s="13" t="s">
        <v>55</v>
      </c>
      <c r="B20" s="13" t="s">
        <v>465</v>
      </c>
      <c r="C20" s="29" t="s">
        <v>466</v>
      </c>
      <c r="D20" s="13" t="s">
        <v>678</v>
      </c>
      <c r="E20" s="13">
        <f>1+1+1</f>
        <v>3</v>
      </c>
      <c r="F20" s="1"/>
      <c r="G20" s="2">
        <v>0.23</v>
      </c>
      <c r="H20" s="55">
        <f t="shared" si="0"/>
        <v>0</v>
      </c>
      <c r="I20" s="55">
        <f t="shared" si="1"/>
        <v>0</v>
      </c>
      <c r="J20" s="55">
        <f t="shared" si="2"/>
        <v>0</v>
      </c>
      <c r="K20" s="92">
        <f t="shared" si="3"/>
        <v>0</v>
      </c>
      <c r="L20" s="3"/>
    </row>
    <row r="21" spans="1:12" ht="83.25" customHeight="1" x14ac:dyDescent="0.25">
      <c r="A21" s="13" t="s">
        <v>58</v>
      </c>
      <c r="B21" s="13" t="s">
        <v>659</v>
      </c>
      <c r="C21" s="29" t="s">
        <v>467</v>
      </c>
      <c r="D21" s="13" t="s">
        <v>678</v>
      </c>
      <c r="E21" s="13">
        <f>2+5</f>
        <v>7</v>
      </c>
      <c r="F21" s="1"/>
      <c r="G21" s="2">
        <v>0.23</v>
      </c>
      <c r="H21" s="55">
        <f t="shared" si="0"/>
        <v>0</v>
      </c>
      <c r="I21" s="55">
        <f t="shared" si="1"/>
        <v>0</v>
      </c>
      <c r="J21" s="55">
        <f t="shared" si="2"/>
        <v>0</v>
      </c>
      <c r="K21" s="92">
        <f t="shared" si="3"/>
        <v>0</v>
      </c>
      <c r="L21" s="3"/>
    </row>
    <row r="22" spans="1:12" ht="76.5" customHeight="1" x14ac:dyDescent="0.25">
      <c r="A22" s="13" t="s">
        <v>61</v>
      </c>
      <c r="B22" s="13" t="s">
        <v>468</v>
      </c>
      <c r="C22" s="29" t="s">
        <v>469</v>
      </c>
      <c r="D22" s="13" t="s">
        <v>678</v>
      </c>
      <c r="E22" s="13">
        <f>1+2+1</f>
        <v>4</v>
      </c>
      <c r="F22" s="1"/>
      <c r="G22" s="2">
        <v>0.23</v>
      </c>
      <c r="H22" s="55">
        <f t="shared" si="0"/>
        <v>0</v>
      </c>
      <c r="I22" s="55">
        <f t="shared" si="1"/>
        <v>0</v>
      </c>
      <c r="J22" s="55">
        <f t="shared" si="2"/>
        <v>0</v>
      </c>
      <c r="K22" s="92">
        <f t="shared" si="3"/>
        <v>0</v>
      </c>
      <c r="L22" s="3"/>
    </row>
    <row r="23" spans="1:12" ht="81.75" customHeight="1" x14ac:dyDescent="0.25">
      <c r="A23" s="13" t="s">
        <v>64</v>
      </c>
      <c r="B23" s="13" t="s">
        <v>470</v>
      </c>
      <c r="C23" s="29" t="s">
        <v>471</v>
      </c>
      <c r="D23" s="13" t="s">
        <v>678</v>
      </c>
      <c r="E23" s="13">
        <v>10</v>
      </c>
      <c r="F23" s="1"/>
      <c r="G23" s="2">
        <v>0.23</v>
      </c>
      <c r="H23" s="55">
        <f t="shared" si="0"/>
        <v>0</v>
      </c>
      <c r="I23" s="55">
        <f t="shared" si="1"/>
        <v>0</v>
      </c>
      <c r="J23" s="55">
        <f t="shared" si="2"/>
        <v>0</v>
      </c>
      <c r="K23" s="92">
        <f t="shared" si="3"/>
        <v>0</v>
      </c>
      <c r="L23" s="3"/>
    </row>
    <row r="24" spans="1:12" ht="81.75" customHeight="1" x14ac:dyDescent="0.25">
      <c r="A24" s="13" t="s">
        <v>67</v>
      </c>
      <c r="B24" s="21" t="s">
        <v>472</v>
      </c>
      <c r="C24" s="29" t="s">
        <v>473</v>
      </c>
      <c r="D24" s="13" t="s">
        <v>474</v>
      </c>
      <c r="E24" s="13">
        <v>2</v>
      </c>
      <c r="F24" s="1"/>
      <c r="G24" s="2">
        <v>0.23</v>
      </c>
      <c r="H24" s="55">
        <f t="shared" si="0"/>
        <v>0</v>
      </c>
      <c r="I24" s="55">
        <f t="shared" si="1"/>
        <v>0</v>
      </c>
      <c r="J24" s="55">
        <f t="shared" si="2"/>
        <v>0</v>
      </c>
      <c r="K24" s="92">
        <f t="shared" si="3"/>
        <v>0</v>
      </c>
      <c r="L24" s="3"/>
    </row>
    <row r="25" spans="1:12" ht="43.5" customHeight="1" x14ac:dyDescent="0.25">
      <c r="A25" s="13" t="s">
        <v>70</v>
      </c>
      <c r="B25" s="21" t="s">
        <v>475</v>
      </c>
      <c r="C25" s="29" t="s">
        <v>476</v>
      </c>
      <c r="D25" s="13" t="s">
        <v>474</v>
      </c>
      <c r="E25" s="13">
        <v>2</v>
      </c>
      <c r="F25" s="1"/>
      <c r="G25" s="2">
        <v>0.23</v>
      </c>
      <c r="H25" s="55">
        <f t="shared" si="0"/>
        <v>0</v>
      </c>
      <c r="I25" s="55">
        <f t="shared" si="1"/>
        <v>0</v>
      </c>
      <c r="J25" s="55">
        <f t="shared" si="2"/>
        <v>0</v>
      </c>
      <c r="K25" s="92">
        <f t="shared" si="3"/>
        <v>0</v>
      </c>
      <c r="L25" s="3"/>
    </row>
    <row r="26" spans="1:12" ht="43.5" customHeight="1" x14ac:dyDescent="0.25">
      <c r="A26" s="13" t="s">
        <v>73</v>
      </c>
      <c r="B26" s="13" t="s">
        <v>477</v>
      </c>
      <c r="C26" s="29" t="s">
        <v>478</v>
      </c>
      <c r="D26" s="13" t="s">
        <v>479</v>
      </c>
      <c r="E26" s="13">
        <f>1+1</f>
        <v>2</v>
      </c>
      <c r="F26" s="1"/>
      <c r="G26" s="2">
        <v>0.23</v>
      </c>
      <c r="H26" s="55">
        <f t="shared" si="0"/>
        <v>0</v>
      </c>
      <c r="I26" s="55">
        <f t="shared" si="1"/>
        <v>0</v>
      </c>
      <c r="J26" s="55">
        <f t="shared" si="2"/>
        <v>0</v>
      </c>
      <c r="K26" s="92">
        <f t="shared" si="3"/>
        <v>0</v>
      </c>
      <c r="L26" s="3"/>
    </row>
    <row r="27" spans="1:12" ht="51.75" customHeight="1" x14ac:dyDescent="0.25">
      <c r="A27" s="13" t="s">
        <v>76</v>
      </c>
      <c r="B27" s="13" t="s">
        <v>480</v>
      </c>
      <c r="C27" s="29" t="s">
        <v>481</v>
      </c>
      <c r="D27" s="13" t="s">
        <v>678</v>
      </c>
      <c r="E27" s="13">
        <f>2+2+1</f>
        <v>5</v>
      </c>
      <c r="F27" s="1"/>
      <c r="G27" s="2">
        <v>0.23</v>
      </c>
      <c r="H27" s="55">
        <f t="shared" si="0"/>
        <v>0</v>
      </c>
      <c r="I27" s="55">
        <f t="shared" si="1"/>
        <v>0</v>
      </c>
      <c r="J27" s="55">
        <f t="shared" si="2"/>
        <v>0</v>
      </c>
      <c r="K27" s="92">
        <f t="shared" si="3"/>
        <v>0</v>
      </c>
      <c r="L27" s="3"/>
    </row>
    <row r="28" spans="1:12" ht="51.75" customHeight="1" x14ac:dyDescent="0.25">
      <c r="A28" s="13" t="s">
        <v>79</v>
      </c>
      <c r="B28" s="13" t="s">
        <v>482</v>
      </c>
      <c r="C28" s="29" t="s">
        <v>483</v>
      </c>
      <c r="D28" s="13" t="s">
        <v>678</v>
      </c>
      <c r="E28" s="13">
        <f>1+1+1+2+1+1+1</f>
        <v>8</v>
      </c>
      <c r="F28" s="1"/>
      <c r="G28" s="2">
        <v>0.23</v>
      </c>
      <c r="H28" s="55">
        <f t="shared" si="0"/>
        <v>0</v>
      </c>
      <c r="I28" s="55">
        <f t="shared" si="1"/>
        <v>0</v>
      </c>
      <c r="J28" s="55">
        <f t="shared" si="2"/>
        <v>0</v>
      </c>
      <c r="K28" s="92">
        <f t="shared" si="3"/>
        <v>0</v>
      </c>
      <c r="L28" s="3"/>
    </row>
    <row r="29" spans="1:12" ht="51.75" customHeight="1" x14ac:dyDescent="0.25">
      <c r="A29" s="13" t="s">
        <v>80</v>
      </c>
      <c r="B29" s="13" t="s">
        <v>484</v>
      </c>
      <c r="C29" s="29" t="s">
        <v>485</v>
      </c>
      <c r="D29" s="13" t="s">
        <v>678</v>
      </c>
      <c r="E29" s="13">
        <f>2+1+2+2+1</f>
        <v>8</v>
      </c>
      <c r="F29" s="1"/>
      <c r="G29" s="2">
        <v>0.23</v>
      </c>
      <c r="H29" s="55">
        <f t="shared" si="0"/>
        <v>0</v>
      </c>
      <c r="I29" s="55">
        <f t="shared" si="1"/>
        <v>0</v>
      </c>
      <c r="J29" s="55">
        <f t="shared" si="2"/>
        <v>0</v>
      </c>
      <c r="K29" s="92">
        <f t="shared" si="3"/>
        <v>0</v>
      </c>
      <c r="L29" s="3"/>
    </row>
    <row r="30" spans="1:12" ht="52.5" customHeight="1" x14ac:dyDescent="0.25">
      <c r="A30" s="13" t="s">
        <v>81</v>
      </c>
      <c r="B30" s="13" t="s">
        <v>486</v>
      </c>
      <c r="C30" s="29" t="s">
        <v>487</v>
      </c>
      <c r="D30" s="13" t="s">
        <v>678</v>
      </c>
      <c r="E30" s="13">
        <v>1</v>
      </c>
      <c r="F30" s="1"/>
      <c r="G30" s="2">
        <v>0.23</v>
      </c>
      <c r="H30" s="55">
        <f t="shared" si="0"/>
        <v>0</v>
      </c>
      <c r="I30" s="55">
        <f t="shared" si="1"/>
        <v>0</v>
      </c>
      <c r="J30" s="55">
        <f t="shared" si="2"/>
        <v>0</v>
      </c>
      <c r="K30" s="92">
        <f t="shared" si="3"/>
        <v>0</v>
      </c>
      <c r="L30" s="3"/>
    </row>
    <row r="31" spans="1:12" ht="52.5" customHeight="1" x14ac:dyDescent="0.25">
      <c r="A31" s="13" t="s">
        <v>84</v>
      </c>
      <c r="B31" s="13" t="s">
        <v>488</v>
      </c>
      <c r="C31" s="29" t="s">
        <v>489</v>
      </c>
      <c r="D31" s="13" t="s">
        <v>678</v>
      </c>
      <c r="E31" s="13">
        <v>4</v>
      </c>
      <c r="F31" s="1"/>
      <c r="G31" s="2">
        <v>0.23</v>
      </c>
      <c r="H31" s="55">
        <f t="shared" si="0"/>
        <v>0</v>
      </c>
      <c r="I31" s="55">
        <f t="shared" si="1"/>
        <v>0</v>
      </c>
      <c r="J31" s="55">
        <f t="shared" si="2"/>
        <v>0</v>
      </c>
      <c r="K31" s="92">
        <f t="shared" si="3"/>
        <v>0</v>
      </c>
      <c r="L31" s="3"/>
    </row>
    <row r="32" spans="1:12" ht="81.75" customHeight="1" x14ac:dyDescent="0.25">
      <c r="A32" s="13" t="s">
        <v>87</v>
      </c>
      <c r="B32" s="13" t="s">
        <v>490</v>
      </c>
      <c r="C32" s="29" t="s">
        <v>491</v>
      </c>
      <c r="D32" s="13" t="s">
        <v>678</v>
      </c>
      <c r="E32" s="13">
        <v>2</v>
      </c>
      <c r="F32" s="1"/>
      <c r="G32" s="2">
        <v>0.23</v>
      </c>
      <c r="H32" s="55">
        <f t="shared" si="0"/>
        <v>0</v>
      </c>
      <c r="I32" s="55">
        <f t="shared" si="1"/>
        <v>0</v>
      </c>
      <c r="J32" s="55">
        <f t="shared" si="2"/>
        <v>0</v>
      </c>
      <c r="K32" s="92">
        <f t="shared" si="3"/>
        <v>0</v>
      </c>
      <c r="L32" s="3"/>
    </row>
    <row r="33" spans="1:12" ht="44.25" customHeight="1" x14ac:dyDescent="0.25">
      <c r="A33" s="13" t="s">
        <v>291</v>
      </c>
      <c r="B33" s="13" t="s">
        <v>492</v>
      </c>
      <c r="C33" s="29" t="s">
        <v>493</v>
      </c>
      <c r="D33" s="13" t="s">
        <v>678</v>
      </c>
      <c r="E33" s="13">
        <v>5</v>
      </c>
      <c r="F33" s="1"/>
      <c r="G33" s="2">
        <v>0.23</v>
      </c>
      <c r="H33" s="55">
        <f t="shared" si="0"/>
        <v>0</v>
      </c>
      <c r="I33" s="55">
        <f t="shared" si="1"/>
        <v>0</v>
      </c>
      <c r="J33" s="55">
        <f t="shared" si="2"/>
        <v>0</v>
      </c>
      <c r="K33" s="92">
        <f t="shared" si="3"/>
        <v>0</v>
      </c>
      <c r="L33" s="3"/>
    </row>
    <row r="34" spans="1:12" ht="44.25" customHeight="1" x14ac:dyDescent="0.25">
      <c r="A34" s="13" t="s">
        <v>92</v>
      </c>
      <c r="B34" s="13" t="s">
        <v>494</v>
      </c>
      <c r="C34" s="29" t="s">
        <v>495</v>
      </c>
      <c r="D34" s="13" t="s">
        <v>678</v>
      </c>
      <c r="E34" s="13">
        <v>5</v>
      </c>
      <c r="F34" s="1"/>
      <c r="G34" s="2">
        <v>0.23</v>
      </c>
      <c r="H34" s="55">
        <f t="shared" si="0"/>
        <v>0</v>
      </c>
      <c r="I34" s="55">
        <f t="shared" si="1"/>
        <v>0</v>
      </c>
      <c r="J34" s="55">
        <f t="shared" si="2"/>
        <v>0</v>
      </c>
      <c r="K34" s="92">
        <f t="shared" si="3"/>
        <v>0</v>
      </c>
      <c r="L34" s="3"/>
    </row>
    <row r="35" spans="1:12" ht="160.5" customHeight="1" x14ac:dyDescent="0.25">
      <c r="A35" s="13" t="s">
        <v>95</v>
      </c>
      <c r="B35" s="13" t="s">
        <v>496</v>
      </c>
      <c r="C35" s="29" t="s">
        <v>497</v>
      </c>
      <c r="D35" s="20" t="s">
        <v>498</v>
      </c>
      <c r="E35" s="13">
        <v>2</v>
      </c>
      <c r="F35" s="1"/>
      <c r="G35" s="2">
        <v>0.23</v>
      </c>
      <c r="H35" s="55">
        <f t="shared" si="0"/>
        <v>0</v>
      </c>
      <c r="I35" s="55">
        <f t="shared" si="1"/>
        <v>0</v>
      </c>
      <c r="J35" s="55">
        <f t="shared" si="2"/>
        <v>0</v>
      </c>
      <c r="K35" s="92">
        <f t="shared" si="3"/>
        <v>0</v>
      </c>
      <c r="L35" s="3"/>
    </row>
    <row r="36" spans="1:12" ht="47.25" customHeight="1" x14ac:dyDescent="0.25">
      <c r="A36" s="13" t="s">
        <v>96</v>
      </c>
      <c r="B36" s="13" t="s">
        <v>687</v>
      </c>
      <c r="C36" s="29" t="s">
        <v>688</v>
      </c>
      <c r="D36" s="13" t="s">
        <v>678</v>
      </c>
      <c r="E36" s="13">
        <f>1+1+2</f>
        <v>4</v>
      </c>
      <c r="F36" s="1"/>
      <c r="G36" s="2">
        <v>0.23</v>
      </c>
      <c r="H36" s="55">
        <f t="shared" si="0"/>
        <v>0</v>
      </c>
      <c r="I36" s="55">
        <f t="shared" si="1"/>
        <v>0</v>
      </c>
      <c r="J36" s="55">
        <f t="shared" si="2"/>
        <v>0</v>
      </c>
      <c r="K36" s="92">
        <f t="shared" si="3"/>
        <v>0</v>
      </c>
      <c r="L36" s="3"/>
    </row>
    <row r="37" spans="1:12" ht="47.25" customHeight="1" x14ac:dyDescent="0.25">
      <c r="A37" s="13" t="s">
        <v>97</v>
      </c>
      <c r="B37" s="13" t="s">
        <v>499</v>
      </c>
      <c r="C37" s="29" t="s">
        <v>499</v>
      </c>
      <c r="D37" s="13" t="s">
        <v>678</v>
      </c>
      <c r="E37" s="13">
        <f>4+1</f>
        <v>5</v>
      </c>
      <c r="F37" s="1"/>
      <c r="G37" s="2">
        <v>0.23</v>
      </c>
      <c r="H37" s="55">
        <f t="shared" si="0"/>
        <v>0</v>
      </c>
      <c r="I37" s="55">
        <f t="shared" si="1"/>
        <v>0</v>
      </c>
      <c r="J37" s="55">
        <f t="shared" si="2"/>
        <v>0</v>
      </c>
      <c r="K37" s="92">
        <f t="shared" si="3"/>
        <v>0</v>
      </c>
      <c r="L37" s="3"/>
    </row>
    <row r="38" spans="1:12" ht="59.25" customHeight="1" x14ac:dyDescent="0.25">
      <c r="A38" s="13" t="s">
        <v>98</v>
      </c>
      <c r="B38" s="13" t="s">
        <v>500</v>
      </c>
      <c r="C38" s="29" t="s">
        <v>501</v>
      </c>
      <c r="D38" s="13" t="s">
        <v>678</v>
      </c>
      <c r="E38" s="13">
        <v>1</v>
      </c>
      <c r="F38" s="1"/>
      <c r="G38" s="2">
        <v>0.23</v>
      </c>
      <c r="H38" s="55">
        <f t="shared" si="0"/>
        <v>0</v>
      </c>
      <c r="I38" s="55">
        <f t="shared" si="1"/>
        <v>0</v>
      </c>
      <c r="J38" s="55">
        <f t="shared" si="2"/>
        <v>0</v>
      </c>
      <c r="K38" s="92">
        <f t="shared" si="3"/>
        <v>0</v>
      </c>
      <c r="L38" s="3"/>
    </row>
    <row r="39" spans="1:12" ht="92.25" customHeight="1" x14ac:dyDescent="0.25">
      <c r="A39" s="13" t="s">
        <v>99</v>
      </c>
      <c r="B39" s="13" t="s">
        <v>502</v>
      </c>
      <c r="C39" s="29" t="s">
        <v>503</v>
      </c>
      <c r="D39" s="13" t="s">
        <v>678</v>
      </c>
      <c r="E39" s="13">
        <v>3</v>
      </c>
      <c r="F39" s="1"/>
      <c r="G39" s="2">
        <v>0.23</v>
      </c>
      <c r="H39" s="55">
        <f t="shared" si="0"/>
        <v>0</v>
      </c>
      <c r="I39" s="55">
        <f t="shared" si="1"/>
        <v>0</v>
      </c>
      <c r="J39" s="55">
        <f t="shared" si="2"/>
        <v>0</v>
      </c>
      <c r="K39" s="92">
        <f t="shared" si="3"/>
        <v>0</v>
      </c>
      <c r="L39" s="3"/>
    </row>
    <row r="40" spans="1:12" ht="102.75" customHeight="1" x14ac:dyDescent="0.25">
      <c r="A40" s="13" t="s">
        <v>100</v>
      </c>
      <c r="B40" s="13" t="s">
        <v>504</v>
      </c>
      <c r="C40" s="29" t="s">
        <v>505</v>
      </c>
      <c r="D40" s="13" t="s">
        <v>678</v>
      </c>
      <c r="E40" s="13">
        <v>1</v>
      </c>
      <c r="F40" s="1"/>
      <c r="G40" s="2">
        <v>0.23</v>
      </c>
      <c r="H40" s="55">
        <f t="shared" si="0"/>
        <v>0</v>
      </c>
      <c r="I40" s="55">
        <f t="shared" si="1"/>
        <v>0</v>
      </c>
      <c r="J40" s="55">
        <f t="shared" si="2"/>
        <v>0</v>
      </c>
      <c r="K40" s="92">
        <f t="shared" si="3"/>
        <v>0</v>
      </c>
      <c r="L40" s="3"/>
    </row>
    <row r="41" spans="1:12" ht="45" customHeight="1" x14ac:dyDescent="0.25">
      <c r="A41" s="13" t="s">
        <v>103</v>
      </c>
      <c r="B41" s="13" t="s">
        <v>506</v>
      </c>
      <c r="C41" s="29" t="s">
        <v>507</v>
      </c>
      <c r="D41" s="13" t="s">
        <v>684</v>
      </c>
      <c r="E41" s="13">
        <v>1</v>
      </c>
      <c r="F41" s="1"/>
      <c r="G41" s="2">
        <v>0.23</v>
      </c>
      <c r="H41" s="55">
        <f t="shared" si="0"/>
        <v>0</v>
      </c>
      <c r="I41" s="55">
        <f t="shared" si="1"/>
        <v>0</v>
      </c>
      <c r="J41" s="55">
        <f t="shared" si="2"/>
        <v>0</v>
      </c>
      <c r="K41" s="92">
        <f t="shared" si="3"/>
        <v>0</v>
      </c>
      <c r="L41" s="3"/>
    </row>
    <row r="42" spans="1:12" ht="45" customHeight="1" x14ac:dyDescent="0.25">
      <c r="A42" s="13" t="s">
        <v>104</v>
      </c>
      <c r="B42" s="13" t="s">
        <v>508</v>
      </c>
      <c r="C42" s="29" t="s">
        <v>509</v>
      </c>
      <c r="D42" s="13" t="s">
        <v>684</v>
      </c>
      <c r="E42" s="13">
        <v>1</v>
      </c>
      <c r="F42" s="1"/>
      <c r="G42" s="2">
        <v>0.23</v>
      </c>
      <c r="H42" s="55">
        <f t="shared" si="0"/>
        <v>0</v>
      </c>
      <c r="I42" s="55">
        <f t="shared" si="1"/>
        <v>0</v>
      </c>
      <c r="J42" s="55">
        <f t="shared" si="2"/>
        <v>0</v>
      </c>
      <c r="K42" s="92">
        <f t="shared" si="3"/>
        <v>0</v>
      </c>
      <c r="L42" s="3"/>
    </row>
    <row r="43" spans="1:12" ht="62.25" customHeight="1" x14ac:dyDescent="0.25">
      <c r="A43" s="13" t="s">
        <v>105</v>
      </c>
      <c r="B43" s="13" t="s">
        <v>510</v>
      </c>
      <c r="C43" s="29" t="s">
        <v>511</v>
      </c>
      <c r="D43" s="13" t="s">
        <v>678</v>
      </c>
      <c r="E43" s="13">
        <v>1</v>
      </c>
      <c r="F43" s="1"/>
      <c r="G43" s="2">
        <v>0.23</v>
      </c>
      <c r="H43" s="55">
        <f t="shared" si="0"/>
        <v>0</v>
      </c>
      <c r="I43" s="55">
        <f t="shared" si="1"/>
        <v>0</v>
      </c>
      <c r="J43" s="55">
        <f t="shared" si="2"/>
        <v>0</v>
      </c>
      <c r="K43" s="92">
        <f t="shared" si="3"/>
        <v>0</v>
      </c>
      <c r="L43" s="3"/>
    </row>
    <row r="44" spans="1:12" ht="62.25" customHeight="1" x14ac:dyDescent="0.25">
      <c r="A44" s="13" t="s">
        <v>108</v>
      </c>
      <c r="B44" s="13" t="s">
        <v>512</v>
      </c>
      <c r="C44" s="29" t="s">
        <v>513</v>
      </c>
      <c r="D44" s="13" t="s">
        <v>678</v>
      </c>
      <c r="E44" s="13">
        <v>2</v>
      </c>
      <c r="F44" s="1"/>
      <c r="G44" s="2">
        <v>0.23</v>
      </c>
      <c r="H44" s="55">
        <f t="shared" si="0"/>
        <v>0</v>
      </c>
      <c r="I44" s="55">
        <f t="shared" si="1"/>
        <v>0</v>
      </c>
      <c r="J44" s="55">
        <f t="shared" si="2"/>
        <v>0</v>
      </c>
      <c r="K44" s="92">
        <f t="shared" si="3"/>
        <v>0</v>
      </c>
      <c r="L44" s="3"/>
    </row>
    <row r="45" spans="1:12" ht="62.25" customHeight="1" x14ac:dyDescent="0.25">
      <c r="A45" s="13" t="s">
        <v>111</v>
      </c>
      <c r="B45" s="13" t="s">
        <v>514</v>
      </c>
      <c r="C45" s="29" t="s">
        <v>515</v>
      </c>
      <c r="D45" s="13" t="s">
        <v>678</v>
      </c>
      <c r="E45" s="13">
        <v>2</v>
      </c>
      <c r="F45" s="1"/>
      <c r="G45" s="2">
        <v>0.23</v>
      </c>
      <c r="H45" s="55">
        <f t="shared" si="0"/>
        <v>0</v>
      </c>
      <c r="I45" s="55">
        <f t="shared" si="1"/>
        <v>0</v>
      </c>
      <c r="J45" s="55">
        <f t="shared" si="2"/>
        <v>0</v>
      </c>
      <c r="K45" s="92">
        <f t="shared" si="3"/>
        <v>0</v>
      </c>
      <c r="L45" s="3"/>
    </row>
    <row r="46" spans="1:12" ht="81.75" customHeight="1" x14ac:dyDescent="0.25">
      <c r="A46" s="13" t="s">
        <v>114</v>
      </c>
      <c r="B46" s="13" t="s">
        <v>516</v>
      </c>
      <c r="C46" s="29" t="s">
        <v>517</v>
      </c>
      <c r="D46" s="13" t="s">
        <v>678</v>
      </c>
      <c r="E46" s="13">
        <f>1+1+1</f>
        <v>3</v>
      </c>
      <c r="F46" s="1"/>
      <c r="G46" s="2">
        <v>0.23</v>
      </c>
      <c r="H46" s="55">
        <f t="shared" si="0"/>
        <v>0</v>
      </c>
      <c r="I46" s="55">
        <f t="shared" si="1"/>
        <v>0</v>
      </c>
      <c r="J46" s="55">
        <f t="shared" si="2"/>
        <v>0</v>
      </c>
      <c r="K46" s="92">
        <f t="shared" si="3"/>
        <v>0</v>
      </c>
      <c r="L46" s="3"/>
    </row>
    <row r="47" spans="1:12" ht="41.25" customHeight="1" x14ac:dyDescent="0.25">
      <c r="A47" s="13" t="s">
        <v>117</v>
      </c>
      <c r="B47" s="13" t="s">
        <v>685</v>
      </c>
      <c r="C47" s="29" t="s">
        <v>686</v>
      </c>
      <c r="D47" s="13" t="s">
        <v>678</v>
      </c>
      <c r="E47" s="13">
        <v>3</v>
      </c>
      <c r="F47" s="1"/>
      <c r="G47" s="2">
        <v>0.23</v>
      </c>
      <c r="H47" s="55">
        <f t="shared" si="0"/>
        <v>0</v>
      </c>
      <c r="I47" s="55">
        <f t="shared" si="1"/>
        <v>0</v>
      </c>
      <c r="J47" s="55">
        <f t="shared" si="2"/>
        <v>0</v>
      </c>
      <c r="K47" s="92">
        <f t="shared" si="3"/>
        <v>0</v>
      </c>
      <c r="L47" s="3"/>
    </row>
    <row r="48" spans="1:12" ht="30" x14ac:dyDescent="0.25">
      <c r="A48" s="13" t="s">
        <v>120</v>
      </c>
      <c r="B48" s="13" t="s">
        <v>518</v>
      </c>
      <c r="C48" s="29" t="s">
        <v>519</v>
      </c>
      <c r="D48" s="13" t="s">
        <v>678</v>
      </c>
      <c r="E48" s="13">
        <f>5+2+1</f>
        <v>8</v>
      </c>
      <c r="F48" s="1"/>
      <c r="G48" s="2">
        <v>0.23</v>
      </c>
      <c r="H48" s="55">
        <f t="shared" si="0"/>
        <v>0</v>
      </c>
      <c r="I48" s="55">
        <f t="shared" si="1"/>
        <v>0</v>
      </c>
      <c r="J48" s="55">
        <f t="shared" si="2"/>
        <v>0</v>
      </c>
      <c r="K48" s="92">
        <f t="shared" si="3"/>
        <v>0</v>
      </c>
      <c r="L48" s="3"/>
    </row>
    <row r="49" spans="1:12" ht="30" x14ac:dyDescent="0.25">
      <c r="A49" s="13" t="s">
        <v>121</v>
      </c>
      <c r="B49" s="13" t="s">
        <v>720</v>
      </c>
      <c r="C49" s="29" t="s">
        <v>721</v>
      </c>
      <c r="D49" s="13" t="s">
        <v>16</v>
      </c>
      <c r="E49" s="13">
        <v>1</v>
      </c>
      <c r="F49" s="41"/>
      <c r="G49" s="2">
        <v>0.23</v>
      </c>
      <c r="H49" s="55">
        <f t="shared" si="0"/>
        <v>0</v>
      </c>
      <c r="I49" s="55">
        <f t="shared" si="1"/>
        <v>0</v>
      </c>
      <c r="J49" s="55">
        <f t="shared" si="2"/>
        <v>0</v>
      </c>
      <c r="K49" s="92">
        <f t="shared" si="3"/>
        <v>0</v>
      </c>
      <c r="L49" s="3"/>
    </row>
    <row r="50" spans="1:12" ht="30" x14ac:dyDescent="0.25">
      <c r="A50" s="13" t="s">
        <v>124</v>
      </c>
      <c r="B50" s="13" t="s">
        <v>520</v>
      </c>
      <c r="C50" s="29" t="s">
        <v>521</v>
      </c>
      <c r="D50" s="13" t="s">
        <v>678</v>
      </c>
      <c r="E50" s="13">
        <v>3</v>
      </c>
      <c r="F50" s="1"/>
      <c r="G50" s="2">
        <v>0.23</v>
      </c>
      <c r="H50" s="55">
        <f t="shared" si="0"/>
        <v>0</v>
      </c>
      <c r="I50" s="55">
        <f t="shared" si="1"/>
        <v>0</v>
      </c>
      <c r="J50" s="55">
        <f t="shared" si="2"/>
        <v>0</v>
      </c>
      <c r="K50" s="92">
        <f t="shared" si="3"/>
        <v>0</v>
      </c>
      <c r="L50" s="3"/>
    </row>
    <row r="51" spans="1:12" ht="30" x14ac:dyDescent="0.25">
      <c r="A51" s="13" t="s">
        <v>771</v>
      </c>
      <c r="B51" s="13" t="s">
        <v>522</v>
      </c>
      <c r="C51" s="29" t="s">
        <v>523</v>
      </c>
      <c r="D51" s="13" t="s">
        <v>678</v>
      </c>
      <c r="E51" s="13">
        <f>3+5</f>
        <v>8</v>
      </c>
      <c r="F51" s="1"/>
      <c r="G51" s="2">
        <v>0.23</v>
      </c>
      <c r="H51" s="55">
        <f t="shared" si="0"/>
        <v>0</v>
      </c>
      <c r="I51" s="55">
        <f t="shared" si="1"/>
        <v>0</v>
      </c>
      <c r="J51" s="55">
        <f t="shared" si="2"/>
        <v>0</v>
      </c>
      <c r="K51" s="92">
        <f t="shared" si="3"/>
        <v>0</v>
      </c>
      <c r="L51" s="3"/>
    </row>
    <row r="52" spans="1:12" x14ac:dyDescent="0.25">
      <c r="A52" s="126" t="s">
        <v>198</v>
      </c>
      <c r="B52" s="126"/>
      <c r="C52" s="126"/>
      <c r="D52" s="126"/>
      <c r="E52" s="126"/>
      <c r="F52" s="57" t="s">
        <v>199</v>
      </c>
      <c r="G52" s="57" t="s">
        <v>199</v>
      </c>
      <c r="H52" s="58">
        <f>SUM(H4:H51)</f>
        <v>0</v>
      </c>
      <c r="I52" s="58">
        <f>SUM(I4:I51)</f>
        <v>0</v>
      </c>
      <c r="J52" s="58">
        <f>SUM(J4:J51)</f>
        <v>0</v>
      </c>
      <c r="K52" s="58">
        <f>SUM(K4:K51)</f>
        <v>0</v>
      </c>
      <c r="L52" s="59"/>
    </row>
    <row r="53" spans="1:12" x14ac:dyDescent="0.25">
      <c r="B53" s="93"/>
      <c r="C53" s="94"/>
      <c r="D53" s="93"/>
      <c r="E53" s="93"/>
      <c r="F53" s="95"/>
      <c r="G53" s="95"/>
      <c r="H53" s="95"/>
      <c r="I53" s="95"/>
      <c r="J53" s="95"/>
      <c r="K53" s="95"/>
      <c r="L53" s="95"/>
    </row>
    <row r="54" spans="1:12" x14ac:dyDescent="0.25">
      <c r="B54" s="93"/>
      <c r="C54" s="94"/>
      <c r="D54" s="93"/>
      <c r="E54" s="93"/>
      <c r="F54" s="95"/>
      <c r="G54" s="95"/>
      <c r="H54" s="95"/>
      <c r="I54" s="95"/>
      <c r="J54" s="95"/>
      <c r="K54" s="95"/>
      <c r="L54" s="95"/>
    </row>
    <row r="55" spans="1:12" x14ac:dyDescent="0.25">
      <c r="B55" s="93"/>
      <c r="C55" s="94"/>
      <c r="D55" s="93"/>
      <c r="E55" s="93"/>
      <c r="F55" s="95"/>
      <c r="G55" s="95"/>
      <c r="H55" s="95"/>
      <c r="I55" s="95"/>
      <c r="J55" s="95"/>
      <c r="K55" s="95"/>
      <c r="L55" s="95"/>
    </row>
    <row r="56" spans="1:12" x14ac:dyDescent="0.25">
      <c r="B56" s="93"/>
      <c r="C56" s="94"/>
      <c r="D56" s="93"/>
      <c r="E56" s="93"/>
      <c r="F56" s="95"/>
      <c r="G56" s="95"/>
      <c r="H56" s="95"/>
      <c r="I56" s="95"/>
      <c r="J56" s="95"/>
      <c r="K56" s="95"/>
      <c r="L56" s="95"/>
    </row>
    <row r="57" spans="1:12" x14ac:dyDescent="0.25">
      <c r="B57" s="93"/>
      <c r="C57" s="94"/>
      <c r="D57" s="93"/>
      <c r="E57" s="93"/>
      <c r="F57" s="95"/>
      <c r="G57" s="95"/>
      <c r="H57" s="95"/>
      <c r="I57" s="95"/>
      <c r="J57" s="95"/>
      <c r="K57" s="95"/>
      <c r="L57" s="95"/>
    </row>
    <row r="58" spans="1:12" x14ac:dyDescent="0.25">
      <c r="B58" s="93"/>
      <c r="C58" s="94"/>
      <c r="D58" s="93"/>
      <c r="E58" s="93"/>
      <c r="F58" s="95"/>
      <c r="G58" s="95"/>
      <c r="H58" s="95"/>
      <c r="I58" s="95"/>
      <c r="J58" s="95"/>
      <c r="K58" s="95"/>
      <c r="L58" s="95"/>
    </row>
    <row r="59" spans="1:12" x14ac:dyDescent="0.25">
      <c r="B59" s="93"/>
      <c r="C59" s="94"/>
      <c r="D59" s="93"/>
      <c r="E59" s="93"/>
      <c r="F59" s="95"/>
      <c r="G59" s="95"/>
      <c r="H59" s="95"/>
      <c r="I59" s="95"/>
      <c r="J59" s="95"/>
      <c r="K59" s="95"/>
      <c r="L59" s="95"/>
    </row>
    <row r="60" spans="1:12" x14ac:dyDescent="0.25">
      <c r="B60" s="93"/>
      <c r="C60" s="94"/>
      <c r="D60" s="93"/>
      <c r="E60" s="93"/>
      <c r="F60" s="95"/>
      <c r="G60" s="95"/>
      <c r="H60" s="95"/>
      <c r="I60" s="95"/>
      <c r="J60" s="95"/>
      <c r="K60" s="95"/>
      <c r="L60" s="95"/>
    </row>
    <row r="61" spans="1:12" x14ac:dyDescent="0.25">
      <c r="B61" s="93"/>
      <c r="C61" s="94"/>
      <c r="D61" s="93"/>
      <c r="E61" s="93"/>
      <c r="F61" s="95"/>
      <c r="G61" s="95"/>
      <c r="H61" s="95"/>
      <c r="I61" s="95"/>
      <c r="J61" s="95"/>
      <c r="K61" s="95"/>
      <c r="L61" s="95"/>
    </row>
    <row r="62" spans="1:12" x14ac:dyDescent="0.25">
      <c r="B62" s="93"/>
      <c r="C62" s="94"/>
      <c r="D62" s="95"/>
      <c r="E62" s="95"/>
      <c r="F62" s="95"/>
      <c r="G62" s="95"/>
      <c r="H62" s="95"/>
      <c r="I62" s="95"/>
      <c r="J62" s="95"/>
      <c r="K62" s="95"/>
      <c r="L62" s="95"/>
    </row>
    <row r="63" spans="1:12" x14ac:dyDescent="0.25">
      <c r="B63" s="93"/>
      <c r="C63" s="94"/>
      <c r="D63" s="95"/>
      <c r="E63" s="95"/>
      <c r="F63" s="95"/>
      <c r="G63" s="95"/>
      <c r="H63" s="95"/>
      <c r="I63" s="95"/>
      <c r="J63" s="95"/>
      <c r="K63" s="95"/>
      <c r="L63" s="95"/>
    </row>
    <row r="64" spans="1:12" x14ac:dyDescent="0.25">
      <c r="B64" s="93"/>
      <c r="C64" s="94"/>
      <c r="D64" s="95"/>
      <c r="E64" s="95"/>
      <c r="F64" s="95"/>
      <c r="G64" s="95"/>
      <c r="H64" s="95"/>
      <c r="I64" s="95"/>
      <c r="J64" s="95"/>
      <c r="K64" s="95"/>
      <c r="L64" s="95"/>
    </row>
    <row r="65" spans="2:12" x14ac:dyDescent="0.25">
      <c r="B65" s="93"/>
      <c r="C65" s="94"/>
      <c r="D65" s="95"/>
      <c r="E65" s="95"/>
      <c r="F65" s="95"/>
      <c r="G65" s="95"/>
      <c r="H65" s="95"/>
      <c r="I65" s="95"/>
      <c r="J65" s="95"/>
      <c r="K65" s="95"/>
      <c r="L65" s="95"/>
    </row>
    <row r="66" spans="2:12" x14ac:dyDescent="0.25">
      <c r="B66" s="93"/>
      <c r="C66" s="94"/>
      <c r="D66" s="95"/>
      <c r="E66" s="95"/>
      <c r="F66" s="95"/>
      <c r="G66" s="95"/>
      <c r="H66" s="95"/>
      <c r="I66" s="95"/>
      <c r="J66" s="95"/>
      <c r="K66" s="95"/>
      <c r="L66" s="95"/>
    </row>
    <row r="67" spans="2:12" x14ac:dyDescent="0.25">
      <c r="B67" s="93"/>
      <c r="C67" s="94"/>
      <c r="D67" s="95"/>
      <c r="E67" s="95"/>
      <c r="F67" s="95"/>
      <c r="G67" s="95"/>
      <c r="H67" s="95"/>
      <c r="I67" s="95"/>
      <c r="J67" s="95"/>
      <c r="K67" s="95"/>
      <c r="L67" s="95"/>
    </row>
  </sheetData>
  <sheetProtection algorithmName="SHA-512" hashValue="S6HWfzgSkhvpX2HhCaiPSzlQXP/2GWjW/zr0+CuL9JkSMdxnTvCcha+qUbPOd7AACFqyPJ0SErD0UVpPn/2jqg==" saltValue="k3iylGgOOlJEnbVMTxPdfQ==" spinCount="100000" sheet="1" objects="1" scenarios="1" selectLockedCells="1"/>
  <autoFilter ref="A2:L52" xr:uid="{8DDDDC47-C1A0-4B45-8D59-A7340A483BDA}"/>
  <mergeCells count="2">
    <mergeCell ref="A1:K1"/>
    <mergeCell ref="A52:E52"/>
  </mergeCells>
  <phoneticPr fontId="13" type="noConversion"/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E38D3-761B-40AA-BFC9-FAD7D2BF7557}">
  <dimension ref="A1:L29"/>
  <sheetViews>
    <sheetView zoomScale="90" zoomScaleNormal="90" workbookViewId="0">
      <selection activeCell="G6" sqref="G6"/>
    </sheetView>
  </sheetViews>
  <sheetFormatPr defaultColWidth="11" defaultRowHeight="15.75" x14ac:dyDescent="0.25"/>
  <cols>
    <col min="1" max="1" width="7.125" style="47" customWidth="1"/>
    <col min="2" max="2" width="20.5" style="81" bestFit="1" customWidth="1"/>
    <col min="3" max="3" width="52" style="60" customWidth="1"/>
    <col min="4" max="4" width="14.125" style="47" customWidth="1"/>
    <col min="5" max="5" width="9" style="47"/>
    <col min="6" max="6" width="13.875" style="47" customWidth="1"/>
    <col min="7" max="7" width="13.125" style="47" customWidth="1"/>
    <col min="8" max="8" width="16" style="47" customWidth="1"/>
    <col min="9" max="9" width="17.5" style="47" customWidth="1"/>
    <col min="10" max="10" width="15.875" style="47" customWidth="1"/>
    <col min="11" max="11" width="19.375" style="47" customWidth="1"/>
    <col min="12" max="12" width="42.5" style="47" customWidth="1"/>
    <col min="13" max="16384" width="11" style="47"/>
  </cols>
  <sheetData>
    <row r="1" spans="1:12" ht="47.25" customHeight="1" x14ac:dyDescent="0.25">
      <c r="A1" s="121" t="s">
        <v>656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6" t="s">
        <v>0</v>
      </c>
    </row>
    <row r="2" spans="1:12" ht="25.5" x14ac:dyDescent="0.25">
      <c r="A2" s="50" t="s">
        <v>1</v>
      </c>
      <c r="B2" s="50" t="s">
        <v>2</v>
      </c>
      <c r="C2" s="97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76" t="s">
        <v>9</v>
      </c>
      <c r="J2" s="50" t="s">
        <v>10</v>
      </c>
      <c r="K2" s="50" t="s">
        <v>11</v>
      </c>
      <c r="L2" s="50" t="s">
        <v>12</v>
      </c>
    </row>
    <row r="3" spans="1:12" x14ac:dyDescent="0.25">
      <c r="A3" s="82">
        <v>1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82">
        <v>9</v>
      </c>
      <c r="J3" s="82">
        <v>10</v>
      </c>
      <c r="K3" s="82">
        <v>11</v>
      </c>
      <c r="L3" s="66">
        <v>12</v>
      </c>
    </row>
    <row r="4" spans="1:12" ht="39" customHeight="1" x14ac:dyDescent="0.25">
      <c r="A4" s="12">
        <f>ROW(A1)</f>
        <v>1</v>
      </c>
      <c r="B4" s="12" t="s">
        <v>524</v>
      </c>
      <c r="C4" s="29" t="s">
        <v>525</v>
      </c>
      <c r="D4" s="12" t="s">
        <v>202</v>
      </c>
      <c r="E4" s="12">
        <v>8</v>
      </c>
      <c r="F4" s="1"/>
      <c r="G4" s="2">
        <v>0.23</v>
      </c>
      <c r="H4" s="55">
        <f t="shared" ref="H4:H28" si="0">F4*G4</f>
        <v>0</v>
      </c>
      <c r="I4" s="55">
        <f t="shared" ref="I4:I28" si="1">F4*E4</f>
        <v>0</v>
      </c>
      <c r="J4" s="55">
        <f t="shared" ref="J4:J28" si="2">H4*E4</f>
        <v>0</v>
      </c>
      <c r="K4" s="55">
        <f t="shared" ref="K4:K28" si="3">I4+J4</f>
        <v>0</v>
      </c>
      <c r="L4" s="3"/>
    </row>
    <row r="5" spans="1:12" ht="39.75" customHeight="1" x14ac:dyDescent="0.25">
      <c r="A5" s="12">
        <f t="shared" ref="A5:A28" si="4">ROW(A2)</f>
        <v>2</v>
      </c>
      <c r="B5" s="12" t="s">
        <v>524</v>
      </c>
      <c r="C5" s="29" t="s">
        <v>526</v>
      </c>
      <c r="D5" s="14" t="s">
        <v>202</v>
      </c>
      <c r="E5" s="12">
        <v>2</v>
      </c>
      <c r="F5" s="1"/>
      <c r="G5" s="2">
        <v>0.23</v>
      </c>
      <c r="H5" s="55">
        <f t="shared" si="0"/>
        <v>0</v>
      </c>
      <c r="I5" s="55">
        <f t="shared" si="1"/>
        <v>0</v>
      </c>
      <c r="J5" s="55">
        <f t="shared" si="2"/>
        <v>0</v>
      </c>
      <c r="K5" s="55">
        <f t="shared" si="3"/>
        <v>0</v>
      </c>
      <c r="L5" s="3"/>
    </row>
    <row r="6" spans="1:12" ht="112.5" customHeight="1" x14ac:dyDescent="0.25">
      <c r="A6" s="12">
        <f t="shared" si="4"/>
        <v>3</v>
      </c>
      <c r="B6" s="12" t="s">
        <v>527</v>
      </c>
      <c r="C6" s="29" t="s">
        <v>528</v>
      </c>
      <c r="D6" s="12" t="s">
        <v>163</v>
      </c>
      <c r="E6" s="12">
        <f>1+1</f>
        <v>2</v>
      </c>
      <c r="F6" s="1"/>
      <c r="G6" s="2">
        <v>0.23</v>
      </c>
      <c r="H6" s="55">
        <f t="shared" si="0"/>
        <v>0</v>
      </c>
      <c r="I6" s="55">
        <f t="shared" si="1"/>
        <v>0</v>
      </c>
      <c r="J6" s="55">
        <f t="shared" si="2"/>
        <v>0</v>
      </c>
      <c r="K6" s="55">
        <f t="shared" si="3"/>
        <v>0</v>
      </c>
      <c r="L6" s="3"/>
    </row>
    <row r="7" spans="1:12" ht="76.5" customHeight="1" x14ac:dyDescent="0.25">
      <c r="A7" s="12">
        <f t="shared" si="4"/>
        <v>4</v>
      </c>
      <c r="B7" s="13" t="s">
        <v>529</v>
      </c>
      <c r="C7" s="30" t="s">
        <v>530</v>
      </c>
      <c r="D7" s="13" t="s">
        <v>678</v>
      </c>
      <c r="E7" s="12">
        <f>2+1</f>
        <v>3</v>
      </c>
      <c r="F7" s="1"/>
      <c r="G7" s="2">
        <v>0.23</v>
      </c>
      <c r="H7" s="55">
        <f t="shared" si="0"/>
        <v>0</v>
      </c>
      <c r="I7" s="55">
        <f t="shared" si="1"/>
        <v>0</v>
      </c>
      <c r="J7" s="55">
        <f t="shared" si="2"/>
        <v>0</v>
      </c>
      <c r="K7" s="55">
        <f t="shared" si="3"/>
        <v>0</v>
      </c>
      <c r="L7" s="3"/>
    </row>
    <row r="8" spans="1:12" ht="76.5" customHeight="1" x14ac:dyDescent="0.25">
      <c r="A8" s="12">
        <f t="shared" si="4"/>
        <v>5</v>
      </c>
      <c r="B8" s="13" t="s">
        <v>531</v>
      </c>
      <c r="C8" s="30" t="s">
        <v>532</v>
      </c>
      <c r="D8" s="13" t="s">
        <v>678</v>
      </c>
      <c r="E8" s="12">
        <v>3</v>
      </c>
      <c r="F8" s="1"/>
      <c r="G8" s="2">
        <v>0.23</v>
      </c>
      <c r="H8" s="55">
        <f t="shared" si="0"/>
        <v>0</v>
      </c>
      <c r="I8" s="55">
        <f t="shared" si="1"/>
        <v>0</v>
      </c>
      <c r="J8" s="55">
        <f t="shared" si="2"/>
        <v>0</v>
      </c>
      <c r="K8" s="55">
        <f t="shared" si="3"/>
        <v>0</v>
      </c>
      <c r="L8" s="3"/>
    </row>
    <row r="9" spans="1:12" ht="90" customHeight="1" x14ac:dyDescent="0.25">
      <c r="A9" s="12">
        <f t="shared" si="4"/>
        <v>6</v>
      </c>
      <c r="B9" s="12" t="s">
        <v>533</v>
      </c>
      <c r="C9" s="29" t="s">
        <v>534</v>
      </c>
      <c r="D9" s="12" t="s">
        <v>535</v>
      </c>
      <c r="E9" s="12">
        <f>1+1</f>
        <v>2</v>
      </c>
      <c r="F9" s="1"/>
      <c r="G9" s="2">
        <v>0.23</v>
      </c>
      <c r="H9" s="55">
        <f t="shared" si="0"/>
        <v>0</v>
      </c>
      <c r="I9" s="55">
        <f t="shared" si="1"/>
        <v>0</v>
      </c>
      <c r="J9" s="55">
        <f t="shared" si="2"/>
        <v>0</v>
      </c>
      <c r="K9" s="55">
        <f t="shared" si="3"/>
        <v>0</v>
      </c>
      <c r="L9" s="3"/>
    </row>
    <row r="10" spans="1:12" ht="76.5" customHeight="1" x14ac:dyDescent="0.25">
      <c r="A10" s="12">
        <f t="shared" si="4"/>
        <v>7</v>
      </c>
      <c r="B10" s="12" t="s">
        <v>536</v>
      </c>
      <c r="C10" s="29" t="s">
        <v>537</v>
      </c>
      <c r="D10" s="13" t="s">
        <v>678</v>
      </c>
      <c r="E10" s="12">
        <f>8+2</f>
        <v>10</v>
      </c>
      <c r="F10" s="1"/>
      <c r="G10" s="2">
        <v>0.23</v>
      </c>
      <c r="H10" s="55">
        <f t="shared" si="0"/>
        <v>0</v>
      </c>
      <c r="I10" s="55">
        <f t="shared" si="1"/>
        <v>0</v>
      </c>
      <c r="J10" s="55">
        <f t="shared" si="2"/>
        <v>0</v>
      </c>
      <c r="K10" s="55">
        <f t="shared" si="3"/>
        <v>0</v>
      </c>
      <c r="L10" s="3"/>
    </row>
    <row r="11" spans="1:12" ht="116.25" customHeight="1" x14ac:dyDescent="0.25">
      <c r="A11" s="12">
        <f t="shared" si="4"/>
        <v>8</v>
      </c>
      <c r="B11" s="12" t="s">
        <v>538</v>
      </c>
      <c r="C11" s="29" t="s">
        <v>539</v>
      </c>
      <c r="D11" s="13" t="s">
        <v>678</v>
      </c>
      <c r="E11" s="12">
        <v>1</v>
      </c>
      <c r="F11" s="1"/>
      <c r="G11" s="2">
        <v>0.23</v>
      </c>
      <c r="H11" s="55">
        <f t="shared" si="0"/>
        <v>0</v>
      </c>
      <c r="I11" s="55">
        <f t="shared" si="1"/>
        <v>0</v>
      </c>
      <c r="J11" s="55">
        <f t="shared" si="2"/>
        <v>0</v>
      </c>
      <c r="K11" s="55">
        <f t="shared" si="3"/>
        <v>0</v>
      </c>
      <c r="L11" s="3"/>
    </row>
    <row r="12" spans="1:12" ht="76.5" customHeight="1" x14ac:dyDescent="0.25">
      <c r="A12" s="12">
        <f t="shared" si="4"/>
        <v>9</v>
      </c>
      <c r="B12" s="12" t="s">
        <v>540</v>
      </c>
      <c r="C12" s="29" t="s">
        <v>541</v>
      </c>
      <c r="D12" s="12" t="s">
        <v>542</v>
      </c>
      <c r="E12" s="12">
        <v>1</v>
      </c>
      <c r="F12" s="1"/>
      <c r="G12" s="2">
        <v>0.23</v>
      </c>
      <c r="H12" s="55">
        <f t="shared" si="0"/>
        <v>0</v>
      </c>
      <c r="I12" s="55">
        <f t="shared" si="1"/>
        <v>0</v>
      </c>
      <c r="J12" s="55">
        <f t="shared" si="2"/>
        <v>0</v>
      </c>
      <c r="K12" s="55">
        <f t="shared" si="3"/>
        <v>0</v>
      </c>
      <c r="L12" s="3"/>
    </row>
    <row r="13" spans="1:12" ht="76.5" customHeight="1" x14ac:dyDescent="0.25">
      <c r="A13" s="12">
        <f t="shared" si="4"/>
        <v>10</v>
      </c>
      <c r="B13" s="12" t="s">
        <v>543</v>
      </c>
      <c r="C13" s="29" t="s">
        <v>544</v>
      </c>
      <c r="D13" s="12" t="s">
        <v>207</v>
      </c>
      <c r="E13" s="12">
        <f>4+4+2+4</f>
        <v>14</v>
      </c>
      <c r="F13" s="1"/>
      <c r="G13" s="2">
        <v>0.23</v>
      </c>
      <c r="H13" s="55">
        <f t="shared" si="0"/>
        <v>0</v>
      </c>
      <c r="I13" s="55">
        <f t="shared" si="1"/>
        <v>0</v>
      </c>
      <c r="J13" s="55">
        <f t="shared" si="2"/>
        <v>0</v>
      </c>
      <c r="K13" s="55">
        <f t="shared" si="3"/>
        <v>0</v>
      </c>
      <c r="L13" s="3"/>
    </row>
    <row r="14" spans="1:12" ht="76.5" customHeight="1" x14ac:dyDescent="0.25">
      <c r="A14" s="12">
        <f t="shared" si="4"/>
        <v>11</v>
      </c>
      <c r="B14" s="12" t="s">
        <v>545</v>
      </c>
      <c r="C14" s="29" t="s">
        <v>546</v>
      </c>
      <c r="D14" s="12" t="s">
        <v>207</v>
      </c>
      <c r="E14" s="12">
        <f>4+4+1+2+4</f>
        <v>15</v>
      </c>
      <c r="F14" s="1"/>
      <c r="G14" s="2">
        <v>0.23</v>
      </c>
      <c r="H14" s="55">
        <f t="shared" si="0"/>
        <v>0</v>
      </c>
      <c r="I14" s="55">
        <f t="shared" si="1"/>
        <v>0</v>
      </c>
      <c r="J14" s="55">
        <f t="shared" si="2"/>
        <v>0</v>
      </c>
      <c r="K14" s="55">
        <f t="shared" si="3"/>
        <v>0</v>
      </c>
      <c r="L14" s="3"/>
    </row>
    <row r="15" spans="1:12" ht="76.5" customHeight="1" x14ac:dyDescent="0.25">
      <c r="A15" s="12">
        <f t="shared" si="4"/>
        <v>12</v>
      </c>
      <c r="B15" s="12" t="s">
        <v>547</v>
      </c>
      <c r="C15" s="29" t="s">
        <v>548</v>
      </c>
      <c r="D15" s="12" t="s">
        <v>38</v>
      </c>
      <c r="E15" s="12">
        <f>2+2+2+6</f>
        <v>12</v>
      </c>
      <c r="F15" s="1"/>
      <c r="G15" s="2">
        <v>0.23</v>
      </c>
      <c r="H15" s="55">
        <f t="shared" si="0"/>
        <v>0</v>
      </c>
      <c r="I15" s="55">
        <f t="shared" si="1"/>
        <v>0</v>
      </c>
      <c r="J15" s="55">
        <f t="shared" si="2"/>
        <v>0</v>
      </c>
      <c r="K15" s="55">
        <f t="shared" si="3"/>
        <v>0</v>
      </c>
      <c r="L15" s="3"/>
    </row>
    <row r="16" spans="1:12" ht="76.5" customHeight="1" x14ac:dyDescent="0.25">
      <c r="A16" s="12">
        <f t="shared" si="4"/>
        <v>13</v>
      </c>
      <c r="B16" s="12" t="s">
        <v>549</v>
      </c>
      <c r="C16" s="29" t="s">
        <v>550</v>
      </c>
      <c r="D16" s="12" t="s">
        <v>551</v>
      </c>
      <c r="E16" s="12">
        <v>2</v>
      </c>
      <c r="F16" s="1"/>
      <c r="G16" s="2">
        <v>0.23</v>
      </c>
      <c r="H16" s="55">
        <f t="shared" si="0"/>
        <v>0</v>
      </c>
      <c r="I16" s="55">
        <f t="shared" si="1"/>
        <v>0</v>
      </c>
      <c r="J16" s="55">
        <f t="shared" si="2"/>
        <v>0</v>
      </c>
      <c r="K16" s="55">
        <f t="shared" si="3"/>
        <v>0</v>
      </c>
      <c r="L16" s="3"/>
    </row>
    <row r="17" spans="1:12" ht="76.5" customHeight="1" x14ac:dyDescent="0.25">
      <c r="A17" s="12">
        <f t="shared" si="4"/>
        <v>14</v>
      </c>
      <c r="B17" s="12" t="s">
        <v>552</v>
      </c>
      <c r="C17" s="29" t="s">
        <v>553</v>
      </c>
      <c r="D17" s="12" t="s">
        <v>551</v>
      </c>
      <c r="E17" s="12">
        <f>1+4</f>
        <v>5</v>
      </c>
      <c r="F17" s="1"/>
      <c r="G17" s="2">
        <v>0.23</v>
      </c>
      <c r="H17" s="55">
        <f t="shared" si="0"/>
        <v>0</v>
      </c>
      <c r="I17" s="55">
        <f t="shared" si="1"/>
        <v>0</v>
      </c>
      <c r="J17" s="55">
        <f t="shared" si="2"/>
        <v>0</v>
      </c>
      <c r="K17" s="55">
        <f t="shared" si="3"/>
        <v>0</v>
      </c>
      <c r="L17" s="3"/>
    </row>
    <row r="18" spans="1:12" ht="96.75" customHeight="1" x14ac:dyDescent="0.25">
      <c r="A18" s="12">
        <f t="shared" si="4"/>
        <v>15</v>
      </c>
      <c r="B18" s="12" t="s">
        <v>585</v>
      </c>
      <c r="C18" s="29" t="s">
        <v>586</v>
      </c>
      <c r="D18" s="12" t="s">
        <v>689</v>
      </c>
      <c r="E18" s="12">
        <v>1</v>
      </c>
      <c r="F18" s="1"/>
      <c r="G18" s="2">
        <v>0.23</v>
      </c>
      <c r="H18" s="55">
        <f t="shared" si="0"/>
        <v>0</v>
      </c>
      <c r="I18" s="55">
        <f t="shared" si="1"/>
        <v>0</v>
      </c>
      <c r="J18" s="55">
        <f t="shared" si="2"/>
        <v>0</v>
      </c>
      <c r="K18" s="55">
        <f t="shared" si="3"/>
        <v>0</v>
      </c>
      <c r="L18" s="3"/>
    </row>
    <row r="19" spans="1:12" ht="138.75" customHeight="1" x14ac:dyDescent="0.25">
      <c r="A19" s="12">
        <f t="shared" si="4"/>
        <v>16</v>
      </c>
      <c r="B19" s="12" t="s">
        <v>554</v>
      </c>
      <c r="C19" s="29" t="s">
        <v>555</v>
      </c>
      <c r="D19" s="12" t="s">
        <v>556</v>
      </c>
      <c r="E19" s="12">
        <v>2</v>
      </c>
      <c r="F19" s="1"/>
      <c r="G19" s="2">
        <v>0.23</v>
      </c>
      <c r="H19" s="55">
        <f t="shared" si="0"/>
        <v>0</v>
      </c>
      <c r="I19" s="55">
        <f t="shared" si="1"/>
        <v>0</v>
      </c>
      <c r="J19" s="55">
        <f t="shared" si="2"/>
        <v>0</v>
      </c>
      <c r="K19" s="55">
        <f t="shared" si="3"/>
        <v>0</v>
      </c>
      <c r="L19" s="3"/>
    </row>
    <row r="20" spans="1:12" ht="140.25" customHeight="1" x14ac:dyDescent="0.25">
      <c r="A20" s="12">
        <f t="shared" si="4"/>
        <v>17</v>
      </c>
      <c r="B20" s="12" t="s">
        <v>557</v>
      </c>
      <c r="C20" s="29" t="s">
        <v>558</v>
      </c>
      <c r="D20" s="12" t="s">
        <v>559</v>
      </c>
      <c r="E20" s="12">
        <f>1+1</f>
        <v>2</v>
      </c>
      <c r="F20" s="1"/>
      <c r="G20" s="2">
        <v>0.23</v>
      </c>
      <c r="H20" s="55">
        <f t="shared" si="0"/>
        <v>0</v>
      </c>
      <c r="I20" s="55">
        <f t="shared" si="1"/>
        <v>0</v>
      </c>
      <c r="J20" s="55">
        <f t="shared" si="2"/>
        <v>0</v>
      </c>
      <c r="K20" s="55">
        <f t="shared" si="3"/>
        <v>0</v>
      </c>
      <c r="L20" s="3"/>
    </row>
    <row r="21" spans="1:12" ht="125.25" customHeight="1" x14ac:dyDescent="0.25">
      <c r="A21" s="12">
        <f t="shared" si="4"/>
        <v>18</v>
      </c>
      <c r="B21" s="12" t="s">
        <v>560</v>
      </c>
      <c r="C21" s="29" t="s">
        <v>561</v>
      </c>
      <c r="D21" s="12" t="s">
        <v>559</v>
      </c>
      <c r="E21" s="12">
        <f>2+2+1</f>
        <v>5</v>
      </c>
      <c r="F21" s="1"/>
      <c r="G21" s="2">
        <v>0.23</v>
      </c>
      <c r="H21" s="55">
        <f t="shared" si="0"/>
        <v>0</v>
      </c>
      <c r="I21" s="55">
        <f t="shared" si="1"/>
        <v>0</v>
      </c>
      <c r="J21" s="55">
        <f t="shared" si="2"/>
        <v>0</v>
      </c>
      <c r="K21" s="55">
        <f t="shared" si="3"/>
        <v>0</v>
      </c>
      <c r="L21" s="3"/>
    </row>
    <row r="22" spans="1:12" ht="46.5" customHeight="1" x14ac:dyDescent="0.25">
      <c r="A22" s="12">
        <f t="shared" si="4"/>
        <v>19</v>
      </c>
      <c r="B22" s="12" t="s">
        <v>562</v>
      </c>
      <c r="C22" s="29" t="s">
        <v>563</v>
      </c>
      <c r="D22" s="14" t="s">
        <v>202</v>
      </c>
      <c r="E22" s="12">
        <f>2+1</f>
        <v>3</v>
      </c>
      <c r="F22" s="1"/>
      <c r="G22" s="2">
        <v>0.23</v>
      </c>
      <c r="H22" s="55">
        <f t="shared" si="0"/>
        <v>0</v>
      </c>
      <c r="I22" s="55">
        <f t="shared" si="1"/>
        <v>0</v>
      </c>
      <c r="J22" s="55">
        <f t="shared" si="2"/>
        <v>0</v>
      </c>
      <c r="K22" s="55">
        <f t="shared" si="3"/>
        <v>0</v>
      </c>
      <c r="L22" s="3"/>
    </row>
    <row r="23" spans="1:12" ht="46.5" customHeight="1" x14ac:dyDescent="0.25">
      <c r="A23" s="12">
        <f t="shared" si="4"/>
        <v>20</v>
      </c>
      <c r="B23" s="12" t="s">
        <v>564</v>
      </c>
      <c r="C23" s="29" t="s">
        <v>565</v>
      </c>
      <c r="D23" s="12" t="s">
        <v>202</v>
      </c>
      <c r="E23" s="12">
        <f>2+2+3+3</f>
        <v>10</v>
      </c>
      <c r="F23" s="1"/>
      <c r="G23" s="2">
        <v>0.23</v>
      </c>
      <c r="H23" s="55">
        <f t="shared" si="0"/>
        <v>0</v>
      </c>
      <c r="I23" s="55">
        <f t="shared" si="1"/>
        <v>0</v>
      </c>
      <c r="J23" s="55">
        <f t="shared" si="2"/>
        <v>0</v>
      </c>
      <c r="K23" s="55">
        <f t="shared" si="3"/>
        <v>0</v>
      </c>
      <c r="L23" s="3"/>
    </row>
    <row r="24" spans="1:12" ht="46.5" customHeight="1" x14ac:dyDescent="0.25">
      <c r="A24" s="12">
        <f t="shared" si="4"/>
        <v>21</v>
      </c>
      <c r="B24" s="12" t="s">
        <v>566</v>
      </c>
      <c r="C24" s="29" t="s">
        <v>567</v>
      </c>
      <c r="D24" s="14" t="s">
        <v>202</v>
      </c>
      <c r="E24" s="12">
        <f>2+2+3+3</f>
        <v>10</v>
      </c>
      <c r="F24" s="1"/>
      <c r="G24" s="2">
        <v>0.23</v>
      </c>
      <c r="H24" s="55">
        <f t="shared" si="0"/>
        <v>0</v>
      </c>
      <c r="I24" s="55">
        <f t="shared" si="1"/>
        <v>0</v>
      </c>
      <c r="J24" s="55">
        <f t="shared" si="2"/>
        <v>0</v>
      </c>
      <c r="K24" s="55">
        <f t="shared" si="3"/>
        <v>0</v>
      </c>
      <c r="L24" s="3"/>
    </row>
    <row r="25" spans="1:12" ht="46.5" customHeight="1" x14ac:dyDescent="0.25">
      <c r="A25" s="12">
        <f t="shared" si="4"/>
        <v>22</v>
      </c>
      <c r="B25" s="12" t="s">
        <v>568</v>
      </c>
      <c r="C25" s="29" t="s">
        <v>569</v>
      </c>
      <c r="D25" s="14" t="s">
        <v>202</v>
      </c>
      <c r="E25" s="12">
        <f>2+2+4+5</f>
        <v>13</v>
      </c>
      <c r="F25" s="1"/>
      <c r="G25" s="2">
        <v>0.23</v>
      </c>
      <c r="H25" s="55">
        <f t="shared" si="0"/>
        <v>0</v>
      </c>
      <c r="I25" s="55">
        <f t="shared" si="1"/>
        <v>0</v>
      </c>
      <c r="J25" s="55">
        <f t="shared" si="2"/>
        <v>0</v>
      </c>
      <c r="K25" s="55">
        <f t="shared" si="3"/>
        <v>0</v>
      </c>
      <c r="L25" s="3"/>
    </row>
    <row r="26" spans="1:12" ht="46.5" customHeight="1" x14ac:dyDescent="0.25">
      <c r="A26" s="12">
        <f t="shared" si="4"/>
        <v>23</v>
      </c>
      <c r="B26" s="12" t="s">
        <v>570</v>
      </c>
      <c r="C26" s="29" t="s">
        <v>571</v>
      </c>
      <c r="D26" s="12" t="s">
        <v>127</v>
      </c>
      <c r="E26" s="12">
        <f>2+2+2</f>
        <v>6</v>
      </c>
      <c r="F26" s="1"/>
      <c r="G26" s="2">
        <v>0.23</v>
      </c>
      <c r="H26" s="55">
        <f t="shared" si="0"/>
        <v>0</v>
      </c>
      <c r="I26" s="55">
        <f t="shared" si="1"/>
        <v>0</v>
      </c>
      <c r="J26" s="55">
        <f t="shared" si="2"/>
        <v>0</v>
      </c>
      <c r="K26" s="55">
        <f t="shared" si="3"/>
        <v>0</v>
      </c>
      <c r="L26" s="3"/>
    </row>
    <row r="27" spans="1:12" ht="57.75" customHeight="1" x14ac:dyDescent="0.25">
      <c r="A27" s="12">
        <f t="shared" si="4"/>
        <v>24</v>
      </c>
      <c r="B27" s="12" t="s">
        <v>614</v>
      </c>
      <c r="C27" s="29" t="s">
        <v>615</v>
      </c>
      <c r="D27" s="12" t="s">
        <v>616</v>
      </c>
      <c r="E27" s="12">
        <v>1</v>
      </c>
      <c r="F27" s="1"/>
      <c r="G27" s="2">
        <v>0.23</v>
      </c>
      <c r="H27" s="55">
        <f t="shared" si="0"/>
        <v>0</v>
      </c>
      <c r="I27" s="55">
        <f t="shared" si="1"/>
        <v>0</v>
      </c>
      <c r="J27" s="55">
        <f t="shared" si="2"/>
        <v>0</v>
      </c>
      <c r="K27" s="55">
        <f t="shared" si="3"/>
        <v>0</v>
      </c>
      <c r="L27" s="3"/>
    </row>
    <row r="28" spans="1:12" ht="57.75" customHeight="1" x14ac:dyDescent="0.25">
      <c r="A28" s="12">
        <f t="shared" si="4"/>
        <v>25</v>
      </c>
      <c r="B28" s="12" t="s">
        <v>572</v>
      </c>
      <c r="C28" s="29" t="s">
        <v>573</v>
      </c>
      <c r="D28" s="12" t="s">
        <v>690</v>
      </c>
      <c r="E28" s="12">
        <f>3+3+1</f>
        <v>7</v>
      </c>
      <c r="F28" s="1"/>
      <c r="G28" s="2">
        <v>0.23</v>
      </c>
      <c r="H28" s="55">
        <f t="shared" si="0"/>
        <v>0</v>
      </c>
      <c r="I28" s="55">
        <f t="shared" si="1"/>
        <v>0</v>
      </c>
      <c r="J28" s="55">
        <f t="shared" si="2"/>
        <v>0</v>
      </c>
      <c r="K28" s="55">
        <f t="shared" si="3"/>
        <v>0</v>
      </c>
      <c r="L28" s="3"/>
    </row>
    <row r="29" spans="1:12" x14ac:dyDescent="0.25">
      <c r="A29" s="123" t="s">
        <v>198</v>
      </c>
      <c r="B29" s="123"/>
      <c r="C29" s="123"/>
      <c r="D29" s="123"/>
      <c r="E29" s="123"/>
      <c r="F29" s="57" t="s">
        <v>199</v>
      </c>
      <c r="G29" s="57" t="s">
        <v>199</v>
      </c>
      <c r="H29" s="58">
        <f>SUM(H4:H28)</f>
        <v>0</v>
      </c>
      <c r="I29" s="58">
        <f>SUM(I4:I28)</f>
        <v>0</v>
      </c>
      <c r="J29" s="58">
        <f>SUM(J4:J28)</f>
        <v>0</v>
      </c>
      <c r="K29" s="58">
        <f>SUM(K4:K28)</f>
        <v>0</v>
      </c>
      <c r="L29" s="59"/>
    </row>
  </sheetData>
  <sheetProtection algorithmName="SHA-512" hashValue="a+yxh4aCJlu3NCsFXaF6A0cQbFwUgNYc1wEtamdHikBi+zmBB7VMRQHDNSlbXu1K3+D33JKgxAhL+1gT8D9/5A==" saltValue="x5Ebji3kVsE6s0NBspm7sg==" spinCount="100000" sheet="1" objects="1" scenarios="1" selectLockedCells="1"/>
  <autoFilter ref="A2:L29" xr:uid="{E7FE38D3-761B-40AA-BFC9-FAD7D2BF7557}"/>
  <mergeCells count="2">
    <mergeCell ref="A1:K1"/>
    <mergeCell ref="A29:E2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7F2BA-1C60-7E4E-92B3-BF30FCC6EDB3}">
  <dimension ref="A1:L11"/>
  <sheetViews>
    <sheetView zoomScale="90" zoomScaleNormal="90" workbookViewId="0">
      <selection activeCell="G9" sqref="G9"/>
    </sheetView>
  </sheetViews>
  <sheetFormatPr defaultColWidth="11" defaultRowHeight="15.75" x14ac:dyDescent="0.25"/>
  <cols>
    <col min="1" max="1" width="7.125" style="47" customWidth="1"/>
    <col min="2" max="2" width="20.5" style="47" bestFit="1" customWidth="1"/>
    <col min="3" max="3" width="52" style="47" customWidth="1"/>
    <col min="4" max="4" width="14.125" style="47" customWidth="1"/>
    <col min="5" max="5" width="11" style="47"/>
    <col min="6" max="6" width="13.875" style="47" customWidth="1"/>
    <col min="7" max="7" width="13.125" style="47" customWidth="1"/>
    <col min="8" max="8" width="16" style="47" customWidth="1"/>
    <col min="9" max="9" width="17.5" style="47" customWidth="1"/>
    <col min="10" max="10" width="15.25" style="47" customWidth="1"/>
    <col min="11" max="11" width="19.375" style="47" customWidth="1"/>
    <col min="12" max="12" width="42.5" style="47" customWidth="1"/>
    <col min="13" max="16384" width="11" style="47"/>
  </cols>
  <sheetData>
    <row r="1" spans="1:12" ht="36" customHeight="1" x14ac:dyDescent="0.25">
      <c r="A1" s="121" t="s">
        <v>657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6" t="s">
        <v>0</v>
      </c>
    </row>
    <row r="2" spans="1:12" ht="37.5" customHeight="1" x14ac:dyDescent="0.25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76" t="s">
        <v>9</v>
      </c>
      <c r="J2" s="50" t="s">
        <v>10</v>
      </c>
      <c r="K2" s="50" t="s">
        <v>11</v>
      </c>
      <c r="L2" s="50" t="s">
        <v>12</v>
      </c>
    </row>
    <row r="3" spans="1:12" x14ac:dyDescent="0.25">
      <c r="A3" s="82">
        <v>1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82">
        <v>9</v>
      </c>
      <c r="J3" s="82">
        <v>10</v>
      </c>
      <c r="K3" s="82">
        <v>11</v>
      </c>
      <c r="L3" s="66">
        <v>12</v>
      </c>
    </row>
    <row r="4" spans="1:12" ht="30" x14ac:dyDescent="0.25">
      <c r="A4" s="12" t="s">
        <v>13</v>
      </c>
      <c r="B4" s="12" t="s">
        <v>697</v>
      </c>
      <c r="C4" s="29" t="s">
        <v>576</v>
      </c>
      <c r="D4" s="12" t="s">
        <v>678</v>
      </c>
      <c r="E4" s="12">
        <v>1</v>
      </c>
      <c r="F4" s="1"/>
      <c r="G4" s="2">
        <v>0.23</v>
      </c>
      <c r="H4" s="98">
        <f t="shared" ref="H4:H10" si="0">F4*G4</f>
        <v>0</v>
      </c>
      <c r="I4" s="98">
        <f t="shared" ref="I4:I10" si="1">F4*E4</f>
        <v>0</v>
      </c>
      <c r="J4" s="98">
        <f t="shared" ref="J4:J10" si="2">H4*E4</f>
        <v>0</v>
      </c>
      <c r="K4" s="98">
        <f t="shared" ref="K4:K10" si="3">I4+J4</f>
        <v>0</v>
      </c>
      <c r="L4" s="3"/>
    </row>
    <row r="5" spans="1:12" ht="30" x14ac:dyDescent="0.25">
      <c r="A5" s="12" t="s">
        <v>17</v>
      </c>
      <c r="B5" s="12" t="s">
        <v>691</v>
      </c>
      <c r="C5" s="29" t="s">
        <v>577</v>
      </c>
      <c r="D5" s="12" t="s">
        <v>678</v>
      </c>
      <c r="E5" s="12">
        <v>1</v>
      </c>
      <c r="F5" s="1"/>
      <c r="G5" s="2">
        <v>0.23</v>
      </c>
      <c r="H5" s="98">
        <f t="shared" si="0"/>
        <v>0</v>
      </c>
      <c r="I5" s="98">
        <f t="shared" si="1"/>
        <v>0</v>
      </c>
      <c r="J5" s="98">
        <f t="shared" si="2"/>
        <v>0</v>
      </c>
      <c r="K5" s="98">
        <f t="shared" si="3"/>
        <v>0</v>
      </c>
      <c r="L5" s="3"/>
    </row>
    <row r="6" spans="1:12" ht="30" x14ac:dyDescent="0.25">
      <c r="A6" s="12" t="s">
        <v>20</v>
      </c>
      <c r="B6" s="12" t="s">
        <v>692</v>
      </c>
      <c r="C6" s="29" t="s">
        <v>578</v>
      </c>
      <c r="D6" s="12" t="s">
        <v>678</v>
      </c>
      <c r="E6" s="12">
        <v>1</v>
      </c>
      <c r="F6" s="1"/>
      <c r="G6" s="2">
        <v>0.23</v>
      </c>
      <c r="H6" s="98">
        <f t="shared" si="0"/>
        <v>0</v>
      </c>
      <c r="I6" s="98">
        <f t="shared" si="1"/>
        <v>0</v>
      </c>
      <c r="J6" s="98">
        <f t="shared" si="2"/>
        <v>0</v>
      </c>
      <c r="K6" s="98">
        <f t="shared" si="3"/>
        <v>0</v>
      </c>
      <c r="L6" s="3"/>
    </row>
    <row r="7" spans="1:12" ht="30" x14ac:dyDescent="0.25">
      <c r="A7" s="12" t="s">
        <v>23</v>
      </c>
      <c r="B7" s="12" t="s">
        <v>693</v>
      </c>
      <c r="C7" s="29" t="s">
        <v>579</v>
      </c>
      <c r="D7" s="12" t="s">
        <v>678</v>
      </c>
      <c r="E7" s="12">
        <v>6</v>
      </c>
      <c r="F7" s="1"/>
      <c r="G7" s="2">
        <v>0.23</v>
      </c>
      <c r="H7" s="98">
        <f t="shared" si="0"/>
        <v>0</v>
      </c>
      <c r="I7" s="98">
        <f t="shared" si="1"/>
        <v>0</v>
      </c>
      <c r="J7" s="98">
        <f t="shared" si="2"/>
        <v>0</v>
      </c>
      <c r="K7" s="98">
        <f t="shared" si="3"/>
        <v>0</v>
      </c>
      <c r="L7" s="3"/>
    </row>
    <row r="8" spans="1:12" ht="45" x14ac:dyDescent="0.25">
      <c r="A8" s="12" t="s">
        <v>26</v>
      </c>
      <c r="B8" s="12" t="s">
        <v>694</v>
      </c>
      <c r="C8" s="29" t="s">
        <v>580</v>
      </c>
      <c r="D8" s="12" t="s">
        <v>678</v>
      </c>
      <c r="E8" s="12">
        <v>1</v>
      </c>
      <c r="F8" s="1"/>
      <c r="G8" s="2">
        <v>0.23</v>
      </c>
      <c r="H8" s="98">
        <f t="shared" si="0"/>
        <v>0</v>
      </c>
      <c r="I8" s="98">
        <f t="shared" si="1"/>
        <v>0</v>
      </c>
      <c r="J8" s="98">
        <f t="shared" si="2"/>
        <v>0</v>
      </c>
      <c r="K8" s="98">
        <f t="shared" si="3"/>
        <v>0</v>
      </c>
      <c r="L8" s="3"/>
    </row>
    <row r="9" spans="1:12" ht="30" x14ac:dyDescent="0.25">
      <c r="A9" s="12" t="s">
        <v>29</v>
      </c>
      <c r="B9" s="12" t="s">
        <v>695</v>
      </c>
      <c r="C9" s="29" t="s">
        <v>696</v>
      </c>
      <c r="D9" s="12" t="s">
        <v>359</v>
      </c>
      <c r="E9" s="12">
        <v>10</v>
      </c>
      <c r="F9" s="1"/>
      <c r="G9" s="2">
        <v>0.23</v>
      </c>
      <c r="H9" s="98">
        <f t="shared" si="0"/>
        <v>0</v>
      </c>
      <c r="I9" s="98">
        <f t="shared" si="1"/>
        <v>0</v>
      </c>
      <c r="J9" s="98">
        <f t="shared" si="2"/>
        <v>0</v>
      </c>
      <c r="K9" s="98">
        <f t="shared" si="3"/>
        <v>0</v>
      </c>
      <c r="L9" s="22"/>
    </row>
    <row r="10" spans="1:12" ht="30" x14ac:dyDescent="0.25">
      <c r="A10" s="12" t="s">
        <v>30</v>
      </c>
      <c r="B10" s="12" t="s">
        <v>602</v>
      </c>
      <c r="C10" s="29" t="s">
        <v>603</v>
      </c>
      <c r="D10" s="12" t="s">
        <v>387</v>
      </c>
      <c r="E10" s="12">
        <v>4</v>
      </c>
      <c r="F10" s="1"/>
      <c r="G10" s="2">
        <v>0.23</v>
      </c>
      <c r="H10" s="98">
        <f t="shared" si="0"/>
        <v>0</v>
      </c>
      <c r="I10" s="98">
        <f t="shared" si="1"/>
        <v>0</v>
      </c>
      <c r="J10" s="98">
        <f t="shared" si="2"/>
        <v>0</v>
      </c>
      <c r="K10" s="98">
        <f t="shared" si="3"/>
        <v>0</v>
      </c>
      <c r="L10" s="3"/>
    </row>
    <row r="11" spans="1:12" x14ac:dyDescent="0.25">
      <c r="A11" s="123" t="s">
        <v>198</v>
      </c>
      <c r="B11" s="123"/>
      <c r="C11" s="123"/>
      <c r="D11" s="123"/>
      <c r="E11" s="123"/>
      <c r="F11" s="57" t="s">
        <v>199</v>
      </c>
      <c r="G11" s="57" t="s">
        <v>199</v>
      </c>
      <c r="H11" s="58">
        <f>SUM(H4:H10)</f>
        <v>0</v>
      </c>
      <c r="I11" s="58">
        <f>SUM(I4:I10)</f>
        <v>0</v>
      </c>
      <c r="J11" s="58">
        <f>SUM(J4:J10)</f>
        <v>0</v>
      </c>
      <c r="K11" s="58">
        <f>SUM(K4:K10)</f>
        <v>0</v>
      </c>
      <c r="L11" s="59"/>
    </row>
  </sheetData>
  <sheetProtection algorithmName="SHA-512" hashValue="mHw0pk5diw1o4ET/wDxp0BMq77LqL8AuoSMFwj10mYuhDFv0SC3tjOMdV3THRCQFbkxF/rviAf6vjdo+UwV/HQ==" saltValue="+JScyZYGGgsVgOeWdRL1+g==" spinCount="100000" sheet="1" objects="1" scenarios="1" selectLockedCells="1"/>
  <mergeCells count="2">
    <mergeCell ref="A1:K1"/>
    <mergeCell ref="A11:E11"/>
  </mergeCells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01BCD-2A60-B542-86EB-FEE645F89B07}">
  <dimension ref="A1:L10"/>
  <sheetViews>
    <sheetView zoomScale="90" zoomScaleNormal="90" workbookViewId="0">
      <selection activeCell="L5" sqref="L5"/>
    </sheetView>
  </sheetViews>
  <sheetFormatPr defaultColWidth="11" defaultRowHeight="15.75" x14ac:dyDescent="0.25"/>
  <cols>
    <col min="1" max="1" width="7.625" style="47" customWidth="1"/>
    <col min="2" max="2" width="20.5" style="47" bestFit="1" customWidth="1"/>
    <col min="3" max="3" width="52" style="47" customWidth="1"/>
    <col min="4" max="4" width="11.75" style="47" customWidth="1"/>
    <col min="5" max="5" width="9" style="47"/>
    <col min="6" max="6" width="13.875" style="47" customWidth="1"/>
    <col min="7" max="7" width="13.125" style="47" customWidth="1"/>
    <col min="8" max="8" width="16.25" style="47" customWidth="1"/>
    <col min="9" max="9" width="17.5" style="47" customWidth="1"/>
    <col min="10" max="10" width="14.5" style="47" customWidth="1"/>
    <col min="11" max="11" width="19.375" style="47" customWidth="1"/>
    <col min="12" max="12" width="42.5" style="47" customWidth="1"/>
    <col min="13" max="16384" width="11" style="47"/>
  </cols>
  <sheetData>
    <row r="1" spans="1:12" ht="42.75" customHeight="1" x14ac:dyDescent="0.25">
      <c r="A1" s="121" t="s">
        <v>658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6" t="s">
        <v>0</v>
      </c>
    </row>
    <row r="2" spans="1:12" ht="36.75" customHeight="1" x14ac:dyDescent="0.25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76" t="s">
        <v>9</v>
      </c>
      <c r="J2" s="50" t="s">
        <v>10</v>
      </c>
      <c r="K2" s="50" t="s">
        <v>11</v>
      </c>
      <c r="L2" s="50" t="s">
        <v>12</v>
      </c>
    </row>
    <row r="3" spans="1:12" x14ac:dyDescent="0.25">
      <c r="A3" s="82">
        <v>1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82">
        <v>9</v>
      </c>
      <c r="J3" s="82">
        <v>10</v>
      </c>
      <c r="K3" s="82">
        <v>11</v>
      </c>
      <c r="L3" s="66">
        <v>12</v>
      </c>
    </row>
    <row r="4" spans="1:12" ht="60" x14ac:dyDescent="0.25">
      <c r="A4" s="12" t="s">
        <v>13</v>
      </c>
      <c r="B4" s="12" t="s">
        <v>583</v>
      </c>
      <c r="C4" s="29" t="s">
        <v>651</v>
      </c>
      <c r="D4" s="12" t="s">
        <v>16</v>
      </c>
      <c r="E4" s="12">
        <v>1</v>
      </c>
      <c r="F4" s="55"/>
      <c r="G4" s="56">
        <v>0.23</v>
      </c>
      <c r="H4" s="55">
        <f t="shared" ref="H4:H9" si="0">F4*G4</f>
        <v>0</v>
      </c>
      <c r="I4" s="55">
        <f t="shared" ref="I4:I9" si="1">F4*E4</f>
        <v>0</v>
      </c>
      <c r="J4" s="55">
        <f t="shared" ref="J4:J9" si="2">H4*E4</f>
        <v>0</v>
      </c>
      <c r="K4" s="55">
        <f t="shared" ref="K4:K9" si="3">I4+J4</f>
        <v>0</v>
      </c>
      <c r="L4" s="3"/>
    </row>
    <row r="5" spans="1:12" ht="60" x14ac:dyDescent="0.25">
      <c r="A5" s="12" t="s">
        <v>17</v>
      </c>
      <c r="B5" s="12" t="s">
        <v>584</v>
      </c>
      <c r="C5" s="29" t="s">
        <v>650</v>
      </c>
      <c r="D5" s="12" t="s">
        <v>660</v>
      </c>
      <c r="E5" s="12">
        <v>6</v>
      </c>
      <c r="F5" s="55"/>
      <c r="G5" s="56">
        <v>0.23</v>
      </c>
      <c r="H5" s="55">
        <f t="shared" si="0"/>
        <v>0</v>
      </c>
      <c r="I5" s="55">
        <f t="shared" si="1"/>
        <v>0</v>
      </c>
      <c r="J5" s="55">
        <f t="shared" si="2"/>
        <v>0</v>
      </c>
      <c r="K5" s="55">
        <f t="shared" si="3"/>
        <v>0</v>
      </c>
      <c r="L5" s="3"/>
    </row>
    <row r="6" spans="1:12" ht="30" x14ac:dyDescent="0.25">
      <c r="A6" s="12" t="s">
        <v>20</v>
      </c>
      <c r="B6" s="99" t="s">
        <v>574</v>
      </c>
      <c r="C6" s="100" t="s">
        <v>575</v>
      </c>
      <c r="D6" s="101" t="s">
        <v>217</v>
      </c>
      <c r="E6" s="101">
        <v>1</v>
      </c>
      <c r="F6" s="102"/>
      <c r="G6" s="103">
        <v>0.23</v>
      </c>
      <c r="H6" s="55">
        <f t="shared" si="0"/>
        <v>0</v>
      </c>
      <c r="I6" s="55">
        <f t="shared" si="1"/>
        <v>0</v>
      </c>
      <c r="J6" s="55">
        <f t="shared" si="2"/>
        <v>0</v>
      </c>
      <c r="K6" s="55">
        <f t="shared" si="3"/>
        <v>0</v>
      </c>
      <c r="L6" s="26"/>
    </row>
    <row r="7" spans="1:12" ht="30" x14ac:dyDescent="0.25">
      <c r="A7" s="12" t="s">
        <v>23</v>
      </c>
      <c r="B7" s="104" t="s">
        <v>698</v>
      </c>
      <c r="C7" s="105" t="s">
        <v>701</v>
      </c>
      <c r="D7" s="106" t="s">
        <v>622</v>
      </c>
      <c r="E7" s="106">
        <v>1</v>
      </c>
      <c r="F7" s="107"/>
      <c r="G7" s="108">
        <v>0.23</v>
      </c>
      <c r="H7" s="55">
        <f t="shared" si="0"/>
        <v>0</v>
      </c>
      <c r="I7" s="55">
        <f t="shared" si="1"/>
        <v>0</v>
      </c>
      <c r="J7" s="55">
        <f t="shared" si="2"/>
        <v>0</v>
      </c>
      <c r="K7" s="55">
        <f t="shared" si="3"/>
        <v>0</v>
      </c>
      <c r="L7" s="27"/>
    </row>
    <row r="8" spans="1:12" ht="30" x14ac:dyDescent="0.25">
      <c r="A8" s="12" t="s">
        <v>26</v>
      </c>
      <c r="B8" s="104" t="s">
        <v>699</v>
      </c>
      <c r="C8" s="105" t="s">
        <v>702</v>
      </c>
      <c r="D8" s="106" t="s">
        <v>622</v>
      </c>
      <c r="E8" s="106">
        <v>1</v>
      </c>
      <c r="F8" s="107"/>
      <c r="G8" s="108">
        <v>0.23</v>
      </c>
      <c r="H8" s="55">
        <f t="shared" si="0"/>
        <v>0</v>
      </c>
      <c r="I8" s="55">
        <f t="shared" si="1"/>
        <v>0</v>
      </c>
      <c r="J8" s="55">
        <f t="shared" si="2"/>
        <v>0</v>
      </c>
      <c r="K8" s="55">
        <f t="shared" si="3"/>
        <v>0</v>
      </c>
      <c r="L8" s="27"/>
    </row>
    <row r="9" spans="1:12" ht="30" x14ac:dyDescent="0.25">
      <c r="A9" s="12" t="s">
        <v>29</v>
      </c>
      <c r="B9" s="104" t="s">
        <v>700</v>
      </c>
      <c r="C9" s="105" t="s">
        <v>703</v>
      </c>
      <c r="D9" s="106" t="s">
        <v>622</v>
      </c>
      <c r="E9" s="106">
        <v>1</v>
      </c>
      <c r="F9" s="107"/>
      <c r="G9" s="108">
        <v>0.23</v>
      </c>
      <c r="H9" s="55">
        <f t="shared" si="0"/>
        <v>0</v>
      </c>
      <c r="I9" s="55">
        <f t="shared" si="1"/>
        <v>0</v>
      </c>
      <c r="J9" s="55">
        <f t="shared" si="2"/>
        <v>0</v>
      </c>
      <c r="K9" s="55">
        <f t="shared" si="3"/>
        <v>0</v>
      </c>
      <c r="L9" s="27"/>
    </row>
    <row r="10" spans="1:12" x14ac:dyDescent="0.25">
      <c r="A10" s="123" t="s">
        <v>198</v>
      </c>
      <c r="B10" s="123"/>
      <c r="C10" s="123"/>
      <c r="D10" s="123"/>
      <c r="E10" s="123"/>
      <c r="F10" s="57" t="s">
        <v>199</v>
      </c>
      <c r="G10" s="57" t="s">
        <v>199</v>
      </c>
      <c r="H10" s="58">
        <f>SUM(H4:H9)</f>
        <v>0</v>
      </c>
      <c r="I10" s="58">
        <f>SUM(I4:I9)</f>
        <v>0</v>
      </c>
      <c r="J10" s="58">
        <f>SUM(J4:J9)</f>
        <v>0</v>
      </c>
      <c r="K10" s="58">
        <f>SUM(K4:K9)</f>
        <v>0</v>
      </c>
      <c r="L10" s="59"/>
    </row>
  </sheetData>
  <sheetProtection algorithmName="SHA-512" hashValue="bYNM/mAwnuOXepTgew6D3j5ovbm6V6amtDrtODlSrV5HKObN7cjaKCH4mYh8yYL+EyHPHywjB21ATEHbjEWCHw==" saltValue="V+q5AvR4v/6hCAXnIvrbwA==" spinCount="100000" sheet="1" objects="1" scenarios="1" selectLockedCells="1"/>
  <mergeCells count="2">
    <mergeCell ref="A1:K1"/>
    <mergeCell ref="A10:E10"/>
  </mergeCells>
  <phoneticPr fontId="1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1719-133C-47AA-A60F-2BB12C51F632}">
  <dimension ref="A1:L31"/>
  <sheetViews>
    <sheetView zoomScale="90" zoomScaleNormal="90" workbookViewId="0">
      <selection activeCell="L10" sqref="L10"/>
    </sheetView>
  </sheetViews>
  <sheetFormatPr defaultRowHeight="15" x14ac:dyDescent="0.25"/>
  <cols>
    <col min="1" max="1" width="5.375" style="71" customWidth="1"/>
    <col min="2" max="2" width="20.875" style="59" customWidth="1"/>
    <col min="3" max="3" width="40.375" style="118" customWidth="1"/>
    <col min="4" max="4" width="13.625" style="59" customWidth="1"/>
    <col min="5" max="5" width="9" style="119"/>
    <col min="6" max="6" width="9.875" style="119" bestFit="1" customWidth="1"/>
    <col min="7" max="7" width="9.125" style="119" bestFit="1" customWidth="1"/>
    <col min="8" max="8" width="10.875" style="119" bestFit="1" customWidth="1"/>
    <col min="9" max="9" width="13.25" style="119" customWidth="1"/>
    <col min="10" max="10" width="12.125" style="119" customWidth="1"/>
    <col min="11" max="11" width="13.375" style="119" customWidth="1"/>
    <col min="12" max="12" width="55.375" style="71" customWidth="1"/>
    <col min="13" max="16384" width="9" style="71"/>
  </cols>
  <sheetData>
    <row r="1" spans="1:12" ht="42" customHeight="1" x14ac:dyDescent="0.25">
      <c r="A1" s="121" t="s">
        <v>769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09" t="s">
        <v>0</v>
      </c>
    </row>
    <row r="2" spans="1:12" ht="53.25" customHeight="1" x14ac:dyDescent="0.25">
      <c r="A2" s="110" t="s">
        <v>1</v>
      </c>
      <c r="B2" s="110" t="s">
        <v>2</v>
      </c>
      <c r="C2" s="110" t="s">
        <v>3</v>
      </c>
      <c r="D2" s="110" t="s">
        <v>4</v>
      </c>
      <c r="E2" s="110" t="s">
        <v>5</v>
      </c>
      <c r="F2" s="110" t="s">
        <v>6</v>
      </c>
      <c r="G2" s="110" t="s">
        <v>7</v>
      </c>
      <c r="H2" s="110" t="s">
        <v>8</v>
      </c>
      <c r="I2" s="111" t="s">
        <v>9</v>
      </c>
      <c r="J2" s="110" t="s">
        <v>10</v>
      </c>
      <c r="K2" s="110" t="s">
        <v>11</v>
      </c>
      <c r="L2" s="110" t="s">
        <v>12</v>
      </c>
    </row>
    <row r="3" spans="1:12" s="114" customFormat="1" ht="12" x14ac:dyDescent="0.2">
      <c r="A3" s="112">
        <v>1</v>
      </c>
      <c r="B3" s="112">
        <v>2</v>
      </c>
      <c r="C3" s="112">
        <v>3</v>
      </c>
      <c r="D3" s="112">
        <v>4</v>
      </c>
      <c r="E3" s="112">
        <v>5</v>
      </c>
      <c r="F3" s="112">
        <v>6</v>
      </c>
      <c r="G3" s="112">
        <v>7</v>
      </c>
      <c r="H3" s="112">
        <v>8</v>
      </c>
      <c r="I3" s="112">
        <v>9</v>
      </c>
      <c r="J3" s="112">
        <v>10</v>
      </c>
      <c r="K3" s="112">
        <v>11</v>
      </c>
      <c r="L3" s="113">
        <v>12</v>
      </c>
    </row>
    <row r="4" spans="1:12" ht="30" x14ac:dyDescent="0.25">
      <c r="A4" s="115">
        <v>1</v>
      </c>
      <c r="B4" s="12" t="s">
        <v>722</v>
      </c>
      <c r="C4" s="29" t="s">
        <v>723</v>
      </c>
      <c r="D4" s="12" t="s">
        <v>387</v>
      </c>
      <c r="E4" s="115">
        <v>1</v>
      </c>
      <c r="F4" s="24"/>
      <c r="G4" s="120">
        <v>0.23</v>
      </c>
      <c r="H4" s="98">
        <f t="shared" ref="H4:H30" si="0">F4*G4</f>
        <v>0</v>
      </c>
      <c r="I4" s="98">
        <f t="shared" ref="I4:I30" si="1">F4*E4</f>
        <v>0</v>
      </c>
      <c r="J4" s="98">
        <f t="shared" ref="J4:J30" si="2">H4*E4</f>
        <v>0</v>
      </c>
      <c r="K4" s="98">
        <f t="shared" ref="K4:K30" si="3">I4+J4</f>
        <v>0</v>
      </c>
      <c r="L4" s="23"/>
    </row>
    <row r="5" spans="1:12" ht="30" x14ac:dyDescent="0.25">
      <c r="A5" s="115">
        <v>2</v>
      </c>
      <c r="B5" s="12" t="s">
        <v>724</v>
      </c>
      <c r="C5" s="29" t="s">
        <v>725</v>
      </c>
      <c r="D5" s="12" t="s">
        <v>127</v>
      </c>
      <c r="E5" s="115">
        <v>7</v>
      </c>
      <c r="F5" s="24"/>
      <c r="G5" s="120">
        <v>0.23</v>
      </c>
      <c r="H5" s="98">
        <f t="shared" si="0"/>
        <v>0</v>
      </c>
      <c r="I5" s="98">
        <f t="shared" si="1"/>
        <v>0</v>
      </c>
      <c r="J5" s="98">
        <f t="shared" si="2"/>
        <v>0</v>
      </c>
      <c r="K5" s="98">
        <f t="shared" si="3"/>
        <v>0</v>
      </c>
      <c r="L5" s="23"/>
    </row>
    <row r="6" spans="1:12" ht="45" x14ac:dyDescent="0.25">
      <c r="A6" s="115">
        <v>3</v>
      </c>
      <c r="B6" s="12" t="s">
        <v>726</v>
      </c>
      <c r="C6" s="29" t="s">
        <v>727</v>
      </c>
      <c r="D6" s="12" t="s">
        <v>38</v>
      </c>
      <c r="E6" s="115">
        <v>7</v>
      </c>
      <c r="F6" s="24"/>
      <c r="G6" s="120">
        <v>0.23</v>
      </c>
      <c r="H6" s="98">
        <f t="shared" si="0"/>
        <v>0</v>
      </c>
      <c r="I6" s="98">
        <f t="shared" si="1"/>
        <v>0</v>
      </c>
      <c r="J6" s="98">
        <f t="shared" si="2"/>
        <v>0</v>
      </c>
      <c r="K6" s="98">
        <f t="shared" si="3"/>
        <v>0</v>
      </c>
      <c r="L6" s="23"/>
    </row>
    <row r="7" spans="1:12" ht="30" x14ac:dyDescent="0.25">
      <c r="A7" s="115">
        <v>4</v>
      </c>
      <c r="B7" s="12" t="s">
        <v>728</v>
      </c>
      <c r="C7" s="29" t="s">
        <v>728</v>
      </c>
      <c r="D7" s="12" t="s">
        <v>38</v>
      </c>
      <c r="E7" s="115">
        <v>4</v>
      </c>
      <c r="F7" s="24"/>
      <c r="G7" s="120">
        <v>0.23</v>
      </c>
      <c r="H7" s="98">
        <f t="shared" si="0"/>
        <v>0</v>
      </c>
      <c r="I7" s="98">
        <f t="shared" si="1"/>
        <v>0</v>
      </c>
      <c r="J7" s="98">
        <f t="shared" si="2"/>
        <v>0</v>
      </c>
      <c r="K7" s="98">
        <f t="shared" si="3"/>
        <v>0</v>
      </c>
      <c r="L7" s="23"/>
    </row>
    <row r="8" spans="1:12" ht="60" x14ac:dyDescent="0.25">
      <c r="A8" s="115">
        <v>5</v>
      </c>
      <c r="B8" s="12" t="s">
        <v>729</v>
      </c>
      <c r="C8" s="29" t="s">
        <v>730</v>
      </c>
      <c r="D8" s="12" t="s">
        <v>16</v>
      </c>
      <c r="E8" s="115">
        <v>20</v>
      </c>
      <c r="F8" s="24"/>
      <c r="G8" s="120">
        <v>0.23</v>
      </c>
      <c r="H8" s="98">
        <f t="shared" si="0"/>
        <v>0</v>
      </c>
      <c r="I8" s="98">
        <f t="shared" si="1"/>
        <v>0</v>
      </c>
      <c r="J8" s="98">
        <f t="shared" si="2"/>
        <v>0</v>
      </c>
      <c r="K8" s="98">
        <f t="shared" si="3"/>
        <v>0</v>
      </c>
      <c r="L8" s="23"/>
    </row>
    <row r="9" spans="1:12" ht="45" x14ac:dyDescent="0.25">
      <c r="A9" s="115">
        <v>6</v>
      </c>
      <c r="B9" s="12" t="s">
        <v>731</v>
      </c>
      <c r="C9" s="29" t="s">
        <v>732</v>
      </c>
      <c r="D9" s="12" t="s">
        <v>16</v>
      </c>
      <c r="E9" s="115">
        <v>3</v>
      </c>
      <c r="F9" s="24"/>
      <c r="G9" s="120">
        <v>0.23</v>
      </c>
      <c r="H9" s="98">
        <f t="shared" si="0"/>
        <v>0</v>
      </c>
      <c r="I9" s="98">
        <f t="shared" si="1"/>
        <v>0</v>
      </c>
      <c r="J9" s="98">
        <f t="shared" si="2"/>
        <v>0</v>
      </c>
      <c r="K9" s="98">
        <f t="shared" si="3"/>
        <v>0</v>
      </c>
      <c r="L9" s="23"/>
    </row>
    <row r="10" spans="1:12" ht="60" x14ac:dyDescent="0.25">
      <c r="A10" s="115">
        <v>7</v>
      </c>
      <c r="B10" s="12" t="s">
        <v>733</v>
      </c>
      <c r="C10" s="29" t="s">
        <v>734</v>
      </c>
      <c r="D10" s="12" t="s">
        <v>16</v>
      </c>
      <c r="E10" s="115">
        <v>2</v>
      </c>
      <c r="F10" s="24"/>
      <c r="G10" s="120">
        <v>0.23</v>
      </c>
      <c r="H10" s="98">
        <f t="shared" si="0"/>
        <v>0</v>
      </c>
      <c r="I10" s="98">
        <f t="shared" si="1"/>
        <v>0</v>
      </c>
      <c r="J10" s="98">
        <f t="shared" si="2"/>
        <v>0</v>
      </c>
      <c r="K10" s="98">
        <f t="shared" si="3"/>
        <v>0</v>
      </c>
      <c r="L10" s="23"/>
    </row>
    <row r="11" spans="1:12" ht="60" x14ac:dyDescent="0.25">
      <c r="A11" s="115">
        <v>8</v>
      </c>
      <c r="B11" s="12" t="s">
        <v>735</v>
      </c>
      <c r="C11" s="29" t="s">
        <v>736</v>
      </c>
      <c r="D11" s="12" t="s">
        <v>16</v>
      </c>
      <c r="E11" s="115">
        <v>2</v>
      </c>
      <c r="F11" s="24"/>
      <c r="G11" s="120">
        <v>0.23</v>
      </c>
      <c r="H11" s="98">
        <f t="shared" si="0"/>
        <v>0</v>
      </c>
      <c r="I11" s="98">
        <f t="shared" si="1"/>
        <v>0</v>
      </c>
      <c r="J11" s="98">
        <f t="shared" si="2"/>
        <v>0</v>
      </c>
      <c r="K11" s="98">
        <f t="shared" si="3"/>
        <v>0</v>
      </c>
      <c r="L11" s="23"/>
    </row>
    <row r="12" spans="1:12" ht="30" x14ac:dyDescent="0.25">
      <c r="A12" s="115">
        <v>9</v>
      </c>
      <c r="B12" s="12" t="s">
        <v>737</v>
      </c>
      <c r="C12" s="29" t="s">
        <v>738</v>
      </c>
      <c r="D12" s="12" t="s">
        <v>16</v>
      </c>
      <c r="E12" s="115">
        <v>5</v>
      </c>
      <c r="F12" s="24"/>
      <c r="G12" s="120">
        <v>0.23</v>
      </c>
      <c r="H12" s="98">
        <f t="shared" si="0"/>
        <v>0</v>
      </c>
      <c r="I12" s="98">
        <f t="shared" si="1"/>
        <v>0</v>
      </c>
      <c r="J12" s="98">
        <f t="shared" si="2"/>
        <v>0</v>
      </c>
      <c r="K12" s="98">
        <f t="shared" si="3"/>
        <v>0</v>
      </c>
      <c r="L12" s="23"/>
    </row>
    <row r="13" spans="1:12" ht="30" x14ac:dyDescent="0.25">
      <c r="A13" s="115">
        <v>10</v>
      </c>
      <c r="B13" s="12" t="s">
        <v>739</v>
      </c>
      <c r="C13" s="29" t="s">
        <v>740</v>
      </c>
      <c r="D13" s="12" t="s">
        <v>16</v>
      </c>
      <c r="E13" s="115">
        <v>3</v>
      </c>
      <c r="F13" s="24"/>
      <c r="G13" s="120">
        <v>0.23</v>
      </c>
      <c r="H13" s="98">
        <f t="shared" si="0"/>
        <v>0</v>
      </c>
      <c r="I13" s="98">
        <f t="shared" si="1"/>
        <v>0</v>
      </c>
      <c r="J13" s="98">
        <f t="shared" si="2"/>
        <v>0</v>
      </c>
      <c r="K13" s="98">
        <f t="shared" si="3"/>
        <v>0</v>
      </c>
      <c r="L13" s="23"/>
    </row>
    <row r="14" spans="1:12" ht="30" x14ac:dyDescent="0.25">
      <c r="A14" s="115">
        <v>11</v>
      </c>
      <c r="B14" s="12" t="s">
        <v>741</v>
      </c>
      <c r="C14" s="29" t="s">
        <v>742</v>
      </c>
      <c r="D14" s="12" t="s">
        <v>16</v>
      </c>
      <c r="E14" s="115">
        <v>2</v>
      </c>
      <c r="F14" s="24"/>
      <c r="G14" s="120">
        <v>0.23</v>
      </c>
      <c r="H14" s="98">
        <f t="shared" si="0"/>
        <v>0</v>
      </c>
      <c r="I14" s="98">
        <f t="shared" si="1"/>
        <v>0</v>
      </c>
      <c r="J14" s="98">
        <f t="shared" si="2"/>
        <v>0</v>
      </c>
      <c r="K14" s="98">
        <f t="shared" si="3"/>
        <v>0</v>
      </c>
      <c r="L14" s="23"/>
    </row>
    <row r="15" spans="1:12" ht="75" x14ac:dyDescent="0.25">
      <c r="A15" s="115">
        <v>12</v>
      </c>
      <c r="B15" s="12" t="s">
        <v>608</v>
      </c>
      <c r="C15" s="29" t="s">
        <v>609</v>
      </c>
      <c r="D15" s="12" t="s">
        <v>610</v>
      </c>
      <c r="E15" s="115">
        <v>4</v>
      </c>
      <c r="F15" s="24"/>
      <c r="G15" s="120">
        <v>0.23</v>
      </c>
      <c r="H15" s="98">
        <f t="shared" si="0"/>
        <v>0</v>
      </c>
      <c r="I15" s="98">
        <f t="shared" si="1"/>
        <v>0</v>
      </c>
      <c r="J15" s="98">
        <f t="shared" si="2"/>
        <v>0</v>
      </c>
      <c r="K15" s="98">
        <f t="shared" si="3"/>
        <v>0</v>
      </c>
      <c r="L15" s="23"/>
    </row>
    <row r="16" spans="1:12" ht="75" x14ac:dyDescent="0.25">
      <c r="A16" s="115">
        <v>13</v>
      </c>
      <c r="B16" s="12" t="s">
        <v>611</v>
      </c>
      <c r="C16" s="29" t="s">
        <v>612</v>
      </c>
      <c r="D16" s="12" t="s">
        <v>613</v>
      </c>
      <c r="E16" s="115">
        <v>2</v>
      </c>
      <c r="F16" s="24"/>
      <c r="G16" s="120">
        <v>0.23</v>
      </c>
      <c r="H16" s="98">
        <f t="shared" si="0"/>
        <v>0</v>
      </c>
      <c r="I16" s="98">
        <f t="shared" si="1"/>
        <v>0</v>
      </c>
      <c r="J16" s="98">
        <f t="shared" si="2"/>
        <v>0</v>
      </c>
      <c r="K16" s="98">
        <f t="shared" si="3"/>
        <v>0</v>
      </c>
      <c r="L16" s="23"/>
    </row>
    <row r="17" spans="1:12" ht="30" x14ac:dyDescent="0.25">
      <c r="A17" s="115">
        <v>14</v>
      </c>
      <c r="B17" s="12" t="s">
        <v>743</v>
      </c>
      <c r="C17" s="29" t="s">
        <v>744</v>
      </c>
      <c r="D17" s="12" t="s">
        <v>16</v>
      </c>
      <c r="E17" s="115">
        <v>2</v>
      </c>
      <c r="F17" s="24"/>
      <c r="G17" s="120">
        <v>0.23</v>
      </c>
      <c r="H17" s="98">
        <f t="shared" si="0"/>
        <v>0</v>
      </c>
      <c r="I17" s="98">
        <f t="shared" si="1"/>
        <v>0</v>
      </c>
      <c r="J17" s="98">
        <f t="shared" si="2"/>
        <v>0</v>
      </c>
      <c r="K17" s="98">
        <f t="shared" si="3"/>
        <v>0</v>
      </c>
      <c r="L17" s="23"/>
    </row>
    <row r="18" spans="1:12" ht="30" x14ac:dyDescent="0.25">
      <c r="A18" s="115">
        <v>15</v>
      </c>
      <c r="B18" s="12" t="s">
        <v>745</v>
      </c>
      <c r="C18" s="29" t="s">
        <v>746</v>
      </c>
      <c r="D18" s="12" t="s">
        <v>127</v>
      </c>
      <c r="E18" s="115">
        <v>5</v>
      </c>
      <c r="F18" s="24"/>
      <c r="G18" s="120">
        <v>0.23</v>
      </c>
      <c r="H18" s="98">
        <f t="shared" si="0"/>
        <v>0</v>
      </c>
      <c r="I18" s="98">
        <f t="shared" si="1"/>
        <v>0</v>
      </c>
      <c r="J18" s="98">
        <f t="shared" si="2"/>
        <v>0</v>
      </c>
      <c r="K18" s="98">
        <f t="shared" si="3"/>
        <v>0</v>
      </c>
      <c r="L18" s="23"/>
    </row>
    <row r="19" spans="1:12" ht="30" x14ac:dyDescent="0.25">
      <c r="A19" s="115">
        <v>16</v>
      </c>
      <c r="B19" s="12" t="s">
        <v>747</v>
      </c>
      <c r="C19" s="29" t="s">
        <v>748</v>
      </c>
      <c r="D19" s="12" t="s">
        <v>16</v>
      </c>
      <c r="E19" s="115">
        <v>2</v>
      </c>
      <c r="F19" s="24"/>
      <c r="G19" s="120">
        <v>0.23</v>
      </c>
      <c r="H19" s="98">
        <f t="shared" si="0"/>
        <v>0</v>
      </c>
      <c r="I19" s="98">
        <f t="shared" si="1"/>
        <v>0</v>
      </c>
      <c r="J19" s="98">
        <f t="shared" si="2"/>
        <v>0</v>
      </c>
      <c r="K19" s="98">
        <f t="shared" si="3"/>
        <v>0</v>
      </c>
      <c r="L19" s="23"/>
    </row>
    <row r="20" spans="1:12" ht="30" x14ac:dyDescent="0.25">
      <c r="A20" s="115">
        <v>17</v>
      </c>
      <c r="B20" s="12" t="s">
        <v>606</v>
      </c>
      <c r="C20" s="29" t="s">
        <v>607</v>
      </c>
      <c r="D20" s="12" t="s">
        <v>16</v>
      </c>
      <c r="E20" s="115">
        <v>5</v>
      </c>
      <c r="F20" s="24"/>
      <c r="G20" s="120">
        <v>0.23</v>
      </c>
      <c r="H20" s="98">
        <f t="shared" si="0"/>
        <v>0</v>
      </c>
      <c r="I20" s="98">
        <f t="shared" si="1"/>
        <v>0</v>
      </c>
      <c r="J20" s="98">
        <f t="shared" si="2"/>
        <v>0</v>
      </c>
      <c r="K20" s="98">
        <f t="shared" si="3"/>
        <v>0</v>
      </c>
      <c r="L20" s="23"/>
    </row>
    <row r="21" spans="1:12" ht="30" x14ac:dyDescent="0.25">
      <c r="A21" s="115">
        <v>18</v>
      </c>
      <c r="B21" s="12" t="s">
        <v>749</v>
      </c>
      <c r="C21" s="29" t="s">
        <v>750</v>
      </c>
      <c r="D21" s="12" t="s">
        <v>16</v>
      </c>
      <c r="E21" s="115">
        <v>5</v>
      </c>
      <c r="F21" s="24"/>
      <c r="G21" s="120">
        <v>0.23</v>
      </c>
      <c r="H21" s="98">
        <f t="shared" si="0"/>
        <v>0</v>
      </c>
      <c r="I21" s="98">
        <f t="shared" si="1"/>
        <v>0</v>
      </c>
      <c r="J21" s="98">
        <f t="shared" si="2"/>
        <v>0</v>
      </c>
      <c r="K21" s="98">
        <f t="shared" si="3"/>
        <v>0</v>
      </c>
      <c r="L21" s="23"/>
    </row>
    <row r="22" spans="1:12" ht="30" x14ac:dyDescent="0.25">
      <c r="A22" s="115">
        <v>19</v>
      </c>
      <c r="B22" s="12" t="s">
        <v>751</v>
      </c>
      <c r="C22" s="29" t="s">
        <v>752</v>
      </c>
      <c r="D22" s="12" t="s">
        <v>38</v>
      </c>
      <c r="E22" s="115">
        <v>4</v>
      </c>
      <c r="F22" s="24"/>
      <c r="G22" s="120">
        <v>0.23</v>
      </c>
      <c r="H22" s="98">
        <f t="shared" si="0"/>
        <v>0</v>
      </c>
      <c r="I22" s="98">
        <f t="shared" si="1"/>
        <v>0</v>
      </c>
      <c r="J22" s="98">
        <f t="shared" si="2"/>
        <v>0</v>
      </c>
      <c r="K22" s="98">
        <f t="shared" si="3"/>
        <v>0</v>
      </c>
      <c r="L22" s="23"/>
    </row>
    <row r="23" spans="1:12" ht="30" x14ac:dyDescent="0.25">
      <c r="A23" s="115">
        <v>20</v>
      </c>
      <c r="B23" s="12" t="s">
        <v>753</v>
      </c>
      <c r="C23" s="29" t="s">
        <v>754</v>
      </c>
      <c r="D23" s="12" t="s">
        <v>38</v>
      </c>
      <c r="E23" s="115">
        <v>7</v>
      </c>
      <c r="F23" s="24"/>
      <c r="G23" s="120">
        <v>0.23</v>
      </c>
      <c r="H23" s="98">
        <f t="shared" si="0"/>
        <v>0</v>
      </c>
      <c r="I23" s="98">
        <f t="shared" si="1"/>
        <v>0</v>
      </c>
      <c r="J23" s="98">
        <f t="shared" si="2"/>
        <v>0</v>
      </c>
      <c r="K23" s="98">
        <f t="shared" si="3"/>
        <v>0</v>
      </c>
      <c r="L23" s="23"/>
    </row>
    <row r="24" spans="1:12" ht="150" x14ac:dyDescent="0.25">
      <c r="A24" s="115">
        <v>21</v>
      </c>
      <c r="B24" s="12" t="s">
        <v>755</v>
      </c>
      <c r="C24" s="29" t="s">
        <v>756</v>
      </c>
      <c r="D24" s="12" t="s">
        <v>16</v>
      </c>
      <c r="E24" s="115">
        <v>1</v>
      </c>
      <c r="F24" s="24"/>
      <c r="G24" s="120">
        <v>0.23</v>
      </c>
      <c r="H24" s="98">
        <f t="shared" si="0"/>
        <v>0</v>
      </c>
      <c r="I24" s="98">
        <f t="shared" si="1"/>
        <v>0</v>
      </c>
      <c r="J24" s="98">
        <f t="shared" si="2"/>
        <v>0</v>
      </c>
      <c r="K24" s="98">
        <f t="shared" si="3"/>
        <v>0</v>
      </c>
      <c r="L24" s="23"/>
    </row>
    <row r="25" spans="1:12" ht="45" x14ac:dyDescent="0.25">
      <c r="A25" s="115">
        <v>22</v>
      </c>
      <c r="B25" s="12" t="s">
        <v>757</v>
      </c>
      <c r="C25" s="29" t="s">
        <v>758</v>
      </c>
      <c r="D25" s="12" t="s">
        <v>16</v>
      </c>
      <c r="E25" s="115">
        <v>2</v>
      </c>
      <c r="F25" s="24"/>
      <c r="G25" s="120">
        <v>0.23</v>
      </c>
      <c r="H25" s="98">
        <f t="shared" si="0"/>
        <v>0</v>
      </c>
      <c r="I25" s="98">
        <f t="shared" si="1"/>
        <v>0</v>
      </c>
      <c r="J25" s="98">
        <f t="shared" si="2"/>
        <v>0</v>
      </c>
      <c r="K25" s="98">
        <f t="shared" si="3"/>
        <v>0</v>
      </c>
      <c r="L25" s="23"/>
    </row>
    <row r="26" spans="1:12" ht="90" x14ac:dyDescent="0.25">
      <c r="A26" s="115">
        <v>23</v>
      </c>
      <c r="B26" s="12" t="s">
        <v>759</v>
      </c>
      <c r="C26" s="29" t="s">
        <v>760</v>
      </c>
      <c r="D26" s="12" t="s">
        <v>761</v>
      </c>
      <c r="E26" s="115">
        <v>1</v>
      </c>
      <c r="F26" s="24"/>
      <c r="G26" s="120">
        <v>0.23</v>
      </c>
      <c r="H26" s="98">
        <f t="shared" si="0"/>
        <v>0</v>
      </c>
      <c r="I26" s="98">
        <f t="shared" si="1"/>
        <v>0</v>
      </c>
      <c r="J26" s="98">
        <f t="shared" si="2"/>
        <v>0</v>
      </c>
      <c r="K26" s="98">
        <f t="shared" si="3"/>
        <v>0</v>
      </c>
      <c r="L26" s="23"/>
    </row>
    <row r="27" spans="1:12" ht="30" x14ac:dyDescent="0.25">
      <c r="A27" s="115">
        <v>24</v>
      </c>
      <c r="B27" s="12" t="s">
        <v>762</v>
      </c>
      <c r="C27" s="29" t="s">
        <v>763</v>
      </c>
      <c r="D27" s="12" t="s">
        <v>127</v>
      </c>
      <c r="E27" s="115">
        <v>5</v>
      </c>
      <c r="F27" s="24"/>
      <c r="G27" s="120">
        <v>0.23</v>
      </c>
      <c r="H27" s="98">
        <f t="shared" si="0"/>
        <v>0</v>
      </c>
      <c r="I27" s="98">
        <f t="shared" si="1"/>
        <v>0</v>
      </c>
      <c r="J27" s="98">
        <f t="shared" si="2"/>
        <v>0</v>
      </c>
      <c r="K27" s="98">
        <f t="shared" si="3"/>
        <v>0</v>
      </c>
      <c r="L27" s="23"/>
    </row>
    <row r="28" spans="1:12" ht="30" x14ac:dyDescent="0.25">
      <c r="A28" s="115">
        <v>25</v>
      </c>
      <c r="B28" s="12" t="s">
        <v>764</v>
      </c>
      <c r="C28" s="29" t="s">
        <v>765</v>
      </c>
      <c r="D28" s="12" t="s">
        <v>382</v>
      </c>
      <c r="E28" s="115">
        <v>1</v>
      </c>
      <c r="F28" s="24"/>
      <c r="G28" s="120">
        <v>0.23</v>
      </c>
      <c r="H28" s="98">
        <f t="shared" si="0"/>
        <v>0</v>
      </c>
      <c r="I28" s="98">
        <f t="shared" si="1"/>
        <v>0</v>
      </c>
      <c r="J28" s="98">
        <f t="shared" si="2"/>
        <v>0</v>
      </c>
      <c r="K28" s="98">
        <f t="shared" si="3"/>
        <v>0</v>
      </c>
      <c r="L28" s="23"/>
    </row>
    <row r="29" spans="1:12" ht="45" x14ac:dyDescent="0.25">
      <c r="A29" s="115">
        <v>26</v>
      </c>
      <c r="B29" s="12" t="s">
        <v>614</v>
      </c>
      <c r="C29" s="29" t="s">
        <v>615</v>
      </c>
      <c r="D29" s="12" t="s">
        <v>616</v>
      </c>
      <c r="E29" s="115">
        <v>1</v>
      </c>
      <c r="F29" s="24"/>
      <c r="G29" s="120">
        <v>0.23</v>
      </c>
      <c r="H29" s="98">
        <f t="shared" si="0"/>
        <v>0</v>
      </c>
      <c r="I29" s="98">
        <f t="shared" si="1"/>
        <v>0</v>
      </c>
      <c r="J29" s="98">
        <f t="shared" si="2"/>
        <v>0</v>
      </c>
      <c r="K29" s="98">
        <f t="shared" si="3"/>
        <v>0</v>
      </c>
      <c r="L29" s="23"/>
    </row>
    <row r="30" spans="1:12" ht="75" x14ac:dyDescent="0.25">
      <c r="A30" s="115">
        <v>27</v>
      </c>
      <c r="B30" s="12" t="s">
        <v>766</v>
      </c>
      <c r="C30" s="29" t="s">
        <v>767</v>
      </c>
      <c r="D30" s="12" t="s">
        <v>202</v>
      </c>
      <c r="E30" s="115">
        <v>1</v>
      </c>
      <c r="F30" s="24"/>
      <c r="G30" s="120">
        <v>0.23</v>
      </c>
      <c r="H30" s="98">
        <f t="shared" si="0"/>
        <v>0</v>
      </c>
      <c r="I30" s="98">
        <f t="shared" si="1"/>
        <v>0</v>
      </c>
      <c r="J30" s="98">
        <f t="shared" si="2"/>
        <v>0</v>
      </c>
      <c r="K30" s="98">
        <f t="shared" si="3"/>
        <v>0</v>
      </c>
      <c r="L30" s="23"/>
    </row>
    <row r="31" spans="1:12" x14ac:dyDescent="0.25">
      <c r="A31" s="127" t="s">
        <v>198</v>
      </c>
      <c r="B31" s="127"/>
      <c r="C31" s="127"/>
      <c r="D31" s="127"/>
      <c r="E31" s="127"/>
      <c r="F31" s="116" t="s">
        <v>768</v>
      </c>
      <c r="G31" s="116" t="s">
        <v>768</v>
      </c>
      <c r="H31" s="117">
        <f>SUM(H4:H30)</f>
        <v>0</v>
      </c>
      <c r="I31" s="117">
        <f>SUM(I4:I30)</f>
        <v>0</v>
      </c>
      <c r="J31" s="117">
        <f>SUM(J4:J30)</f>
        <v>0</v>
      </c>
      <c r="K31" s="117">
        <f>SUM(K4:K30)</f>
        <v>0</v>
      </c>
    </row>
  </sheetData>
  <sheetProtection algorithmName="SHA-512" hashValue="E4K778766Bi0STGICDqG0/758QVtf8YQTuExunVesOeDjZeAwGNpojmHeah+u98arWBxwEcO/Bcs9aI220o1JA==" saltValue="YAUbSeBBI06ckbOiQlJXcQ==" spinCount="100000" sheet="1" objects="1" scenarios="1" selectLockedCells="1"/>
  <autoFilter ref="A3:L30" xr:uid="{7E991719-133C-47AA-A60F-2BB12C51F632}"/>
  <mergeCells count="2">
    <mergeCell ref="A1:K1"/>
    <mergeCell ref="A31:E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Cz. I Wyroby szklane</vt:lpstr>
      <vt:lpstr>Cz. IIFiltry,strzykawki,spektro</vt:lpstr>
      <vt:lpstr>Cz.III akc. metalowe</vt:lpstr>
      <vt:lpstr>Cz. IV Plastiki,pojemniki </vt:lpstr>
      <vt:lpstr>Cz. V Akcesoria</vt:lpstr>
      <vt:lpstr>Cz. VI Komórki itp.</vt:lpstr>
      <vt:lpstr>Cz. VII Pipety</vt:lpstr>
      <vt:lpstr>Cz. VIII Pipety specjalistyczne</vt:lpstr>
      <vt:lpstr>Cz. IX Drobny sprzęt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Kijeńska</dc:creator>
  <cp:keywords/>
  <dc:description/>
  <cp:lastModifiedBy>Karolewska Małgorzata</cp:lastModifiedBy>
  <cp:revision/>
  <dcterms:created xsi:type="dcterms:W3CDTF">2022-05-02T16:50:42Z</dcterms:created>
  <dcterms:modified xsi:type="dcterms:W3CDTF">2022-06-09T09:05:57Z</dcterms:modified>
  <cp:category/>
  <cp:contentStatus/>
</cp:coreProperties>
</file>