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anicka\Desktop\POSTĘPOWANIA 2022\olympus\platforma zakupowa\"/>
    </mc:Choice>
  </mc:AlternateContent>
  <bookViews>
    <workbookView xWindow="0" yWindow="0" windowWidth="28800" windowHeight="13740"/>
  </bookViews>
  <sheets>
    <sheet name="sprzęt do umowy 26.10" sheetId="5" r:id="rId1"/>
  </sheets>
  <calcPr calcId="162913"/>
</workbook>
</file>

<file path=xl/calcChain.xml><?xml version="1.0" encoding="utf-8"?>
<calcChain xmlns="http://schemas.openxmlformats.org/spreadsheetml/2006/main">
  <c r="E109" i="5" l="1"/>
  <c r="D109" i="5"/>
  <c r="C109" i="5"/>
  <c r="B109" i="5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E65" i="5"/>
  <c r="D65" i="5"/>
  <c r="B65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E58" i="5"/>
  <c r="D58" i="5"/>
  <c r="C58" i="5"/>
  <c r="B58" i="5"/>
  <c r="E57" i="5"/>
  <c r="D57" i="5"/>
  <c r="C57" i="5"/>
  <c r="B57" i="5"/>
  <c r="E56" i="5"/>
  <c r="D56" i="5"/>
  <c r="C56" i="5"/>
  <c r="B56" i="5"/>
  <c r="E55" i="5"/>
  <c r="D55" i="5"/>
  <c r="C55" i="5"/>
  <c r="B55" i="5"/>
  <c r="E54" i="5"/>
  <c r="D54" i="5"/>
  <c r="C54" i="5"/>
  <c r="B54" i="5"/>
  <c r="E53" i="5"/>
  <c r="D53" i="5"/>
  <c r="C53" i="5"/>
  <c r="B53" i="5"/>
  <c r="E52" i="5"/>
  <c r="D52" i="5"/>
  <c r="C52" i="5"/>
  <c r="B52" i="5"/>
  <c r="E51" i="5"/>
  <c r="D51" i="5"/>
  <c r="C51" i="5"/>
  <c r="B51" i="5"/>
  <c r="E50" i="5"/>
  <c r="D50" i="5"/>
  <c r="C50" i="5"/>
  <c r="B50" i="5"/>
  <c r="E49" i="5"/>
  <c r="D49" i="5"/>
  <c r="C49" i="5"/>
  <c r="B49" i="5"/>
  <c r="E48" i="5"/>
  <c r="D48" i="5"/>
  <c r="C48" i="5"/>
  <c r="B48" i="5"/>
  <c r="E47" i="5"/>
  <c r="D47" i="5"/>
  <c r="C47" i="5"/>
  <c r="B47" i="5"/>
  <c r="E46" i="5"/>
  <c r="D46" i="5"/>
  <c r="C46" i="5"/>
  <c r="B46" i="5"/>
  <c r="E45" i="5"/>
  <c r="D45" i="5"/>
  <c r="C45" i="5"/>
  <c r="B45" i="5"/>
  <c r="E44" i="5"/>
  <c r="D44" i="5"/>
  <c r="C44" i="5"/>
  <c r="B44" i="5"/>
  <c r="E43" i="5"/>
  <c r="D43" i="5"/>
  <c r="C43" i="5"/>
  <c r="B43" i="5"/>
  <c r="E42" i="5"/>
  <c r="D42" i="5"/>
  <c r="C42" i="5"/>
  <c r="B42" i="5"/>
  <c r="E41" i="5"/>
  <c r="D41" i="5"/>
  <c r="C41" i="5"/>
  <c r="B41" i="5"/>
  <c r="E40" i="5"/>
  <c r="D40" i="5"/>
  <c r="C40" i="5"/>
  <c r="B40" i="5"/>
  <c r="E39" i="5"/>
  <c r="D39" i="5"/>
  <c r="C39" i="5"/>
  <c r="E38" i="5"/>
  <c r="D38" i="5"/>
  <c r="C38" i="5"/>
  <c r="E37" i="5"/>
  <c r="D37" i="5"/>
  <c r="C37" i="5"/>
  <c r="B37" i="5"/>
  <c r="E36" i="5"/>
  <c r="D36" i="5"/>
  <c r="C36" i="5"/>
  <c r="B36" i="5"/>
  <c r="E35" i="5"/>
  <c r="D35" i="5"/>
  <c r="C35" i="5"/>
  <c r="B35" i="5"/>
  <c r="E34" i="5"/>
  <c r="D34" i="5"/>
  <c r="C34" i="5"/>
  <c r="B34" i="5"/>
  <c r="E33" i="5"/>
  <c r="D33" i="5"/>
  <c r="C33" i="5"/>
  <c r="B33" i="5"/>
  <c r="E32" i="5"/>
  <c r="D32" i="5"/>
  <c r="C32" i="5"/>
  <c r="B32" i="5"/>
  <c r="E31" i="5"/>
  <c r="D31" i="5"/>
  <c r="C31" i="5"/>
  <c r="B31" i="5"/>
  <c r="E30" i="5"/>
  <c r="D30" i="5"/>
  <c r="C30" i="5"/>
  <c r="B30" i="5"/>
  <c r="E29" i="5"/>
  <c r="B29" i="5"/>
  <c r="E28" i="5"/>
  <c r="D28" i="5"/>
  <c r="C28" i="5"/>
  <c r="B28" i="5"/>
  <c r="E27" i="5"/>
  <c r="D27" i="5"/>
  <c r="B27" i="5"/>
  <c r="E26" i="5"/>
  <c r="D26" i="5"/>
  <c r="B26" i="5"/>
  <c r="E25" i="5"/>
  <c r="D25" i="5"/>
  <c r="B25" i="5"/>
  <c r="E24" i="5"/>
  <c r="D24" i="5"/>
  <c r="C24" i="5"/>
  <c r="B24" i="5"/>
  <c r="E23" i="5"/>
  <c r="D23" i="5"/>
  <c r="C23" i="5"/>
  <c r="B23" i="5"/>
  <c r="E22" i="5"/>
  <c r="D22" i="5"/>
  <c r="C22" i="5"/>
  <c r="B22" i="5"/>
  <c r="E21" i="5"/>
  <c r="D21" i="5"/>
  <c r="C21" i="5"/>
  <c r="B21" i="5"/>
  <c r="E20" i="5"/>
  <c r="D20" i="5"/>
  <c r="C20" i="5"/>
  <c r="B20" i="5"/>
  <c r="E19" i="5"/>
  <c r="D19" i="5"/>
  <c r="C19" i="5"/>
  <c r="B19" i="5"/>
  <c r="E18" i="5"/>
  <c r="D18" i="5"/>
  <c r="C18" i="5"/>
  <c r="B18" i="5"/>
  <c r="E17" i="5"/>
  <c r="D17" i="5"/>
  <c r="C17" i="5"/>
  <c r="B17" i="5"/>
  <c r="E16" i="5"/>
  <c r="D16" i="5"/>
  <c r="C16" i="5"/>
  <c r="B16" i="5"/>
  <c r="E15" i="5"/>
  <c r="D15" i="5"/>
  <c r="C15" i="5"/>
  <c r="B15" i="5"/>
  <c r="E14" i="5"/>
  <c r="D14" i="5"/>
  <c r="C14" i="5"/>
  <c r="B14" i="5"/>
  <c r="E13" i="5"/>
  <c r="D13" i="5"/>
  <c r="C13" i="5"/>
  <c r="B13" i="5"/>
  <c r="E12" i="5"/>
  <c r="D12" i="5"/>
  <c r="C12" i="5"/>
  <c r="B12" i="5"/>
  <c r="E11" i="5"/>
  <c r="D11" i="5"/>
  <c r="C11" i="5"/>
  <c r="E10" i="5"/>
  <c r="D10" i="5"/>
  <c r="C10" i="5"/>
  <c r="B10" i="5"/>
  <c r="E9" i="5"/>
  <c r="D9" i="5"/>
  <c r="C9" i="5"/>
  <c r="B9" i="5"/>
  <c r="E8" i="5"/>
  <c r="D8" i="5"/>
  <c r="C8" i="5"/>
  <c r="B8" i="5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</calcChain>
</file>

<file path=xl/sharedStrings.xml><?xml version="1.0" encoding="utf-8"?>
<sst xmlns="http://schemas.openxmlformats.org/spreadsheetml/2006/main" count="122" uniqueCount="121">
  <si>
    <t>Bronchoskop ultrasonograficznego z torem wizyjnym  (EBUS)</t>
  </si>
  <si>
    <t>Myjnia automatyczna do bronchofiberoskopów z drukarką</t>
  </si>
  <si>
    <t>Tor wizyjny do zabiegów torakoskopowych z osprzętem</t>
  </si>
  <si>
    <t>Zestaw laparoskopowy z torem wizyjnym do operacji urologicznych</t>
  </si>
  <si>
    <t>Terstyet szczelności/pompa powietrza</t>
  </si>
  <si>
    <t>MU-1</t>
  </si>
  <si>
    <t>Kliniczny Oddział Intensywnej Terapii</t>
  </si>
  <si>
    <t>MAJ-1916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</si>
  <si>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</si>
  <si>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</si>
  <si>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</si>
  <si>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</si>
  <si>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</si>
  <si>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</si>
  <si>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</si>
  <si>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</si>
  <si>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</si>
  <si>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</si>
  <si>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</si>
  <si>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</si>
  <si>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</si>
  <si>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</si>
  <si>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</si>
  <si>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</si>
  <si>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</si>
  <si>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</si>
  <si>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</si>
  <si>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</si>
  <si>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</si>
  <si>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</si>
  <si>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</si>
  <si>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</si>
  <si>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</si>
  <si>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</si>
  <si>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</si>
  <si>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</si>
  <si>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</si>
  <si>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</si>
  <si>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</si>
  <si>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</si>
  <si>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</si>
  <si>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</si>
  <si>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</si>
  <si>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</si>
  <si>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</si>
  <si>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</si>
  <si>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</si>
  <si>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</si>
  <si>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</si>
  <si>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</si>
  <si>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</si>
  <si>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</si>
  <si>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</si>
  <si>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</si>
  <si>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</si>
  <si>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</si>
  <si>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</si>
  <si>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</si>
  <si>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</si>
  <si>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</si>
  <si>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</si>
  <si>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</si>
  <si>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</si>
  <si>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</si>
  <si>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</si>
  <si>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</si>
  <si>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</si>
  <si>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</si>
  <si>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</si>
  <si>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</si>
  <si>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</si>
  <si>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</si>
  <si>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</si>
  <si>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</si>
  <si>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</si>
  <si>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</si>
  <si>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</si>
  <si>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</si>
  <si>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</si>
  <si>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</si>
  <si>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</si>
  <si>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</si>
  <si>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</si>
  <si>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</si>
  <si>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</si>
  <si>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</si>
  <si>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</si>
  <si>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</si>
  <si>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</si>
  <si>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</si>
  <si>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</si>
  <si>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</si>
  <si>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</si>
  <si>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</si>
  <si>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</si>
  <si>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</si>
  <si>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</si>
  <si>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</si>
  <si>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</si>
  <si>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</si>
  <si>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</si>
  <si>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</si>
  <si>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</si>
  <si>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</si>
  <si>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</si>
  <si>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</si>
  <si>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</si>
  <si>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</si>
  <si>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</si>
  <si>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</si>
  <si>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</si>
  <si>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</si>
  <si>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</si>
  <si>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</si>
  <si>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620893/2411627</t>
  </si>
  <si>
    <t>Ilość miesięcy</t>
  </si>
  <si>
    <t>RAZEM</t>
  </si>
  <si>
    <t>Wartość jednostkowa netto za miesiąc (zł) RYCZALT</t>
  </si>
  <si>
    <t>Wartość netto  (zł)</t>
  </si>
  <si>
    <t>Cena brutto  (zł)</t>
  </si>
  <si>
    <t xml:space="preserve">Zestawienie asortymentowo – cenowe przedmiotu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</si>
</sst>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0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7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0" fillId="0" borderId="0" xfId="0" applyFont="1"/>
    <xf numFmtId="0" fontId="0" fillId="0" borderId="10" xfId="0" applyBorder="1"/>
    <xf numFmtId="0" fontId="27" fillId="0" borderId="10" xfId="0" applyFont="1" applyBorder="1" applyAlignment="1">
      <alignment wrapText="1"/>
    </xf>
    <xf numFmtId="0" fontId="0" fillId="0" borderId="10" xfId="0" applyFont="1" applyBorder="1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2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17" xfId="0" applyFont="1" applyBorder="1" applyAlignment="1">
      <alignment horizontal="right"/>
    </xf>
    <xf numFmtId="0" fontId="28" fillId="0" borderId="18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9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0"/>
  <sheetViews>
    <sheetView tabSelected="1" workbookViewId="0">
      <selection activeCell="E6" sqref="E6"/>
    </sheetView>
  </sheetViews>
  <sheetFormatPr defaultRowHeight="15" x14ac:dyDescent="0.25"/>
  <cols>
    <col min="1" max="1" width="4.5703125" customWidth="1"/>
    <col min="2" max="2" width="15" customWidth="1"/>
    <col min="3" max="3" width="12.42578125" style="12" customWidth="1"/>
    <col min="4" max="4" width="11.42578125" customWidth="1"/>
    <col min="5" max="5" width="22.28515625" style="21" customWidth="1"/>
    <col min="6" max="6" width="10" style="21" customWidth="1"/>
    <col min="7" max="7" width="7.5703125" style="40" customWidth="1"/>
    <col min="8" max="8" width="8" customWidth="1"/>
    <col min="9" max="9" width="7.7109375" style="24" customWidth="1"/>
  </cols>
  <sheetData>
    <row r="2" spans="1:9" ht="18.75" x14ac:dyDescent="0.3">
      <c r="A2" s="44" t="s">
        <v>120</v>
      </c>
      <c r="B2" s="44"/>
      <c r="C2" s="44"/>
      <c r="D2" s="44"/>
      <c r="E2" s="44"/>
      <c r="F2" s="44"/>
      <c r="G2" s="44"/>
      <c r="H2" s="44"/>
      <c r="I2" s="44"/>
    </row>
    <row r="4" spans="1:9" ht="63" customHeight="1" x14ac:dyDescent="0.25">
      <c r="A4" s="28" t="s">
        <v>8</v>
      </c>
      <c r="B4" s="29" t="str">
        <f>"Nazwa urządzenia"</f>
        <v>Nazwa urządzenia</v>
      </c>
      <c r="C4" s="30" t="str">
        <f>"Nr Seryjny"</f>
        <v>Nr Seryjny</v>
      </c>
      <c r="D4" s="31" t="str">
        <f>"Typ"</f>
        <v>Typ</v>
      </c>
      <c r="E4" s="32" t="str">
        <f>"Jednostka Organizacyjna"</f>
        <v>Jednostka Organizacyjna</v>
      </c>
      <c r="F4" s="32" t="s">
        <v>117</v>
      </c>
      <c r="G4" s="32" t="s">
        <v>115</v>
      </c>
      <c r="H4" s="22" t="s">
        <v>118</v>
      </c>
      <c r="I4" s="22" t="s">
        <v>119</v>
      </c>
    </row>
    <row r="5" spans="1:9" ht="23.25" x14ac:dyDescent="0.25">
      <c r="A5" s="5" t="s">
        <v>9</v>
      </c>
      <c r="B5" s="13" t="str">
        <f>"Bronchofiberoskop "</f>
        <v xml:space="preserve">Bronchofiberoskop </v>
      </c>
      <c r="C5" s="8" t="str">
        <f>"W500027"</f>
        <v>W500027</v>
      </c>
      <c r="D5" s="5" t="str">
        <f>"LF-TP"</f>
        <v>LF-TP</v>
      </c>
      <c r="E5" s="18" t="str">
        <f>"BLOK OPERACYJNY KARDIOCHIRURGII"</f>
        <v>BLOK OPERACYJNY KARDIOCHIRURGII</v>
      </c>
      <c r="F5" s="18"/>
      <c r="G5" s="37">
        <v>4</v>
      </c>
      <c r="H5" s="1"/>
      <c r="I5" s="1"/>
    </row>
    <row r="6" spans="1:9" ht="24.75" x14ac:dyDescent="0.25">
      <c r="A6" s="5" t="s">
        <v>10</v>
      </c>
      <c r="B6" s="13" t="str">
        <f>"Bronchofiberoskop optyczny"</f>
        <v>Bronchofiberoskop optyczny</v>
      </c>
      <c r="C6" s="8" t="str">
        <f>"2863162"</f>
        <v>2863162</v>
      </c>
      <c r="D6" s="5" t="str">
        <f>"BF-1T60"</f>
        <v>BF-1T60</v>
      </c>
      <c r="E6" s="18" t="str">
        <f>"Kliniczny Oddział Intensywnej Terapii"</f>
        <v>Kliniczny Oddział Intensywnej Terapii</v>
      </c>
      <c r="F6" s="18"/>
      <c r="G6" s="37">
        <v>4</v>
      </c>
      <c r="H6" s="1"/>
      <c r="I6" s="1"/>
    </row>
    <row r="7" spans="1:9" ht="24.75" x14ac:dyDescent="0.25">
      <c r="A7" s="5" t="s">
        <v>11</v>
      </c>
      <c r="B7" s="14" t="str">
        <f>"Bronchofiberoskop optyczny"</f>
        <v>Bronchofiberoskop optyczny</v>
      </c>
      <c r="C7" s="8" t="str">
        <f>"2452655"</f>
        <v>2452655</v>
      </c>
      <c r="D7" s="5" t="str">
        <f>"BF-1T60"</f>
        <v>BF-1T60</v>
      </c>
      <c r="E7" s="18" t="str">
        <f>"Kliniczny Oddział Intensywnej Terapii"</f>
        <v>Kliniczny Oddział Intensywnej Terapii</v>
      </c>
      <c r="F7" s="18"/>
      <c r="G7" s="37">
        <v>4</v>
      </c>
      <c r="H7" s="1"/>
      <c r="I7" s="1"/>
    </row>
    <row r="8" spans="1:9" ht="24.75" x14ac:dyDescent="0.25">
      <c r="A8" s="5" t="s">
        <v>12</v>
      </c>
      <c r="B8" s="13" t="str">
        <f>"Bronchofiberoskop video"</f>
        <v>Bronchofiberoskop video</v>
      </c>
      <c r="C8" s="8" t="str">
        <f>"2140522 "</f>
        <v xml:space="preserve">2140522 </v>
      </c>
      <c r="D8" s="5" t="str">
        <f>"BF-1TQ180"</f>
        <v>BF-1TQ180</v>
      </c>
      <c r="E8" s="18" t="str">
        <f>"KLINICZNY ODDZIAŁ CHORÓB WEWNĘTRZNYCH"</f>
        <v>KLINICZNY ODDZIAŁ CHORÓB WEWNĘTRZNYCH</v>
      </c>
      <c r="F8" s="18"/>
      <c r="G8" s="37">
        <v>4</v>
      </c>
      <c r="H8" s="1"/>
      <c r="I8" s="1"/>
    </row>
    <row r="9" spans="1:9" ht="24.75" x14ac:dyDescent="0.25">
      <c r="A9" s="5" t="s">
        <v>13</v>
      </c>
      <c r="B9" s="13" t="str">
        <f>"Bronchofiberoskop video"</f>
        <v>Bronchofiberoskop video</v>
      </c>
      <c r="C9" s="8" t="str">
        <f>"2140524 "</f>
        <v xml:space="preserve">2140524 </v>
      </c>
      <c r="D9" s="5" t="str">
        <f>"BF-1TQ180"</f>
        <v>BF-1TQ180</v>
      </c>
      <c r="E9" s="18" t="str">
        <f>"KLINICZNY ODDZIAŁ CHORÓB WEWNĘTRZNYCH"</f>
        <v>KLINICZNY ODDZIAŁ CHORÓB WEWNĘTRZNYCH</v>
      </c>
      <c r="F9" s="18"/>
      <c r="G9" s="37">
        <v>4</v>
      </c>
      <c r="H9" s="1"/>
      <c r="I9" s="1"/>
    </row>
    <row r="10" spans="1:9" ht="23.25" x14ac:dyDescent="0.25">
      <c r="A10" s="5" t="s">
        <v>14</v>
      </c>
      <c r="B10" s="13" t="str">
        <f>"Bronchoskop"</f>
        <v>Bronchoskop</v>
      </c>
      <c r="C10" s="8" t="str">
        <f>"2814616"</f>
        <v>2814616</v>
      </c>
      <c r="D10" s="5" t="str">
        <f>"BF-TE2"</f>
        <v>BF-TE2</v>
      </c>
      <c r="E10" s="18" t="str">
        <f>"KLINICZNY ODDZIAŁ CHORÓB WEWNĘTRZNYCH"</f>
        <v>KLINICZNY ODDZIAŁ CHORÓB WEWNĘTRZNYCH</v>
      </c>
      <c r="F10" s="18"/>
      <c r="G10" s="37">
        <v>4</v>
      </c>
      <c r="H10" s="1"/>
      <c r="I10" s="1"/>
    </row>
    <row r="11" spans="1:9" ht="48.75" x14ac:dyDescent="0.25">
      <c r="A11" s="5" t="s">
        <v>15</v>
      </c>
      <c r="B11" s="13" t="s">
        <v>0</v>
      </c>
      <c r="C11" s="8" t="str">
        <f>"7900413"</f>
        <v>7900413</v>
      </c>
      <c r="D11" s="5" t="str">
        <f>"BF-UC190F"</f>
        <v>BF-UC190F</v>
      </c>
      <c r="E11" s="18" t="str">
        <f>"KLINICZNY ODDZIAŁ CHORÓB WEWNĘTRZNYCH"</f>
        <v>KLINICZNY ODDZIAŁ CHORÓB WEWNĘTRZNYCH</v>
      </c>
      <c r="F11" s="18"/>
      <c r="G11" s="37">
        <v>4</v>
      </c>
      <c r="H11" s="1"/>
      <c r="I11" s="1"/>
    </row>
    <row r="12" spans="1:9" ht="23.25" x14ac:dyDescent="0.25">
      <c r="A12" s="5" t="s">
        <v>16</v>
      </c>
      <c r="B12" s="13" t="str">
        <f>"Diatermia"</f>
        <v>Diatermia</v>
      </c>
      <c r="C12" s="8" t="str">
        <f>"7925694 "</f>
        <v xml:space="preserve">7925694 </v>
      </c>
      <c r="D12" s="5" t="str">
        <f>"UES-40 "</f>
        <v xml:space="preserve">UES-40 </v>
      </c>
      <c r="E12" s="18" t="str">
        <f>"BLOK OPERACYJNY KLINIKI CHIRURGICZNEJ"</f>
        <v>BLOK OPERACYJNY KLINIKI CHIRURGICZNEJ</v>
      </c>
      <c r="F12" s="18"/>
      <c r="G12" s="37">
        <v>4</v>
      </c>
      <c r="H12" s="1"/>
      <c r="I12" s="1"/>
    </row>
    <row r="13" spans="1:9" ht="24.75" x14ac:dyDescent="0.25">
      <c r="A13" s="5" t="s">
        <v>17</v>
      </c>
      <c r="B13" s="13" t="str">
        <f>"Diatermia chirurgiczna"</f>
        <v>Diatermia chirurgiczna</v>
      </c>
      <c r="C13" s="8" t="str">
        <f>"15029W140012"</f>
        <v>15029W140012</v>
      </c>
      <c r="D13" s="5" t="str">
        <f>"ESG-400"</f>
        <v>ESG-400</v>
      </c>
      <c r="E13" s="18" t="str">
        <f>"BLOK OPERACYJNY KLINIKI CHIRURGICZNEJ"</f>
        <v>BLOK OPERACYJNY KLINIKI CHIRURGICZNEJ</v>
      </c>
      <c r="F13" s="18"/>
      <c r="G13" s="37">
        <v>4</v>
      </c>
      <c r="H13" s="1"/>
      <c r="I13" s="1"/>
    </row>
    <row r="14" spans="1:9" ht="36.75" x14ac:dyDescent="0.25">
      <c r="A14" s="5" t="s">
        <v>18</v>
      </c>
      <c r="B14" s="13" t="str">
        <f>"Endoskan 2PL z czytnikiem transponderów"</f>
        <v>Endoskan 2PL z czytnikiem transponderów</v>
      </c>
      <c r="C14" s="8" t="str">
        <f>"1053"</f>
        <v>1053</v>
      </c>
      <c r="D14" s="5" t="str">
        <f>"E6020246"</f>
        <v>E6020246</v>
      </c>
      <c r="E14" s="18" t="str">
        <f>"KLINICZNY ODDZIAŁ CHORÓB WEWNĘTRZNYCH"</f>
        <v>KLINICZNY ODDZIAŁ CHORÓB WEWNĘTRZNYCH</v>
      </c>
      <c r="F14" s="18"/>
      <c r="G14" s="37">
        <v>4</v>
      </c>
      <c r="H14" s="1"/>
      <c r="I14" s="1"/>
    </row>
    <row r="15" spans="1:9" ht="36.75" x14ac:dyDescent="0.25">
      <c r="A15" s="5" t="s">
        <v>19</v>
      </c>
      <c r="B15" s="13" t="str">
        <f>"Endoskan 2PL z czytnikiem transponderów"</f>
        <v>Endoskan 2PL z czytnikiem transponderów</v>
      </c>
      <c r="C15" s="8" t="str">
        <f>"769 "</f>
        <v xml:space="preserve">769 </v>
      </c>
      <c r="D15" s="5" t="str">
        <f>"E6020246"</f>
        <v>E6020246</v>
      </c>
      <c r="E15" s="18" t="str">
        <f>"KLINICZNY ODDZIAŁ GASTROENTEROLOGICZNY"</f>
        <v>KLINICZNY ODDZIAŁ GASTROENTEROLOGICZNY</v>
      </c>
      <c r="F15" s="18"/>
      <c r="G15" s="37">
        <v>4</v>
      </c>
      <c r="H15" s="1"/>
      <c r="I15" s="1"/>
    </row>
    <row r="16" spans="1:9" ht="36.75" x14ac:dyDescent="0.25">
      <c r="A16" s="5" t="s">
        <v>20</v>
      </c>
      <c r="B16" s="13" t="str">
        <f>"Endoskan 2PL z czytnikiem transponderów"</f>
        <v>Endoskan 2PL z czytnikiem transponderów</v>
      </c>
      <c r="C16" s="8" t="str">
        <f>"1377"</f>
        <v>1377</v>
      </c>
      <c r="D16" s="5" t="str">
        <f>"E6020246"</f>
        <v>E6020246</v>
      </c>
      <c r="E16" s="18" t="str">
        <f>"Kliniczny Oddział Intensywnej Terapii"</f>
        <v>Kliniczny Oddział Intensywnej Terapii</v>
      </c>
      <c r="F16" s="18"/>
      <c r="G16" s="37">
        <v>4</v>
      </c>
      <c r="H16" s="1"/>
      <c r="I16" s="1"/>
    </row>
    <row r="17" spans="1:9" ht="36.75" x14ac:dyDescent="0.25">
      <c r="A17" s="5" t="s">
        <v>21</v>
      </c>
      <c r="B17" s="13" t="str">
        <f>"Endoskan 2PL z czytnikiem transponderów"</f>
        <v>Endoskan 2PL z czytnikiem transponderów</v>
      </c>
      <c r="C17" s="8" t="str">
        <f>"657 "</f>
        <v xml:space="preserve">657 </v>
      </c>
      <c r="D17" s="5" t="str">
        <f>"E6020246"</f>
        <v>E6020246</v>
      </c>
      <c r="E17" s="18" t="str">
        <f>"Pracownia Endoskopii Zabiegowej"</f>
        <v>Pracownia Endoskopii Zabiegowej</v>
      </c>
      <c r="F17" s="18"/>
      <c r="G17" s="37">
        <v>4</v>
      </c>
      <c r="H17" s="1"/>
      <c r="I17" s="1"/>
    </row>
    <row r="18" spans="1:9" ht="36.75" x14ac:dyDescent="0.25">
      <c r="A18" s="5" t="s">
        <v>22</v>
      </c>
      <c r="B18" s="13" t="str">
        <f>"Endoskan 2PL z czytnikiem transponderów"</f>
        <v>Endoskan 2PL z czytnikiem transponderów</v>
      </c>
      <c r="C18" s="8" t="str">
        <f>"663"</f>
        <v>663</v>
      </c>
      <c r="D18" s="5" t="str">
        <f>"E6020246"</f>
        <v>E6020246</v>
      </c>
      <c r="E18" s="18" t="str">
        <f>"Zakład Endoskopii Zabiegowej"</f>
        <v>Zakład Endoskopii Zabiegowej</v>
      </c>
      <c r="F18" s="18"/>
      <c r="G18" s="37">
        <v>4</v>
      </c>
      <c r="H18" s="1"/>
      <c r="I18" s="1"/>
    </row>
    <row r="19" spans="1:9" ht="24.75" x14ac:dyDescent="0.25">
      <c r="A19" s="5" t="s">
        <v>23</v>
      </c>
      <c r="B19" s="13" t="str">
        <f>"Generator ultradźwiękowy"</f>
        <v>Generator ultradźwiękowy</v>
      </c>
      <c r="C19" s="8" t="str">
        <f>"9507220"</f>
        <v>9507220</v>
      </c>
      <c r="D19" s="5" t="str">
        <f>"USG-400"</f>
        <v>USG-400</v>
      </c>
      <c r="E19" s="18" t="str">
        <f>"BLOK OPERACYJNY KLINIKI CHIRURGICZNEJ"</f>
        <v>BLOK OPERACYJNY KLINIKI CHIRURGICZNEJ</v>
      </c>
      <c r="F19" s="18"/>
      <c r="G19" s="37">
        <v>4</v>
      </c>
      <c r="H19" s="1"/>
      <c r="I19" s="1"/>
    </row>
    <row r="20" spans="1:9" ht="24.75" x14ac:dyDescent="0.25">
      <c r="A20" s="5" t="s">
        <v>24</v>
      </c>
      <c r="B20" s="13" t="str">
        <f>"Głowica"</f>
        <v>Głowica</v>
      </c>
      <c r="C20" s="8" t="str">
        <f>"7801128"</f>
        <v>7801128</v>
      </c>
      <c r="D20" s="5" t="str">
        <f>"CH-200-XZ-EB"</f>
        <v>CH-200-XZ-EB</v>
      </c>
      <c r="E20" s="18" t="str">
        <f>"BLOK OPERACYJNY OTOLARYNGOLOGICZNY"</f>
        <v>BLOK OPERACYJNY OTOLARYNGOLOGICZNY</v>
      </c>
      <c r="F20" s="18"/>
      <c r="G20" s="37">
        <v>4</v>
      </c>
      <c r="H20" s="1"/>
      <c r="I20" s="1"/>
    </row>
    <row r="21" spans="1:9" ht="24.75" x14ac:dyDescent="0.25">
      <c r="A21" s="5" t="s">
        <v>25</v>
      </c>
      <c r="B21" s="13" t="str">
        <f>"INSUFLATOR CO2 "</f>
        <v xml:space="preserve">INSUFLATOR CO2 </v>
      </c>
      <c r="C21" s="8" t="str">
        <f>"7630908"</f>
        <v>7630908</v>
      </c>
      <c r="D21" s="5" t="str">
        <f>"UCR"</f>
        <v>UCR</v>
      </c>
      <c r="E21" s="18" t="str">
        <f>"Zakład Endoskopii Zabiegowej"</f>
        <v>Zakład Endoskopii Zabiegowej</v>
      </c>
      <c r="F21" s="18"/>
      <c r="G21" s="37">
        <v>4</v>
      </c>
      <c r="H21" s="1"/>
      <c r="I21" s="1"/>
    </row>
    <row r="22" spans="1:9" ht="24.75" x14ac:dyDescent="0.25">
      <c r="A22" s="5" t="s">
        <v>26</v>
      </c>
      <c r="B22" s="13" t="str">
        <f>"INSUFLATOR CO2 "</f>
        <v xml:space="preserve">INSUFLATOR CO2 </v>
      </c>
      <c r="C22" s="8" t="str">
        <f>"E900256 "</f>
        <v xml:space="preserve">E900256 </v>
      </c>
      <c r="D22" s="5" t="str">
        <f>"UHI-3"</f>
        <v>UHI-3</v>
      </c>
      <c r="E22" s="18" t="str">
        <f>"BLOK OPERACYJNY KLINIKI CHIRURGICZNEJ"</f>
        <v>BLOK OPERACYJNY KLINIKI CHIRURGICZNEJ</v>
      </c>
      <c r="F22" s="18"/>
      <c r="G22" s="37">
        <v>4</v>
      </c>
      <c r="H22" s="1"/>
      <c r="I22" s="1"/>
    </row>
    <row r="23" spans="1:9" ht="24.75" x14ac:dyDescent="0.25">
      <c r="A23" s="5" t="s">
        <v>27</v>
      </c>
      <c r="B23" s="13" t="str">
        <f>"INSUFLATOR CO2 "</f>
        <v xml:space="preserve">INSUFLATOR CO2 </v>
      </c>
      <c r="C23" s="8" t="str">
        <f>"7434741"</f>
        <v>7434741</v>
      </c>
      <c r="D23" s="5" t="str">
        <f>"UHI-4"</f>
        <v>UHI-4</v>
      </c>
      <c r="E23" s="18" t="str">
        <f>"BLOK OPERACYJNY KLINIKI CHIRURGICZNEJ"</f>
        <v>BLOK OPERACYJNY KLINIKI CHIRURGICZNEJ</v>
      </c>
      <c r="F23" s="18"/>
      <c r="G23" s="37">
        <v>4</v>
      </c>
      <c r="H23" s="1"/>
      <c r="I23" s="1"/>
    </row>
    <row r="24" spans="1:9" ht="24.75" x14ac:dyDescent="0.25">
      <c r="A24" s="5" t="s">
        <v>28</v>
      </c>
      <c r="B24" s="13" t="str">
        <f>"INSUFLATOR CO2 "</f>
        <v xml:space="preserve">INSUFLATOR CO2 </v>
      </c>
      <c r="C24" s="8" t="str">
        <f>"7638196"</f>
        <v>7638196</v>
      </c>
      <c r="D24" s="5" t="str">
        <f>"UHI-4"</f>
        <v>UHI-4</v>
      </c>
      <c r="E24" s="18" t="str">
        <f>"Blok Operacyjny Urologii"</f>
        <v>Blok Operacyjny Urologii</v>
      </c>
      <c r="F24" s="18"/>
      <c r="G24" s="37">
        <v>4</v>
      </c>
      <c r="H24" s="1"/>
      <c r="I24" s="1"/>
    </row>
    <row r="25" spans="1:9" ht="24.75" x14ac:dyDescent="0.25">
      <c r="A25" s="5" t="s">
        <v>29</v>
      </c>
      <c r="B25" s="13" t="str">
        <f>"Kabel wideoendoskopu"</f>
        <v>Kabel wideoendoskopu</v>
      </c>
      <c r="C25" s="8">
        <v>7119926</v>
      </c>
      <c r="D25" s="5" t="str">
        <f t="shared" ref="D25:D27" si="0">"MAJ-1430"</f>
        <v>MAJ-1430</v>
      </c>
      <c r="E25" s="18" t="str">
        <f t="shared" ref="E25:E27" si="1">"Blok Operacyjny Urologii"</f>
        <v>Blok Operacyjny Urologii</v>
      </c>
      <c r="F25" s="18"/>
      <c r="G25" s="37">
        <v>4</v>
      </c>
      <c r="H25" s="1"/>
      <c r="I25" s="1"/>
    </row>
    <row r="26" spans="1:9" ht="24.75" x14ac:dyDescent="0.25">
      <c r="A26" s="5" t="s">
        <v>30</v>
      </c>
      <c r="B26" s="13" t="str">
        <f>"Kabel wideoendoskopu"</f>
        <v>Kabel wideoendoskopu</v>
      </c>
      <c r="C26" s="8">
        <v>7728095</v>
      </c>
      <c r="D26" s="5" t="str">
        <f t="shared" si="0"/>
        <v>MAJ-1430</v>
      </c>
      <c r="E26" s="18" t="str">
        <f t="shared" si="1"/>
        <v>Blok Operacyjny Urologii</v>
      </c>
      <c r="F26" s="18"/>
      <c r="G26" s="37">
        <v>4</v>
      </c>
      <c r="H26" s="1"/>
      <c r="I26" s="1"/>
    </row>
    <row r="27" spans="1:9" ht="24.75" x14ac:dyDescent="0.25">
      <c r="A27" s="5" t="s">
        <v>31</v>
      </c>
      <c r="B27" s="13" t="str">
        <f>"Kabel wideoendoskopu"</f>
        <v>Kabel wideoendoskopu</v>
      </c>
      <c r="C27" s="8">
        <v>7119904</v>
      </c>
      <c r="D27" s="5" t="str">
        <f t="shared" si="0"/>
        <v>MAJ-1430</v>
      </c>
      <c r="E27" s="18" t="str">
        <f t="shared" si="1"/>
        <v>Blok Operacyjny Urologii</v>
      </c>
      <c r="F27" s="18"/>
      <c r="G27" s="37">
        <v>4</v>
      </c>
      <c r="H27" s="1"/>
      <c r="I27" s="1"/>
    </row>
    <row r="28" spans="1:9" ht="24.75" x14ac:dyDescent="0.25">
      <c r="A28" s="5" t="s">
        <v>32</v>
      </c>
      <c r="B28" s="13" t="str">
        <f>"Kabel wideoendoskopu"</f>
        <v>Kabel wideoendoskopu</v>
      </c>
      <c r="C28" s="8" t="str">
        <f>"7937762"</f>
        <v>7937762</v>
      </c>
      <c r="D28" s="5" t="str">
        <f>"MAJ-1430"</f>
        <v>MAJ-1430</v>
      </c>
      <c r="E28" s="18" t="str">
        <f>"KLINICZNY ODDZIAŁ CHORÓB WEWNĘTRZNYCH"</f>
        <v>KLINICZNY ODDZIAŁ CHORÓB WEWNĘTRZNYCH</v>
      </c>
      <c r="F28" s="18"/>
      <c r="G28" s="37">
        <v>4</v>
      </c>
      <c r="H28" s="1"/>
      <c r="I28" s="1"/>
    </row>
    <row r="29" spans="1:9" x14ac:dyDescent="0.25">
      <c r="A29" s="5" t="s">
        <v>33</v>
      </c>
      <c r="B29" s="13" t="str">
        <f>"Konwerter złącz"</f>
        <v>Konwerter złącz</v>
      </c>
      <c r="C29" s="8">
        <v>7616150</v>
      </c>
      <c r="D29" s="15" t="s">
        <v>7</v>
      </c>
      <c r="E29" s="18" t="str">
        <f>"Zakład Endoskopii Zabiegowej"</f>
        <v>Zakład Endoskopii Zabiegowej</v>
      </c>
      <c r="F29" s="18"/>
      <c r="G29" s="37">
        <v>4</v>
      </c>
      <c r="H29" s="1"/>
      <c r="I29" s="1"/>
    </row>
    <row r="30" spans="1:9" ht="23.25" x14ac:dyDescent="0.25">
      <c r="A30" s="5" t="s">
        <v>34</v>
      </c>
      <c r="B30" s="13" t="str">
        <f>"Konwerter złącz"</f>
        <v>Konwerter złącz</v>
      </c>
      <c r="C30" s="8" t="str">
        <f>"7929478"</f>
        <v>7929478</v>
      </c>
      <c r="D30" s="5" t="str">
        <f>"MAJ-1916"</f>
        <v>MAJ-1916</v>
      </c>
      <c r="E30" s="18" t="str">
        <f>"KLINICZNY ODDZIAŁ CHORÓB WEWNĘTRZNYCH"</f>
        <v>KLINICZNY ODDZIAŁ CHORÓB WEWNĘTRZNYCH</v>
      </c>
      <c r="F30" s="18"/>
      <c r="G30" s="37">
        <v>4</v>
      </c>
      <c r="H30" s="1"/>
      <c r="I30" s="1"/>
    </row>
    <row r="31" spans="1:9" ht="24.75" x14ac:dyDescent="0.25">
      <c r="A31" s="5" t="s">
        <v>35</v>
      </c>
      <c r="B31" s="13" t="str">
        <f>"Ksenonowe źródło światła"</f>
        <v>Ksenonowe źródło światła</v>
      </c>
      <c r="C31" s="8" t="str">
        <f>"7812217 "</f>
        <v xml:space="preserve">7812217 </v>
      </c>
      <c r="D31" s="5" t="str">
        <f>"CLV-S40Pro-6S"</f>
        <v>CLV-S40Pro-6S</v>
      </c>
      <c r="E31" s="18" t="str">
        <f>"BLOK OPERACYJNY KLINIKI CHIRURGICZNEJ"</f>
        <v>BLOK OPERACYJNY KLINIKI CHIRURGICZNEJ</v>
      </c>
      <c r="F31" s="18"/>
      <c r="G31" s="37">
        <v>4</v>
      </c>
      <c r="H31" s="1"/>
      <c r="I31" s="1"/>
    </row>
    <row r="32" spans="1:9" ht="23.25" x14ac:dyDescent="0.25">
      <c r="A32" s="5" t="s">
        <v>36</v>
      </c>
      <c r="B32" s="14" t="str">
        <f>"Mikser obrazu 3D"</f>
        <v>Mikser obrazu 3D</v>
      </c>
      <c r="C32" s="8" t="str">
        <f>"7410631"</f>
        <v>7410631</v>
      </c>
      <c r="D32" s="5" t="str">
        <f>"3DV-190"</f>
        <v>3DV-190</v>
      </c>
      <c r="E32" s="18" t="str">
        <f>"BLOK OPERACYJNY KLINIKI CHIRURGICZNEJ"</f>
        <v>BLOK OPERACYJNY KLINIKI CHIRURGICZNEJ</v>
      </c>
      <c r="F32" s="18"/>
      <c r="G32" s="37">
        <v>4</v>
      </c>
      <c r="H32" s="1"/>
      <c r="I32" s="1"/>
    </row>
    <row r="33" spans="1:9" ht="23.25" x14ac:dyDescent="0.25">
      <c r="A33" s="5" t="s">
        <v>37</v>
      </c>
      <c r="B33" s="13" t="str">
        <f>"Monitor HD 26”"</f>
        <v>Monitor HD 26”</v>
      </c>
      <c r="C33" s="8" t="str">
        <f>"7985259"</f>
        <v>7985259</v>
      </c>
      <c r="D33" s="5" t="str">
        <f>"OEV-262H"</f>
        <v>OEV-262H</v>
      </c>
      <c r="E33" s="18" t="str">
        <f>"KLINICZNY ODDZIAŁ CHORÓB WEWNĘTRZNYCH"</f>
        <v>KLINICZNY ODDZIAŁ CHORÓB WEWNĘTRZNYCH</v>
      </c>
      <c r="F33" s="18"/>
      <c r="G33" s="37">
        <v>4</v>
      </c>
      <c r="H33" s="1"/>
      <c r="I33" s="1"/>
    </row>
    <row r="34" spans="1:9" x14ac:dyDescent="0.25">
      <c r="A34" s="5" t="s">
        <v>38</v>
      </c>
      <c r="B34" s="13" t="str">
        <f>"Monitor LCD"</f>
        <v>Monitor LCD</v>
      </c>
      <c r="C34" s="8" t="str">
        <f>"210LMP0021 "</f>
        <v xml:space="preserve">210LMP0021 </v>
      </c>
      <c r="D34" s="5" t="str">
        <f>"AMM213TD"</f>
        <v>AMM213TD</v>
      </c>
      <c r="E34" s="18" t="str">
        <f>"Zakład Endoskopii Zabiegowej"</f>
        <v>Zakład Endoskopii Zabiegowej</v>
      </c>
      <c r="F34" s="18"/>
      <c r="G34" s="37">
        <v>4</v>
      </c>
      <c r="H34" s="1"/>
      <c r="I34" s="1"/>
    </row>
    <row r="35" spans="1:9" ht="23.25" x14ac:dyDescent="0.25">
      <c r="A35" s="5" t="s">
        <v>39</v>
      </c>
      <c r="B35" s="13" t="str">
        <f>"Monitor medyczny"</f>
        <v>Monitor medyczny</v>
      </c>
      <c r="C35" s="8" t="str">
        <f>"D27018340011"</f>
        <v>D27018340011</v>
      </c>
      <c r="D35" s="5" t="str">
        <f>"FS-L 2701D"</f>
        <v>FS-L 2701D</v>
      </c>
      <c r="E35" s="18" t="str">
        <f>"BLOK OPERACYJNY OTOLARYNGOLOGICZNY"</f>
        <v>BLOK OPERACYJNY OTOLARYNGOLOGICZNY</v>
      </c>
      <c r="F35" s="18"/>
      <c r="G35" s="37">
        <v>4</v>
      </c>
      <c r="H35" s="1"/>
      <c r="I35" s="1"/>
    </row>
    <row r="36" spans="1:9" ht="36.75" x14ac:dyDescent="0.25">
      <c r="A36" s="5" t="s">
        <v>40</v>
      </c>
      <c r="B36" s="13" t="str">
        <f>"Monitor medyczny"</f>
        <v>Monitor medyczny</v>
      </c>
      <c r="C36" s="8" t="str">
        <f>"131018458"</f>
        <v>131018458</v>
      </c>
      <c r="D36" s="5" t="str">
        <f>"LMD-2451MT/TG 24"</f>
        <v>LMD-2451MT/TG 24</v>
      </c>
      <c r="E36" s="18" t="str">
        <f>"BLOK OPERACYJNY KLINIKI CHIRURGICZNEJ"</f>
        <v>BLOK OPERACYJNY KLINIKI CHIRURGICZNEJ</v>
      </c>
      <c r="F36" s="18"/>
      <c r="G36" s="37">
        <v>4</v>
      </c>
      <c r="H36" s="1"/>
      <c r="I36" s="1"/>
    </row>
    <row r="37" spans="1:9" x14ac:dyDescent="0.25">
      <c r="A37" s="5" t="s">
        <v>41</v>
      </c>
      <c r="B37" s="13" t="str">
        <f>"Monitor płaski 26''"</f>
        <v>Monitor płaski 26''</v>
      </c>
      <c r="C37" s="8" t="str">
        <f>"7764093"</f>
        <v>7764093</v>
      </c>
      <c r="D37" s="5" t="str">
        <f>"OEV262H"</f>
        <v>OEV262H</v>
      </c>
      <c r="E37" s="18" t="str">
        <f>"Zakład Endoskopii Zabiegowej"</f>
        <v>Zakład Endoskopii Zabiegowej</v>
      </c>
      <c r="F37" s="18"/>
      <c r="G37" s="37">
        <v>4</v>
      </c>
      <c r="H37" s="1"/>
      <c r="I37" s="1"/>
    </row>
    <row r="38" spans="1:9" ht="48.75" x14ac:dyDescent="0.25">
      <c r="A38" s="5" t="s">
        <v>42</v>
      </c>
      <c r="B38" s="13" t="s">
        <v>1</v>
      </c>
      <c r="C38" s="8" t="str">
        <f>"14826397"</f>
        <v>14826397</v>
      </c>
      <c r="D38" s="5" t="str">
        <f>"mini ETD 2 GA"</f>
        <v>mini ETD 2 GA</v>
      </c>
      <c r="E38" s="18" t="str">
        <f>"KLINICZNY ODDZIAŁ CHORÓB WEWNĘTRZNYCH"</f>
        <v>KLINICZNY ODDZIAŁ CHORÓB WEWNĘTRZNYCH</v>
      </c>
      <c r="F38" s="18"/>
      <c r="G38" s="37">
        <v>4</v>
      </c>
      <c r="H38" s="1"/>
      <c r="I38" s="1"/>
    </row>
    <row r="39" spans="1:9" ht="48.75" x14ac:dyDescent="0.25">
      <c r="A39" s="5" t="s">
        <v>43</v>
      </c>
      <c r="B39" s="13" t="s">
        <v>1</v>
      </c>
      <c r="C39" s="8" t="str">
        <f>"18926696"</f>
        <v>18926696</v>
      </c>
      <c r="D39" s="5" t="str">
        <f>"mini ETD 2 GA"</f>
        <v>mini ETD 2 GA</v>
      </c>
      <c r="E39" s="18" t="str">
        <f>"Kliniczny Oddział Intensywnej Terapii"</f>
        <v>Kliniczny Oddział Intensywnej Terapii</v>
      </c>
      <c r="F39" s="18"/>
      <c r="G39" s="37">
        <v>4</v>
      </c>
      <c r="H39" s="1"/>
      <c r="I39" s="1"/>
    </row>
    <row r="40" spans="1:9" ht="36.75" x14ac:dyDescent="0.25">
      <c r="A40" s="5" t="s">
        <v>44</v>
      </c>
      <c r="B40" s="13" t="str">
        <f>"Myjnia automatyczna do endoskopów"</f>
        <v>Myjnia automatyczna do endoskopów</v>
      </c>
      <c r="C40" s="8" t="str">
        <f>"15112485"</f>
        <v>15112485</v>
      </c>
      <c r="D40" s="5" t="str">
        <f>"ETD-4 Basic GA"</f>
        <v>ETD-4 Basic GA</v>
      </c>
      <c r="E40" s="18" t="str">
        <f>"Zakład Endoskopii Zabiegowej"</f>
        <v>Zakład Endoskopii Zabiegowej</v>
      </c>
      <c r="F40" s="18"/>
      <c r="G40" s="37">
        <v>4</v>
      </c>
      <c r="H40" s="1"/>
      <c r="I40" s="1"/>
    </row>
    <row r="41" spans="1:9" ht="48.75" x14ac:dyDescent="0.25">
      <c r="A41" s="5" t="s">
        <v>45</v>
      </c>
      <c r="B41" s="13" t="str">
        <f>"Myjnia do endoskopów- dezynfektor termiczny"</f>
        <v>Myjnia do endoskopów- dezynfektor termiczny</v>
      </c>
      <c r="C41" s="8" t="str">
        <f>"10111862 "</f>
        <v xml:space="preserve">10111862 </v>
      </c>
      <c r="D41" s="5" t="str">
        <f>"ETD3 BASIC GA"</f>
        <v>ETD3 BASIC GA</v>
      </c>
      <c r="E41" s="18" t="str">
        <f>"KLINICZNY ODDZIAŁ GASTROENTEROLOGICZNY"</f>
        <v>KLINICZNY ODDZIAŁ GASTROENTEROLOGICZNY</v>
      </c>
      <c r="F41" s="18"/>
      <c r="G41" s="37">
        <v>4</v>
      </c>
      <c r="H41" s="1"/>
      <c r="I41" s="1"/>
    </row>
    <row r="42" spans="1:9" ht="48.75" x14ac:dyDescent="0.25">
      <c r="A42" s="5" t="s">
        <v>46</v>
      </c>
      <c r="B42" s="13" t="str">
        <f>"Myjnia do endoskopów- dezynfektor termiczny"</f>
        <v>Myjnia do endoskopów- dezynfektor termiczny</v>
      </c>
      <c r="C42" s="8" t="str">
        <f>"10111859 "</f>
        <v xml:space="preserve">10111859 </v>
      </c>
      <c r="D42" s="5" t="str">
        <f>"ETD3 BASIC GA"</f>
        <v>ETD3 BASIC GA</v>
      </c>
      <c r="E42" s="18" t="str">
        <f>"Zakład Endoskopii Zabiegowej"</f>
        <v>Zakład Endoskopii Zabiegowej</v>
      </c>
      <c r="F42" s="18"/>
      <c r="G42" s="37">
        <v>4</v>
      </c>
      <c r="H42" s="1"/>
      <c r="I42" s="1"/>
    </row>
    <row r="43" spans="1:9" ht="36.75" x14ac:dyDescent="0.25">
      <c r="A43" s="5" t="s">
        <v>47</v>
      </c>
      <c r="B43" s="13" t="str">
        <f>"Myjnia do endoskopów z wyposażeniem"</f>
        <v>Myjnia do endoskopów z wyposażeniem</v>
      </c>
      <c r="C43" s="8" t="str">
        <f>"11111910 "</f>
        <v xml:space="preserve">11111910 </v>
      </c>
      <c r="D43" s="5" t="str">
        <f>"ETD3 BASIC GA"</f>
        <v>ETD3 BASIC GA</v>
      </c>
      <c r="E43" s="18" t="str">
        <f>"Pracownia Endoskopii Zabiegowej"</f>
        <v>Pracownia Endoskopii Zabiegowej</v>
      </c>
      <c r="F43" s="18"/>
      <c r="G43" s="37">
        <v>4</v>
      </c>
      <c r="H43" s="1"/>
      <c r="I43" s="1"/>
    </row>
    <row r="44" spans="1:9" ht="24.75" x14ac:dyDescent="0.25">
      <c r="A44" s="5" t="s">
        <v>48</v>
      </c>
      <c r="B44" s="13" t="str">
        <f>"Nagrywarka medyczna"</f>
        <v>Nagrywarka medyczna</v>
      </c>
      <c r="C44" s="8" t="str">
        <f>"3114184"</f>
        <v>3114184</v>
      </c>
      <c r="D44" s="5" t="str">
        <f>"Medicap USB 300HD"</f>
        <v>Medicap USB 300HD</v>
      </c>
      <c r="E44" s="18" t="str">
        <f>"BLOK OPERACYJNY KLINIKI CHIRURGICZNEJ"</f>
        <v>BLOK OPERACYJNY KLINIKI CHIRURGICZNEJ</v>
      </c>
      <c r="F44" s="18"/>
      <c r="G44" s="37">
        <v>4</v>
      </c>
      <c r="H44" s="1"/>
      <c r="I44" s="1"/>
    </row>
    <row r="45" spans="1:9" ht="24.75" x14ac:dyDescent="0.25">
      <c r="A45" s="5" t="s">
        <v>49</v>
      </c>
      <c r="B45" s="13" t="str">
        <f>"Pompa płucząca "</f>
        <v xml:space="preserve">Pompa płucząca </v>
      </c>
      <c r="C45" s="8" t="str">
        <f>"0907CE401 "</f>
        <v xml:space="preserve">0907CE401 </v>
      </c>
      <c r="D45" s="5" t="str">
        <f>"EcoPump nr kat.A5889"</f>
        <v>EcoPump nr kat.A5889</v>
      </c>
      <c r="E45" s="18" t="str">
        <f>"BLOK OPERACYJNY KLINIKI CHIRURGICZNEJ"</f>
        <v>BLOK OPERACYJNY KLINIKI CHIRURGICZNEJ</v>
      </c>
      <c r="F45" s="18"/>
      <c r="G45" s="37">
        <v>4</v>
      </c>
      <c r="H45" s="1"/>
      <c r="I45" s="1"/>
    </row>
    <row r="46" spans="1:9" ht="24.75" x14ac:dyDescent="0.25">
      <c r="A46" s="5" t="s">
        <v>50</v>
      </c>
      <c r="B46" s="13" t="str">
        <f>"Pompa płucząca "</f>
        <v xml:space="preserve">Pompa płucząca </v>
      </c>
      <c r="C46" s="8" t="str">
        <f>"1410CE632"</f>
        <v>1410CE632</v>
      </c>
      <c r="D46" s="5" t="str">
        <f>"EcoPump nr kat.A5889"</f>
        <v>EcoPump nr kat.A5889</v>
      </c>
      <c r="E46" s="18" t="str">
        <f>"BLOK OPERACYJNY KLINIKI CHIRURGICZNEJ"</f>
        <v>BLOK OPERACYJNY KLINIKI CHIRURGICZNEJ</v>
      </c>
      <c r="F46" s="18"/>
      <c r="G46" s="37">
        <v>4</v>
      </c>
      <c r="H46" s="1"/>
      <c r="I46" s="1"/>
    </row>
    <row r="47" spans="1:9" ht="36.75" x14ac:dyDescent="0.25">
      <c r="A47" s="5" t="s">
        <v>51</v>
      </c>
      <c r="B47" s="13" t="str">
        <f>"Pompa płucząca pole zabiegowe do endoskopii"</f>
        <v>Pompa płucząca pole zabiegowe do endoskopii</v>
      </c>
      <c r="C47" s="8" t="str">
        <f>"21120277 "</f>
        <v xml:space="preserve">21120277 </v>
      </c>
      <c r="D47" s="5" t="str">
        <f>"OFP-2"</f>
        <v>OFP-2</v>
      </c>
      <c r="E47" s="18" t="str">
        <f>"Zakład Endoskopii Zabiegowej"</f>
        <v>Zakład Endoskopii Zabiegowej</v>
      </c>
      <c r="F47" s="18"/>
      <c r="G47" s="37">
        <v>4</v>
      </c>
      <c r="H47" s="1"/>
      <c r="I47" s="1"/>
    </row>
    <row r="48" spans="1:9" ht="36.75" x14ac:dyDescent="0.25">
      <c r="A48" s="5" t="s">
        <v>52</v>
      </c>
      <c r="B48" s="13" t="str">
        <f>"Pompa płucząca pole zabiegowe do endoskopii"</f>
        <v>Pompa płucząca pole zabiegowe do endoskopii</v>
      </c>
      <c r="C48" s="8" t="str">
        <f>"21129260 "</f>
        <v xml:space="preserve">21129260 </v>
      </c>
      <c r="D48" s="5" t="str">
        <f>"OFP-2"</f>
        <v>OFP-2</v>
      </c>
      <c r="E48" s="18" t="str">
        <f>"Zakład Endoskopii Zabiegowej"</f>
        <v>Zakład Endoskopii Zabiegowej</v>
      </c>
      <c r="F48" s="18"/>
      <c r="G48" s="37">
        <v>4</v>
      </c>
      <c r="H48" s="1"/>
      <c r="I48" s="1"/>
    </row>
    <row r="49" spans="1:9" ht="23.25" x14ac:dyDescent="0.25">
      <c r="A49" s="5" t="s">
        <v>53</v>
      </c>
      <c r="B49" s="13" t="str">
        <f>"Procesor"</f>
        <v>Procesor</v>
      </c>
      <c r="C49" s="8" t="str">
        <f>"7810658"</f>
        <v>7810658</v>
      </c>
      <c r="D49" s="5" t="str">
        <f>"Visera Elite II"</f>
        <v>Visera Elite II</v>
      </c>
      <c r="E49" s="18" t="str">
        <f>"BLOK OPERACYJNY OTOLARYNGOLOGICZNY"</f>
        <v>BLOK OPERACYJNY OTOLARYNGOLOGICZNY</v>
      </c>
      <c r="F49" s="18"/>
      <c r="G49" s="37">
        <v>4</v>
      </c>
      <c r="H49" s="1"/>
      <c r="I49" s="1"/>
    </row>
    <row r="50" spans="1:9" ht="36.75" x14ac:dyDescent="0.25">
      <c r="A50" s="5" t="s">
        <v>54</v>
      </c>
      <c r="B50" s="13" t="str">
        <f>"Procesor obrazu HDTV 1080p"</f>
        <v>Procesor obrazu HDTV 1080p</v>
      </c>
      <c r="C50" s="8" t="str">
        <f>"7902628"</f>
        <v>7902628</v>
      </c>
      <c r="D50" s="5" t="str">
        <f>"CV-190 PLUS, EVIS EXERA III"</f>
        <v>CV-190 PLUS, EVIS EXERA III</v>
      </c>
      <c r="E50" s="18" t="str">
        <f>"KLINICZNY ODDZIAŁ CHORÓB WEWNĘTRZNYCH"</f>
        <v>KLINICZNY ODDZIAŁ CHORÓB WEWNĘTRZNYCH</v>
      </c>
      <c r="F50" s="18"/>
      <c r="G50" s="37">
        <v>4</v>
      </c>
      <c r="H50" s="1"/>
      <c r="I50" s="1"/>
    </row>
    <row r="51" spans="1:9" ht="23.25" x14ac:dyDescent="0.25">
      <c r="A51" s="5" t="s">
        <v>55</v>
      </c>
      <c r="B51" s="13" t="str">
        <f t="shared" ref="B51:B57" si="2">"Procesor wideo"</f>
        <v>Procesor wideo</v>
      </c>
      <c r="C51" s="8" t="str">
        <f>"7102280 "</f>
        <v xml:space="preserve">7102280 </v>
      </c>
      <c r="D51" s="5" t="str">
        <f>"CV-180"</f>
        <v>CV-180</v>
      </c>
      <c r="E51" s="18" t="str">
        <f>"SZPITALNY ODDZIAŁ RATUNKOWY"</f>
        <v>SZPITALNY ODDZIAŁ RATUNKOWY</v>
      </c>
      <c r="F51" s="18"/>
      <c r="G51" s="37">
        <v>4</v>
      </c>
      <c r="H51" s="1"/>
      <c r="I51" s="1"/>
    </row>
    <row r="52" spans="1:9" x14ac:dyDescent="0.25">
      <c r="A52" s="5" t="s">
        <v>56</v>
      </c>
      <c r="B52" s="13" t="str">
        <f t="shared" si="2"/>
        <v>Procesor wideo</v>
      </c>
      <c r="C52" s="8" t="str">
        <f>"7102293 "</f>
        <v xml:space="preserve">7102293 </v>
      </c>
      <c r="D52" s="5" t="str">
        <f>"CV-180"</f>
        <v>CV-180</v>
      </c>
      <c r="E52" s="18" t="str">
        <f>"Zakład Endoskopii Zabiegowej"</f>
        <v>Zakład Endoskopii Zabiegowej</v>
      </c>
      <c r="F52" s="18"/>
      <c r="G52" s="37">
        <v>4</v>
      </c>
      <c r="H52" s="1"/>
      <c r="I52" s="1"/>
    </row>
    <row r="53" spans="1:9" x14ac:dyDescent="0.25">
      <c r="A53" s="5" t="s">
        <v>57</v>
      </c>
      <c r="B53" s="13" t="str">
        <f t="shared" si="2"/>
        <v>Procesor wideo</v>
      </c>
      <c r="C53" s="8" t="str">
        <f>"7102275"</f>
        <v>7102275</v>
      </c>
      <c r="D53" s="5" t="str">
        <f>"CV-180"</f>
        <v>CV-180</v>
      </c>
      <c r="E53" s="18" t="str">
        <f>"Zakład Endoskopii Zabiegowej"</f>
        <v>Zakład Endoskopii Zabiegowej</v>
      </c>
      <c r="F53" s="18"/>
      <c r="G53" s="37">
        <v>4</v>
      </c>
      <c r="H53" s="1"/>
      <c r="I53" s="1"/>
    </row>
    <row r="54" spans="1:9" ht="23.25" x14ac:dyDescent="0.25">
      <c r="A54" s="5" t="s">
        <v>58</v>
      </c>
      <c r="B54" s="13" t="str">
        <f t="shared" si="2"/>
        <v>Procesor wideo</v>
      </c>
      <c r="C54" s="8" t="str">
        <f>"7407650"</f>
        <v>7407650</v>
      </c>
      <c r="D54" s="5" t="str">
        <f>"CV-190"</f>
        <v>CV-190</v>
      </c>
      <c r="E54" s="18" t="str">
        <f>"BLOK OPERACYJNY KLINIKI CHIRURGICZNEJ"</f>
        <v>BLOK OPERACYJNY KLINIKI CHIRURGICZNEJ</v>
      </c>
      <c r="F54" s="18"/>
      <c r="G54" s="37">
        <v>4</v>
      </c>
      <c r="H54" s="1"/>
      <c r="I54" s="1"/>
    </row>
    <row r="55" spans="1:9" ht="23.25" x14ac:dyDescent="0.25">
      <c r="A55" s="5" t="s">
        <v>59</v>
      </c>
      <c r="B55" s="13" t="str">
        <f t="shared" si="2"/>
        <v>Procesor wideo</v>
      </c>
      <c r="C55" s="8" t="str">
        <f>"7407690"</f>
        <v>7407690</v>
      </c>
      <c r="D55" s="5" t="str">
        <f>"CV-190"</f>
        <v>CV-190</v>
      </c>
      <c r="E55" s="18" t="str">
        <f>"BLOK OPERACYJNY KLINIKI CHIRURGICZNEJ"</f>
        <v>BLOK OPERACYJNY KLINIKI CHIRURGICZNEJ</v>
      </c>
      <c r="F55" s="18"/>
      <c r="G55" s="37">
        <v>4</v>
      </c>
      <c r="H55" s="1"/>
      <c r="I55" s="1"/>
    </row>
    <row r="56" spans="1:9" x14ac:dyDescent="0.25">
      <c r="A56" s="5" t="s">
        <v>60</v>
      </c>
      <c r="B56" s="13" t="str">
        <f t="shared" si="2"/>
        <v>Procesor wideo</v>
      </c>
      <c r="C56" s="8" t="str">
        <f>"7623394"</f>
        <v>7623394</v>
      </c>
      <c r="D56" s="5" t="str">
        <f>"CV-190"</f>
        <v>CV-190</v>
      </c>
      <c r="E56" s="18" t="str">
        <f>"Zakład Endoskopii Zabiegowej"</f>
        <v>Zakład Endoskopii Zabiegowej</v>
      </c>
      <c r="F56" s="18"/>
      <c r="G56" s="37">
        <v>4</v>
      </c>
      <c r="H56" s="1"/>
      <c r="I56" s="1"/>
    </row>
    <row r="57" spans="1:9" ht="24.75" x14ac:dyDescent="0.25">
      <c r="A57" s="5" t="s">
        <v>61</v>
      </c>
      <c r="B57" s="13" t="str">
        <f t="shared" si="2"/>
        <v>Procesor wideo</v>
      </c>
      <c r="C57" s="8" t="str">
        <f>"7963417 "</f>
        <v xml:space="preserve">7963417 </v>
      </c>
      <c r="D57" s="5" t="str">
        <f>"OTV-S7Pro-6S"</f>
        <v>OTV-S7Pro-6S</v>
      </c>
      <c r="E57" s="18" t="str">
        <f>"BLOK OPERACYJNY KLINIKI CHIRURGICZNEJ"</f>
        <v>BLOK OPERACYJNY KLINIKI CHIRURGICZNEJ</v>
      </c>
      <c r="F57" s="18"/>
      <c r="G57" s="37">
        <v>4</v>
      </c>
      <c r="H57" s="1"/>
      <c r="I57" s="1"/>
    </row>
    <row r="58" spans="1:9" ht="24.75" x14ac:dyDescent="0.25">
      <c r="A58" s="5" t="s">
        <v>62</v>
      </c>
      <c r="B58" s="13" t="str">
        <f>"Przewód ultrasonograficzny"</f>
        <v>Przewód ultrasonograficzny</v>
      </c>
      <c r="C58" s="8" t="str">
        <f>"7906280"</f>
        <v>7906280</v>
      </c>
      <c r="D58" s="5" t="str">
        <f>"MAJ-2056"</f>
        <v>MAJ-2056</v>
      </c>
      <c r="E58" s="18" t="str">
        <f>"KLINICZNY ODDZIAŁ CHORÓB WEWNĘTRZNYCH"</f>
        <v>KLINICZNY ODDZIAŁ CHORÓB WEWNĘTRZNYCH</v>
      </c>
      <c r="F58" s="18"/>
      <c r="G58" s="37">
        <v>4</v>
      </c>
      <c r="H58" s="1"/>
      <c r="I58" s="1"/>
    </row>
    <row r="59" spans="1:9" ht="36.75" x14ac:dyDescent="0.25">
      <c r="A59" s="5" t="s">
        <v>63</v>
      </c>
      <c r="B59" s="13" t="str">
        <f>"Shaver laryngologiczny z konsolą"</f>
        <v>Shaver laryngologiczny z konsolą</v>
      </c>
      <c r="C59" s="8" t="str">
        <f>"GB04343"</f>
        <v>GB04343</v>
      </c>
      <c r="D59" s="5" t="str">
        <f>"Diego Elite"</f>
        <v>Diego Elite</v>
      </c>
      <c r="E59" s="18" t="str">
        <f>"BLOK OPERACYJNY OTOLARYNGOLOGICZNY"</f>
        <v>BLOK OPERACYJNY OTOLARYNGOLOGICZNY</v>
      </c>
      <c r="F59" s="18"/>
      <c r="G59" s="37">
        <v>4</v>
      </c>
      <c r="H59" s="1"/>
      <c r="I59" s="1"/>
    </row>
    <row r="60" spans="1:9" ht="24.75" x14ac:dyDescent="0.25">
      <c r="A60" s="5" t="s">
        <v>64</v>
      </c>
      <c r="B60" s="13" t="str">
        <f>"Stacja robocza ENDOBASE"</f>
        <v>Stacja robocza ENDOBASE</v>
      </c>
      <c r="C60" s="8" t="str">
        <f>"FW7CW-24MGQ"</f>
        <v>FW7CW-24MGQ</v>
      </c>
      <c r="D60" s="5" t="str">
        <f>"PRO"</f>
        <v>PRO</v>
      </c>
      <c r="E60" s="18" t="str">
        <f>"Zakład Endoskopii Zabiegowej"</f>
        <v>Zakład Endoskopii Zabiegowej</v>
      </c>
      <c r="F60" s="18"/>
      <c r="G60" s="37">
        <v>4</v>
      </c>
      <c r="H60" s="1"/>
      <c r="I60" s="1"/>
    </row>
    <row r="61" spans="1:9" ht="24.75" x14ac:dyDescent="0.25">
      <c r="A61" s="5" t="s">
        <v>65</v>
      </c>
      <c r="B61" s="13" t="str">
        <f>"Stacja robocza ENDOBASE"</f>
        <v>Stacja robocza ENDOBASE</v>
      </c>
      <c r="C61" s="8" t="str">
        <f>"86Q6JP4PC "</f>
        <v xml:space="preserve">86Q6JP4PC </v>
      </c>
      <c r="D61" s="5" t="str">
        <f>"PRO"</f>
        <v>PRO</v>
      </c>
      <c r="E61" s="18" t="str">
        <f>"Zakład Endoskopii Zabiegowej"</f>
        <v>Zakład Endoskopii Zabiegowej</v>
      </c>
      <c r="F61" s="18"/>
      <c r="G61" s="37">
        <v>4</v>
      </c>
      <c r="H61" s="1"/>
      <c r="I61" s="1"/>
    </row>
    <row r="62" spans="1:9" ht="24.75" x14ac:dyDescent="0.25">
      <c r="A62" s="5" t="s">
        <v>66</v>
      </c>
      <c r="B62" s="13" t="str">
        <f>"Stacja robocza ENDOBASE"</f>
        <v>Stacja robocza ENDOBASE</v>
      </c>
      <c r="C62" s="8" t="str">
        <f>"DP84WWCD6 "</f>
        <v xml:space="preserve">DP84WWCD6 </v>
      </c>
      <c r="D62" s="5" t="str">
        <f>"PRO"</f>
        <v>PRO</v>
      </c>
      <c r="E62" s="18" t="str">
        <f>"Zakład Endoskopii Zabiegowej"</f>
        <v>Zakład Endoskopii Zabiegowej</v>
      </c>
      <c r="F62" s="18"/>
      <c r="G62" s="37">
        <v>4</v>
      </c>
      <c r="H62" s="1"/>
      <c r="I62" s="1"/>
    </row>
    <row r="63" spans="1:9" ht="24.75" x14ac:dyDescent="0.25">
      <c r="A63" s="5" t="s">
        <v>67</v>
      </c>
      <c r="B63" s="13" t="str">
        <f>"Stacja robocza ENDOBASE"</f>
        <v>Stacja robocza ENDOBASE</v>
      </c>
      <c r="C63" s="8" t="str">
        <f>"M500TCB090901778 "</f>
        <v xml:space="preserve">M500TCB090901778 </v>
      </c>
      <c r="D63" s="5" t="str">
        <f>"SWING MIDI"</f>
        <v>SWING MIDI</v>
      </c>
      <c r="E63" s="18" t="str">
        <f>"KLINICZNY ODDZIAŁ CHORÓB WEWNĘTRZNYCH"</f>
        <v>KLINICZNY ODDZIAŁ CHORÓB WEWNĘTRZNYCH</v>
      </c>
      <c r="F63" s="18"/>
      <c r="G63" s="37">
        <v>4</v>
      </c>
      <c r="H63" s="1"/>
      <c r="I63" s="1"/>
    </row>
    <row r="64" spans="1:9" ht="36.75" x14ac:dyDescent="0.25">
      <c r="A64" s="5" t="s">
        <v>68</v>
      </c>
      <c r="B64" s="13" t="s">
        <v>4</v>
      </c>
      <c r="C64" s="8">
        <v>7444445</v>
      </c>
      <c r="D64" s="5" t="s">
        <v>5</v>
      </c>
      <c r="E64" s="18" t="s">
        <v>6</v>
      </c>
      <c r="F64" s="18"/>
      <c r="G64" s="37">
        <v>4</v>
      </c>
      <c r="H64" s="1"/>
      <c r="I64" s="1"/>
    </row>
    <row r="65" spans="1:9" ht="24.75" x14ac:dyDescent="0.25">
      <c r="A65" s="5" t="s">
        <v>69</v>
      </c>
      <c r="B65" s="13" t="str">
        <f>"Tester szczelności do endoskopów"</f>
        <v>Tester szczelności do endoskopów</v>
      </c>
      <c r="C65" s="9">
        <v>7752344</v>
      </c>
      <c r="D65" s="5" t="str">
        <f>"MU-1/MB-155"</f>
        <v>MU-1/MB-155</v>
      </c>
      <c r="E65" s="18" t="str">
        <f>"Zakład Endoskopii Zabiegowej"</f>
        <v>Zakład Endoskopii Zabiegowej</v>
      </c>
      <c r="F65" s="18"/>
      <c r="G65" s="37">
        <v>4</v>
      </c>
      <c r="H65" s="1"/>
      <c r="I65" s="1"/>
    </row>
    <row r="66" spans="1:9" ht="60.75" x14ac:dyDescent="0.25">
      <c r="A66" s="5" t="s">
        <v>70</v>
      </c>
      <c r="B66" s="13" t="s">
        <v>2</v>
      </c>
      <c r="C66" s="8" t="str">
        <f>"7700852,7771482,1707854,2722711,603410"</f>
        <v>7700852,7771482,1707854,2722711,603410</v>
      </c>
      <c r="D66" s="5" t="str">
        <f>"CLV-180, CV-180, UHI-3,WM-NP1,kamera 30st/10mm"</f>
        <v>CLV-180, CV-180, UHI-3,WM-NP1,kamera 30st/10mm</v>
      </c>
      <c r="E66" s="18" t="str">
        <f>"BLOK OPERACYJNY KARDIOCHIRURGII"</f>
        <v>BLOK OPERACYJNY KARDIOCHIRURGII</v>
      </c>
      <c r="F66" s="18"/>
      <c r="G66" s="37">
        <v>4</v>
      </c>
      <c r="H66" s="1"/>
      <c r="I66" s="1"/>
    </row>
    <row r="67" spans="1:9" ht="34.5" x14ac:dyDescent="0.25">
      <c r="A67" s="5" t="s">
        <v>71</v>
      </c>
      <c r="B67" s="14" t="str">
        <f>"Videobronchofiberoskop"</f>
        <v>Videobronchofiberoskop</v>
      </c>
      <c r="C67" s="8" t="str">
        <f>"2855863"</f>
        <v>2855863</v>
      </c>
      <c r="D67" s="5" t="str">
        <f>"BF-1T180"</f>
        <v>BF-1T180</v>
      </c>
      <c r="E67" s="18" t="str">
        <f>"KLINICZNY ODDZIAŁ CHIRURGII KLATKI PIERSIOWEJ"</f>
        <v>KLINICZNY ODDZIAŁ CHIRURGII KLATKI PIERSIOWEJ</v>
      </c>
      <c r="F67" s="18"/>
      <c r="G67" s="37">
        <v>4</v>
      </c>
      <c r="H67" s="1"/>
      <c r="I67" s="1"/>
    </row>
    <row r="68" spans="1:9" ht="23.25" x14ac:dyDescent="0.25">
      <c r="A68" s="5" t="s">
        <v>72</v>
      </c>
      <c r="B68" s="13" t="str">
        <f>"Videoduodenoskop"</f>
        <v>Videoduodenoskop</v>
      </c>
      <c r="C68" s="8" t="str">
        <f>"2901670 "</f>
        <v xml:space="preserve">2901670 </v>
      </c>
      <c r="D68" s="5" t="str">
        <f>"TJF-145"</f>
        <v>TJF-145</v>
      </c>
      <c r="E68" s="18" t="str">
        <f>"Pracownia Endoskopii Zabiegowej"</f>
        <v>Pracownia Endoskopii Zabiegowej</v>
      </c>
      <c r="F68" s="18"/>
      <c r="G68" s="37">
        <v>4</v>
      </c>
      <c r="H68" s="1"/>
      <c r="I68" s="1"/>
    </row>
    <row r="69" spans="1:9" ht="23.25" x14ac:dyDescent="0.25">
      <c r="A69" s="5" t="s">
        <v>73</v>
      </c>
      <c r="B69" s="13" t="str">
        <f>"Videoendoskop"</f>
        <v>Videoendoskop</v>
      </c>
      <c r="C69" s="8" t="str">
        <f>"2800262"</f>
        <v>2800262</v>
      </c>
      <c r="D69" s="5" t="str">
        <f>"ENF-VH2"</f>
        <v>ENF-VH2</v>
      </c>
      <c r="E69" s="18" t="str">
        <f>"KLINICZNY ODDZIAŁ OTOLARYNGOLOGICZNY"</f>
        <v>KLINICZNY ODDZIAŁ OTOLARYNGOLOGICZNY</v>
      </c>
      <c r="F69" s="18"/>
      <c r="G69" s="37">
        <v>4</v>
      </c>
      <c r="H69" s="1"/>
      <c r="I69" s="1"/>
    </row>
    <row r="70" spans="1:9" x14ac:dyDescent="0.25">
      <c r="A70" s="5" t="s">
        <v>74</v>
      </c>
      <c r="B70" s="13" t="str">
        <f t="shared" ref="B70:B76" si="3">"Videogastroskop"</f>
        <v>Videogastroskop</v>
      </c>
      <c r="C70" s="8" t="str">
        <f>"2801442"</f>
        <v>2801442</v>
      </c>
      <c r="D70" s="5" t="str">
        <f>"GIF 1T Q160"</f>
        <v>GIF 1T Q160</v>
      </c>
      <c r="E70" s="18" t="str">
        <f>"Zakład Endoskopii Zabiegowej"</f>
        <v>Zakład Endoskopii Zabiegowej</v>
      </c>
      <c r="F70" s="18"/>
      <c r="G70" s="37">
        <v>4</v>
      </c>
      <c r="H70" s="1"/>
      <c r="I70" s="1"/>
    </row>
    <row r="71" spans="1:9" ht="23.25" x14ac:dyDescent="0.25">
      <c r="A71" s="5" t="s">
        <v>75</v>
      </c>
      <c r="B71" s="13" t="str">
        <f t="shared" si="3"/>
        <v>Videogastroskop</v>
      </c>
      <c r="C71" s="8" t="str">
        <f>"2801842"</f>
        <v>2801842</v>
      </c>
      <c r="D71" s="5" t="str">
        <f>"GIF 2T160"</f>
        <v>GIF 2T160</v>
      </c>
      <c r="E71" s="18" t="str">
        <f>"Pracownia Endoskopii Zabiegowej"</f>
        <v>Pracownia Endoskopii Zabiegowej</v>
      </c>
      <c r="F71" s="18"/>
      <c r="G71" s="37">
        <v>4</v>
      </c>
      <c r="H71" s="1"/>
      <c r="I71" s="1"/>
    </row>
    <row r="72" spans="1:9" x14ac:dyDescent="0.25">
      <c r="A72" s="5" t="s">
        <v>76</v>
      </c>
      <c r="B72" s="13" t="str">
        <f t="shared" si="3"/>
        <v>Videogastroskop</v>
      </c>
      <c r="C72" s="8" t="str">
        <f>"2804132"</f>
        <v>2804132</v>
      </c>
      <c r="D72" s="5" t="str">
        <f>"GIF Q165"</f>
        <v>GIF Q165</v>
      </c>
      <c r="E72" s="18" t="str">
        <f t="shared" ref="E72:E82" si="4">"Zakład Endoskopii Zabiegowej"</f>
        <v>Zakład Endoskopii Zabiegowej</v>
      </c>
      <c r="F72" s="18"/>
      <c r="G72" s="37">
        <v>4</v>
      </c>
      <c r="H72" s="1"/>
      <c r="I72" s="1"/>
    </row>
    <row r="73" spans="1:9" x14ac:dyDescent="0.25">
      <c r="A73" s="5" t="s">
        <v>77</v>
      </c>
      <c r="B73" s="13" t="str">
        <f t="shared" si="3"/>
        <v>Videogastroskop</v>
      </c>
      <c r="C73" s="8" t="str">
        <f>"2103942 "</f>
        <v xml:space="preserve">2103942 </v>
      </c>
      <c r="D73" s="5" t="str">
        <f>"GIF-H180J"</f>
        <v>GIF-H180J</v>
      </c>
      <c r="E73" s="18" t="str">
        <f t="shared" si="4"/>
        <v>Zakład Endoskopii Zabiegowej</v>
      </c>
      <c r="F73" s="18"/>
      <c r="G73" s="37">
        <v>4</v>
      </c>
      <c r="H73" s="1"/>
      <c r="I73" s="1"/>
    </row>
    <row r="74" spans="1:9" x14ac:dyDescent="0.25">
      <c r="A74" s="5" t="s">
        <v>78</v>
      </c>
      <c r="B74" s="13" t="str">
        <f t="shared" si="3"/>
        <v>Videogastroskop</v>
      </c>
      <c r="C74" s="8" t="str">
        <f>"2103949 "</f>
        <v xml:space="preserve">2103949 </v>
      </c>
      <c r="D74" s="5" t="str">
        <f>"GIF-H180J"</f>
        <v>GIF-H180J</v>
      </c>
      <c r="E74" s="18" t="str">
        <f t="shared" si="4"/>
        <v>Zakład Endoskopii Zabiegowej</v>
      </c>
      <c r="F74" s="18"/>
      <c r="G74" s="37">
        <v>4</v>
      </c>
      <c r="H74" s="1"/>
      <c r="I74" s="1"/>
    </row>
    <row r="75" spans="1:9" x14ac:dyDescent="0.25">
      <c r="A75" s="5" t="s">
        <v>79</v>
      </c>
      <c r="B75" s="13" t="str">
        <f t="shared" si="3"/>
        <v>Videogastroskop</v>
      </c>
      <c r="C75" s="8" t="str">
        <f>"2753434"</f>
        <v>2753434</v>
      </c>
      <c r="D75" s="5" t="str">
        <f>"GIF-H190"</f>
        <v>GIF-H190</v>
      </c>
      <c r="E75" s="18" t="str">
        <f t="shared" si="4"/>
        <v>Zakład Endoskopii Zabiegowej</v>
      </c>
      <c r="F75" s="18"/>
      <c r="G75" s="37">
        <v>4</v>
      </c>
      <c r="H75" s="1"/>
      <c r="I75" s="1"/>
    </row>
    <row r="76" spans="1:9" x14ac:dyDescent="0.25">
      <c r="A76" s="5" t="s">
        <v>80</v>
      </c>
      <c r="B76" s="13" t="str">
        <f t="shared" si="3"/>
        <v>Videogastroskop</v>
      </c>
      <c r="C76" s="8" t="str">
        <f>"2753250"</f>
        <v>2753250</v>
      </c>
      <c r="D76" s="5" t="str">
        <f>"GIF-H190"</f>
        <v>GIF-H190</v>
      </c>
      <c r="E76" s="18" t="str">
        <f t="shared" si="4"/>
        <v>Zakład Endoskopii Zabiegowej</v>
      </c>
      <c r="F76" s="18"/>
      <c r="G76" s="37">
        <v>4</v>
      </c>
      <c r="H76" s="1"/>
      <c r="I76" s="1"/>
    </row>
    <row r="77" spans="1:9" x14ac:dyDescent="0.25">
      <c r="A77" s="5" t="s">
        <v>81</v>
      </c>
      <c r="B77" s="13" t="str">
        <f t="shared" ref="B77:B82" si="5">"Videokolonoskop"</f>
        <v>Videokolonoskop</v>
      </c>
      <c r="C77" s="8" t="str">
        <f>"2102326 "</f>
        <v xml:space="preserve">2102326 </v>
      </c>
      <c r="D77" s="5" t="str">
        <f>"CF-H180AI"</f>
        <v>CF-H180AI</v>
      </c>
      <c r="E77" s="18" t="str">
        <f t="shared" si="4"/>
        <v>Zakład Endoskopii Zabiegowej</v>
      </c>
      <c r="F77" s="18"/>
      <c r="G77" s="37">
        <v>4</v>
      </c>
      <c r="H77" s="1"/>
      <c r="I77" s="1"/>
    </row>
    <row r="78" spans="1:9" x14ac:dyDescent="0.25">
      <c r="A78" s="5" t="s">
        <v>82</v>
      </c>
      <c r="B78" s="13" t="str">
        <f t="shared" si="5"/>
        <v>Videokolonoskop</v>
      </c>
      <c r="C78" s="8" t="str">
        <f>"2102303 "</f>
        <v xml:space="preserve">2102303 </v>
      </c>
      <c r="D78" s="5" t="str">
        <f>"CF-H180AI"</f>
        <v>CF-H180AI</v>
      </c>
      <c r="E78" s="18" t="str">
        <f t="shared" si="4"/>
        <v>Zakład Endoskopii Zabiegowej</v>
      </c>
      <c r="F78" s="18"/>
      <c r="G78" s="37">
        <v>4</v>
      </c>
      <c r="H78" s="1"/>
      <c r="I78" s="1"/>
    </row>
    <row r="79" spans="1:9" x14ac:dyDescent="0.25">
      <c r="A79" s="5" t="s">
        <v>83</v>
      </c>
      <c r="B79" s="13" t="str">
        <f t="shared" si="5"/>
        <v>Videokolonoskop</v>
      </c>
      <c r="C79" s="8" t="str">
        <f>"2621751"</f>
        <v>2621751</v>
      </c>
      <c r="D79" s="5" t="str">
        <f>"CF-H190I"</f>
        <v>CF-H190I</v>
      </c>
      <c r="E79" s="18" t="str">
        <f t="shared" si="4"/>
        <v>Zakład Endoskopii Zabiegowej</v>
      </c>
      <c r="F79" s="18"/>
      <c r="G79" s="37">
        <v>4</v>
      </c>
      <c r="H79" s="1"/>
      <c r="I79" s="1"/>
    </row>
    <row r="80" spans="1:9" x14ac:dyDescent="0.25">
      <c r="A80" s="5" t="s">
        <v>84</v>
      </c>
      <c r="B80" s="13" t="str">
        <f t="shared" si="5"/>
        <v>Videokolonoskop</v>
      </c>
      <c r="C80" s="8" t="str">
        <f>"2742261"</f>
        <v>2742261</v>
      </c>
      <c r="D80" s="5" t="str">
        <f>"CF-H190I"</f>
        <v>CF-H190I</v>
      </c>
      <c r="E80" s="18" t="str">
        <f t="shared" si="4"/>
        <v>Zakład Endoskopii Zabiegowej</v>
      </c>
      <c r="F80" s="18"/>
      <c r="G80" s="37">
        <v>4</v>
      </c>
      <c r="H80" s="1"/>
      <c r="I80" s="1"/>
    </row>
    <row r="81" spans="1:9" x14ac:dyDescent="0.25">
      <c r="A81" s="5" t="s">
        <v>85</v>
      </c>
      <c r="B81" s="13" t="str">
        <f t="shared" si="5"/>
        <v>Videokolonoskop</v>
      </c>
      <c r="C81" s="8" t="str">
        <f>"2742247"</f>
        <v>2742247</v>
      </c>
      <c r="D81" s="5" t="str">
        <f>"CF-H190I"</f>
        <v>CF-H190I</v>
      </c>
      <c r="E81" s="18" t="str">
        <f t="shared" si="4"/>
        <v>Zakład Endoskopii Zabiegowej</v>
      </c>
      <c r="F81" s="18"/>
      <c r="G81" s="37">
        <v>4</v>
      </c>
      <c r="H81" s="1"/>
      <c r="I81" s="1"/>
    </row>
    <row r="82" spans="1:9" x14ac:dyDescent="0.25">
      <c r="A82" s="5" t="s">
        <v>86</v>
      </c>
      <c r="B82" s="13" t="str">
        <f t="shared" si="5"/>
        <v>Videokolonoskop</v>
      </c>
      <c r="C82" s="8" t="str">
        <f>"2801900"</f>
        <v>2801900</v>
      </c>
      <c r="D82" s="5" t="str">
        <f>"CF-Q165I"</f>
        <v>CF-Q165I</v>
      </c>
      <c r="E82" s="18" t="str">
        <f t="shared" si="4"/>
        <v>Zakład Endoskopii Zabiegowej</v>
      </c>
      <c r="F82" s="18"/>
      <c r="G82" s="37">
        <v>4</v>
      </c>
      <c r="H82" s="1"/>
      <c r="I82" s="1"/>
    </row>
    <row r="83" spans="1:9" ht="28.5" customHeight="1" x14ac:dyDescent="0.25">
      <c r="A83" s="5" t="s">
        <v>87</v>
      </c>
      <c r="B83" s="13" t="str">
        <f>"Videolaparoskop "</f>
        <v xml:space="preserve">Videolaparoskop </v>
      </c>
      <c r="C83" s="8" t="str">
        <f>"620786"</f>
        <v>620786</v>
      </c>
      <c r="D83" s="5" t="str">
        <f>"Endoeye II HD"</f>
        <v>Endoeye II HD</v>
      </c>
      <c r="E83" s="18" t="str">
        <f>"BLOK OPERACYJNY KLINIKI CHIRURGICZNEJ"</f>
        <v>BLOK OPERACYJNY KLINIKI CHIRURGICZNEJ</v>
      </c>
      <c r="F83" s="18"/>
      <c r="G83" s="37">
        <v>4</v>
      </c>
      <c r="H83" s="1"/>
      <c r="I83" s="1"/>
    </row>
    <row r="84" spans="1:9" ht="24.75" x14ac:dyDescent="0.25">
      <c r="A84" s="5" t="s">
        <v>88</v>
      </c>
      <c r="B84" s="13" t="str">
        <f>"Videolaparoskop "</f>
        <v xml:space="preserve">Videolaparoskop </v>
      </c>
      <c r="C84" s="8" t="s">
        <v>114</v>
      </c>
      <c r="D84" s="5" t="str">
        <f>"LFT-190-10-3D-E"</f>
        <v>LFT-190-10-3D-E</v>
      </c>
      <c r="E84" s="18" t="str">
        <f>"BLOK OPERACYJNY KLINIKI CHIRURGICZNEJ"</f>
        <v>BLOK OPERACYJNY KLINIKI CHIRURGICZNEJ</v>
      </c>
      <c r="F84" s="18"/>
      <c r="G84" s="37">
        <v>4</v>
      </c>
      <c r="H84" s="4"/>
      <c r="I84" s="1"/>
    </row>
    <row r="85" spans="1:9" ht="48.75" x14ac:dyDescent="0.25">
      <c r="A85" s="5" t="s">
        <v>89</v>
      </c>
      <c r="B85" s="13" t="str">
        <f>"Wideolaparoskop"</f>
        <v>Wideolaparoskop</v>
      </c>
      <c r="C85" s="8" t="str">
        <f>"608677"</f>
        <v>608677</v>
      </c>
      <c r="D85" s="5" t="str">
        <f>"WA50012A Wideo teleskop 10 mm, 30o, HD"</f>
        <v>WA50012A Wideo teleskop 10 mm, 30o, HD</v>
      </c>
      <c r="E85" s="18" t="str">
        <f>"BLOK OPERACYJNY KLINIKI CHIRURGICZNEJ"</f>
        <v>BLOK OPERACYJNY KLINIKI CHIRURGICZNEJ</v>
      </c>
      <c r="F85" s="18"/>
      <c r="G85" s="37">
        <v>4</v>
      </c>
      <c r="H85" s="1"/>
      <c r="I85" s="1"/>
    </row>
    <row r="86" spans="1:9" ht="23.25" x14ac:dyDescent="0.25">
      <c r="A86" s="5" t="s">
        <v>90</v>
      </c>
      <c r="B86" s="13" t="str">
        <f>"Wózek"</f>
        <v>Wózek</v>
      </c>
      <c r="C86" s="8" t="str">
        <f>"21120103 "</f>
        <v xml:space="preserve">21120103 </v>
      </c>
      <c r="D86" s="5" t="str">
        <f>"WM-NP1"</f>
        <v>WM-NP1</v>
      </c>
      <c r="E86" s="18" t="str">
        <f>"Pracownia Endoskopii Zabiegowej"</f>
        <v>Pracownia Endoskopii Zabiegowej</v>
      </c>
      <c r="F86" s="18"/>
      <c r="G86" s="37">
        <v>4</v>
      </c>
      <c r="H86" s="1"/>
      <c r="I86" s="1"/>
    </row>
    <row r="87" spans="1:9" x14ac:dyDescent="0.25">
      <c r="A87" s="5" t="s">
        <v>91</v>
      </c>
      <c r="B87" s="13" t="str">
        <f>"Wózek"</f>
        <v>Wózek</v>
      </c>
      <c r="C87" s="8" t="str">
        <f>"21107832 "</f>
        <v xml:space="preserve">21107832 </v>
      </c>
      <c r="D87" s="5" t="str">
        <f>"WM-NP1"</f>
        <v>WM-NP1</v>
      </c>
      <c r="E87" s="18" t="str">
        <f>"Zakład Endoskopii Zabiegowej"</f>
        <v>Zakład Endoskopii Zabiegowej</v>
      </c>
      <c r="F87" s="18"/>
      <c r="G87" s="37">
        <v>4</v>
      </c>
      <c r="H87" s="1"/>
      <c r="I87" s="1"/>
    </row>
    <row r="88" spans="1:9" x14ac:dyDescent="0.25">
      <c r="A88" s="5" t="s">
        <v>92</v>
      </c>
      <c r="B88" s="13" t="str">
        <f>"Wózek"</f>
        <v>Wózek</v>
      </c>
      <c r="C88" s="8" t="str">
        <f>"21416280"</f>
        <v>21416280</v>
      </c>
      <c r="D88" s="5" t="str">
        <f>"WM-NP2"</f>
        <v>WM-NP2</v>
      </c>
      <c r="E88" s="18" t="str">
        <f>"Zakład Endoskopii Zabiegowej"</f>
        <v>Zakład Endoskopii Zabiegowej</v>
      </c>
      <c r="F88" s="18"/>
      <c r="G88" s="37">
        <v>4</v>
      </c>
      <c r="H88" s="1"/>
      <c r="I88" s="1"/>
    </row>
    <row r="89" spans="1:9" x14ac:dyDescent="0.25">
      <c r="A89" s="5" t="s">
        <v>93</v>
      </c>
      <c r="B89" s="13" t="str">
        <f>"Wózek"</f>
        <v>Wózek</v>
      </c>
      <c r="C89" s="8" t="str">
        <f>"21741418"</f>
        <v>21741418</v>
      </c>
      <c r="D89" s="5" t="str">
        <f>"WM-NP2"</f>
        <v>WM-NP2</v>
      </c>
      <c r="E89" s="18" t="str">
        <f>"Zakład Endoskopii Zabiegowej"</f>
        <v>Zakład Endoskopii Zabiegowej</v>
      </c>
      <c r="F89" s="18"/>
      <c r="G89" s="37">
        <v>4</v>
      </c>
      <c r="H89" s="1"/>
      <c r="I89" s="1"/>
    </row>
    <row r="90" spans="1:9" ht="24.75" x14ac:dyDescent="0.25">
      <c r="A90" s="5" t="s">
        <v>94</v>
      </c>
      <c r="B90" s="13" t="str">
        <f>"Wózek endoskopowy"</f>
        <v>Wózek endoskopowy</v>
      </c>
      <c r="C90" s="8" t="str">
        <f>"21858330"</f>
        <v>21858330</v>
      </c>
      <c r="D90" s="5" t="str">
        <f>"WM-NP2"</f>
        <v>WM-NP2</v>
      </c>
      <c r="E90" s="18" t="str">
        <f>"BLOK OPERACYJNY OTOLARYNGOLOGICZNY"</f>
        <v>BLOK OPERACYJNY OTOLARYNGOLOGICZNY</v>
      </c>
      <c r="F90" s="18"/>
      <c r="G90" s="37">
        <v>4</v>
      </c>
      <c r="H90" s="1"/>
      <c r="I90" s="1"/>
    </row>
    <row r="91" spans="1:9" ht="36.75" x14ac:dyDescent="0.25">
      <c r="A91" s="5" t="s">
        <v>95</v>
      </c>
      <c r="B91" s="13" t="str">
        <f>"Wózek pod zestaw do wideolaparoskopii"</f>
        <v>Wózek pod zestaw do wideolaparoskopii</v>
      </c>
      <c r="C91" s="8" t="str">
        <f>"2915858 "</f>
        <v xml:space="preserve">2915858 </v>
      </c>
      <c r="D91" s="5" t="str">
        <f>"WM-NP1"</f>
        <v>WM-NP1</v>
      </c>
      <c r="E91" s="18" t="str">
        <f>"BLOK OPERACYJNY KLINIKI CHIRURGICZNEJ"</f>
        <v>BLOK OPERACYJNY KLINIKI CHIRURGICZNEJ</v>
      </c>
      <c r="F91" s="18"/>
      <c r="G91" s="37">
        <v>4</v>
      </c>
      <c r="H91" s="1"/>
      <c r="I91" s="1"/>
    </row>
    <row r="92" spans="1:9" ht="36.75" x14ac:dyDescent="0.25">
      <c r="A92" s="5" t="s">
        <v>96</v>
      </c>
      <c r="B92" s="13" t="str">
        <f>"Zestaw endoskopowy interwencyjny"</f>
        <v>Zestaw endoskopowy interwencyjny</v>
      </c>
      <c r="C92" s="8" t="str">
        <f>"7748931"</f>
        <v>7748931</v>
      </c>
      <c r="D92" s="5" t="str">
        <f>"Procesor CV-190"</f>
        <v>Procesor CV-190</v>
      </c>
      <c r="E92" s="18" t="str">
        <f>"Zakład Endoskopii Zabiegowej"</f>
        <v>Zakład Endoskopii Zabiegowej</v>
      </c>
      <c r="F92" s="18"/>
      <c r="G92" s="37">
        <v>4</v>
      </c>
      <c r="H92" s="1"/>
      <c r="I92" s="1"/>
    </row>
    <row r="93" spans="1:9" ht="60.75" x14ac:dyDescent="0.25">
      <c r="A93" s="5" t="s">
        <v>97</v>
      </c>
      <c r="B93" s="13" t="s">
        <v>3</v>
      </c>
      <c r="C93" s="8" t="str">
        <f>"7600740, 7601090, 7600731, 8000440,W722697,W721305"</f>
        <v>7600740, 7601090, 7600731, 8000440,W722697,W721305</v>
      </c>
      <c r="D93" s="5" t="str">
        <f>"OTV-S400, CH-S400, CLV-S400, LMD-X310S, UHI-4"</f>
        <v>OTV-S400, CH-S400, CLV-S400, LMD-X310S, UHI-4</v>
      </c>
      <c r="E93" s="18" t="str">
        <f>"Blok Operacyjny Urologii"</f>
        <v>Blok Operacyjny Urologii</v>
      </c>
      <c r="F93" s="18"/>
      <c r="G93" s="37">
        <v>4</v>
      </c>
      <c r="H93" s="1"/>
      <c r="I93" s="1"/>
    </row>
    <row r="94" spans="1:9" ht="24.75" x14ac:dyDescent="0.25">
      <c r="A94" s="5" t="s">
        <v>98</v>
      </c>
      <c r="B94" s="13" t="str">
        <f>"Zmiękczacz wody"</f>
        <v>Zmiękczacz wody</v>
      </c>
      <c r="C94" s="8" t="str">
        <f>"14317211"</f>
        <v>14317211</v>
      </c>
      <c r="D94" s="5" t="str">
        <f>"BWT AQUA VISEO"</f>
        <v>BWT AQUA VISEO</v>
      </c>
      <c r="E94" s="18" t="str">
        <f>"Zakład Endoskopii Zabiegowej"</f>
        <v>Zakład Endoskopii Zabiegowej</v>
      </c>
      <c r="F94" s="18"/>
      <c r="G94" s="37">
        <v>4</v>
      </c>
      <c r="H94" s="1"/>
      <c r="I94" s="1"/>
    </row>
    <row r="95" spans="1:9" ht="23.25" x14ac:dyDescent="0.25">
      <c r="A95" s="5" t="s">
        <v>99</v>
      </c>
      <c r="B95" s="13" t="str">
        <f t="shared" ref="B95:B102" si="6">"Źródło światła "</f>
        <v xml:space="preserve">Źródło światła </v>
      </c>
      <c r="C95" s="8" t="str">
        <f>"7100788"</f>
        <v>7100788</v>
      </c>
      <c r="D95" s="5" t="str">
        <f>"CLE-145"</f>
        <v>CLE-145</v>
      </c>
      <c r="E95" s="18" t="str">
        <f>"Kliniczny Oddział Intensywnej Terapii"</f>
        <v>Kliniczny Oddział Intensywnej Terapii</v>
      </c>
      <c r="F95" s="18"/>
      <c r="G95" s="37">
        <v>4</v>
      </c>
      <c r="H95" s="1"/>
      <c r="I95" s="1"/>
    </row>
    <row r="96" spans="1:9" ht="23.25" x14ac:dyDescent="0.25">
      <c r="A96" s="5" t="s">
        <v>100</v>
      </c>
      <c r="B96" s="13" t="str">
        <f t="shared" si="6"/>
        <v xml:space="preserve">Źródło światła </v>
      </c>
      <c r="C96" s="8" t="str">
        <f>"7526264"</f>
        <v>7526264</v>
      </c>
      <c r="D96" s="5" t="str">
        <f>"CLH-S.C."</f>
        <v>CLH-S.C.</v>
      </c>
      <c r="E96" s="18" t="str">
        <f>"BLOK OPERACYJNY KARDIOCHIRURGII"</f>
        <v>BLOK OPERACYJNY KARDIOCHIRURGII</v>
      </c>
      <c r="F96" s="18"/>
      <c r="G96" s="37">
        <v>4</v>
      </c>
      <c r="H96" s="1"/>
      <c r="I96" s="1"/>
    </row>
    <row r="97" spans="1:9" ht="23.25" x14ac:dyDescent="0.25">
      <c r="A97" s="5" t="s">
        <v>101</v>
      </c>
      <c r="B97" s="13" t="str">
        <f t="shared" si="6"/>
        <v xml:space="preserve">Źródło światła </v>
      </c>
      <c r="C97" s="8" t="str">
        <f>"7110843 "</f>
        <v xml:space="preserve">7110843 </v>
      </c>
      <c r="D97" s="5" t="str">
        <f>"CLV-180"</f>
        <v>CLV-180</v>
      </c>
      <c r="E97" s="18" t="str">
        <f>"SZPITALNY ODDZIAŁ RATUNKOWY"</f>
        <v>SZPITALNY ODDZIAŁ RATUNKOWY</v>
      </c>
      <c r="F97" s="18"/>
      <c r="G97" s="37">
        <v>4</v>
      </c>
      <c r="H97" s="1"/>
      <c r="I97" s="1"/>
    </row>
    <row r="98" spans="1:9" x14ac:dyDescent="0.25">
      <c r="A98" s="5" t="s">
        <v>102</v>
      </c>
      <c r="B98" s="13" t="str">
        <f t="shared" si="6"/>
        <v xml:space="preserve">Źródło światła </v>
      </c>
      <c r="C98" s="8" t="str">
        <f>"7111247 "</f>
        <v xml:space="preserve">7111247 </v>
      </c>
      <c r="D98" s="5" t="str">
        <f>"CLV-180"</f>
        <v>CLV-180</v>
      </c>
      <c r="E98" s="18" t="str">
        <f>"Zakład Endoskopii Zabiegowej"</f>
        <v>Zakład Endoskopii Zabiegowej</v>
      </c>
      <c r="F98" s="18"/>
      <c r="G98" s="37">
        <v>4</v>
      </c>
      <c r="H98" s="1"/>
      <c r="I98" s="1"/>
    </row>
    <row r="99" spans="1:9" x14ac:dyDescent="0.25">
      <c r="A99" s="5" t="s">
        <v>103</v>
      </c>
      <c r="B99" s="13" t="str">
        <f t="shared" si="6"/>
        <v xml:space="preserve">Źródło światła </v>
      </c>
      <c r="C99" s="8" t="str">
        <f>"7110852 "</f>
        <v xml:space="preserve">7110852 </v>
      </c>
      <c r="D99" s="5" t="str">
        <f>"CLV-180"</f>
        <v>CLV-180</v>
      </c>
      <c r="E99" s="18" t="str">
        <f>"Zakład Endoskopii Zabiegowej"</f>
        <v>Zakład Endoskopii Zabiegowej</v>
      </c>
      <c r="F99" s="18"/>
      <c r="G99" s="37">
        <v>4</v>
      </c>
      <c r="H99" s="1"/>
      <c r="I99" s="1"/>
    </row>
    <row r="100" spans="1:9" ht="23.25" x14ac:dyDescent="0.25">
      <c r="A100" s="5" t="s">
        <v>104</v>
      </c>
      <c r="B100" s="13" t="str">
        <f t="shared" si="6"/>
        <v xml:space="preserve">Źródło światła </v>
      </c>
      <c r="C100" s="8" t="str">
        <f>"7455649"</f>
        <v>7455649</v>
      </c>
      <c r="D100" s="5" t="str">
        <f>"CLV-190"</f>
        <v>CLV-190</v>
      </c>
      <c r="E100" s="18" t="str">
        <f>"BLOK OPERACYJNY KLINIKI CHIRURGICZNEJ"</f>
        <v>BLOK OPERACYJNY KLINIKI CHIRURGICZNEJ</v>
      </c>
      <c r="F100" s="18"/>
      <c r="G100" s="37">
        <v>4</v>
      </c>
      <c r="H100" s="1"/>
      <c r="I100" s="1"/>
    </row>
    <row r="101" spans="1:9" x14ac:dyDescent="0.25">
      <c r="A101" s="5" t="s">
        <v>105</v>
      </c>
      <c r="B101" s="13" t="str">
        <f t="shared" si="6"/>
        <v xml:space="preserve">Źródło światła </v>
      </c>
      <c r="C101" s="8" t="str">
        <f>"7670466"</f>
        <v>7670466</v>
      </c>
      <c r="D101" s="5" t="str">
        <f>"CLV-190"</f>
        <v>CLV-190</v>
      </c>
      <c r="E101" s="18" t="str">
        <f>"Zakład Endoskopii Zabiegowej"</f>
        <v>Zakład Endoskopii Zabiegowej</v>
      </c>
      <c r="F101" s="18"/>
      <c r="G101" s="37">
        <v>4</v>
      </c>
      <c r="H101" s="1"/>
      <c r="I101" s="1"/>
    </row>
    <row r="102" spans="1:9" x14ac:dyDescent="0.25">
      <c r="A102" s="5" t="s">
        <v>106</v>
      </c>
      <c r="B102" s="13" t="str">
        <f t="shared" si="6"/>
        <v xml:space="preserve">Źródło światła </v>
      </c>
      <c r="C102" s="8" t="str">
        <f>"7776184"</f>
        <v>7776184</v>
      </c>
      <c r="D102" s="5" t="str">
        <f>"CLV-190"</f>
        <v>CLV-190</v>
      </c>
      <c r="E102" s="18" t="str">
        <f>"Zakład Endoskopii Zabiegowej"</f>
        <v>Zakład Endoskopii Zabiegowej</v>
      </c>
      <c r="F102" s="18"/>
      <c r="G102" s="37">
        <v>4</v>
      </c>
      <c r="H102" s="1"/>
      <c r="I102" s="1"/>
    </row>
    <row r="103" spans="1:9" ht="24.75" x14ac:dyDescent="0.25">
      <c r="A103" s="5" t="s">
        <v>107</v>
      </c>
      <c r="B103" s="13" t="str">
        <f>"Źródło światła ksenonowe 300W"</f>
        <v>Źródło światła ksenonowe 300W</v>
      </c>
      <c r="C103" s="8" t="str">
        <f>"7987012"</f>
        <v>7987012</v>
      </c>
      <c r="D103" s="5" t="str">
        <f>"CLV-190 EVIS EXERA III"</f>
        <v>CLV-190 EVIS EXERA III</v>
      </c>
      <c r="E103" s="18" t="str">
        <f>"KLINICZNY ODDZIAŁ CHORÓB WEWNĘTRZNYCH"</f>
        <v>KLINICZNY ODDZIAŁ CHORÓB WEWNĘTRZNYCH</v>
      </c>
      <c r="F103" s="18"/>
      <c r="G103" s="37">
        <v>4</v>
      </c>
      <c r="H103" s="1"/>
      <c r="I103" s="1"/>
    </row>
    <row r="104" spans="1:9" ht="25.5" thickBot="1" x14ac:dyDescent="0.3">
      <c r="A104" s="5" t="s">
        <v>108</v>
      </c>
      <c r="B104" s="16" t="str">
        <f>"Żródło zimnego światła"</f>
        <v>Żródło zimnego światła</v>
      </c>
      <c r="C104" s="10" t="str">
        <f>"7837662"</f>
        <v>7837662</v>
      </c>
      <c r="D104" s="6" t="str">
        <f>"CLE-10 (CLE-4U)"</f>
        <v>CLE-10 (CLE-4U)</v>
      </c>
      <c r="E104" s="19" t="str">
        <f>"KLINICZNY ODDZIAŁ CHORÓB WEWNĘTRZNYCH"</f>
        <v>KLINICZNY ODDZIAŁ CHORÓB WEWNĘTRZNYCH</v>
      </c>
      <c r="F104" s="19"/>
      <c r="G104" s="38">
        <v>4</v>
      </c>
      <c r="H104" s="3"/>
      <c r="I104" s="3"/>
    </row>
    <row r="105" spans="1:9" ht="24.75" x14ac:dyDescent="0.25">
      <c r="A105" s="5" t="s">
        <v>109</v>
      </c>
      <c r="B105" s="17" t="str">
        <f>"Monitor LCD 26'' HDTV"</f>
        <v>Monitor LCD 26'' HDTV</v>
      </c>
      <c r="C105" s="11" t="str">
        <f>"7115583 "</f>
        <v xml:space="preserve">7115583 </v>
      </c>
      <c r="D105" s="7" t="str">
        <f>"OEV-261H"</f>
        <v>OEV-261H</v>
      </c>
      <c r="E105" s="20" t="str">
        <f>"Zakład Endoskopii Zabiegowej"</f>
        <v>Zakład Endoskopii Zabiegowej</v>
      </c>
      <c r="F105" s="20"/>
      <c r="G105" s="39">
        <v>4</v>
      </c>
      <c r="H105" s="2"/>
      <c r="I105" s="2"/>
    </row>
    <row r="106" spans="1:9" ht="23.25" x14ac:dyDescent="0.25">
      <c r="A106" s="5" t="s">
        <v>110</v>
      </c>
      <c r="B106" s="13" t="str">
        <f>"Monitor"</f>
        <v>Monitor</v>
      </c>
      <c r="C106" s="8" t="str">
        <f>"1300547 "</f>
        <v xml:space="preserve">1300547 </v>
      </c>
      <c r="D106" s="5" t="str">
        <f>"OEV-141"</f>
        <v>OEV-141</v>
      </c>
      <c r="E106" s="18" t="str">
        <f>"KLINICZNY ODDZIAŁ CHORÓB WEWNĘTRZNYCH"</f>
        <v>KLINICZNY ODDZIAŁ CHORÓB WEWNĘTRZNYCH</v>
      </c>
      <c r="F106" s="18"/>
      <c r="G106" s="37">
        <v>4</v>
      </c>
      <c r="H106" s="1"/>
      <c r="I106" s="1"/>
    </row>
    <row r="107" spans="1:9" ht="24.75" x14ac:dyDescent="0.25">
      <c r="A107" s="5" t="s">
        <v>111</v>
      </c>
      <c r="B107" s="13" t="str">
        <f>"Monitor medyczny LCD"</f>
        <v>Monitor medyczny LCD</v>
      </c>
      <c r="C107" s="8" t="str">
        <f>"7925195 "</f>
        <v xml:space="preserve">7925195 </v>
      </c>
      <c r="D107" s="5" t="str">
        <f>"OEV-191H"</f>
        <v>OEV-191H</v>
      </c>
      <c r="E107" s="18" t="str">
        <f>"BLOK OPERACYJNY KLINIKI CHIRURGICZNEJ"</f>
        <v>BLOK OPERACYJNY KLINIKI CHIRURGICZNEJ</v>
      </c>
      <c r="F107" s="18"/>
      <c r="G107" s="37">
        <v>4</v>
      </c>
      <c r="H107" s="1"/>
      <c r="I107" s="1"/>
    </row>
    <row r="108" spans="1:9" ht="24.75" x14ac:dyDescent="0.25">
      <c r="A108" s="5" t="s">
        <v>112</v>
      </c>
      <c r="B108" s="13" t="str">
        <f>"Monitor LCD 26'' HDTV"</f>
        <v>Monitor LCD 26'' HDTV</v>
      </c>
      <c r="C108" s="8" t="str">
        <f>"7127631 "</f>
        <v xml:space="preserve">7127631 </v>
      </c>
      <c r="D108" s="5" t="str">
        <f>"OEV-261H"</f>
        <v>OEV-261H</v>
      </c>
      <c r="E108" s="18" t="str">
        <f>"SZPITALNY ODDZIAŁ RATUNKOWY"</f>
        <v>SZPITALNY ODDZIAŁ RATUNKOWY</v>
      </c>
      <c r="F108" s="18"/>
      <c r="G108" s="37">
        <v>4</v>
      </c>
      <c r="H108" s="1"/>
      <c r="I108" s="1"/>
    </row>
    <row r="109" spans="1:9" ht="24.75" x14ac:dyDescent="0.25">
      <c r="A109" s="33" t="s">
        <v>113</v>
      </c>
      <c r="B109" s="34" t="str">
        <f>"Monitor LCD 26'' HDTV"</f>
        <v>Monitor LCD 26'' HDTV</v>
      </c>
      <c r="C109" s="35" t="str">
        <f>"7127650"</f>
        <v>7127650</v>
      </c>
      <c r="D109" s="33" t="str">
        <f>"OEV-261H"</f>
        <v>OEV-261H</v>
      </c>
      <c r="E109" s="23" t="str">
        <f>"Zakład Endoskopii Zabiegowej"</f>
        <v>Zakład Endoskopii Zabiegowej</v>
      </c>
      <c r="F109" s="23"/>
      <c r="G109" s="37">
        <v>4</v>
      </c>
      <c r="H109" s="36"/>
      <c r="I109" s="36"/>
    </row>
    <row r="110" spans="1:9" x14ac:dyDescent="0.25">
      <c r="A110" s="41" t="s">
        <v>116</v>
      </c>
      <c r="B110" s="42"/>
      <c r="C110" s="42"/>
      <c r="D110" s="42"/>
      <c r="E110" s="43"/>
      <c r="F110" s="26"/>
      <c r="G110" s="37">
        <v>4</v>
      </c>
      <c r="H110" s="25"/>
      <c r="I110" s="27"/>
    </row>
  </sheetData>
  <mergeCells count="2">
    <mergeCell ref="A110:E110"/>
    <mergeCell ref="A2:I2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do umowy 26.10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Janicka</dc:creator>
  <cp:lastModifiedBy>Edyta Janicka</cp:lastModifiedBy>
  <cp:lastPrinted>2022-10-27T11:17:10Z</cp:lastPrinted>
  <dcterms:created xsi:type="dcterms:W3CDTF">2022-10-24T09:47:57Z</dcterms:created>
  <dcterms:modified xsi:type="dcterms:W3CDTF">2022-11-09T15:14:34Z</dcterms:modified>
</cp:coreProperties>
</file>