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2 zamówienia publiczne\BZP.271.1.2.2022. WIM Sprawny i przyjazny dostęp do portu\zmiana 3\"/>
    </mc:Choice>
  </mc:AlternateContent>
  <bookViews>
    <workbookView xWindow="0" yWindow="0" windowWidth="14400" windowHeight="15600"/>
  </bookViews>
  <sheets>
    <sheet name="ZZK" sheetId="1" r:id="rId1"/>
    <sheet name="WO Kontraktu" sheetId="23" r:id="rId2"/>
    <sheet name="Roboty drogowe" sheetId="2" r:id="rId3"/>
    <sheet name="Docelowa Organizacja Ruchu" sheetId="5" r:id="rId4"/>
    <sheet name="Kanalizacja deszczowa" sheetId="13" r:id="rId5"/>
    <sheet name="KD-wykopy liniowe" sheetId="14" r:id="rId6"/>
    <sheet name="KD - wykopy obiektowe" sheetId="15" r:id="rId7"/>
    <sheet name="Zieleń" sheetId="3" r:id="rId8"/>
    <sheet name="sieć trakcyjna" sheetId="4" r:id="rId9"/>
    <sheet name="OBIEKTY" sheetId="12" r:id="rId10"/>
    <sheet name="Kananał Technologiczny" sheetId="9" r:id="rId11"/>
    <sheet name="Budowa oświetlenia" sheetId="18" r:id="rId12"/>
    <sheet name="likwidacja kolizji elektrenerg." sheetId="19" r:id="rId13"/>
    <sheet name="SRK" sheetId="16" r:id="rId14"/>
    <sheet name="Przebudowa sieci telekom." sheetId="17" r:id="rId15"/>
    <sheet name="Energetyka PKP" sheetId="20" r:id="rId16"/>
    <sheet name="Przebudowa WN" sheetId="22" r:id="rId17"/>
  </sheets>
  <externalReferences>
    <externalReference r:id="rId18"/>
    <externalReference r:id="rId19"/>
  </externalReferences>
  <definedNames>
    <definedName name="_xlnm._FilterDatabase" localSheetId="11" hidden="1">'Budowa oświetlenia'!$C$1:$C$44</definedName>
    <definedName name="_xlnm._FilterDatabase" localSheetId="3" hidden="1">'Docelowa Organizacja Ruchu'!$C$1:$C$20</definedName>
    <definedName name="_xlnm._FilterDatabase" localSheetId="15" hidden="1">'Energetyka PKP'!$C$1:$C$20</definedName>
    <definedName name="_xlnm._FilterDatabase" localSheetId="4" hidden="1">'Kanalizacja deszczowa'!$C$1:$C$25</definedName>
    <definedName name="_xlnm._FilterDatabase" localSheetId="6" hidden="1">'KD - wykopy obiektowe'!$E$1:$E$30</definedName>
    <definedName name="_xlnm._FilterDatabase" localSheetId="5" hidden="1">'KD-wykopy liniowe'!$U$1:$U$30</definedName>
    <definedName name="_xlnm._FilterDatabase" localSheetId="12" hidden="1">'likwidacja kolizji elektrenerg.'!$C$1:$C$35</definedName>
    <definedName name="_xlnm._FilterDatabase" localSheetId="16" hidden="1">'Przebudowa WN'!$C$1:$C$20</definedName>
    <definedName name="_xlnm._FilterDatabase" localSheetId="2" hidden="1">'Roboty drogowe'!$C$1:$C$68</definedName>
    <definedName name="_xlnm._FilterDatabase" localSheetId="8" hidden="1">'sieć trakcyjna'!$C$1:$C$55</definedName>
    <definedName name="_xlnm._FilterDatabase" localSheetId="13" hidden="1">SRK!$C$1:$C$25</definedName>
    <definedName name="_xlnm._FilterDatabase" localSheetId="7" hidden="1">Zieleń!$C$1:$C$19</definedName>
    <definedName name="_xlnm._FilterDatabase" localSheetId="0" hidden="1">ZZK!$B$1:$B$23</definedName>
    <definedName name="Excel_BuiltIn__FilterDatabase_1" localSheetId="15">#REF!</definedName>
    <definedName name="Excel_BuiltIn__FilterDatabase_1" localSheetId="10">#REF!</definedName>
    <definedName name="Excel_BuiltIn__FilterDatabase_1" localSheetId="14">#REF!</definedName>
    <definedName name="Excel_BuiltIn__FilterDatabase_1" localSheetId="16">#REF!</definedName>
    <definedName name="Excel_BuiltIn__FilterDatabase_1">#REF!</definedName>
    <definedName name="Excel_BuiltIn_Print_Area_1_1" localSheetId="10">#REF!</definedName>
    <definedName name="Excel_BuiltIn_Print_Area_1_1" localSheetId="14">#REF!</definedName>
    <definedName name="Excel_BuiltIn_Print_Area_1_1">#REF!</definedName>
    <definedName name="Excel_BuiltIn_Print_Area_2" localSheetId="10">#REF!</definedName>
    <definedName name="Excel_BuiltIn_Print_Area_2" localSheetId="14">#REF!</definedName>
    <definedName name="Excel_BuiltIn_Print_Area_2">#REF!</definedName>
    <definedName name="Excel_BuiltIn_Print_Area_2_1" localSheetId="10">#REF!</definedName>
    <definedName name="Excel_BuiltIn_Print_Area_2_1" localSheetId="14">#REF!</definedName>
    <definedName name="Excel_BuiltIn_Print_Area_2_1">#REF!</definedName>
    <definedName name="Excel_BuiltIn_Print_Area_2_1_1" localSheetId="10">#REF!</definedName>
    <definedName name="Excel_BuiltIn_Print_Area_2_1_1" localSheetId="14">#REF!</definedName>
    <definedName name="Excel_BuiltIn_Print_Area_2_1_1">#REF!</definedName>
    <definedName name="Excel_BuiltIn_Print_Area_2_1_1_1" localSheetId="10">#REF!</definedName>
    <definedName name="Excel_BuiltIn_Print_Area_2_1_1_1" localSheetId="14">#REF!</definedName>
    <definedName name="Excel_BuiltIn_Print_Area_2_1_1_1">#REF!</definedName>
    <definedName name="Excel_BuiltIn_Print_Area_2_1_1_1_1" localSheetId="10">#REF!</definedName>
    <definedName name="Excel_BuiltIn_Print_Area_2_1_1_1_1" localSheetId="14">#REF!</definedName>
    <definedName name="Excel_BuiltIn_Print_Area_2_1_1_1_1">#REF!</definedName>
    <definedName name="Excel_BuiltIn_Print_Area_3" localSheetId="10">#REF!</definedName>
    <definedName name="Excel_BuiltIn_Print_Area_3" localSheetId="14">#REF!</definedName>
    <definedName name="Excel_BuiltIn_Print_Area_3">#REF!</definedName>
    <definedName name="Excel_BuiltIn_Print_Area_3_1" localSheetId="10">#REF!</definedName>
    <definedName name="Excel_BuiltIn_Print_Area_3_1" localSheetId="14">#REF!</definedName>
    <definedName name="Excel_BuiltIn_Print_Area_3_1">#REF!</definedName>
    <definedName name="Excel_BuiltIn_Print_Area_3_1_1" localSheetId="10">#REF!</definedName>
    <definedName name="Excel_BuiltIn_Print_Area_3_1_1" localSheetId="14">#REF!</definedName>
    <definedName name="Excel_BuiltIn_Print_Area_3_1_1">#REF!</definedName>
    <definedName name="Excel_BuiltIn_Print_Area_3_1_1_1" localSheetId="10">#REF!</definedName>
    <definedName name="Excel_BuiltIn_Print_Area_3_1_1_1" localSheetId="14">#REF!</definedName>
    <definedName name="Excel_BuiltIn_Print_Area_3_1_1_1">#REF!</definedName>
    <definedName name="Excel_BuiltIn_Print_Area_3_1_1_1_1" localSheetId="10">#REF!</definedName>
    <definedName name="Excel_BuiltIn_Print_Area_3_1_1_1_1" localSheetId="14">#REF!</definedName>
    <definedName name="Excel_BuiltIn_Print_Area_3_1_1_1_1">#REF!</definedName>
    <definedName name="Excel_BuiltIn_Print_Area_3_1_1_2" localSheetId="10">#REF!</definedName>
    <definedName name="Excel_BuiltIn_Print_Area_3_1_1_2" localSheetId="14">#REF!</definedName>
    <definedName name="Excel_BuiltIn_Print_Area_3_1_1_2">#REF!</definedName>
    <definedName name="Excel_BuiltIn_Print_Area_3_1_2" localSheetId="10">#REF!</definedName>
    <definedName name="Excel_BuiltIn_Print_Area_3_1_2" localSheetId="14">#REF!</definedName>
    <definedName name="Excel_BuiltIn_Print_Area_3_1_2">#REF!</definedName>
    <definedName name="Excel_BuiltIn_Print_Area_3_1_3" localSheetId="10">#REF!</definedName>
    <definedName name="Excel_BuiltIn_Print_Area_3_1_3" localSheetId="14">#REF!</definedName>
    <definedName name="Excel_BuiltIn_Print_Area_3_1_3">#REF!</definedName>
    <definedName name="_xlnm.Print_Area" localSheetId="9">OBIEKTY!$A$1:$G$375</definedName>
    <definedName name="_xlnm.Print_Titles" localSheetId="11">'Budowa oświetlenia'!$5:$5</definedName>
    <definedName name="_xlnm.Print_Titles" localSheetId="3">'Docelowa Organizacja Ruchu'!$5:$5</definedName>
    <definedName name="_xlnm.Print_Titles" localSheetId="15">'Energetyka PKP'!$5:$5</definedName>
    <definedName name="_xlnm.Print_Titles" localSheetId="4">'Kanalizacja deszczowa'!$5:$5</definedName>
    <definedName name="_xlnm.Print_Titles" localSheetId="6">'KD - wykopy obiektowe'!$1:$1</definedName>
    <definedName name="_xlnm.Print_Titles" localSheetId="5">'KD-wykopy liniowe'!$1:$1</definedName>
    <definedName name="_xlnm.Print_Titles" localSheetId="12">'likwidacja kolizji elektrenerg.'!$5:$5</definedName>
    <definedName name="_xlnm.Print_Titles" localSheetId="16">'Przebudowa WN'!$5:$5</definedName>
    <definedName name="_xlnm.Print_Titles" localSheetId="2">'Roboty drogowe'!$5:$5</definedName>
    <definedName name="_xlnm.Print_Titles" localSheetId="8">'sieć trakcyjna'!$5:$5</definedName>
    <definedName name="_xlnm.Print_Titles" localSheetId="13">SRK!$5:$5</definedName>
    <definedName name="_xlnm.Print_Titles" localSheetId="7">Zieleń!$5:$5</definedName>
    <definedName name="_xlnm.Print_Titles" localSheetId="0">ZZK!$5:$5</definedName>
    <definedName name="waluta" localSheetId="10">[1]Opcje!$B$2</definedName>
    <definedName name="waluta">[2]Opcje!$B$2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63" i="2"/>
  <c r="G9" i="22" l="1"/>
  <c r="G10" i="22"/>
  <c r="G11" i="22"/>
  <c r="G12" i="22"/>
  <c r="G13" i="22"/>
  <c r="G14" i="22"/>
  <c r="C19" i="1" l="1"/>
  <c r="C18" i="1"/>
  <c r="C17" i="1"/>
  <c r="C15" i="1"/>
  <c r="C14" i="1"/>
  <c r="C13" i="1"/>
  <c r="G16" i="20"/>
  <c r="G15" i="20"/>
  <c r="G14" i="20"/>
  <c r="G13" i="20"/>
  <c r="G12" i="20"/>
  <c r="G11" i="20"/>
  <c r="G9" i="20"/>
  <c r="G8" i="20"/>
  <c r="G17" i="20" s="1"/>
  <c r="G10" i="17"/>
  <c r="G9" i="17"/>
  <c r="G8" i="17"/>
  <c r="G7" i="17"/>
  <c r="G11" i="17"/>
  <c r="E371" i="12"/>
  <c r="G371" i="12" s="1"/>
  <c r="G369" i="12"/>
  <c r="G367" i="12"/>
  <c r="G366" i="12"/>
  <c r="G364" i="12"/>
  <c r="G362" i="12"/>
  <c r="G360" i="12"/>
  <c r="G359" i="12"/>
  <c r="G355" i="12"/>
  <c r="G354" i="12"/>
  <c r="G352" i="12"/>
  <c r="G350" i="12"/>
  <c r="G348" i="12"/>
  <c r="G344" i="12"/>
  <c r="G341" i="12"/>
  <c r="G339" i="12"/>
  <c r="E339" i="12"/>
  <c r="G337" i="12"/>
  <c r="G334" i="12"/>
  <c r="G332" i="12"/>
  <c r="G328" i="12"/>
  <c r="G326" i="12"/>
  <c r="B326" i="12"/>
  <c r="G324" i="12"/>
  <c r="G321" i="12"/>
  <c r="G319" i="12"/>
  <c r="G318" i="12"/>
  <c r="G315" i="12"/>
  <c r="G311" i="12"/>
  <c r="G310" i="12"/>
  <c r="G308" i="12"/>
  <c r="G307" i="12"/>
  <c r="G304" i="12"/>
  <c r="G301" i="12"/>
  <c r="E301" i="12"/>
  <c r="G298" i="12"/>
  <c r="G297" i="12"/>
  <c r="G295" i="12"/>
  <c r="G293" i="12"/>
  <c r="G291" i="12"/>
  <c r="G287" i="12"/>
  <c r="E286" i="12"/>
  <c r="G286" i="12" s="1"/>
  <c r="G285" i="12"/>
  <c r="G284" i="12"/>
  <c r="G283" i="12"/>
  <c r="G280" i="12"/>
  <c r="E279" i="12"/>
  <c r="G279" i="12" s="1"/>
  <c r="G278" i="12"/>
  <c r="G277" i="12"/>
  <c r="G275" i="12"/>
  <c r="G272" i="12"/>
  <c r="G267" i="12"/>
  <c r="E264" i="12"/>
  <c r="G264" i="12" s="1"/>
  <c r="G262" i="12"/>
  <c r="G261" i="12"/>
  <c r="G259" i="12"/>
  <c r="E259" i="12"/>
  <c r="E257" i="12"/>
  <c r="G257" i="12" s="1"/>
  <c r="G255" i="12"/>
  <c r="G254" i="12"/>
  <c r="E254" i="12"/>
  <c r="G253" i="12"/>
  <c r="E249" i="12"/>
  <c r="G249" i="12" s="1"/>
  <c r="E246" i="12"/>
  <c r="G246" i="12" s="1"/>
  <c r="G245" i="12"/>
  <c r="G243" i="12"/>
  <c r="G242" i="12"/>
  <c r="G240" i="12"/>
  <c r="E238" i="12"/>
  <c r="G238" i="12" s="1"/>
  <c r="G234" i="12"/>
  <c r="E234" i="12"/>
  <c r="E231" i="12"/>
  <c r="G231" i="12" s="1"/>
  <c r="G228" i="12"/>
  <c r="G227" i="12"/>
  <c r="G226" i="12"/>
  <c r="G223" i="12"/>
  <c r="E221" i="12"/>
  <c r="G221" i="12" s="1"/>
  <c r="G218" i="12"/>
  <c r="G217" i="12"/>
  <c r="G215" i="12"/>
  <c r="E215" i="12"/>
  <c r="G213" i="12"/>
  <c r="G211" i="12"/>
  <c r="E207" i="12"/>
  <c r="G207" i="12" s="1"/>
  <c r="B207" i="12"/>
  <c r="E205" i="12"/>
  <c r="G205" i="12" s="1"/>
  <c r="B205" i="12"/>
  <c r="E203" i="12"/>
  <c r="G203" i="12" s="1"/>
  <c r="B203" i="12"/>
  <c r="E201" i="12"/>
  <c r="G201" i="12" s="1"/>
  <c r="E198" i="12"/>
  <c r="G198" i="12" s="1"/>
  <c r="G196" i="12"/>
  <c r="E196" i="12"/>
  <c r="E195" i="12"/>
  <c r="G195" i="12" s="1"/>
  <c r="E192" i="12"/>
  <c r="G192" i="12" s="1"/>
  <c r="G188" i="12"/>
  <c r="E188" i="12"/>
  <c r="E187" i="12"/>
  <c r="G187" i="12" s="1"/>
  <c r="G185" i="12"/>
  <c r="G184" i="12"/>
  <c r="G181" i="12"/>
  <c r="E181" i="12"/>
  <c r="E179" i="12"/>
  <c r="G179" i="12" s="1"/>
  <c r="E176" i="12"/>
  <c r="G176" i="12" s="1"/>
  <c r="G173" i="12"/>
  <c r="E173" i="12"/>
  <c r="E170" i="12"/>
  <c r="G170" i="12" s="1"/>
  <c r="E169" i="12"/>
  <c r="G169" i="12" s="1"/>
  <c r="G168" i="12"/>
  <c r="E168" i="12"/>
  <c r="G166" i="12"/>
  <c r="E164" i="12"/>
  <c r="G164" i="12" s="1"/>
  <c r="E163" i="12"/>
  <c r="G163" i="12" s="1"/>
  <c r="G161" i="12"/>
  <c r="E161" i="12"/>
  <c r="E157" i="12"/>
  <c r="G157" i="12" s="1"/>
  <c r="E156" i="12"/>
  <c r="G156" i="12" s="1"/>
  <c r="G155" i="12"/>
  <c r="E155" i="12"/>
  <c r="G154" i="12"/>
  <c r="E153" i="12"/>
  <c r="G153" i="12" s="1"/>
  <c r="G152" i="12"/>
  <c r="E152" i="12"/>
  <c r="E149" i="12"/>
  <c r="G149" i="12" s="1"/>
  <c r="E147" i="12"/>
  <c r="G147" i="12" s="1"/>
  <c r="G146" i="12"/>
  <c r="E146" i="12"/>
  <c r="E145" i="12"/>
  <c r="G145" i="12" s="1"/>
  <c r="E143" i="12"/>
  <c r="G143" i="12" s="1"/>
  <c r="G140" i="12"/>
  <c r="G135" i="12"/>
  <c r="E132" i="12"/>
  <c r="G132" i="12" s="1"/>
  <c r="G130" i="12"/>
  <c r="E129" i="12"/>
  <c r="G129" i="12" s="1"/>
  <c r="G127" i="12"/>
  <c r="E127" i="12"/>
  <c r="E125" i="12"/>
  <c r="G125" i="12" s="1"/>
  <c r="E123" i="12"/>
  <c r="G123" i="12" s="1"/>
  <c r="G122" i="12"/>
  <c r="E122" i="12"/>
  <c r="E118" i="12"/>
  <c r="G118" i="12" s="1"/>
  <c r="E115" i="12"/>
  <c r="G115" i="12" s="1"/>
  <c r="G114" i="12"/>
  <c r="E114" i="12"/>
  <c r="E112" i="12"/>
  <c r="G112" i="12" s="1"/>
  <c r="E110" i="12"/>
  <c r="G110" i="12" s="1"/>
  <c r="G108" i="12"/>
  <c r="E108" i="12"/>
  <c r="E104" i="12"/>
  <c r="G104" i="12" s="1"/>
  <c r="G101" i="12"/>
  <c r="G100" i="12"/>
  <c r="G97" i="12"/>
  <c r="G96" i="12"/>
  <c r="G95" i="12"/>
  <c r="G92" i="12"/>
  <c r="E90" i="12"/>
  <c r="G90" i="12" s="1"/>
  <c r="G87" i="12"/>
  <c r="E87" i="12"/>
  <c r="E85" i="12"/>
  <c r="G85" i="12" s="1"/>
  <c r="G83" i="12"/>
  <c r="G81" i="12"/>
  <c r="G77" i="12"/>
  <c r="E77" i="12"/>
  <c r="E75" i="12"/>
  <c r="G75" i="12" s="1"/>
  <c r="E73" i="12"/>
  <c r="G73" i="12" s="1"/>
  <c r="G71" i="12"/>
  <c r="E71" i="12"/>
  <c r="E68" i="12"/>
  <c r="G68" i="12" s="1"/>
  <c r="E67" i="12"/>
  <c r="G67" i="12" s="1"/>
  <c r="G64" i="12"/>
  <c r="E64" i="12"/>
  <c r="E60" i="12"/>
  <c r="G60" i="12" s="1"/>
  <c r="E59" i="12"/>
  <c r="G59" i="12" s="1"/>
  <c r="G57" i="12"/>
  <c r="G56" i="12"/>
  <c r="E55" i="12"/>
  <c r="G55" i="12" s="1"/>
  <c r="E52" i="12"/>
  <c r="G52" i="12" s="1"/>
  <c r="G50" i="12"/>
  <c r="E50" i="12"/>
  <c r="E47" i="12"/>
  <c r="G47" i="12" s="1"/>
  <c r="E44" i="12"/>
  <c r="G44" i="12" s="1"/>
  <c r="G41" i="12"/>
  <c r="E41" i="12"/>
  <c r="E40" i="12"/>
  <c r="G40" i="12" s="1"/>
  <c r="E39" i="12"/>
  <c r="G39" i="12" s="1"/>
  <c r="G37" i="12"/>
  <c r="E37" i="12"/>
  <c r="E35" i="12"/>
  <c r="G35" i="12" s="1"/>
  <c r="E34" i="12"/>
  <c r="G34" i="12" s="1"/>
  <c r="G32" i="12"/>
  <c r="E32" i="12"/>
  <c r="E28" i="12"/>
  <c r="G28" i="12" s="1"/>
  <c r="E27" i="12"/>
  <c r="G27" i="12" s="1"/>
  <c r="G25" i="12"/>
  <c r="E25" i="12"/>
  <c r="E24" i="12"/>
  <c r="G24" i="12" s="1"/>
  <c r="E23" i="12"/>
  <c r="G23" i="12" s="1"/>
  <c r="G22" i="12"/>
  <c r="E22" i="12"/>
  <c r="E21" i="12"/>
  <c r="G21" i="12" s="1"/>
  <c r="E20" i="12"/>
  <c r="G20" i="12" s="1"/>
  <c r="G17" i="12"/>
  <c r="E17" i="12"/>
  <c r="E15" i="12"/>
  <c r="G15" i="12" s="1"/>
  <c r="E14" i="12"/>
  <c r="G14" i="12" s="1"/>
  <c r="G13" i="12"/>
  <c r="E13" i="12"/>
  <c r="E11" i="12"/>
  <c r="G11" i="12" s="1"/>
  <c r="G8" i="12"/>
  <c r="G22" i="16" l="1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12" i="9"/>
  <c r="G8" i="9"/>
  <c r="G16" i="9" s="1"/>
  <c r="G7" i="9"/>
  <c r="C12" i="1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C11" i="1"/>
  <c r="C10" i="1"/>
  <c r="C9" i="1"/>
  <c r="G31" i="19" l="1"/>
  <c r="G30" i="19"/>
  <c r="G29" i="19"/>
  <c r="G28" i="19"/>
  <c r="G27" i="19"/>
  <c r="G26" i="19"/>
  <c r="G25" i="19"/>
  <c r="G24" i="19"/>
  <c r="G23" i="19"/>
  <c r="G22" i="19"/>
  <c r="G21" i="19"/>
  <c r="G20" i="19"/>
  <c r="G18" i="19"/>
  <c r="G17" i="19"/>
  <c r="G16" i="19"/>
  <c r="G15" i="19"/>
  <c r="G14" i="19"/>
  <c r="G13" i="19"/>
  <c r="G11" i="19"/>
  <c r="G10" i="19"/>
  <c r="G9" i="19"/>
  <c r="G8" i="19"/>
  <c r="G41" i="18"/>
  <c r="G40" i="18"/>
  <c r="G39" i="18"/>
  <c r="G38" i="18"/>
  <c r="G37" i="18"/>
  <c r="G36" i="18"/>
  <c r="G35" i="18"/>
  <c r="G34" i="18"/>
  <c r="G33" i="18"/>
  <c r="G32" i="18"/>
  <c r="G31" i="18"/>
  <c r="G30" i="18"/>
  <c r="G28" i="18"/>
  <c r="G27" i="18"/>
  <c r="G26" i="18"/>
  <c r="G25" i="18"/>
  <c r="G24" i="18"/>
  <c r="G23" i="18"/>
  <c r="G22" i="18"/>
  <c r="G21" i="18"/>
  <c r="G20" i="18"/>
  <c r="G19" i="18"/>
  <c r="G18" i="18"/>
  <c r="G16" i="18"/>
  <c r="G15" i="18"/>
  <c r="G14" i="18"/>
  <c r="G13" i="18"/>
  <c r="G12" i="18"/>
  <c r="G11" i="18"/>
  <c r="G10" i="18"/>
  <c r="G9" i="18"/>
  <c r="G8" i="18"/>
  <c r="G32" i="19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K25" i="15"/>
  <c r="J25" i="15"/>
  <c r="I25" i="15"/>
  <c r="T25" i="14"/>
  <c r="S25" i="14"/>
  <c r="Q25" i="14"/>
  <c r="P25" i="14"/>
  <c r="O25" i="14"/>
  <c r="N25" i="14"/>
  <c r="G22" i="13"/>
  <c r="G16" i="5"/>
  <c r="G15" i="5"/>
  <c r="G14" i="5"/>
  <c r="G13" i="5"/>
  <c r="G12" i="5"/>
  <c r="G10" i="5"/>
  <c r="G9" i="5"/>
  <c r="G8" i="5"/>
  <c r="G17" i="5"/>
  <c r="C8" i="1" s="1"/>
  <c r="G15" i="3"/>
  <c r="G14" i="3"/>
  <c r="G13" i="3"/>
  <c r="G12" i="3"/>
  <c r="G11" i="3"/>
  <c r="G10" i="3"/>
  <c r="G9" i="3"/>
  <c r="G8" i="3"/>
  <c r="G16" i="3"/>
  <c r="G64" i="2"/>
  <c r="G62" i="2"/>
  <c r="G59" i="2"/>
  <c r="G57" i="2"/>
  <c r="G54" i="2"/>
  <c r="G52" i="2"/>
  <c r="G49" i="2"/>
  <c r="G47" i="2"/>
  <c r="G45" i="2"/>
  <c r="G44" i="2"/>
  <c r="G42" i="2"/>
  <c r="G39" i="2"/>
  <c r="G37" i="2"/>
  <c r="G36" i="2"/>
  <c r="G34" i="2"/>
  <c r="G33" i="2"/>
  <c r="G32" i="2"/>
  <c r="G30" i="2"/>
  <c r="G29" i="2"/>
  <c r="G27" i="2"/>
  <c r="G26" i="2"/>
  <c r="G23" i="2"/>
  <c r="G22" i="2"/>
  <c r="G20" i="2"/>
  <c r="G11" i="2"/>
  <c r="G10" i="2"/>
  <c r="G8" i="2"/>
  <c r="G7" i="2"/>
  <c r="G15" i="2"/>
  <c r="G13" i="2"/>
  <c r="G17" i="2"/>
  <c r="G14" i="2"/>
  <c r="G12" i="2"/>
  <c r="G16" i="2"/>
  <c r="G65" i="2" l="1"/>
  <c r="C7" i="1" s="1"/>
  <c r="C20" i="1" s="1"/>
</calcChain>
</file>

<file path=xl/sharedStrings.xml><?xml version="1.0" encoding="utf-8"?>
<sst xmlns="http://schemas.openxmlformats.org/spreadsheetml/2006/main" count="3098" uniqueCount="738">
  <si>
    <t>Temat:</t>
  </si>
  <si>
    <t>Inwestor:</t>
  </si>
  <si>
    <t>PREZYDENT MIASTA ŚWINOUJŚCIE
uL. Wojska Polskiego 1/5
72-600 Świnoujście</t>
  </si>
  <si>
    <t>Jednostka projektowa</t>
  </si>
  <si>
    <t>IVIA S.A.
Al. W. Roździeńskiego 91, 
40-203 Katowice
Biuro w Czechowicach- Dziedzicach
ul. Kasprowicza 46  
43-502 Czechowice Dziedzice</t>
  </si>
  <si>
    <t>ZBIORCZE ZESTAWIENIE KOSZTÓW</t>
  </si>
  <si>
    <t>L.p.</t>
  </si>
  <si>
    <t>Wyszczególnienie elementu rozliczeniowego</t>
  </si>
  <si>
    <t>Wartość
robót</t>
  </si>
  <si>
    <t>1</t>
  </si>
  <si>
    <t>ROBOTY DROGOWE</t>
  </si>
  <si>
    <t>2</t>
  </si>
  <si>
    <t>DOCELOWA ORGANIZACJA RUCHU</t>
  </si>
  <si>
    <t>3</t>
  </si>
  <si>
    <t>BUDOWA KANALIZACJI DESZCZOWEJ</t>
  </si>
  <si>
    <t>4</t>
  </si>
  <si>
    <t>ZIELEŃ</t>
  </si>
  <si>
    <t>5</t>
  </si>
  <si>
    <t>6</t>
  </si>
  <si>
    <t>7</t>
  </si>
  <si>
    <t>8</t>
  </si>
  <si>
    <t>21</t>
  </si>
  <si>
    <t>22</t>
  </si>
  <si>
    <t>OGÓŁEM KOSZTORYSOWA WARTOŚĆ ROBÓT (netto)</t>
  </si>
  <si>
    <t>BUDOWA I PRZEBUDOWA UKŁADU DROGOWEGO</t>
  </si>
  <si>
    <t>Numer STWiORB</t>
  </si>
  <si>
    <t>Nazwa jednostki</t>
  </si>
  <si>
    <t>Ilość 
jednostek</t>
  </si>
  <si>
    <t>Cena jednostkowa</t>
  </si>
  <si>
    <t>D-01.00.00.</t>
  </si>
  <si>
    <t>ROBOTY PRZYGOTOWAWCZE</t>
  </si>
  <si>
    <t>x</t>
  </si>
  <si>
    <t>D-01.01.01.</t>
  </si>
  <si>
    <t>Odtworzenie trasy i punktów wysokościowych</t>
  </si>
  <si>
    <t>km</t>
  </si>
  <si>
    <t>D-01.02.02.</t>
  </si>
  <si>
    <t>m2</t>
  </si>
  <si>
    <t>D-01.02.04.</t>
  </si>
  <si>
    <t>Rozbiórka elementów dróg, ulic, przepustów</t>
  </si>
  <si>
    <t>9</t>
  </si>
  <si>
    <t>10</t>
  </si>
  <si>
    <t>11</t>
  </si>
  <si>
    <t>m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</si>
  <si>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</si>
  <si>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</si>
  <si>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</si>
  <si>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</si>
  <si>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</si>
  <si>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</si>
  <si>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</si>
  <si>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</si>
  <si>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</si>
  <si>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D-02.00.00.</t>
  </si>
  <si>
    <t>ROBOTY ZIEMNE</t>
  </si>
  <si>
    <t>D-02.01.01.</t>
  </si>
  <si>
    <t>Wykonanie wykopów w gruntach nieskalistych</t>
  </si>
  <si>
    <t>23</t>
  </si>
  <si>
    <t>m3</t>
  </si>
  <si>
    <t>24</t>
  </si>
  <si>
    <t>D-02.03.01.</t>
  </si>
  <si>
    <t>Wykonanie nasypów</t>
  </si>
  <si>
    <t>25</t>
  </si>
  <si>
    <t>- wykonanie nasypów gruntem z wykopów</t>
  </si>
  <si>
    <t>D-03.00.00.</t>
  </si>
  <si>
    <t>26</t>
  </si>
  <si>
    <t>D-04.00.00.</t>
  </si>
  <si>
    <t>PODBUDOWY</t>
  </si>
  <si>
    <t>D-04.02.02.</t>
  </si>
  <si>
    <t>Ulepszone podłoże i warstwa mrozoochronna z mieszanki niezwiązanej i gruntu niewysadzinowego z mieszanki niezwiązanej</t>
  </si>
  <si>
    <t>27</t>
  </si>
  <si>
    <t>28</t>
  </si>
  <si>
    <t>D-04.03.01.</t>
  </si>
  <si>
    <t>Oczyszczenie i skropienie warstw konstrukcyjnych</t>
  </si>
  <si>
    <t>- oczyszczenie i skropienie warstw konstrukcyjnych niebitumicznych</t>
  </si>
  <si>
    <t>- oczyszczenie i skropienie warstw konstrukcyjnych bitumicznych</t>
  </si>
  <si>
    <t>D-04.04.02.</t>
  </si>
  <si>
    <t>Podbudowa z mieszanki niezwiązanej</t>
  </si>
  <si>
    <t>D-04.05.00.</t>
  </si>
  <si>
    <t>Warstwa ulepszonego podłoża z gruntu stabilizowanego spoiwem hydraulicznym</t>
  </si>
  <si>
    <t>- ulepszone podłoże z gruntu stabilizowanego spoiwem hydraulicznym - warstwa gr. 25 cm</t>
  </si>
  <si>
    <t>D-04.07.01.</t>
  </si>
  <si>
    <t>Podbudowa z betonu asfaltowego</t>
  </si>
  <si>
    <t>NAWIERZCHNIE</t>
  </si>
  <si>
    <t>D-05.03.05a</t>
  </si>
  <si>
    <t>Nawierzchnia z betonu asfaltowego - warstwa ścieralna</t>
  </si>
  <si>
    <t>D-05.03.05b</t>
  </si>
  <si>
    <t>Nawierzchnia z betonu asfaltowego - warstwa wiążąca</t>
  </si>
  <si>
    <t>D-05.03.13.</t>
  </si>
  <si>
    <t>Nawierzchnia z mieszanki mineralnej grysowo-mastyksowej SMA</t>
  </si>
  <si>
    <t>- warstwa ścieralna z mieszanki mineralnej grysowo-mastyksowej SMA 11S - grubość warstwy 4 cm</t>
  </si>
  <si>
    <t>D-05.03.23.</t>
  </si>
  <si>
    <t>Nawierzchnia z brukowej kostki betonowej</t>
  </si>
  <si>
    <t>D-06.00.00.</t>
  </si>
  <si>
    <t>ROBOTY WYKOŃCZENIOWE</t>
  </si>
  <si>
    <t>D-06.01.01.</t>
  </si>
  <si>
    <t>Umocnienie skarp. rowów, ścieków</t>
  </si>
  <si>
    <t>D-06.03.01.</t>
  </si>
  <si>
    <t>Nawierzchnia pobocza z kruszywa</t>
  </si>
  <si>
    <t>D-07.05.01.</t>
  </si>
  <si>
    <t>Bariery energochłonne</t>
  </si>
  <si>
    <t>- bariera energochłonna N2W3</t>
  </si>
  <si>
    <t>mb</t>
  </si>
  <si>
    <t>D-07.06.02.</t>
  </si>
  <si>
    <t>Urządzenia zabezpieczające ruch pieszych</t>
  </si>
  <si>
    <t>- wygrodzenie U-11a</t>
  </si>
  <si>
    <t>D-08.00.00.</t>
  </si>
  <si>
    <t>ELEMENTY ULIC</t>
  </si>
  <si>
    <t>Krawężniki betonowe</t>
  </si>
  <si>
    <t>- krawężnik betonowy 20x30x100cm (w odsłonięciu 12 cm) na ławie betonowej z oporem z betonu C12/15</t>
  </si>
  <si>
    <t>D-08.03.01.</t>
  </si>
  <si>
    <t>Obrzeża betonowe</t>
  </si>
  <si>
    <t>Razem wartość robót (netto)</t>
  </si>
  <si>
    <t>- rozbiórka nawierzchni bitumicznej - warstwa grubości 23 cm</t>
  </si>
  <si>
    <t>- rozebranie podbudowy z kruszywa łamanego - warstwa grubości 45cm</t>
  </si>
  <si>
    <t>- wykonanie wykopów z przeznaczenie do wbudowania w nasyp</t>
  </si>
  <si>
    <t>- wykonanie nasypów gruntem dostarczonym</t>
  </si>
  <si>
    <t>- warstwa mrozoochronna z mieszanki niezwiązanej lub gruntu niewysadzinowego (naturalnego lub antropogenicznego) CBR&gt;=20% - warstwa grubości 15 cm</t>
  </si>
  <si>
    <t>- warstwa mrozoochronna z mieszanki niezwiązanej lub gruntu niewysadzinowego (naturalnego lub antropogenicznego) CBR&gt;=35% - warstwa grubości 28 cm (G2, G3, G4)</t>
  </si>
  <si>
    <t>- warstwa gruntu stabilizowanego spoiwem hydraulicznym C0,4/0,5 - warstwa grubości 10cm</t>
  </si>
  <si>
    <t>- humusowanie skarp z obsianiem - warstwa humusu gr. 15 cm</t>
  </si>
  <si>
    <t>- nawierzchnia pobocza z kruszywa łamanego - warstwa gr. 20 cm</t>
  </si>
  <si>
    <t>D-07.00.00. BEZPIECZEŃSTWO RUCHU</t>
  </si>
  <si>
    <t>Usunięcie warstwy ziemi urodzajenj /humusu/ - warstwa gr. 30 cm</t>
  </si>
  <si>
    <t>D-08.01.01.</t>
  </si>
  <si>
    <t>- warstwa wiążąca z mieszanki z betonu asfaltowego AC16W - warstwa
  grubości  6 cm</t>
  </si>
  <si>
    <t>- warstwa profilująca z mieszanki z betonu asfaltowego AC8S -
   warstwa grubości 3 cm</t>
  </si>
  <si>
    <t>- warstwa ścieralna z betonu asfaltowego AC5S - warstwa gr. 3 cm</t>
  </si>
  <si>
    <t>- podbudowa zasadnicza z betonu asfaltowego AC22P - warstwa
   grubości 10 cm</t>
  </si>
  <si>
    <t>- podbudowa z mieszanki niezwiązanej C90/3 o uziarnieniu 0/31,5mm 
   warstwa grubości 20 cm</t>
  </si>
  <si>
    <t>- podbudowa z mieszanki niezwiązanej C50/30 o uziarnieniu
   0/31,5mm - warstwa grubości 15 cm</t>
  </si>
  <si>
    <t>- podbudowa z mieszanki niezwiązanej C50/30 o uziarnieniu 
  0/31,5mm - warstwa grubości 10 cm</t>
  </si>
  <si>
    <t>- nawierzchnia z brukowej kostki betonowej gr 8 cm, szarej układanej
  na podsypce cementowo-piaskowej gr 3 cm</t>
  </si>
  <si>
    <t>D-01.02.01.</t>
  </si>
  <si>
    <t>Usunięcie drzew i krzewów</t>
  </si>
  <si>
    <t>- usunięcie drzew o średnicy do 15 cm</t>
  </si>
  <si>
    <t>szt</t>
  </si>
  <si>
    <t>- usunięcie drzew o średnicy 16÷25cm</t>
  </si>
  <si>
    <t>- usunięcie drzew o średnicy 26÷35cm</t>
  </si>
  <si>
    <t>- usunięcie drzew o średnicy 36÷45cm</t>
  </si>
  <si>
    <t>- usunięcie drzew o średnicy 46÷55cm</t>
  </si>
  <si>
    <t>- usunięcie drzew o średnicy 56÷55cm</t>
  </si>
  <si>
    <t>- usunięcie drzew o średnicy &gt; 66cm</t>
  </si>
  <si>
    <t>- usunięcie krzewów</t>
  </si>
  <si>
    <t>ha</t>
  </si>
  <si>
    <t>- demontaż tarcz znaków drogowych</t>
  </si>
  <si>
    <t>- demontaż słupków prowadzących przykręconych do baroery drogowej</t>
  </si>
  <si>
    <t>- demontaż slupków barier U</t>
  </si>
  <si>
    <t>- demontaz stalowych barier ochronnych</t>
  </si>
  <si>
    <t>- usunięcie oznakowania poziomego</t>
  </si>
  <si>
    <t>- demontaz słupa z solarnego zasilającego oznakowanie pionowe</t>
  </si>
  <si>
    <t>kpl</t>
  </si>
  <si>
    <t>29</t>
  </si>
  <si>
    <t>30</t>
  </si>
  <si>
    <t>31</t>
  </si>
  <si>
    <t>32</t>
  </si>
  <si>
    <t>33</t>
  </si>
  <si>
    <t>34</t>
  </si>
  <si>
    <t>,,Sprawny i przyjazny środowisku dostęp do infrastruktury portu w Świnoujściu – etap I’’ – Część II
Zadanie nr 2. Budowa nowego odcinka drogi łączącej ulicę Barlickiego z drogą krajową nr 3</t>
  </si>
  <si>
    <t>SIEĆ TRAKCYJNA</t>
  </si>
  <si>
    <t>K00.00.01.</t>
  </si>
  <si>
    <t xml:space="preserve"> Tom IX.1 Przebudowa sieci trakcyjnej</t>
  </si>
  <si>
    <t>Montaż słupów trakcyjnych na mostach i wiaduktach na uprzednio zamontowanych śrubach montażowych</t>
  </si>
  <si>
    <t>szt.</t>
  </si>
  <si>
    <t>Montaż słupów trakcyjnych na mostach i wiaduktach na uprzednio zamontowanych śrubach montażowych montaż słupa kratowego dla wysięgu przez dwa tory</t>
  </si>
  <si>
    <t>Montaż wysięgu przestrzennego kratowego na słupie bramkowym lub kratowym</t>
  </si>
  <si>
    <t>Montaż wspornika dźwigara bramki lub wysięgu</t>
  </si>
  <si>
    <t>Montaż stałych prętowych odciągów konstrukcji wsporczych</t>
  </si>
  <si>
    <t>Wbijanie pali żelbetowych dla słupa z terenu lub rusztowań na głębokość do 5 m w grunt kat. III - do 25 pali na jednym placu budowy - 10 pociągów na zmianę roboczą</t>
  </si>
  <si>
    <t>Wbijanie pali żelbetowych dla odciągu z terenu lub rusztowań na głębokość do 5 m w grunt kat. III - do 25 pali na jednym placu budowy - 10 pociągów na zmianę roboczą</t>
  </si>
  <si>
    <t>Demontaż konstrukcji wsporczych - odciąganie sieci znad osi toru dla umożliwienia pracy dzwigu</t>
  </si>
  <si>
    <t>Demontaż konstrukcji wsporczych - wycinanie słupów indywidualnych stalowych</t>
  </si>
  <si>
    <t>Demontaż konstrukcji wsporczych - wycinanie słupa kratowego dla wysięgu przez dwa tory</t>
  </si>
  <si>
    <t>Demontaż wysięgu przestrzennego kratowego na słupie bramkowym lub kratowym</t>
  </si>
  <si>
    <t>Demontaż wspornika dźwigara bramki lub wysięgu</t>
  </si>
  <si>
    <t>Demontaż odciągów stałych prętowych</t>
  </si>
  <si>
    <t>Demontaż konstrukcji wsporczych - rozbijanie fundamentów palowych odciagu</t>
  </si>
  <si>
    <t>Demontaż konstrukcji wsporczych - rozbijanie fundamentów palowych słupa</t>
  </si>
  <si>
    <t>Kotwienia środkowe sieci z izolatorami</t>
  </si>
  <si>
    <t>Montaż punktów izolujących w linie nośnej</t>
  </si>
  <si>
    <t>Podwieszenie przelotowe sieci jezdnej 2-drutowej skompensowanej na wysięgnikach rurowych dla prostej i łuku ; przechylne o odległości 1.75 - 2.95 m</t>
  </si>
  <si>
    <t>Montaż pojedynczych elementów sieci - zastrzał przeciwwiatrowy wysięgnika</t>
  </si>
  <si>
    <t>Montaż pojedynczych elementów sieci - zawieszenie elastyczne linki (bez wieszaków podwieszenia) przy 4 wieszakach</t>
  </si>
  <si>
    <t>Montaż pojedynczych elementów sieci - wieszak stały pojedynczy normalny</t>
  </si>
  <si>
    <t>Montaż pojedynczych elementów sieci - uchwyt odległościowy do przewodów jezdnych</t>
  </si>
  <si>
    <t>Pomontażowa regulacja sieci dwudrutowej jednolinowej ; do 1000 m odcinka naprężenia</t>
  </si>
  <si>
    <t>odc.</t>
  </si>
  <si>
    <t>Pomontażowa regulacja sieci dwudrutowej jednolinowej ; ponad 1000 m odcinka naprężenia</t>
  </si>
  <si>
    <t>Transport palownicy</t>
  </si>
  <si>
    <t>Demontaż kotwienia środkowego sieci z izolatorami</t>
  </si>
  <si>
    <t>Demontaż podwieszenia przelotowego sieci jezdnej 2-drutowej skompensowanej na wysięgnikach rurowych dla prostej i łuku ; przechylne o odległości 1.75 - 2.95 m</t>
  </si>
  <si>
    <t>Demontaż pojedynczych elementów sieci - zastrzał przeciwwiatrowy wysięgnika</t>
  </si>
  <si>
    <t>Demontaż pojedynczych elementów sieci - zawieszenie elastyczne linki (bez wieszaków podwieszenia) przy 4 wieszakach</t>
  </si>
  <si>
    <t>Demontaż pojedynczych elementów sieci - wieszak stały pojedynczy normalny</t>
  </si>
  <si>
    <t>Kotwienie liny uszynienia grupowego</t>
  </si>
  <si>
    <t>Podwieszenie sieci jezdnej na wysięgnikach rurowych dla nietypowych wysokości konstrukcyjnych; sieć jednodrutowa, podwieszenie przelotowe, nieprzechylne, wysokość konstrukcyjna 0.45-1.30 m</t>
  </si>
  <si>
    <t>Przyłącze uszynienia grupowego</t>
  </si>
  <si>
    <t>35</t>
  </si>
  <si>
    <t>Montaż uziomu rurowego lub ze stali profilowej wykonanego przez wbijanie mechaniczne - długość uziemiacza do 4.5 m - grunt kat. III</t>
  </si>
  <si>
    <t>36</t>
  </si>
  <si>
    <t>Wywieszanie liny uszynienia grupowego AFL6-120</t>
  </si>
  <si>
    <t>37</t>
  </si>
  <si>
    <t>Wywieszanie przewodów sieci jezdnej - złącze liny nośnej</t>
  </si>
  <si>
    <t>38</t>
  </si>
  <si>
    <t>Układanie kabli o masie do 1.0 kg/m w rowach kablowych ręcznie</t>
  </si>
  <si>
    <t>39</t>
  </si>
  <si>
    <t>Uszynienie indywidualne konstrukcji mocujących linką Al 70 na słupach żelbetowych - za każdy następny zacisk</t>
  </si>
  <si>
    <t>40</t>
  </si>
  <si>
    <t>Ułożenie rur osłonowych RHDPE</t>
  </si>
  <si>
    <t>41</t>
  </si>
  <si>
    <t>Demontaż kotwienia liny uszynienia grupowego</t>
  </si>
  <si>
    <t>42</t>
  </si>
  <si>
    <t>Demontaż podwieszenia liny uszynienia grupowego</t>
  </si>
  <si>
    <t>43</t>
  </si>
  <si>
    <t>Demontaż połączenia uszynienia grupowego</t>
  </si>
  <si>
    <t>44</t>
  </si>
  <si>
    <t>Demontaż uziemienia słupa trakcyjnego</t>
  </si>
  <si>
    <t>45</t>
  </si>
  <si>
    <t>Demontaż kabli o masie do 1.0 kg/m w rowach kablowych ręcznie</t>
  </si>
  <si>
    <t>PRZEBUDOWA SIECI TRAKCYJNEJ</t>
  </si>
  <si>
    <t>,,Sprawny i przyjazny środowisku dostęp do infrastruktury portu w Świnoujściu – etap I’’ – Część II Zadanie nr 2. 
Budowa nowego odcinka drogi łączącej ulicę Barlickiego z droga krajową nr 3</t>
  </si>
  <si>
    <t>D-07.01.01.</t>
  </si>
  <si>
    <t>Oznakowanie poziome</t>
  </si>
  <si>
    <t>- oznakowanie poziome materiałami grubowarstwowymi -
  linie ciągłe</t>
  </si>
  <si>
    <t>- oznakowanie poziome materiałami grubowarstwowymi - 
  linie przerywane</t>
  </si>
  <si>
    <t>- oznakowanie poziome materiałami grubowarstwowymi - 
  linie na skrzyżowaniach i przejściach</t>
  </si>
  <si>
    <t>D-07.02.01.</t>
  </si>
  <si>
    <t>Oznakowanie pionowe</t>
  </si>
  <si>
    <t>- słupki do znaków drogowych</t>
  </si>
  <si>
    <t>- tarcze znaków zakazu "B"</t>
  </si>
  <si>
    <t>- tarcze znakow nakazu "C"</t>
  </si>
  <si>
    <t>- tablice kierunku i miejscowości "E"</t>
  </si>
  <si>
    <t>- urządzenia BRD</t>
  </si>
  <si>
    <t>ODWODNIENIE KORPUSU DROGOWEGO</t>
  </si>
  <si>
    <t>D-03.02.01.</t>
  </si>
  <si>
    <t>Kanalizacja deszczowa</t>
  </si>
  <si>
    <t>- wykonanie wykopów</t>
  </si>
  <si>
    <t>- umocnienie pionowych ścian wykopów</t>
  </si>
  <si>
    <t>- podsypka piaskowa gr. 20 cm</t>
  </si>
  <si>
    <t>- montaż kanałów z rur PP-B SN8 Dn200mm</t>
  </si>
  <si>
    <t>- montaż kanałów z rur PP-B SN8 Dn300mm</t>
  </si>
  <si>
    <t xml:space="preserve">- rura kompozytowa na bazie PEHD PN10 w izolacji z pianki PUR podwieszona do obiektu </t>
  </si>
  <si>
    <t>- wpusty uliczne żeliwne ze studzienką betonową o śrenicy Dn450mm</t>
  </si>
  <si>
    <t>- studnie z kręgów d=1200mm</t>
  </si>
  <si>
    <t>- studnia kaskadowa z kręgów d=1500mm</t>
  </si>
  <si>
    <t>- włączenie kanalizacji do istniejących studni</t>
  </si>
  <si>
    <t>- obsypka piaskowa kanałów - 30cm nad wierzch kanału</t>
  </si>
  <si>
    <t>- zasypanie wykopów z zagęszczeniem</t>
  </si>
  <si>
    <t>- załadunek i odwóz nadmiaru gruntu na składowisko WYKONAWCY wraz z zagospodarowaniem przez WYKONAWCĘ</t>
  </si>
  <si>
    <t>Odcinek</t>
  </si>
  <si>
    <t>Rzędna terenu</t>
  </si>
  <si>
    <t>Rzędna dna wykopu</t>
  </si>
  <si>
    <t>Głebokość
wykopu A</t>
  </si>
  <si>
    <t>Głebokość
wykopu B</t>
  </si>
  <si>
    <t>Średnia
głębokość</t>
  </si>
  <si>
    <t>Szerokość
wykopu</t>
  </si>
  <si>
    <t>Długość
w osiach studni</t>
  </si>
  <si>
    <t>Średnica
studni w odcinku</t>
  </si>
  <si>
    <t>Długość wykopu</t>
  </si>
  <si>
    <t>Razem
wykop
m3</t>
  </si>
  <si>
    <t>Długość
kanału</t>
  </si>
  <si>
    <t>Umocnienie ścian wykopu</t>
  </si>
  <si>
    <t>Podsypka piaskowa
(m2)</t>
  </si>
  <si>
    <t>Grubość
obsypki
(cm)</t>
  </si>
  <si>
    <t>Ilość
obsypki
(m3)</t>
  </si>
  <si>
    <t>Zasypanie wykopów (m3)</t>
  </si>
  <si>
    <t>Średnica
kanału
(mm)</t>
  </si>
  <si>
    <t>Profil</t>
  </si>
  <si>
    <t>Materiał</t>
  </si>
  <si>
    <t>1D.1</t>
  </si>
  <si>
    <t>1Wp.1</t>
  </si>
  <si>
    <t>1Wp.2</t>
  </si>
  <si>
    <t>1D.O2</t>
  </si>
  <si>
    <t>1D.O1</t>
  </si>
  <si>
    <t>2Wyl.1</t>
  </si>
  <si>
    <t>2D.1</t>
  </si>
  <si>
    <t>2D.2</t>
  </si>
  <si>
    <t>2D.3</t>
  </si>
  <si>
    <t>2D.4</t>
  </si>
  <si>
    <t>2D.5</t>
  </si>
  <si>
    <t>2D.6</t>
  </si>
  <si>
    <t>2D.7</t>
  </si>
  <si>
    <t>2D.O1</t>
  </si>
  <si>
    <t>2D.O2</t>
  </si>
  <si>
    <t>2Wp.2</t>
  </si>
  <si>
    <t>2Wp.1</t>
  </si>
  <si>
    <t>2Wp.4</t>
  </si>
  <si>
    <t>2Wp.3</t>
  </si>
  <si>
    <t>2Wp.6</t>
  </si>
  <si>
    <t>2Wp.5</t>
  </si>
  <si>
    <t>Obiekt</t>
  </si>
  <si>
    <t>Rzędna proj.</t>
  </si>
  <si>
    <t>średnica</t>
  </si>
  <si>
    <t>szerokość
"A"</t>
  </si>
  <si>
    <t>Szerokość
"B"</t>
  </si>
  <si>
    <t>Głebokość
wykopu</t>
  </si>
  <si>
    <t>Umocnienie ścian</t>
  </si>
  <si>
    <t>Wykop</t>
  </si>
  <si>
    <t>Zasypanie wykopu</t>
  </si>
  <si>
    <t>BUDOWA KANAŁU TECHNOLOGICZNEGO</t>
  </si>
  <si>
    <t xml:space="preserve">Budowa kanału technologicznego </t>
  </si>
  <si>
    <t>1.1</t>
  </si>
  <si>
    <t>Budowa studni kablowych SKR-2 z pokrywą z zabezpieczeniem mechaniczno-ryglowym</t>
  </si>
  <si>
    <t>kpl.</t>
  </si>
  <si>
    <t>1.2</t>
  </si>
  <si>
    <t>Budowa kanalizacji kablowej KTp1 - w konstrukcji mostu</t>
  </si>
  <si>
    <t xml:space="preserve"> - 1x RO (fi110)</t>
  </si>
  <si>
    <t xml:space="preserve"> - 1x RO (fi160) UV</t>
  </si>
  <si>
    <t xml:space="preserve"> 3x RS (HDPE 40/3,7) + 1xWMR (fi 40 - wiązka 7 mikrorur)</t>
  </si>
  <si>
    <t>1.3</t>
  </si>
  <si>
    <t>Budowa kanalizacji kablowej KTu1</t>
  </si>
  <si>
    <t xml:space="preserve"> - 3x RS (HDPE 40/3,7)</t>
  </si>
  <si>
    <t xml:space="preserve"> - 1x WMR (fi 40 - wiązka 7 mikrorur)</t>
  </si>
  <si>
    <t>Przebudowa sieci telekomunikacyjnej</t>
  </si>
  <si>
    <t>OBIEKTY MOSTOWE</t>
  </si>
  <si>
    <t>OBIEKT WD-1</t>
  </si>
  <si>
    <t>Wytyczenie obiektu</t>
  </si>
  <si>
    <t>M.01.01.00</t>
  </si>
  <si>
    <t>rycz.</t>
  </si>
  <si>
    <t>FUNDAMENTOWANIE</t>
  </si>
  <si>
    <t>Wykopy</t>
  </si>
  <si>
    <t>2.1</t>
  </si>
  <si>
    <t>M.11.01.01</t>
  </si>
  <si>
    <t>Wyk. wykop. fund. w gruntach nieskalistych wraz z odwodnieniem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</si>
  <si>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</si>
  <si>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>3.</t>
  </si>
  <si>
    <t>Zasypanie wykopów i rozpoków wraz z zagęszczeniem</t>
  </si>
  <si>
    <t>3.1</t>
  </si>
  <si>
    <t>M.11.01.04</t>
  </si>
  <si>
    <t>Zasypanie wykopów z zagęsz. z gruntu przepuszczalnego</t>
  </si>
  <si>
    <t>Zasypanie z zagęsz. za przyczółkiem</t>
  </si>
  <si>
    <t>Wykonanie stożków nasypowych</t>
  </si>
  <si>
    <t>4.</t>
  </si>
  <si>
    <t>Wbicie ścianek szczelnych</t>
  </si>
  <si>
    <t>4.1</t>
  </si>
  <si>
    <t>M.11.02.09</t>
  </si>
  <si>
    <t>Wbicie ścianek szczelnych (trac.)</t>
  </si>
  <si>
    <t>ZBROJENIE</t>
  </si>
  <si>
    <t>Zbrojenie stalą klasy A-IIIN</t>
  </si>
  <si>
    <t>5.1</t>
  </si>
  <si>
    <t>M.12.01.01</t>
  </si>
  <si>
    <t>Zbrojenie B500SP - ławy fundamentowe</t>
  </si>
  <si>
    <t>kg</t>
  </si>
  <si>
    <t>5.2</t>
  </si>
  <si>
    <t>Zbrojenie B500SP - przyczółki, skrzydła</t>
  </si>
  <si>
    <t>5.3</t>
  </si>
  <si>
    <t>Zbrojenie B500SP - filary</t>
  </si>
  <si>
    <t>5.4</t>
  </si>
  <si>
    <t>Zbrojenie B500SP - ustrój nośny</t>
  </si>
  <si>
    <t>5.5</t>
  </si>
  <si>
    <t>Zbrojenie B500SP - kapy, zwieńczenia i inne</t>
  </si>
  <si>
    <t>5.6</t>
  </si>
  <si>
    <t>Zbrojenie B500SP - płyty przejściowe</t>
  </si>
  <si>
    <t>6.</t>
  </si>
  <si>
    <t>Stal sprężająca</t>
  </si>
  <si>
    <t>6.1</t>
  </si>
  <si>
    <t>M.12.02.01</t>
  </si>
  <si>
    <t>Stal sprężająca - sprężenie wewnętrzne</t>
  </si>
  <si>
    <t>6.2</t>
  </si>
  <si>
    <t>Konstrukcje łukowe - wieszaki</t>
  </si>
  <si>
    <t xml:space="preserve">BETON </t>
  </si>
  <si>
    <t>BETON KONSTRUKCYJNY</t>
  </si>
  <si>
    <t>7.</t>
  </si>
  <si>
    <t>Beton fundamentów w deskowaniu</t>
  </si>
  <si>
    <t>7.1</t>
  </si>
  <si>
    <t>M.13.01.00</t>
  </si>
  <si>
    <t>Beton fundamentów B35 (C30/37)</t>
  </si>
  <si>
    <t>8.</t>
  </si>
  <si>
    <t>Betonowe elementy podpór</t>
  </si>
  <si>
    <t>8.1</t>
  </si>
  <si>
    <t>Beton przyczółków i skrzydeł B35 (C30/37)</t>
  </si>
  <si>
    <t>8.2</t>
  </si>
  <si>
    <t>Beton filarów B45 (C35/45)</t>
  </si>
  <si>
    <t>9.</t>
  </si>
  <si>
    <t>Beton ustroju nośnego układany w deskowaniu</t>
  </si>
  <si>
    <t>9.1</t>
  </si>
  <si>
    <t>Beton ustroju nośnego B50 (C40/50)</t>
  </si>
  <si>
    <t>10.</t>
  </si>
  <si>
    <t>Beton pozostałych elementów</t>
  </si>
  <si>
    <t>10.1</t>
  </si>
  <si>
    <t>Beton płyt przejściowych B35 (C30/37)</t>
  </si>
  <si>
    <t>10.2</t>
  </si>
  <si>
    <t>Beton kap B35 (C30/37)</t>
  </si>
  <si>
    <t>10.3</t>
  </si>
  <si>
    <t>Bet. ław pod umoc. stożków nasyp. B25 (C20/25)</t>
  </si>
  <si>
    <t>BETON NIEKONSTRUKCYJNY</t>
  </si>
  <si>
    <t>11.</t>
  </si>
  <si>
    <r>
      <t xml:space="preserve">Beton klasy </t>
    </r>
    <r>
      <rPr>
        <b/>
        <u/>
        <sz val="11"/>
        <rFont val="Calibri"/>
        <family val="2"/>
        <charset val="238"/>
        <scheme val="minor"/>
      </rPr>
      <t>&lt;</t>
    </r>
    <r>
      <rPr>
        <b/>
        <sz val="11"/>
        <rFont val="Calibri"/>
        <family val="2"/>
        <charset val="238"/>
        <scheme val="minor"/>
      </rPr>
      <t xml:space="preserve"> C20/25</t>
    </r>
  </si>
  <si>
    <t>11.1</t>
  </si>
  <si>
    <t>M.13.02.02</t>
  </si>
  <si>
    <t>Beton niekonstrukcyjny B15 (C12/15) układany na gruncie</t>
  </si>
  <si>
    <t>PREFABRYKATY BETONOWE</t>
  </si>
  <si>
    <t>12.</t>
  </si>
  <si>
    <t>Deski gzymsowe z polimerobetonu</t>
  </si>
  <si>
    <t>12.1</t>
  </si>
  <si>
    <t>M.13.03.02</t>
  </si>
  <si>
    <t xml:space="preserve">Prefab.deski gzym. z polimer. 40x600mm </t>
  </si>
  <si>
    <t>KONSTRUKCJE STALOWE USTROJU</t>
  </si>
  <si>
    <t>13.</t>
  </si>
  <si>
    <t>Konstrukcje stalowe ustroju</t>
  </si>
  <si>
    <t>13.1</t>
  </si>
  <si>
    <t>M.14.01.02</t>
  </si>
  <si>
    <t>Konstrukcja stalowa ze stali S460</t>
  </si>
  <si>
    <t>14.</t>
  </si>
  <si>
    <t>Zabezpieczenie antykorozyjne konstrukcji stalowych</t>
  </si>
  <si>
    <t>14.1</t>
  </si>
  <si>
    <t>M.14.03.01</t>
  </si>
  <si>
    <t>Konstrukcja stalowa przęseł AB i BC</t>
  </si>
  <si>
    <t>BETON – ROBOTY TOWARZYSZĄCE</t>
  </si>
  <si>
    <t>15.</t>
  </si>
  <si>
    <t>Kotwy wklejane</t>
  </si>
  <si>
    <t>15.1</t>
  </si>
  <si>
    <t>M.13.06.01</t>
  </si>
  <si>
    <t>Kotwy kap wklejane w ustrój nośny</t>
  </si>
  <si>
    <t>15.2</t>
  </si>
  <si>
    <t>Kotwy osłon przeciwporażeniowych</t>
  </si>
  <si>
    <t>15.3</t>
  </si>
  <si>
    <t>Kotwy latarni</t>
  </si>
  <si>
    <t>Dylatacja pełne zewnętrznych powierzchni betonu chodników i gzymsów</t>
  </si>
  <si>
    <t>16.1</t>
  </si>
  <si>
    <t>M.18.01.03</t>
  </si>
  <si>
    <t>Wykonanie dylatacji pełnej zabudów chodnikowych</t>
  </si>
  <si>
    <t>16.2</t>
  </si>
  <si>
    <t>Wykonanie dylatacji pozornej zabudów chodnikowych</t>
  </si>
  <si>
    <t>IZOLACJE I NAWIERZCHNIE NA OBIEKTACH</t>
  </si>
  <si>
    <t>IZOLACJE CIENKIE</t>
  </si>
  <si>
    <t>17.</t>
  </si>
  <si>
    <t>Izolacje bitumiczne wykonywane na zimno</t>
  </si>
  <si>
    <t>17.1</t>
  </si>
  <si>
    <t>M.15.01.01</t>
  </si>
  <si>
    <t>Izolacja bitumiczna wykonywana na zimno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</si>
  <si>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</si>
  <si>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IZOLACJE GRUBE</t>
  </si>
  <si>
    <t>18.</t>
  </si>
  <si>
    <t>Izolacje z papy zgrzewalnej</t>
  </si>
  <si>
    <t>18.1</t>
  </si>
  <si>
    <t>M.15.02.01</t>
  </si>
  <si>
    <t>Izolacja gruba z papy zgrzewalnej-jednowarstwowa</t>
  </si>
  <si>
    <t>18.2</t>
  </si>
  <si>
    <t>Izolacja gruba z papy zgrzewalnej-dwuwarstwowa (dodatek - tylko druga warstwa)</t>
  </si>
  <si>
    <t>NAWIERZCHNIE NA OBIEKTACH</t>
  </si>
  <si>
    <t>Warstwa wiążąca z asfaltu lanego</t>
  </si>
  <si>
    <t>19.1</t>
  </si>
  <si>
    <t>M.15.03.05</t>
  </si>
  <si>
    <t>Nawierzchnia jezdni z asfaltu lanego MA-11 gr. 4cm</t>
  </si>
  <si>
    <t>Warstwa ścieralna z mieszanki mineralno asfaltowej SMA</t>
  </si>
  <si>
    <t>20.1</t>
  </si>
  <si>
    <t>D-05.03.13</t>
  </si>
  <si>
    <t>Nawierzchnia jezdni z SMA - gr. 4cm</t>
  </si>
  <si>
    <t xml:space="preserve">Warstwa ścieralna z asfaltu lanego - przeciwspadek </t>
  </si>
  <si>
    <t>21.1</t>
  </si>
  <si>
    <t>Przeciwspadeki z asfaltu lanego MA-11</t>
  </si>
  <si>
    <t>Antykorozyjne zabezpieczenie powierzchni betonowych odporne na ścieranie</t>
  </si>
  <si>
    <t>22.1</t>
  </si>
  <si>
    <t>M.15.03.01</t>
  </si>
  <si>
    <t>Naw. na kap. z żywic epoks.-poliur. gr. 5mm</t>
  </si>
  <si>
    <t>ODWODNIENIE OBIEKTÓW</t>
  </si>
  <si>
    <t>ODWODNIENIE POMOSTU</t>
  </si>
  <si>
    <t>Wpusty ściekowe żeliwne</t>
  </si>
  <si>
    <t>23.1</t>
  </si>
  <si>
    <t>M.16.01.01</t>
  </si>
  <si>
    <t>Wpusty mostowe żeliwne z odpływem prostym</t>
  </si>
  <si>
    <t>Sączki odwadniające izolację</t>
  </si>
  <si>
    <t>24.1</t>
  </si>
  <si>
    <t>M.16.01.03</t>
  </si>
  <si>
    <t>Sączki Ø 50</t>
  </si>
  <si>
    <t>Dreny odwadniające izolacje pomostu</t>
  </si>
  <si>
    <t>25.1</t>
  </si>
  <si>
    <t>M.16.01.04</t>
  </si>
  <si>
    <t>Drenaż z geowłók. i krusz. otoczonego żywicą</t>
  </si>
  <si>
    <t>Rury odwadniające</t>
  </si>
  <si>
    <t>26.1</t>
  </si>
  <si>
    <t>M.16.01.02</t>
  </si>
  <si>
    <t>Rury odpływowe i zbiorcze w instalacji odwod. Ø250</t>
  </si>
  <si>
    <t>INNE ODWODNIENIA</t>
  </si>
  <si>
    <t>Odwodnienie zasypki przyczółka</t>
  </si>
  <si>
    <t>27.1</t>
  </si>
  <si>
    <t>M.25.01.01</t>
  </si>
  <si>
    <t>Rura drenarska Ø50-150 z obsypaniem</t>
  </si>
  <si>
    <t>28.</t>
  </si>
  <si>
    <t>Wylot prefabrykowany</t>
  </si>
  <si>
    <t>28.1</t>
  </si>
  <si>
    <t>M.13.03.00</t>
  </si>
  <si>
    <t>ŁOŻYSKA</t>
  </si>
  <si>
    <t>29.</t>
  </si>
  <si>
    <t>Łożyska garnkowe - siły obliczeniowe</t>
  </si>
  <si>
    <t>29.1</t>
  </si>
  <si>
    <t>M.17.01.01</t>
  </si>
  <si>
    <t>29.2</t>
  </si>
  <si>
    <t>29.3</t>
  </si>
  <si>
    <t xml:space="preserve">URZĄDZENIA DYLATACYJNE </t>
  </si>
  <si>
    <t>Urządzenia dylatacyjne modułowe bez nakładek wyciszających - przesuw sumaryczny</t>
  </si>
  <si>
    <t>30.1</t>
  </si>
  <si>
    <t>M.18.01.02</t>
  </si>
  <si>
    <t>Urządzenia dylatacyjne jednomodułowe 80mm</t>
  </si>
  <si>
    <t>30.2</t>
  </si>
  <si>
    <t>Urządzenia dylatacyjne modułowe 120mm</t>
  </si>
  <si>
    <t>DYLATACJE SZCZELNE</t>
  </si>
  <si>
    <t>Zabezpieczenie przerw dylatacyjnych w konstrukcjach żelbetowych</t>
  </si>
  <si>
    <t>31.1</t>
  </si>
  <si>
    <t>Zabezpieczenie szczelin dylatacyjnych taśmą PCV (np. dylatacja skrzydeł, korpusu, podłużna ustroju)</t>
  </si>
  <si>
    <t>BEZPIECZEŃSTWO RUCHU</t>
  </si>
  <si>
    <t>ELEMENTY ZABEZPIECZAJĄCE</t>
  </si>
  <si>
    <t>Krawężnik mostowy kamienny</t>
  </si>
  <si>
    <t>32.1</t>
  </si>
  <si>
    <t>M.19.01.01</t>
  </si>
  <si>
    <t>Krawężnik mostowy 180x200mm</t>
  </si>
  <si>
    <t>Krawężnik kamienny (zanikający)</t>
  </si>
  <si>
    <t>33.1</t>
  </si>
  <si>
    <t>Krawężnik zanikający 20x35, na ławie</t>
  </si>
  <si>
    <t>Bariery ochronne stalowe</t>
  </si>
  <si>
    <t>34.1</t>
  </si>
  <si>
    <t>M.19.01.03</t>
  </si>
  <si>
    <t>Bariery ochronne z poręczą H2 W3</t>
  </si>
  <si>
    <t>Balustrady</t>
  </si>
  <si>
    <t>35.1</t>
  </si>
  <si>
    <t>M.19.01.04</t>
  </si>
  <si>
    <t>Balustrady na drogowych obiektach mostowych</t>
  </si>
  <si>
    <t>35.2</t>
  </si>
  <si>
    <t>Balustrada schodów skarp. i przejść serwis.</t>
  </si>
  <si>
    <t xml:space="preserve">OSŁONY I EKRANY </t>
  </si>
  <si>
    <t>Osłony przeciwporażeniowe</t>
  </si>
  <si>
    <t>36.1</t>
  </si>
  <si>
    <t>M.19.01.05</t>
  </si>
  <si>
    <t>INNE ROBOTY MOSTOWE</t>
  </si>
  <si>
    <t>ELEMENTY WYPOSAŻENIA OBIEKTU</t>
  </si>
  <si>
    <t>Rury osłonowe dla przewodów</t>
  </si>
  <si>
    <t>37.1</t>
  </si>
  <si>
    <t>M.20.01.02</t>
  </si>
  <si>
    <t>Rury osłonowe PCV</t>
  </si>
  <si>
    <t>37.2</t>
  </si>
  <si>
    <t>Rury osłonowe HDPE fi140</t>
  </si>
  <si>
    <t>Schody robocze z balustradą</t>
  </si>
  <si>
    <t>38.1</t>
  </si>
  <si>
    <t>M.20.01.09</t>
  </si>
  <si>
    <t>Schody skarpowe dla obsługi</t>
  </si>
  <si>
    <t>Umocnienie stożków i skarp przyczółków</t>
  </si>
  <si>
    <t>39.1</t>
  </si>
  <si>
    <t>M.20.01.05</t>
  </si>
  <si>
    <t>Umocnienie skarp i pow. poziomych drobnowymiarowymi elementami bet. na zaprawie cem.-piaskowej</t>
  </si>
  <si>
    <t>Znaki pomiarowe</t>
  </si>
  <si>
    <t>40.1</t>
  </si>
  <si>
    <t>M.20.01.04</t>
  </si>
  <si>
    <t>Znaki wysokościowe na obiekcie</t>
  </si>
  <si>
    <t>40.2</t>
  </si>
  <si>
    <t>Znaki wysokościowe w sąsiedztwie obiektu</t>
  </si>
  <si>
    <t>Zabezpieczenie powierzchni betonowych</t>
  </si>
  <si>
    <t>41.1</t>
  </si>
  <si>
    <t>M.26.01.06</t>
  </si>
  <si>
    <t>Zabezpieczenie antykorozyjne powierzchni betonowych - hydrofobizacja</t>
  </si>
  <si>
    <t>ROBOTY RÓŻNE</t>
  </si>
  <si>
    <t>Próbne obciążenie drogowego obiektu mostowego</t>
  </si>
  <si>
    <t>42.1</t>
  </si>
  <si>
    <t>M.20.01.11</t>
  </si>
  <si>
    <t>Próbne obciążenie obiektu drogowego wraz z projektem</t>
  </si>
  <si>
    <t>OBIEKT WD-2</t>
  </si>
  <si>
    <t>M.11.01.00</t>
  </si>
  <si>
    <t>Zasypanie wykopów z zagęsz. z gruntu nieprzepuszczalnego</t>
  </si>
  <si>
    <t>3.2</t>
  </si>
  <si>
    <t>3.3</t>
  </si>
  <si>
    <t>7.2</t>
  </si>
  <si>
    <t>Beton ustroju nośnego B35 (C30/37)</t>
  </si>
  <si>
    <t>9.2</t>
  </si>
  <si>
    <t>9.3</t>
  </si>
  <si>
    <t>14.2</t>
  </si>
  <si>
    <t>17.2</t>
  </si>
  <si>
    <t>Warstwa nieprzepuszczalna z maty bentonitowej</t>
  </si>
  <si>
    <t>M.25.00.00</t>
  </si>
  <si>
    <t>Rury odpływowe i zbiorcze w instalacji odwod. Ø200</t>
  </si>
  <si>
    <t>26.2</t>
  </si>
  <si>
    <t>kolektor kd fi 300</t>
  </si>
  <si>
    <t>Łożyska elastomerowe - siły obliczeniowe</t>
  </si>
  <si>
    <t>M.17.01.02</t>
  </si>
  <si>
    <t>Łożyska elastomerowe jednokier-przesuwne V=2,5-4,0MN</t>
  </si>
  <si>
    <t>Łożyska elastomerowe wielokier.-przesuwne V=2,0-6,5 MN</t>
  </si>
  <si>
    <t>Łożyska elastomerowe stałe V=6,5MN</t>
  </si>
  <si>
    <t>Bariery ochronne H2 W2</t>
  </si>
  <si>
    <t>34.2</t>
  </si>
  <si>
    <t>Bariery ochronne z poręczą H2 W2</t>
  </si>
  <si>
    <t>37.3</t>
  </si>
  <si>
    <t>Rury osłonowe fi500</t>
  </si>
  <si>
    <t>OBIEKT WD-3</t>
  </si>
  <si>
    <r>
      <rPr>
        <sz val="10"/>
        <rFont val="Calibri"/>
        <family val="2"/>
        <charset val="238"/>
      </rPr>
      <t>m</t>
    </r>
    <r>
      <rPr>
        <vertAlign val="superscript"/>
        <sz val="10"/>
        <rFont val="Calibri"/>
        <family val="2"/>
        <charset val="238"/>
      </rPr>
      <t>3</t>
    </r>
  </si>
  <si>
    <t>Zasypanie z zagęsz. Grunt zbrojony</t>
  </si>
  <si>
    <t>3.4</t>
  </si>
  <si>
    <t>Zbrojenie B500SP – fundamenty</t>
  </si>
  <si>
    <t>4.2</t>
  </si>
  <si>
    <t>Zbrojenie B500SP – skrzydła</t>
  </si>
  <si>
    <t>4.3</t>
  </si>
  <si>
    <t>Zbrojenie B500SP – rama</t>
  </si>
  <si>
    <t>4.4</t>
  </si>
  <si>
    <t>4.5</t>
  </si>
  <si>
    <t>Beton skrzydeł B35 (C30/37)</t>
  </si>
  <si>
    <r>
      <rPr>
        <b/>
        <sz val="11"/>
        <rFont val="Calibri"/>
        <family val="2"/>
        <charset val="238"/>
      </rPr>
      <t xml:space="preserve">Beton klasy </t>
    </r>
    <r>
      <rPr>
        <b/>
        <u/>
        <sz val="11"/>
        <rFont val="Calibri"/>
        <family val="2"/>
        <charset val="238"/>
      </rPr>
      <t>&lt;</t>
    </r>
    <r>
      <rPr>
        <b/>
        <sz val="11"/>
        <rFont val="Calibri"/>
        <family val="2"/>
        <charset val="238"/>
      </rPr>
      <t xml:space="preserve"> C20/25</t>
    </r>
  </si>
  <si>
    <t>11.2</t>
  </si>
  <si>
    <t>12.2</t>
  </si>
  <si>
    <r>
      <rPr>
        <sz val="10"/>
        <rFont val="Calibri"/>
        <family val="2"/>
        <charset val="238"/>
      </rPr>
      <t>m</t>
    </r>
    <r>
      <rPr>
        <vertAlign val="superscript"/>
        <sz val="10"/>
        <rFont val="Calibri"/>
        <family val="2"/>
        <charset val="238"/>
      </rPr>
      <t>2</t>
    </r>
  </si>
  <si>
    <t>M.1503.05</t>
  </si>
  <si>
    <t>Rura odprowadzająca wodę z sączka Ø50</t>
  </si>
  <si>
    <t>28.2</t>
  </si>
  <si>
    <t>32.2</t>
  </si>
  <si>
    <t>Konstrukcje oporowe</t>
  </si>
  <si>
    <t>M.20.01.12</t>
  </si>
  <si>
    <t>Konstrukcja oporowa z gruntu zbrojonego</t>
  </si>
  <si>
    <t>- wylot prefabrykowany Dn300 do rowu drogowego</t>
  </si>
  <si>
    <t>Stu. Ist.</t>
  </si>
  <si>
    <t>2D.8</t>
  </si>
  <si>
    <t>2Wp.8</t>
  </si>
  <si>
    <t>2Wp.7</t>
  </si>
  <si>
    <t>Rzędna wykopu</t>
  </si>
  <si>
    <t>Dokumentacja powykonawcza  srk          
/w tym podkład branżowy dla geodezji/</t>
  </si>
  <si>
    <t>Sprawdzenie istniejących tras kablowych</t>
  </si>
  <si>
    <t xml:space="preserve">Kompleksowe sprawdzenie działania urządzeń </t>
  </si>
  <si>
    <t xml:space="preserve">szt </t>
  </si>
  <si>
    <t>Pomiar rezystancji izolacji kabla i ciągłości żył odcinka kabla sygnalizacyjnego</t>
  </si>
  <si>
    <t>Pomiar rezystancji izolacji kabla i ciągłości żył odcinka kabla teletechnicznego</t>
  </si>
  <si>
    <t>zabudowa mufy kalowej dla kabli YKSY 24x1,5,  XzTKMXpw 10(5)x4x0,8</t>
  </si>
  <si>
    <t>Ułożenie rury PP 110/5</t>
  </si>
  <si>
    <t>Ułożenie kabla teletechniczneo zapasu w ziemi</t>
  </si>
  <si>
    <t>Ułożenie kabla sygnalizacyjnego zapasu w ziemi</t>
  </si>
  <si>
    <t>Dostawa i układanie  kabla  teletechnicznego   XzTKMXpw 10(5)x4x0,8 w ziemi</t>
  </si>
  <si>
    <t>Dostawa i wciąganie  kabla sygnalizacyjnego   YKSY 24x1,5 do rur</t>
  </si>
  <si>
    <t>Dostawa i układanie kabla sygnalizacyjnego   YKSY 24x1,5 w ziemi</t>
  </si>
  <si>
    <t>Ręczne kopanie, zasypywanie i układanie podsypki dla kabli rowów o głębokości 0.8m i szerokości dna do 0.4m, kat.gruntu IV</t>
  </si>
  <si>
    <t>Demontaż kabla teletechnicznego   XzTKMXpw 10(5)x4x0,8  w ziemi</t>
  </si>
  <si>
    <t>Demontaż kabla sygnalizacyjnego   YKSY 24x1,5 w ziemi</t>
  </si>
  <si>
    <t>D.01.03.03</t>
  </si>
  <si>
    <t xml:space="preserve">Odkopanie i ponowne ułożenie linii kablowej (przesunięcie) </t>
  </si>
  <si>
    <t>Przebudowa kabla miedzianego XzTKMXpw 35x4x0,8, wraz zprzełaczeniem i pomiarami</t>
  </si>
  <si>
    <t>Budowa rurociągu kablowego 2xHDPE 40/3,7</t>
  </si>
  <si>
    <t>1.4</t>
  </si>
  <si>
    <t>Przebudowa kabla światłowodowego Z-XOTKtsd 48J, wraz z przełaczeniem i pomiarami</t>
  </si>
  <si>
    <t>SIEĆ SRK</t>
  </si>
  <si>
    <t>ROZBUDOWA SIECI OŚWIETLENIOWEJ</t>
  </si>
  <si>
    <t>EL-01</t>
  </si>
  <si>
    <t>Rozbudowa sieci oświetleniowej</t>
  </si>
  <si>
    <t>Roboty ziemne</t>
  </si>
  <si>
    <t>ST-E.01</t>
  </si>
  <si>
    <t>Ręczne kopanie rowów dla kabli o głębokości do 0,8 m i szer. dna do 0,4 m w gruncie kat. III</t>
  </si>
  <si>
    <t>Ręczne zasypywanie rowów dla kabli o głębokości do 0,6 m 
i szer. dna do 0,4 m w gruncie kat. III</t>
  </si>
  <si>
    <t>Ręczne kopanie rowów dla kabli o głębokości do 1,0 m i szer. dna do 0,4 m w gruncie kat. III</t>
  </si>
  <si>
    <t>Ręczne zasypywanie rowów dla kabli o głębokości do 0,8 m 
i szer. dna do 0,4 m w gruncie kat. III</t>
  </si>
  <si>
    <t>Nasypanie warstwy piasku grub. 0.1 m na dno rowu kablowego o szer.do 0.4 m</t>
  </si>
  <si>
    <t>Mechaniczne przepychanie rur stalowych o średnicy do 100 mm pod drogami i nasypami - za pierwszą rurę</t>
  </si>
  <si>
    <t>Mechaniczne przepychanie rur stalowych o średnicy do 100 mm pod drogami i nasypami - za każdą następną rurę</t>
  </si>
  <si>
    <t>Układanie rur ochronnych z PCW o średnicy do 110 mm 
w wykopie -SRS-110</t>
  </si>
  <si>
    <t>Wykopy ręczne o głębok.do 2 m w gruncie kat. III wraz z zasypaniem dla słupow elektroenergetycznych linii napowietrznych niskiego napiecia</t>
  </si>
  <si>
    <t>Roboty kablowe</t>
  </si>
  <si>
    <t>Ręczne układanie kabli wielożyłowych o masie do 1.0 kg/m na napięcie znamionowe poniżej 110 kV w rowach kablowych - YAKY 4x35</t>
  </si>
  <si>
    <t>Montaż uziomu rurowego lub ze stali profilowej wykonanego przez wbijanie młotem ręcznym - dł. uziemiacza do 3m - kat.gr.III</t>
  </si>
  <si>
    <t>Układanie kabli wielożyłowych o masie do 1.0 kg/m na napięcie znamionowe poniżej 110 kV w rurach pustakach lub kanałach zamkniętych - YAKY 4x35</t>
  </si>
  <si>
    <t>Układanie bednarki w rowach kablowych -  - Płaskownik Fe/Zn 30x4</t>
  </si>
  <si>
    <t>Układanie bednarki w kanałach lub tunelach luzem - bednarka do 120 mm2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</si>
  <si>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</si>
  <si>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</si>
  <si>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</si>
  <si>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Badanie złącza sieci ochronnej lub uziemiającej</t>
  </si>
  <si>
    <t>Pomiar rezystancji izolacji instalacji elektrycznych - obwód 3-fazowy, pierwszy pomiar</t>
  </si>
  <si>
    <t>pomiar</t>
  </si>
  <si>
    <t>Badanie odcinków linii kablowych do 1 kV</t>
  </si>
  <si>
    <t>Instalowanie zewnętrznego sprzętu oświetleniowego</t>
  </si>
  <si>
    <t>Ręczne stawianie słupów oświetleniowych o masie do 250 kg w gruncie kat.I-III na fundamentach prefabrykowanych - słup SAL-85M lub równoważny</t>
  </si>
  <si>
    <t>Ręczne stawianie słupów oświetleniowych o masie do 250 kg w gruncie kat.I-III na wiadukcie - słup SAL-85M lub równoważny</t>
  </si>
  <si>
    <t>Ręczne stawianie słupów oświetleniowych o masie do 250 kg w gruncie kat.I-III na wiadukcie - słup przegłubowy SAL-85M/P lub równoważny</t>
  </si>
  <si>
    <t>Montaż wysięgników rurowych o ciężarze do 15 kg na słupie - WR-T1/1,5/5</t>
  </si>
  <si>
    <t>Montaż na zamontowanym wysięgniku opraw do lamp sodowych (1 lampa w oprawie)  Oprawa typu Cuddle II LED REG 72 5000K DW  – kompletna prod. Rosa lub równoważna</t>
  </si>
  <si>
    <t>Wciąganie przewodów do słupa - YDYżo 5x1,5</t>
  </si>
  <si>
    <t>Montaż złączek kablowych w słupie  IZK-4-03 - 17 szt  IZK-4-02 - 34 szt  IZK-4-01 - 17 szt</t>
  </si>
  <si>
    <t>Sprawdzenie samoczynnego wyłączenia zasilania - pomiar impedancji pętli zwarciowej - pierwszy  -dla ostatniej w obwodzie oprawy oświetleniowej</t>
  </si>
  <si>
    <t>Sprawdzenie samoczynnego wyłączenia zasilania - pomiar impedancji pętli zwarciowej - pierwszy  -dla ostatniego w obwodzie słupa oświetleniowego</t>
  </si>
  <si>
    <t>Pomiary natężenia oświetlenia</t>
  </si>
  <si>
    <t>kpl.pom.</t>
  </si>
  <si>
    <t>Pomiary luminancji oświetlenia</t>
  </si>
  <si>
    <t>PRTZEBUDOWA KOLIZJI ELEKTROENERGETYCZNYCH</t>
  </si>
  <si>
    <t>Usunięcie kolizji elektroenergetycznychj</t>
  </si>
  <si>
    <t>Demontaż istniejącej sieci elektroenergetycznej napowietrznej 15kV</t>
  </si>
  <si>
    <t>ST-EL-01</t>
  </si>
  <si>
    <t>Wykopy ręczne o głębokości do 2 m w gruncie kat. III wraz
z zasypaniem dla słupów elektroenergetycznych linii napowietrznych niskiego napiecia</t>
  </si>
  <si>
    <t>Montaż i mechaniczne stawianie słupów rozkracznych bez rozpórki zurawiem samochodowym  -demontaż słupa krańcowego</t>
  </si>
  <si>
    <t>Montaż i mechaniczne stawianie słupów pojedynczych żurawiem samochodowym (do 2 belek ustojowych) -demontaż istn. słupów przelotowych</t>
  </si>
  <si>
    <t>Montaż przewodów o przekroju do 50 mm2 rozciąganych z udziałem podnośnika samochodowego dla linii niskiego napięcia (odcinek linii do 300 m) -demonaż istn. linii napowietrznej  3xAFL-50</t>
  </si>
  <si>
    <t>km/1 przew</t>
  </si>
  <si>
    <t>Linia napowietrzna 15kV</t>
  </si>
  <si>
    <t>Wykopy ręczne o głębokości do 2 m w gruncie kat. III wraz z zasypaniem dla słupów elektroenergetycznych linii napowietrznych niskiego napiecia</t>
  </si>
  <si>
    <t>Montaż i mechaniczne stawianie słupów pojedynczych żurawiem samochodowym (3 belki ustojowe) - odcinki linii do 300 m -słup krańcowy z rozłacznikiem i głowicami typu Kgr Em-13,5/17,5 -kompletny</t>
  </si>
  <si>
    <t>Montaż głowic kablowych - zarobienie na sucho końca kabla Al 1-żyłowego o przekroju do 400 mm2 na napięcie do 1 kV o izolacji i powłoce z tworzyw sztucznych</t>
  </si>
  <si>
    <t>Montaż przewodów o przekroju do 50 mm2 rozciąganych z udziałem podnośnika samochodowego dla linii niskiego napięcia (odcinek linii do 300 m)</t>
  </si>
  <si>
    <t>Montaż głowic olejowych napowietrznych na kablach 1-żyłowych (Al do 240 mm2) na U do 10 kV o izolacji i powłoce z tworzyw sztucznych - 2-3 głowice w strefie</t>
  </si>
  <si>
    <t>Badanie odcinków linii napowietrznych do 1 kV</t>
  </si>
  <si>
    <t>Sieć kablowa 15kV</t>
  </si>
  <si>
    <t>Ręczne kopanie rowów dla kabli o głębokości do 1,2 m i szer. dna do 1,2 m w gruncie kat. III</t>
  </si>
  <si>
    <t>Ręczne zasypywanie rowów dla kabli o głębokości do 1,0 m i szer. dna do 1,2 m w gruncie kat. III</t>
  </si>
  <si>
    <t>Ręczne zasypywanie rowów dla kabli o głębokości do 0,8 m i szer. dna do 0,4 m w gruncie kat. III</t>
  </si>
  <si>
    <t>Układanie rur ochronnych z PCW o śr. do 140 mm w wykopie - SRS-160</t>
  </si>
  <si>
    <t>Układanie rur ochronnych z PCW o śr. do 140 mm w wykopie - zabezpieczenie istniejących kabli 15kV rurami dwudzielnymi A160-PS</t>
  </si>
  <si>
    <t>Ręczne układanie kabli jednożyłowych o masie do 2.0 kg/m na napięcie znamionowe poniżej 110 kV w rowach kablowych</t>
  </si>
  <si>
    <t>Układanie kabli jednożyłowych o masie do 3.0 kg/m na nap. znamionowe poniżej 110 kV w rurach, pustakach lub kanałach zamkniętych</t>
  </si>
  <si>
    <t>Montaż w rowach muf przelotowych z taśm izolacyjnych na kablach jednożyłowych z żyłami Al o przekroju do 240 mm2 na napięcie do 20 kV o izolacji i powłoce z tworzyw sztucznych</t>
  </si>
  <si>
    <t>Badanie odcinków linii kablowych do 15 kV</t>
  </si>
  <si>
    <t>Badanie odcinków linii napowietrznych do 30 kV</t>
  </si>
  <si>
    <t>LIKWIDACJA KOLIZJI SIECI ELEKTROENERGETYCZNYCH</t>
  </si>
  <si>
    <t>PRZEBUDOWA SIECI ELEKTROENERGETYCZNYCH WYSOKIEGO NAPIĘCIA</t>
  </si>
  <si>
    <t>PRZEBUDOWA SIECI SRK</t>
  </si>
  <si>
    <t>PRZEBUDOWA SIECI TELETECHNICZNEJ</t>
  </si>
  <si>
    <t>PRZEBUDOWA SIECI ELEKTROENERGETYCZNYCH PKP PLK</t>
  </si>
  <si>
    <t>KANAŁ TECHNOLOGICZNY</t>
  </si>
  <si>
    <t>A.01.01.</t>
  </si>
  <si>
    <t>Automatyka kolejowa</t>
  </si>
  <si>
    <t>Łożyska garnkowe jednokier-przesuwne V=…. MN</t>
  </si>
  <si>
    <t>Łożyska garnkowe wielokier.-przesuwne V=…. MN</t>
  </si>
  <si>
    <t>Łożyska garnkowe stałe V=…. MN</t>
  </si>
  <si>
    <t>Usunięcie kolizji elektroenergetycznych - PKP</t>
  </si>
  <si>
    <t>Ręczne kopanie rowów dla kabli o głębokości do 1.0 m i szer. dna do 0.4 m w gruncie kat. III</t>
  </si>
  <si>
    <t>Ręczne zasypywanie rowów dla kabli o głębokości do 0.8 m i szer. dna do 0.4 m w gruncie kat. III</t>
  </si>
  <si>
    <t>Układanie rur ochronnych z PCW o średnicy do 110 mm w wykopie</t>
  </si>
  <si>
    <t>Układanie rur ochronnych z PCW o średnicy do 110 mm w wykopie -zabezpieczenie istniejącego kabla rurą dwudzielną R*2</t>
  </si>
  <si>
    <t>E-01</t>
  </si>
  <si>
    <t>PRZEBUDOWA LINII WN</t>
  </si>
  <si>
    <t>Przebudowa linii WN</t>
  </si>
  <si>
    <t xml:space="preserve">Wykonanie wstawki podwyższającej 3,5 m dla słupa kratowego </t>
  </si>
  <si>
    <t>Wzmocnienie fundamentów ( płyta wzmacniająca )</t>
  </si>
  <si>
    <t xml:space="preserve">stanowisko </t>
  </si>
  <si>
    <t xml:space="preserve">Zabudowa zawiesi odciągowych na OPGW </t>
  </si>
  <si>
    <t xml:space="preserve">Zabudowa mostków </t>
  </si>
  <si>
    <t xml:space="preserve">Wykonanie uziemienmia odgromowego </t>
  </si>
  <si>
    <t xml:space="preserve">kpl </t>
  </si>
  <si>
    <t xml:space="preserve">Regulacja zwisów </t>
  </si>
  <si>
    <t xml:space="preserve">Dopuszczenia i wyłączenia </t>
  </si>
  <si>
    <t>- krawężnik betonowy 20x30x100cm (w odsłonięciu 0 cm) na ławie betonowej z oporem z betonu C12/15</t>
  </si>
  <si>
    <t>WYMAGANIA OGÓLNE KONTRAKTU</t>
  </si>
  <si>
    <t>D-M-00.00.00</t>
  </si>
  <si>
    <t xml:space="preserve">Projekt tymczasowej organizacji ruchu wraz z uzyskaniem wszystkich niezbędnych uzgodnień oraz wszelkie dalsze aktualizacje i zatwierdzenia </t>
  </si>
  <si>
    <t>ryczałt</t>
  </si>
  <si>
    <t>Aktualizacja projektu stałej organizacji ruchu po zmianach wprowadzonych na etapie budowy wraz z uzyskaniem wszystkich niezbędnych uzgodnień</t>
  </si>
  <si>
    <t>Dokumentacja powykonawcza wraz z inwentaryzacją geodezyjna powykonawcza wraz z uzyskaniem mapy inwentaryzacyjnej potwierdzającej przyjęcie do zasobu</t>
  </si>
  <si>
    <t>Sporządzenie szacunków brakarskich</t>
  </si>
  <si>
    <t xml:space="preserve">Tablice informacyjne o dofinansowaniu projektu przez UE </t>
  </si>
  <si>
    <t>Tablice pamiątkowe</t>
  </si>
  <si>
    <t xml:space="preserve">,,Sprawny i przyjazny środowisku dostęp do infrastruktury portu w Świnoujściu – etap I’’ – Część II
Zadanie nr 2. Budowa nowego odcinka drogi łączącej ulicę Barlickiego z drogą krajową nr 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</si>
</sst>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\ _z_ł"/>
    <numFmt numFmtId="165" formatCode="#,##0.0000"/>
    <numFmt numFmtId="166" formatCode="#,##0.000"/>
  </numFmts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MS Sans Serif"/>
      <family val="2"/>
      <charset val="238"/>
    </font>
    <font>
      <sz val="9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4"/>
      <name val="Arial CE"/>
      <family val="2"/>
      <charset val="238"/>
    </font>
    <font>
      <b/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8" fillId="0" borderId="0"/>
    <xf numFmtId="0" fontId="9" fillId="0" borderId="0"/>
    <xf numFmtId="0" fontId="11" fillId="0" borderId="0"/>
    <xf numFmtId="0" fontId="16" fillId="0" borderId="0"/>
    <xf numFmtId="0" fontId="1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62">
    <xf numFmtId="0" fontId="0" fillId="0" borderId="0" xfId="0"/>
    <xf numFmtId="49" fontId="1" fillId="0" borderId="1" xfId="0" applyNumberFormat="1" applyFont="1" applyBorder="1" applyAlignment="1">
      <alignment horizontal="centerContinuous" vertical="center" wrapText="1"/>
    </xf>
    <xf numFmtId="49" fontId="1" fillId="0" borderId="4" xfId="0" applyNumberFormat="1" applyFont="1" applyBorder="1" applyAlignment="1">
      <alignment horizontal="centerContinuous" vertical="center" wrapText="1"/>
    </xf>
    <xf numFmtId="49" fontId="1" fillId="0" borderId="7" xfId="0" applyNumberFormat="1" applyFont="1" applyBorder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Continuous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Continuous" vertical="center" wrapText="1"/>
    </xf>
    <xf numFmtId="49" fontId="3" fillId="0" borderId="14" xfId="0" applyNumberFormat="1" applyFont="1" applyBorder="1" applyAlignment="1">
      <alignment horizontal="centerContinuous" vertical="center" wrapText="1"/>
    </xf>
    <xf numFmtId="4" fontId="3" fillId="0" borderId="14" xfId="0" applyNumberFormat="1" applyFont="1" applyBorder="1" applyAlignment="1">
      <alignment horizontal="centerContinuous" vertical="center" wrapText="1"/>
    </xf>
    <xf numFmtId="164" fontId="3" fillId="0" borderId="14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6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Continuous" vertical="center" wrapText="1"/>
    </xf>
    <xf numFmtId="0" fontId="8" fillId="0" borderId="0" xfId="1"/>
    <xf numFmtId="49" fontId="1" fillId="0" borderId="4" xfId="1" applyNumberFormat="1" applyFont="1" applyBorder="1" applyAlignment="1">
      <alignment horizontal="centerContinuous" vertical="center" wrapText="1"/>
    </xf>
    <xf numFmtId="49" fontId="1" fillId="0" borderId="7" xfId="1" applyNumberFormat="1" applyFont="1" applyBorder="1" applyAlignment="1">
      <alignment horizontal="centerContinuous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16" fontId="6" fillId="2" borderId="5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0" fontId="8" fillId="0" borderId="0" xfId="1" applyAlignment="1">
      <alignment vertical="center"/>
    </xf>
    <xf numFmtId="49" fontId="3" fillId="0" borderId="4" xfId="1" applyNumberFormat="1" applyFont="1" applyBorder="1" applyAlignment="1">
      <alignment horizontal="center" vertical="center" wrapText="1"/>
    </xf>
    <xf numFmtId="16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4" fontId="10" fillId="0" borderId="6" xfId="2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 wrapText="1"/>
    </xf>
    <xf numFmtId="4" fontId="4" fillId="0" borderId="14" xfId="1" applyNumberFormat="1" applyFont="1" applyBorder="1" applyAlignment="1">
      <alignment horizontal="centerContinuous" vertical="center" wrapText="1"/>
    </xf>
    <xf numFmtId="49" fontId="3" fillId="0" borderId="14" xfId="1" applyNumberFormat="1" applyFont="1" applyBorder="1" applyAlignment="1">
      <alignment horizontal="centerContinuous" vertical="center" wrapText="1"/>
    </xf>
    <xf numFmtId="4" fontId="3" fillId="0" borderId="14" xfId="1" applyNumberFormat="1" applyFont="1" applyBorder="1" applyAlignment="1">
      <alignment horizontal="centerContinuous" vertical="center" wrapText="1"/>
    </xf>
    <xf numFmtId="164" fontId="3" fillId="0" borderId="14" xfId="1" applyNumberFormat="1" applyFont="1" applyBorder="1" applyAlignment="1">
      <alignment horizontal="centerContinuous" vertical="center" wrapText="1"/>
    </xf>
    <xf numFmtId="164" fontId="3" fillId="0" borderId="15" xfId="1" applyNumberFormat="1" applyFont="1" applyBorder="1" applyAlignment="1">
      <alignment horizontal="center" vertical="center" wrapText="1"/>
    </xf>
    <xf numFmtId="49" fontId="8" fillId="0" borderId="0" xfId="1" applyNumberFormat="1" applyAlignment="1">
      <alignment horizontal="center" wrapText="1"/>
    </xf>
    <xf numFmtId="0" fontId="8" fillId="0" borderId="0" xfId="1" applyAlignment="1">
      <alignment horizontal="center" wrapText="1"/>
    </xf>
    <xf numFmtId="49" fontId="8" fillId="0" borderId="0" xfId="1" applyNumberFormat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4" fontId="8" fillId="0" borderId="0" xfId="1" applyNumberFormat="1" applyAlignment="1">
      <alignment horizontal="center" vertical="center" wrapText="1"/>
    </xf>
    <xf numFmtId="164" fontId="8" fillId="0" borderId="0" xfId="1" applyNumberFormat="1" applyAlignment="1">
      <alignment horizontal="center" vertical="center" wrapText="1"/>
    </xf>
    <xf numFmtId="49" fontId="8" fillId="0" borderId="0" xfId="1" applyNumberFormat="1" applyAlignment="1">
      <alignment wrapText="1"/>
    </xf>
    <xf numFmtId="10" fontId="0" fillId="0" borderId="0" xfId="0" applyNumberFormat="1" applyAlignment="1">
      <alignment vertical="center"/>
    </xf>
    <xf numFmtId="4" fontId="12" fillId="0" borderId="18" xfId="3" applyNumberFormat="1" applyFont="1" applyBorder="1" applyAlignment="1">
      <alignment horizontal="center" vertical="center" wrapText="1"/>
    </xf>
    <xf numFmtId="3" fontId="12" fillId="0" borderId="18" xfId="3" applyNumberFormat="1" applyFont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3" fillId="0" borderId="1" xfId="3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4" fontId="13" fillId="0" borderId="2" xfId="3" applyNumberFormat="1" applyFont="1" applyBorder="1" applyAlignment="1">
      <alignment horizontal="center"/>
    </xf>
    <xf numFmtId="3" fontId="13" fillId="0" borderId="2" xfId="3" applyNumberFormat="1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2" fillId="0" borderId="20" xfId="3" applyFont="1" applyBorder="1" applyAlignment="1">
      <alignment vertical="center" textRotation="90" wrapText="1"/>
    </xf>
    <xf numFmtId="0" fontId="13" fillId="0" borderId="0" xfId="3" applyFont="1" applyAlignment="1">
      <alignment horizontal="center"/>
    </xf>
    <xf numFmtId="0" fontId="13" fillId="0" borderId="0" xfId="3" applyFont="1"/>
    <xf numFmtId="0" fontId="13" fillId="0" borderId="4" xfId="3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4" fontId="13" fillId="0" borderId="5" xfId="3" applyNumberFormat="1" applyFont="1" applyBorder="1" applyAlignment="1">
      <alignment horizontal="center"/>
    </xf>
    <xf numFmtId="3" fontId="13" fillId="0" borderId="5" xfId="3" applyNumberFormat="1" applyFont="1" applyBorder="1" applyAlignment="1">
      <alignment horizontal="center"/>
    </xf>
    <xf numFmtId="0" fontId="13" fillId="0" borderId="6" xfId="3" applyFont="1" applyBorder="1" applyAlignment="1">
      <alignment horizontal="center"/>
    </xf>
    <xf numFmtId="0" fontId="13" fillId="0" borderId="7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4" fontId="13" fillId="0" borderId="8" xfId="3" applyNumberFormat="1" applyFont="1" applyBorder="1" applyAlignment="1">
      <alignment horizontal="center"/>
    </xf>
    <xf numFmtId="3" fontId="13" fillId="0" borderId="8" xfId="3" applyNumberFormat="1" applyFont="1" applyBorder="1" applyAlignment="1">
      <alignment horizontal="center"/>
    </xf>
    <xf numFmtId="0" fontId="13" fillId="0" borderId="9" xfId="3" applyFont="1" applyBorder="1" applyAlignment="1">
      <alignment horizontal="center"/>
    </xf>
    <xf numFmtId="4" fontId="13" fillId="0" borderId="0" xfId="3" applyNumberFormat="1" applyFont="1"/>
    <xf numFmtId="3" fontId="13" fillId="0" borderId="0" xfId="3" applyNumberFormat="1" applyFont="1"/>
    <xf numFmtId="4" fontId="12" fillId="0" borderId="21" xfId="3" applyNumberFormat="1" applyFont="1" applyBorder="1"/>
    <xf numFmtId="4" fontId="12" fillId="0" borderId="0" xfId="3" applyNumberFormat="1" applyFont="1"/>
    <xf numFmtId="0" fontId="14" fillId="0" borderId="5" xfId="3" applyFont="1" applyBorder="1" applyAlignment="1">
      <alignment horizontal="center" vertical="center" wrapText="1"/>
    </xf>
    <xf numFmtId="4" fontId="14" fillId="0" borderId="5" xfId="3" applyNumberFormat="1" applyFont="1" applyBorder="1" applyAlignment="1">
      <alignment horizontal="center" vertical="center" wrapText="1"/>
    </xf>
    <xf numFmtId="3" fontId="14" fillId="0" borderId="5" xfId="3" applyNumberFormat="1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4" fillId="0" borderId="5" xfId="3" applyFont="1" applyBorder="1" applyAlignment="1">
      <alignment horizontal="center"/>
    </xf>
    <xf numFmtId="4" fontId="15" fillId="0" borderId="5" xfId="3" applyNumberFormat="1" applyFont="1" applyBorder="1" applyAlignment="1">
      <alignment horizontal="center"/>
    </xf>
    <xf numFmtId="3" fontId="15" fillId="0" borderId="5" xfId="3" applyNumberFormat="1" applyFont="1" applyBorder="1" applyAlignment="1">
      <alignment horizontal="center"/>
    </xf>
    <xf numFmtId="0" fontId="15" fillId="0" borderId="0" xfId="3" applyFont="1"/>
    <xf numFmtId="0" fontId="14" fillId="0" borderId="0" xfId="3" applyFont="1" applyAlignment="1">
      <alignment horizontal="center"/>
    </xf>
    <xf numFmtId="4" fontId="15" fillId="0" borderId="0" xfId="3" applyNumberFormat="1" applyFont="1" applyAlignment="1">
      <alignment horizontal="center"/>
    </xf>
    <xf numFmtId="3" fontId="15" fillId="0" borderId="0" xfId="3" applyNumberFormat="1" applyFont="1" applyAlignment="1">
      <alignment horizontal="center"/>
    </xf>
    <xf numFmtId="4" fontId="14" fillId="0" borderId="5" xfId="3" applyNumberFormat="1" applyFont="1" applyBorder="1" applyAlignment="1">
      <alignment horizontal="center"/>
    </xf>
    <xf numFmtId="4" fontId="15" fillId="0" borderId="0" xfId="3" applyNumberFormat="1" applyFont="1"/>
    <xf numFmtId="0" fontId="16" fillId="0" borderId="0" xfId="4" applyAlignment="1">
      <alignment vertical="center"/>
    </xf>
    <xf numFmtId="0" fontId="16" fillId="0" borderId="0" xfId="4" applyAlignment="1">
      <alignment vertical="center" wrapText="1"/>
    </xf>
    <xf numFmtId="0" fontId="9" fillId="0" borderId="22" xfId="4" applyFont="1" applyBorder="1" applyAlignment="1">
      <alignment horizontal="center" vertical="center"/>
    </xf>
    <xf numFmtId="0" fontId="16" fillId="0" borderId="0" xfId="4" applyAlignment="1">
      <alignment horizontal="center" vertical="center"/>
    </xf>
    <xf numFmtId="0" fontId="18" fillId="0" borderId="0" xfId="4" applyFont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left" vertical="center" wrapText="1"/>
    </xf>
    <xf numFmtId="164" fontId="19" fillId="4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3" fillId="0" borderId="4" xfId="1" applyNumberFormat="1" applyFont="1" applyBorder="1" applyAlignment="1">
      <alignment horizontal="center" vertical="center" wrapText="1"/>
    </xf>
    <xf numFmtId="16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16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4" fontId="19" fillId="0" borderId="6" xfId="2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4" fontId="7" fillId="0" borderId="6" xfId="2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 wrapText="1"/>
    </xf>
    <xf numFmtId="49" fontId="8" fillId="0" borderId="0" xfId="1" applyNumberFormat="1" applyAlignment="1">
      <alignment horizontal="left" vertical="center" wrapText="1"/>
    </xf>
    <xf numFmtId="49" fontId="8" fillId="0" borderId="0" xfId="1" applyNumberFormat="1" applyAlignment="1">
      <alignment horizontal="left" wrapText="1"/>
    </xf>
    <xf numFmtId="166" fontId="3" fillId="0" borderId="5" xfId="1" applyNumberFormat="1" applyFont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center" wrapText="1"/>
    </xf>
    <xf numFmtId="49" fontId="19" fillId="3" borderId="4" xfId="5" applyNumberFormat="1" applyFont="1" applyFill="1" applyBorder="1" applyAlignment="1">
      <alignment horizontal="center" vertical="center" wrapText="1"/>
    </xf>
    <xf numFmtId="49" fontId="19" fillId="3" borderId="5" xfId="5" applyNumberFormat="1" applyFont="1" applyFill="1" applyBorder="1" applyAlignment="1">
      <alignment horizontal="center" vertical="center" wrapText="1"/>
    </xf>
    <xf numFmtId="0" fontId="19" fillId="3" borderId="5" xfId="5" applyFont="1" applyFill="1" applyBorder="1" applyAlignment="1">
      <alignment horizontal="left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/>
    </xf>
    <xf numFmtId="4" fontId="7" fillId="0" borderId="5" xfId="4" applyNumberFormat="1" applyFont="1" applyBorder="1" applyAlignment="1">
      <alignment horizontal="center" vertical="center"/>
    </xf>
    <xf numFmtId="4" fontId="7" fillId="0" borderId="6" xfId="4" applyNumberFormat="1" applyFont="1" applyBorder="1" applyAlignment="1">
      <alignment horizontal="center" vertical="center"/>
    </xf>
    <xf numFmtId="0" fontId="19" fillId="3" borderId="5" xfId="5" applyFont="1" applyFill="1" applyBorder="1" applyAlignment="1">
      <alignment vertical="top" wrapText="1"/>
    </xf>
    <xf numFmtId="0" fontId="7" fillId="3" borderId="5" xfId="5" applyFont="1" applyFill="1" applyBorder="1" applyAlignment="1">
      <alignment horizontal="left" vertical="center"/>
    </xf>
    <xf numFmtId="0" fontId="19" fillId="3" borderId="5" xfId="5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" fontId="4" fillId="0" borderId="10" xfId="1" applyNumberFormat="1" applyFont="1" applyBorder="1" applyAlignment="1">
      <alignment horizontal="centerContinuous" vertical="center" wrapText="1"/>
    </xf>
    <xf numFmtId="16" fontId="3" fillId="0" borderId="11" xfId="1" applyNumberFormat="1" applyFont="1" applyBorder="1" applyAlignment="1">
      <alignment horizontal="centerContinuous" vertical="center" wrapText="1"/>
    </xf>
    <xf numFmtId="0" fontId="3" fillId="0" borderId="11" xfId="1" applyFont="1" applyBorder="1" applyAlignment="1">
      <alignment horizontal="centerContinuous" vertical="center" wrapText="1"/>
    </xf>
    <xf numFmtId="4" fontId="3" fillId="0" borderId="11" xfId="1" applyNumberFormat="1" applyFont="1" applyBorder="1" applyAlignment="1">
      <alignment horizontal="centerContinuous" vertical="center" wrapText="1"/>
    </xf>
    <xf numFmtId="164" fontId="3" fillId="0" borderId="11" xfId="1" applyNumberFormat="1" applyFont="1" applyBorder="1" applyAlignment="1">
      <alignment horizontal="centerContinuous" vertical="center" wrapText="1"/>
    </xf>
    <xf numFmtId="4" fontId="7" fillId="0" borderId="12" xfId="2" applyNumberFormat="1" applyFont="1" applyBorder="1" applyAlignment="1">
      <alignment horizontal="center" vertical="center"/>
    </xf>
    <xf numFmtId="0" fontId="27" fillId="0" borderId="0" xfId="4" applyFont="1" applyAlignment="1">
      <alignment vertical="center"/>
    </xf>
    <xf numFmtId="49" fontId="3" fillId="0" borderId="28" xfId="1" applyNumberFormat="1" applyFont="1" applyBorder="1" applyAlignment="1">
      <alignment horizontal="center" vertical="center" wrapText="1"/>
    </xf>
    <xf numFmtId="16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 wrapText="1"/>
    </xf>
    <xf numFmtId="4" fontId="3" fillId="0" borderId="23" xfId="1" applyNumberFormat="1" applyFont="1" applyBorder="1" applyAlignment="1">
      <alignment horizontal="center" vertical="center" wrapText="1"/>
    </xf>
    <xf numFmtId="164" fontId="3" fillId="0" borderId="23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2" fontId="28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8" fillId="0" borderId="8" xfId="1" applyBorder="1" applyAlignment="1">
      <alignment horizontal="center" vertical="center"/>
    </xf>
    <xf numFmtId="0" fontId="8" fillId="0" borderId="9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4" fontId="7" fillId="0" borderId="5" xfId="4" applyNumberFormat="1" applyFont="1" applyBorder="1" applyAlignment="1">
      <alignment horizontal="center" vertical="center"/>
    </xf>
    <xf numFmtId="4" fontId="7" fillId="0" borderId="6" xfId="4" applyNumberFormat="1" applyFont="1" applyBorder="1" applyAlignment="1">
      <alignment horizontal="center" vertical="center"/>
    </xf>
    <xf numFmtId="49" fontId="19" fillId="3" borderId="4" xfId="5" applyNumberFormat="1" applyFont="1" applyFill="1" applyBorder="1" applyAlignment="1">
      <alignment horizontal="center" vertical="center" wrapText="1"/>
    </xf>
    <xf numFmtId="49" fontId="19" fillId="3" borderId="23" xfId="5" applyNumberFormat="1" applyFont="1" applyFill="1" applyBorder="1" applyAlignment="1">
      <alignment horizontal="center" vertical="center" wrapText="1"/>
    </xf>
    <xf numFmtId="49" fontId="19" fillId="3" borderId="24" xfId="5" applyNumberFormat="1" applyFont="1" applyFill="1" applyBorder="1" applyAlignment="1">
      <alignment horizontal="center" vertical="center" wrapText="1"/>
    </xf>
    <xf numFmtId="49" fontId="19" fillId="3" borderId="21" xfId="5" applyNumberFormat="1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4" fontId="7" fillId="3" borderId="5" xfId="5" applyNumberFormat="1" applyFont="1" applyFill="1" applyBorder="1" applyAlignment="1">
      <alignment horizontal="center" vertical="center"/>
    </xf>
    <xf numFmtId="4" fontId="7" fillId="0" borderId="5" xfId="7" applyNumberFormat="1" applyFont="1" applyFill="1" applyBorder="1" applyAlignment="1">
      <alignment horizontal="center" vertical="center"/>
    </xf>
    <xf numFmtId="4" fontId="7" fillId="0" borderId="16" xfId="4" applyNumberFormat="1" applyFont="1" applyBorder="1" applyAlignment="1">
      <alignment horizontal="center" vertical="center"/>
    </xf>
    <xf numFmtId="4" fontId="7" fillId="0" borderId="25" xfId="4" applyNumberFormat="1" applyFont="1" applyBorder="1" applyAlignment="1">
      <alignment horizontal="center" vertical="center"/>
    </xf>
    <xf numFmtId="4" fontId="7" fillId="0" borderId="26" xfId="4" applyNumberFormat="1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4" fontId="7" fillId="3" borderId="27" xfId="5" applyNumberFormat="1" applyFont="1" applyFill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4" fontId="4" fillId="0" borderId="8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left" vertical="center" wrapText="1"/>
    </xf>
  </cellXfs>
  <cellStyles count="8">
    <cellStyle name="Normalny" xfId="0" builtinId="0"/>
    <cellStyle name="Normalny 2" xfId="2"/>
    <cellStyle name="Normalny 2 2" xfId="4"/>
    <cellStyle name="Normalny 3" xfId="1"/>
    <cellStyle name="Normalny 4" xfId="3"/>
    <cellStyle name="Normalny 5" xfId="5"/>
    <cellStyle name="Walutowy" xfId="7" builtinId="4"/>
    <cellStyle name="Walutowy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5010150</xdr:colOff>
      <xdr:row>1</xdr:row>
      <xdr:rowOff>114300</xdr:rowOff>
    </xdr:from>
    <xdr:to>
      <xdr:col>2</xdr:col>
      <xdr:colOff>523875</xdr:colOff>
      <xdr:row>1</xdr:row>
      <xdr:rowOff>1209675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1591925-BCFF-42B6-8F9C-DDE8B042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876300"/>
          <a:ext cx="8858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4829175</xdr:colOff>
      <xdr:row>2</xdr:row>
      <xdr:rowOff>314325</xdr:rowOff>
    </xdr:from>
    <xdr:to>
      <xdr:col>2</xdr:col>
      <xdr:colOff>634117</xdr:colOff>
      <xdr:row>2</xdr:row>
      <xdr:rowOff>744461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40C5DC31-FF20-475B-9A4D-F38FB2A6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402205"/>
          <a:ext cx="11770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2DC3C7C-730B-4C4A-BA9C-ED343FD9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F47D4560-F459-4E50-B2E1-F3573925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F69CC3F3-7CA4-4F80-A9A9-CF24298E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BAB601C5-BFA3-4FBC-BE9A-7AC62264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4B30BAFC-5020-4AE1-93D3-B4063585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333375"/>
          <a:ext cx="619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C5C1B95-7C0E-4C97-B737-5A5335CC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569595"/>
          <a:ext cx="615067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2" name="Obraz 1" descr="IVIA LOGO">
          <a:extLst>
            <a:ext uri="{FF2B5EF4-FFF2-40B4-BE49-F238E27FC236}">
              <a16:creationId xmlns:a16="http://schemas.microsoft.com/office/drawing/2014/main" id="{F0539FED-78E2-497D-A5E5-5103E359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560" y="2512695"/>
          <a:ext cx="85319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</xdr:colOff>
      <xdr:row>1</xdr:row>
      <xdr:rowOff>146050</xdr:rowOff>
    </xdr:from>
    <xdr:to>
      <xdr:col>5</xdr:col>
      <xdr:colOff>793750</xdr:colOff>
      <xdr:row>1</xdr:row>
      <xdr:rowOff>1241425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F407555-63DA-4E68-852C-06275E01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08050"/>
          <a:ext cx="7747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BC1009DD-2434-46A6-80E9-A5F2F227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2A459FFD-8C11-4C7A-A6E7-9C3576CD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30C57FE3-02E4-4224-A01C-71A88941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FB56ECAE-365D-448C-81B0-FCE91143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8195ECB3-0D78-400C-B3CD-E558DE0A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876300"/>
          <a:ext cx="7143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B03A993-6A4C-4BB3-9D4B-CBB5EE28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635" y="2331720"/>
          <a:ext cx="7198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F1239F7-CB89-4BCC-BF1E-A0B75D6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876300"/>
          <a:ext cx="7143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5" name="Obraz 4" descr="IVIA LOGO">
          <a:extLst>
            <a:ext uri="{FF2B5EF4-FFF2-40B4-BE49-F238E27FC236}">
              <a16:creationId xmlns:a16="http://schemas.microsoft.com/office/drawing/2014/main" id="{0F27AF1A-F091-44DA-AEBA-49FC0C78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635" y="2331720"/>
          <a:ext cx="7198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0F30349D-F9F0-4548-87C0-B3DECD13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876300"/>
          <a:ext cx="7143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7" name="Obraz 6" descr="IVIA LOGO">
          <a:extLst>
            <a:ext uri="{FF2B5EF4-FFF2-40B4-BE49-F238E27FC236}">
              <a16:creationId xmlns:a16="http://schemas.microsoft.com/office/drawing/2014/main" id="{D33739E3-6350-44B2-8858-E9870783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635" y="2331720"/>
          <a:ext cx="7198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1F3269DB-DDF4-42AF-A340-C7190F80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555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F92C8137-C69D-4E30-8578-010AD3B6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B63664EF-831C-4DEF-B6C7-83D39AC5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357A3F6-D784-4A4D-AD76-F06EE2F3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709BD68-1F5F-49F6-9F04-F812C3C3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64BAAD18-D3C6-44D1-944A-19907313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7B869B6B-5086-493E-981F-6F753B7F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0F4BEB64-3417-45D4-821A-63C9D1C6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71C215B0-9603-4370-B632-68B51237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8117BC02-0D4C-4E00-9013-F0415532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5825B47D-F7BC-4C7C-8D3C-FD1C41ED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3F30376F-89A5-442A-A56B-DEA09AF1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17B54EDA-C4A9-4E8A-8E91-C3C87F1A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3010" y="2515870"/>
          <a:ext cx="10754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97118</xdr:rowOff>
    </xdr:from>
    <xdr:to>
      <xdr:col>5</xdr:col>
      <xdr:colOff>774700</xdr:colOff>
      <xdr:row>1</xdr:row>
      <xdr:rowOff>1192493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90DEF7E-7E01-4F8F-B05F-372C0F54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5471" y="859118"/>
          <a:ext cx="7747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OLE%20DK%2046\&#321;asin\Kosztorysy\Europrojekt\Bia&#322;e%20B&#322;ota\Mosty\Kosztorys_inw_W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17_2/Przedmiary%20TG/Optymalizacje/I.032.14_O_Obwodnica%20Brodnicy/1_Europrojekt/1_W0+PFU/Europrojekt/Bia&#322;e%20B&#322;ota/Mosty/Kosztorys_inw_W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Zeros="0" tabSelected="1" topLeftCell="A2" workbookViewId="0">
      <selection activeCell="D7" sqref="D7"/>
    </sheetView>
  </sheetViews>
  <sheetFormatPr defaultRowHeight="15"/>
  <cols>
    <col min="1" max="1" width="11.140625" style="14" customWidth="1"/>
    <col min="2" max="2" width="78.28515625" style="17" customWidth="1"/>
    <col min="3" max="3" width="22" style="16" customWidth="1"/>
    <col min="4" max="5" width="22" customWidth="1"/>
  </cols>
  <sheetData>
    <row r="1" spans="1:3" ht="60" customHeight="1">
      <c r="A1" s="1" t="s">
        <v>0</v>
      </c>
      <c r="B1" s="199" t="s">
        <v>157</v>
      </c>
      <c r="C1" s="200"/>
    </row>
    <row r="2" spans="1:3" ht="104.45" customHeight="1">
      <c r="A2" s="2" t="s">
        <v>1</v>
      </c>
      <c r="B2" s="201" t="s">
        <v>2</v>
      </c>
      <c r="C2" s="202"/>
    </row>
    <row r="3" spans="1:3" ht="90" customHeight="1" thickBot="1">
      <c r="A3" s="3" t="s">
        <v>3</v>
      </c>
      <c r="B3" s="203" t="s">
        <v>4</v>
      </c>
      <c r="C3" s="204"/>
    </row>
    <row r="4" spans="1:3" ht="30" customHeight="1" thickBot="1">
      <c r="A4" s="205" t="s">
        <v>5</v>
      </c>
      <c r="B4" s="206"/>
      <c r="C4" s="207"/>
    </row>
    <row r="5" spans="1:3" ht="26.25" thickBot="1">
      <c r="A5" s="4" t="s">
        <v>6</v>
      </c>
      <c r="B5" s="5" t="s">
        <v>7</v>
      </c>
      <c r="C5" s="6" t="s">
        <v>8</v>
      </c>
    </row>
    <row r="6" spans="1:3" ht="36.75" customHeight="1">
      <c r="A6" s="260" t="s">
        <v>9</v>
      </c>
      <c r="B6" s="261" t="s">
        <v>728</v>
      </c>
      <c r="C6" s="247"/>
    </row>
    <row r="7" spans="1:3" s="10" customFormat="1" ht="36" customHeight="1">
      <c r="A7" s="7" t="s">
        <v>11</v>
      </c>
      <c r="B7" s="8" t="s">
        <v>10</v>
      </c>
      <c r="C7" s="9">
        <f>'Roboty drogowe'!G65</f>
        <v>0</v>
      </c>
    </row>
    <row r="8" spans="1:3" s="10" customFormat="1" ht="36" customHeight="1">
      <c r="A8" s="7" t="s">
        <v>13</v>
      </c>
      <c r="B8" s="8" t="s">
        <v>12</v>
      </c>
      <c r="C8" s="9">
        <f>'Docelowa Organizacja Ruchu'!G17</f>
        <v>0</v>
      </c>
    </row>
    <row r="9" spans="1:3" s="10" customFormat="1" ht="36" customHeight="1">
      <c r="A9" s="7" t="s">
        <v>15</v>
      </c>
      <c r="B9" s="8" t="s">
        <v>14</v>
      </c>
      <c r="C9" s="9">
        <f>'Kanalizacja deszczowa'!G22</f>
        <v>0</v>
      </c>
    </row>
    <row r="10" spans="1:3" s="10" customFormat="1" ht="36" customHeight="1">
      <c r="A10" s="7" t="s">
        <v>17</v>
      </c>
      <c r="B10" s="8" t="s">
        <v>16</v>
      </c>
      <c r="C10" s="9">
        <f>Zieleń!G16</f>
        <v>0</v>
      </c>
    </row>
    <row r="11" spans="1:3" s="10" customFormat="1" ht="36" customHeight="1">
      <c r="A11" s="7" t="s">
        <v>18</v>
      </c>
      <c r="B11" s="8" t="s">
        <v>218</v>
      </c>
      <c r="C11" s="9">
        <f>'sieć trakcyjna'!G52</f>
        <v>0</v>
      </c>
    </row>
    <row r="12" spans="1:3" s="10" customFormat="1" ht="36" customHeight="1">
      <c r="A12" s="7" t="s">
        <v>19</v>
      </c>
      <c r="B12" s="8" t="s">
        <v>313</v>
      </c>
      <c r="C12" s="9">
        <f>OBIEKTY!G375</f>
        <v>0</v>
      </c>
    </row>
    <row r="13" spans="1:3" s="10" customFormat="1" ht="36" customHeight="1">
      <c r="A13" s="7" t="s">
        <v>20</v>
      </c>
      <c r="B13" s="8" t="s">
        <v>298</v>
      </c>
      <c r="C13" s="9">
        <f>'Kananał Technologiczny'!G16</f>
        <v>0</v>
      </c>
    </row>
    <row r="14" spans="1:3" s="10" customFormat="1" ht="36" customHeight="1">
      <c r="A14" s="7" t="s">
        <v>39</v>
      </c>
      <c r="B14" s="165" t="s">
        <v>632</v>
      </c>
      <c r="C14" s="9">
        <f>'Budowa oświetlenia'!G41</f>
        <v>0</v>
      </c>
    </row>
    <row r="15" spans="1:3" s="10" customFormat="1" ht="36" customHeight="1">
      <c r="A15" s="7" t="s">
        <v>40</v>
      </c>
      <c r="B15" s="165" t="s">
        <v>699</v>
      </c>
      <c r="C15" s="9">
        <f>'likwidacja kolizji elektrenerg.'!G32</f>
        <v>0</v>
      </c>
    </row>
    <row r="16" spans="1:3" s="10" customFormat="1" ht="36" customHeight="1">
      <c r="A16" s="7" t="s">
        <v>41</v>
      </c>
      <c r="B16" s="165" t="s">
        <v>700</v>
      </c>
      <c r="C16" s="9"/>
    </row>
    <row r="17" spans="1:3" s="10" customFormat="1" ht="36" customHeight="1">
      <c r="A17" s="7" t="s">
        <v>43</v>
      </c>
      <c r="B17" s="8" t="s">
        <v>701</v>
      </c>
      <c r="C17" s="9">
        <f>SRK!G22</f>
        <v>0</v>
      </c>
    </row>
    <row r="18" spans="1:3" s="10" customFormat="1" ht="36" customHeight="1">
      <c r="A18" s="7" t="s">
        <v>44</v>
      </c>
      <c r="B18" s="165" t="s">
        <v>702</v>
      </c>
      <c r="C18" s="9">
        <f>'Przebudowa sieci telekom.'!G11</f>
        <v>0</v>
      </c>
    </row>
    <row r="19" spans="1:3" s="10" customFormat="1" ht="36" customHeight="1" thickBot="1">
      <c r="A19" s="7" t="s">
        <v>45</v>
      </c>
      <c r="B19" s="165" t="s">
        <v>703</v>
      </c>
      <c r="C19" s="9">
        <f>'Energetyka PKP'!G17</f>
        <v>0</v>
      </c>
    </row>
    <row r="20" spans="1:3" s="10" customFormat="1" ht="36" customHeight="1" thickBot="1">
      <c r="A20" s="11"/>
      <c r="B20" s="12" t="s">
        <v>23</v>
      </c>
      <c r="C20" s="13">
        <f>SUBTOTAL(9,C7:C19)</f>
        <v>0</v>
      </c>
    </row>
    <row r="22" spans="1:3">
      <c r="B22" s="15"/>
    </row>
  </sheetData>
  <mergeCells count="4">
    <mergeCell ref="B1:C1"/>
    <mergeCell ref="B2:C2"/>
    <mergeCell ref="B3:C3"/>
    <mergeCell ref="A4:C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showZeros="0" topLeftCell="A362" zoomScale="106" zoomScaleNormal="106" zoomScaleSheetLayoutView="100" workbookViewId="0">
      <selection activeCell="J4" sqref="J4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45" customWidth="1"/>
    <col min="4" max="4" width="9.140625" style="32"/>
    <col min="5" max="5" width="12.7109375" style="32" customWidth="1"/>
    <col min="6" max="6" width="12.7109375" style="16" customWidth="1"/>
    <col min="7" max="7" width="16.28515625" style="16" customWidth="1"/>
    <col min="10" max="10" width="14.42578125" bestFit="1" customWidth="1"/>
  </cols>
  <sheetData>
    <row r="1" spans="1:7" ht="60" customHeight="1">
      <c r="A1" s="1" t="s">
        <v>0</v>
      </c>
      <c r="B1" s="199" t="s">
        <v>157</v>
      </c>
      <c r="C1" s="208"/>
      <c r="D1" s="208"/>
      <c r="E1" s="208"/>
      <c r="F1" s="208"/>
      <c r="G1" s="200"/>
    </row>
    <row r="2" spans="1:7" ht="104.45" customHeight="1">
      <c r="A2" s="2" t="s">
        <v>1</v>
      </c>
      <c r="B2" s="201" t="s">
        <v>2</v>
      </c>
      <c r="C2" s="209"/>
      <c r="D2" s="209"/>
      <c r="E2" s="209"/>
      <c r="F2" s="209"/>
      <c r="G2" s="202"/>
    </row>
    <row r="3" spans="1:7" ht="90" customHeight="1" thickBot="1">
      <c r="A3" s="3" t="s">
        <v>3</v>
      </c>
      <c r="B3" s="203" t="s">
        <v>4</v>
      </c>
      <c r="C3" s="210"/>
      <c r="D3" s="210"/>
      <c r="E3" s="210"/>
      <c r="F3" s="210"/>
      <c r="G3" s="211"/>
    </row>
    <row r="4" spans="1:7" ht="30" customHeight="1" thickBot="1">
      <c r="A4" s="205" t="s">
        <v>314</v>
      </c>
      <c r="B4" s="206"/>
      <c r="C4" s="206"/>
      <c r="D4" s="206"/>
      <c r="E4" s="206"/>
      <c r="F4" s="206"/>
      <c r="G4" s="207"/>
    </row>
    <row r="5" spans="1:7" ht="26.25" thickBot="1">
      <c r="A5" s="4" t="s">
        <v>6</v>
      </c>
      <c r="B5" s="18" t="s">
        <v>25</v>
      </c>
      <c r="C5" s="130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7" s="10" customFormat="1" ht="36" customHeight="1">
      <c r="A6" s="40"/>
      <c r="B6" s="45"/>
      <c r="C6" s="131" t="s">
        <v>30</v>
      </c>
      <c r="D6" s="45" t="s">
        <v>31</v>
      </c>
      <c r="E6" s="45" t="s">
        <v>31</v>
      </c>
      <c r="F6" s="45" t="s">
        <v>31</v>
      </c>
      <c r="G6" s="46" t="s">
        <v>31</v>
      </c>
    </row>
    <row r="7" spans="1:7" s="10" customFormat="1" ht="36" customHeight="1">
      <c r="A7" s="132" t="s">
        <v>9</v>
      </c>
      <c r="B7" s="133"/>
      <c r="C7" s="134" t="s">
        <v>315</v>
      </c>
      <c r="D7" s="133" t="s">
        <v>31</v>
      </c>
      <c r="E7" s="133" t="s">
        <v>31</v>
      </c>
      <c r="F7" s="133" t="s">
        <v>31</v>
      </c>
      <c r="G7" s="135" t="s">
        <v>31</v>
      </c>
    </row>
    <row r="8" spans="1:7" s="10" customFormat="1" ht="36" customHeight="1">
      <c r="A8" s="7" t="s">
        <v>300</v>
      </c>
      <c r="B8" s="22" t="s">
        <v>316</v>
      </c>
      <c r="C8" s="136" t="s">
        <v>315</v>
      </c>
      <c r="D8" s="22" t="s">
        <v>317</v>
      </c>
      <c r="E8" s="22">
        <v>1</v>
      </c>
      <c r="F8" s="22"/>
      <c r="G8" s="9">
        <f>ROUND(E8*F8,2)</f>
        <v>0</v>
      </c>
    </row>
    <row r="9" spans="1:7" s="10" customFormat="1" ht="36" customHeight="1">
      <c r="A9" s="40"/>
      <c r="B9" s="45"/>
      <c r="C9" s="131" t="s">
        <v>318</v>
      </c>
      <c r="D9" s="45" t="s">
        <v>31</v>
      </c>
      <c r="E9" s="45" t="s">
        <v>31</v>
      </c>
      <c r="F9" s="45" t="s">
        <v>31</v>
      </c>
      <c r="G9" s="46" t="s">
        <v>31</v>
      </c>
    </row>
    <row r="10" spans="1:7" s="10" customFormat="1" ht="36" customHeight="1">
      <c r="A10" s="132" t="s">
        <v>11</v>
      </c>
      <c r="B10" s="133"/>
      <c r="C10" s="134" t="s">
        <v>319</v>
      </c>
      <c r="D10" s="133" t="s">
        <v>31</v>
      </c>
      <c r="E10" s="133" t="s">
        <v>31</v>
      </c>
      <c r="F10" s="133" t="s">
        <v>31</v>
      </c>
      <c r="G10" s="135" t="s">
        <v>31</v>
      </c>
    </row>
    <row r="11" spans="1:7" s="10" customFormat="1" ht="36" customHeight="1">
      <c r="A11" s="7" t="s">
        <v>320</v>
      </c>
      <c r="B11" s="22" t="s">
        <v>321</v>
      </c>
      <c r="C11" s="136" t="s">
        <v>322</v>
      </c>
      <c r="D11" s="22" t="s">
        <v>323</v>
      </c>
      <c r="E11" s="22">
        <f>2.15*211.48+2.02*427.5+2.16*307.4</f>
        <v>1982.2159999999999</v>
      </c>
      <c r="F11" s="22"/>
      <c r="G11" s="9">
        <f>ROUND(E11*F11,2)</f>
        <v>0</v>
      </c>
    </row>
    <row r="12" spans="1:7" s="10" customFormat="1" ht="36" customHeight="1">
      <c r="A12" s="132" t="s">
        <v>324</v>
      </c>
      <c r="B12" s="133"/>
      <c r="C12" s="134" t="s">
        <v>325</v>
      </c>
      <c r="D12" s="133" t="s">
        <v>31</v>
      </c>
      <c r="E12" s="133" t="s">
        <v>31</v>
      </c>
      <c r="F12" s="133" t="s">
        <v>31</v>
      </c>
      <c r="G12" s="135" t="s">
        <v>31</v>
      </c>
    </row>
    <row r="13" spans="1:7" s="10" customFormat="1" ht="36" customHeight="1">
      <c r="A13" s="7" t="s">
        <v>326</v>
      </c>
      <c r="B13" s="22" t="s">
        <v>327</v>
      </c>
      <c r="C13" s="136" t="s">
        <v>328</v>
      </c>
      <c r="D13" s="22" t="s">
        <v>323</v>
      </c>
      <c r="E13" s="22">
        <f>((2.15*211.48)-(13.245*15.8))+((2.02*427.5)-315.4)+((2.16*307.4)-(16.835*13.028))</f>
        <v>1238.2186199999999</v>
      </c>
      <c r="F13" s="22"/>
      <c r="G13" s="9">
        <f t="shared" ref="G13:G15" si="0">ROUND(E13*F13,2)</f>
        <v>0</v>
      </c>
    </row>
    <row r="14" spans="1:7" s="10" customFormat="1" ht="36" customHeight="1">
      <c r="A14" s="7">
        <v>3.2</v>
      </c>
      <c r="B14" s="22" t="s">
        <v>327</v>
      </c>
      <c r="C14" s="136" t="s">
        <v>329</v>
      </c>
      <c r="D14" s="22" t="s">
        <v>323</v>
      </c>
      <c r="E14" s="22">
        <f>117.9*14.81+6.83*189.25+8*207.15</f>
        <v>4695.8765000000003</v>
      </c>
      <c r="F14" s="22"/>
      <c r="G14" s="9">
        <f t="shared" si="0"/>
        <v>0</v>
      </c>
    </row>
    <row r="15" spans="1:7" s="10" customFormat="1" ht="36" customHeight="1">
      <c r="A15" s="7">
        <v>3.3</v>
      </c>
      <c r="B15" s="22" t="s">
        <v>327</v>
      </c>
      <c r="C15" s="136" t="s">
        <v>330</v>
      </c>
      <c r="D15" s="22" t="s">
        <v>323</v>
      </c>
      <c r="E15" s="22">
        <f>0.33*0.25*3.14*12.91^2*8.61*2+0.33*0.25*3.14*17^2*11.34*2</f>
        <v>2441.4282998721001</v>
      </c>
      <c r="F15" s="22"/>
      <c r="G15" s="9">
        <f t="shared" si="0"/>
        <v>0</v>
      </c>
    </row>
    <row r="16" spans="1:7" s="10" customFormat="1" ht="36" customHeight="1">
      <c r="A16" s="132" t="s">
        <v>331</v>
      </c>
      <c r="B16" s="133"/>
      <c r="C16" s="134" t="s">
        <v>332</v>
      </c>
      <c r="D16" s="133" t="s">
        <v>31</v>
      </c>
      <c r="E16" s="133" t="s">
        <v>31</v>
      </c>
      <c r="F16" s="133" t="s">
        <v>31</v>
      </c>
      <c r="G16" s="135" t="s">
        <v>31</v>
      </c>
    </row>
    <row r="17" spans="1:7" s="10" customFormat="1" ht="36" customHeight="1">
      <c r="A17" s="7" t="s">
        <v>333</v>
      </c>
      <c r="B17" s="22" t="s">
        <v>334</v>
      </c>
      <c r="C17" s="136" t="s">
        <v>335</v>
      </c>
      <c r="D17" s="22" t="s">
        <v>36</v>
      </c>
      <c r="E17" s="22">
        <f>59.5*6.5+21.5*6.5</f>
        <v>526.5</v>
      </c>
      <c r="F17" s="22"/>
      <c r="G17" s="9">
        <f t="shared" ref="G17" si="1">ROUND(E17*F17,2)</f>
        <v>0</v>
      </c>
    </row>
    <row r="18" spans="1:7" s="10" customFormat="1" ht="36" customHeight="1">
      <c r="A18" s="40"/>
      <c r="B18" s="45"/>
      <c r="C18" s="131" t="s">
        <v>336</v>
      </c>
      <c r="D18" s="45" t="s">
        <v>31</v>
      </c>
      <c r="E18" s="45" t="s">
        <v>31</v>
      </c>
      <c r="F18" s="45" t="s">
        <v>31</v>
      </c>
      <c r="G18" s="46" t="s">
        <v>31</v>
      </c>
    </row>
    <row r="19" spans="1:7" s="10" customFormat="1" ht="36" customHeight="1">
      <c r="A19" s="132" t="s">
        <v>17</v>
      </c>
      <c r="B19" s="133"/>
      <c r="C19" s="134" t="s">
        <v>337</v>
      </c>
      <c r="D19" s="133" t="s">
        <v>31</v>
      </c>
      <c r="E19" s="133" t="s">
        <v>31</v>
      </c>
      <c r="F19" s="133" t="s">
        <v>31</v>
      </c>
      <c r="G19" s="135" t="s">
        <v>31</v>
      </c>
    </row>
    <row r="20" spans="1:7" s="10" customFormat="1" ht="36" customHeight="1">
      <c r="A20" s="7" t="s">
        <v>338</v>
      </c>
      <c r="B20" s="22" t="s">
        <v>339</v>
      </c>
      <c r="C20" s="136" t="s">
        <v>340</v>
      </c>
      <c r="D20" s="22" t="s">
        <v>341</v>
      </c>
      <c r="E20" s="22">
        <f>18469+8781+22506+3464+43238+15907</f>
        <v>112365</v>
      </c>
      <c r="F20" s="22"/>
      <c r="G20" s="9">
        <f>ROUND(E20*F20,2)</f>
        <v>0</v>
      </c>
    </row>
    <row r="21" spans="1:7" s="10" customFormat="1" ht="36" customHeight="1">
      <c r="A21" s="7" t="s">
        <v>342</v>
      </c>
      <c r="B21" s="22" t="s">
        <v>339</v>
      </c>
      <c r="C21" s="136" t="s">
        <v>343</v>
      </c>
      <c r="D21" s="22" t="s">
        <v>341</v>
      </c>
      <c r="E21" s="22">
        <f>13379+2*5053+18418+6878+6921</f>
        <v>55702</v>
      </c>
      <c r="F21" s="22"/>
      <c r="G21" s="9">
        <f>ROUND(E21*F21,2)</f>
        <v>0</v>
      </c>
    </row>
    <row r="22" spans="1:7" s="10" customFormat="1" ht="36" customHeight="1">
      <c r="A22" s="7" t="s">
        <v>344</v>
      </c>
      <c r="B22" s="22" t="s">
        <v>339</v>
      </c>
      <c r="C22" s="136" t="s">
        <v>345</v>
      </c>
      <c r="D22" s="22" t="s">
        <v>341</v>
      </c>
      <c r="E22" s="22">
        <f>19203</f>
        <v>19203</v>
      </c>
      <c r="F22" s="22"/>
      <c r="G22" s="9">
        <f t="shared" ref="G22:G25" si="2">ROUND(E22*F22,2)</f>
        <v>0</v>
      </c>
    </row>
    <row r="23" spans="1:7" s="10" customFormat="1" ht="36" customHeight="1">
      <c r="A23" s="7" t="s">
        <v>346</v>
      </c>
      <c r="B23" s="22" t="s">
        <v>339</v>
      </c>
      <c r="C23" s="136" t="s">
        <v>347</v>
      </c>
      <c r="D23" s="22" t="s">
        <v>341</v>
      </c>
      <c r="E23" s="22">
        <f>35976+5686+195647+9718+884+2497</f>
        <v>250408</v>
      </c>
      <c r="F23" s="22"/>
      <c r="G23" s="9">
        <f>ROUND(E23*F23,2)</f>
        <v>0</v>
      </c>
    </row>
    <row r="24" spans="1:7" s="10" customFormat="1" ht="36" customHeight="1">
      <c r="A24" s="7" t="s">
        <v>348</v>
      </c>
      <c r="B24" s="22" t="s">
        <v>339</v>
      </c>
      <c r="C24" s="136" t="s">
        <v>349</v>
      </c>
      <c r="D24" s="22" t="s">
        <v>341</v>
      </c>
      <c r="E24" s="22">
        <f>25165+230</f>
        <v>25395</v>
      </c>
      <c r="F24" s="22"/>
      <c r="G24" s="9">
        <f t="shared" si="2"/>
        <v>0</v>
      </c>
    </row>
    <row r="25" spans="1:7" s="10" customFormat="1" ht="36" customHeight="1">
      <c r="A25" s="7" t="s">
        <v>350</v>
      </c>
      <c r="B25" s="22" t="s">
        <v>339</v>
      </c>
      <c r="C25" s="136" t="s">
        <v>351</v>
      </c>
      <c r="D25" s="22" t="s">
        <v>341</v>
      </c>
      <c r="E25" s="22">
        <f>2131.7+3769.6</f>
        <v>5901.2999999999993</v>
      </c>
      <c r="F25" s="22"/>
      <c r="G25" s="9">
        <f t="shared" si="2"/>
        <v>0</v>
      </c>
    </row>
    <row r="26" spans="1:7" s="10" customFormat="1" ht="36" customHeight="1">
      <c r="A26" s="132" t="s">
        <v>352</v>
      </c>
      <c r="B26" s="133"/>
      <c r="C26" s="134" t="s">
        <v>353</v>
      </c>
      <c r="D26" s="133" t="s">
        <v>31</v>
      </c>
      <c r="E26" s="133" t="s">
        <v>31</v>
      </c>
      <c r="F26" s="133" t="s">
        <v>31</v>
      </c>
      <c r="G26" s="135" t="s">
        <v>31</v>
      </c>
    </row>
    <row r="27" spans="1:7" s="10" customFormat="1" ht="36" customHeight="1">
      <c r="A27" s="7" t="s">
        <v>354</v>
      </c>
      <c r="B27" s="22" t="s">
        <v>355</v>
      </c>
      <c r="C27" s="136" t="s">
        <v>356</v>
      </c>
      <c r="D27" s="22" t="s">
        <v>341</v>
      </c>
      <c r="E27" s="22">
        <f>2*8681</f>
        <v>17362</v>
      </c>
      <c r="F27" s="22"/>
      <c r="G27" s="9">
        <f>ROUND(E27*F27,2)</f>
        <v>0</v>
      </c>
    </row>
    <row r="28" spans="1:7" s="10" customFormat="1" ht="36" customHeight="1">
      <c r="A28" s="7" t="s">
        <v>357</v>
      </c>
      <c r="B28" s="22" t="s">
        <v>355</v>
      </c>
      <c r="C28" s="136" t="s">
        <v>358</v>
      </c>
      <c r="D28" s="22" t="s">
        <v>341</v>
      </c>
      <c r="E28" s="22">
        <f>2*9508</f>
        <v>19016</v>
      </c>
      <c r="F28" s="22"/>
      <c r="G28" s="9">
        <f>ROUND(E28*F28,2)</f>
        <v>0</v>
      </c>
    </row>
    <row r="29" spans="1:7" s="10" customFormat="1" ht="36" customHeight="1">
      <c r="A29" s="40"/>
      <c r="B29" s="45"/>
      <c r="C29" s="131" t="s">
        <v>359</v>
      </c>
      <c r="D29" s="45" t="s">
        <v>31</v>
      </c>
      <c r="E29" s="45" t="s">
        <v>31</v>
      </c>
      <c r="F29" s="45" t="s">
        <v>31</v>
      </c>
      <c r="G29" s="46" t="s">
        <v>31</v>
      </c>
    </row>
    <row r="30" spans="1:7" s="10" customFormat="1" ht="36" customHeight="1">
      <c r="A30" s="40"/>
      <c r="B30" s="45"/>
      <c r="C30" s="131" t="s">
        <v>360</v>
      </c>
      <c r="D30" s="45" t="s">
        <v>31</v>
      </c>
      <c r="E30" s="45" t="s">
        <v>31</v>
      </c>
      <c r="F30" s="45" t="s">
        <v>31</v>
      </c>
      <c r="G30" s="46" t="s">
        <v>31</v>
      </c>
    </row>
    <row r="31" spans="1:7" s="10" customFormat="1" ht="36" customHeight="1">
      <c r="A31" s="132" t="s">
        <v>361</v>
      </c>
      <c r="B31" s="133"/>
      <c r="C31" s="134" t="s">
        <v>362</v>
      </c>
      <c r="D31" s="133" t="s">
        <v>31</v>
      </c>
      <c r="E31" s="133" t="s">
        <v>31</v>
      </c>
      <c r="F31" s="133" t="s">
        <v>31</v>
      </c>
      <c r="G31" s="135" t="s">
        <v>31</v>
      </c>
    </row>
    <row r="32" spans="1:7" s="10" customFormat="1" ht="36" customHeight="1">
      <c r="A32" s="7" t="s">
        <v>363</v>
      </c>
      <c r="B32" s="22" t="s">
        <v>364</v>
      </c>
      <c r="C32" s="136" t="s">
        <v>365</v>
      </c>
      <c r="D32" s="22" t="s">
        <v>323</v>
      </c>
      <c r="E32" s="22">
        <f>13.028*16.835+15.8*13.245+17.082*16.84+(11.73+13.45)*1.1</f>
        <v>743.95626000000004</v>
      </c>
      <c r="F32" s="22"/>
      <c r="G32" s="9">
        <f>ROUND(E32*F32,2)</f>
        <v>0</v>
      </c>
    </row>
    <row r="33" spans="1:7" s="10" customFormat="1" ht="36" customHeight="1">
      <c r="A33" s="132" t="s">
        <v>366</v>
      </c>
      <c r="B33" s="133"/>
      <c r="C33" s="134" t="s">
        <v>367</v>
      </c>
      <c r="D33" s="133" t="s">
        <v>31</v>
      </c>
      <c r="E33" s="133" t="s">
        <v>31</v>
      </c>
      <c r="F33" s="133" t="s">
        <v>31</v>
      </c>
      <c r="G33" s="135" t="s">
        <v>31</v>
      </c>
    </row>
    <row r="34" spans="1:7" s="10" customFormat="1" ht="36" customHeight="1">
      <c r="A34" s="7" t="s">
        <v>368</v>
      </c>
      <c r="B34" s="22" t="s">
        <v>364</v>
      </c>
      <c r="C34" s="136" t="s">
        <v>369</v>
      </c>
      <c r="D34" s="22" t="s">
        <v>323</v>
      </c>
      <c r="E34" s="22">
        <f>15.826*8.87+15.63*15.832+1*2*46.33+0.5*2*41.3+1.4*2*96.82+0.5*2*50.3</f>
        <v>843.18677999999977</v>
      </c>
      <c r="F34" s="22"/>
      <c r="G34" s="9">
        <f>ROUND(E34*F34,2)</f>
        <v>0</v>
      </c>
    </row>
    <row r="35" spans="1:7" s="10" customFormat="1" ht="36" customHeight="1">
      <c r="A35" s="7" t="s">
        <v>370</v>
      </c>
      <c r="B35" s="22" t="s">
        <v>364</v>
      </c>
      <c r="C35" s="136" t="s">
        <v>371</v>
      </c>
      <c r="D35" s="22" t="s">
        <v>323</v>
      </c>
      <c r="E35" s="22">
        <f>2.3*1*3*6.135+3.5*1.1*15.21</f>
        <v>100.89000000000001</v>
      </c>
      <c r="F35" s="22"/>
      <c r="G35" s="9">
        <f>ROUND(E35*F35,2)</f>
        <v>0</v>
      </c>
    </row>
    <row r="36" spans="1:7" s="10" customFormat="1" ht="36" customHeight="1">
      <c r="A36" s="132" t="s">
        <v>372</v>
      </c>
      <c r="B36" s="133"/>
      <c r="C36" s="134" t="s">
        <v>373</v>
      </c>
      <c r="D36" s="133" t="s">
        <v>31</v>
      </c>
      <c r="E36" s="133" t="s">
        <v>31</v>
      </c>
      <c r="F36" s="133" t="s">
        <v>31</v>
      </c>
      <c r="G36" s="135" t="s">
        <v>31</v>
      </c>
    </row>
    <row r="37" spans="1:7" s="10" customFormat="1" ht="36" customHeight="1">
      <c r="A37" s="7" t="s">
        <v>374</v>
      </c>
      <c r="B37" s="22" t="s">
        <v>364</v>
      </c>
      <c r="C37" s="136" t="s">
        <v>375</v>
      </c>
      <c r="D37" s="22" t="s">
        <v>323</v>
      </c>
      <c r="E37" s="22">
        <f>(4*26.44+25.47*1*2)+78.61*10.54+1*12.1+5*13.65</f>
        <v>1065.5994000000001</v>
      </c>
      <c r="F37" s="22"/>
      <c r="G37" s="9">
        <f>ROUND(E37*F37,2)</f>
        <v>0</v>
      </c>
    </row>
    <row r="38" spans="1:7" s="10" customFormat="1" ht="36" customHeight="1">
      <c r="A38" s="132" t="s">
        <v>376</v>
      </c>
      <c r="B38" s="133"/>
      <c r="C38" s="134" t="s">
        <v>377</v>
      </c>
      <c r="D38" s="133" t="s">
        <v>31</v>
      </c>
      <c r="E38" s="133" t="s">
        <v>31</v>
      </c>
      <c r="F38" s="133" t="s">
        <v>31</v>
      </c>
      <c r="G38" s="135" t="s">
        <v>31</v>
      </c>
    </row>
    <row r="39" spans="1:7" s="10" customFormat="1" ht="36" customHeight="1">
      <c r="A39" s="7" t="s">
        <v>378</v>
      </c>
      <c r="B39" s="22" t="s">
        <v>364</v>
      </c>
      <c r="C39" s="136" t="s">
        <v>379</v>
      </c>
      <c r="D39" s="22" t="s">
        <v>323</v>
      </c>
      <c r="E39" s="22">
        <f>8.8*6.5*0.4+8.8*7.7*0.4</f>
        <v>49.984000000000009</v>
      </c>
      <c r="F39" s="22"/>
      <c r="G39" s="9">
        <f t="shared" ref="G39:G40" si="3">ROUND(E39*F39,2)</f>
        <v>0</v>
      </c>
    </row>
    <row r="40" spans="1:7" s="10" customFormat="1" ht="36" customHeight="1">
      <c r="A40" s="7" t="s">
        <v>380</v>
      </c>
      <c r="B40" s="22" t="s">
        <v>364</v>
      </c>
      <c r="C40" s="136" t="s">
        <v>381</v>
      </c>
      <c r="D40" s="22" t="s">
        <v>323</v>
      </c>
      <c r="E40" s="22">
        <f>0.22*4.96*142.75+0.22*2.76*142.68+5*0.36*0.43</f>
        <v>243.17809599999998</v>
      </c>
      <c r="F40" s="22"/>
      <c r="G40" s="9">
        <f t="shared" si="3"/>
        <v>0</v>
      </c>
    </row>
    <row r="41" spans="1:7" s="10" customFormat="1" ht="36" customHeight="1">
      <c r="A41" s="7" t="s">
        <v>382</v>
      </c>
      <c r="B41" s="22" t="s">
        <v>364</v>
      </c>
      <c r="C41" s="136" t="s">
        <v>383</v>
      </c>
      <c r="D41" s="22" t="s">
        <v>323</v>
      </c>
      <c r="E41" s="22">
        <f>0.4*0.8*(21.54+22.55+31+28.53)</f>
        <v>33.158400000000007</v>
      </c>
      <c r="F41" s="22"/>
      <c r="G41" s="9">
        <f>ROUND(E41*F41,2)</f>
        <v>0</v>
      </c>
    </row>
    <row r="42" spans="1:7" s="10" customFormat="1" ht="36" customHeight="1">
      <c r="A42" s="40"/>
      <c r="B42" s="45"/>
      <c r="C42" s="131" t="s">
        <v>384</v>
      </c>
      <c r="D42" s="45" t="s">
        <v>31</v>
      </c>
      <c r="E42" s="45" t="s">
        <v>31</v>
      </c>
      <c r="F42" s="45" t="s">
        <v>31</v>
      </c>
      <c r="G42" s="46" t="s">
        <v>31</v>
      </c>
    </row>
    <row r="43" spans="1:7" s="10" customFormat="1" ht="36" customHeight="1">
      <c r="A43" s="132" t="s">
        <v>385</v>
      </c>
      <c r="B43" s="133"/>
      <c r="C43" s="134" t="s">
        <v>386</v>
      </c>
      <c r="D43" s="133" t="s">
        <v>31</v>
      </c>
      <c r="E43" s="133" t="s">
        <v>31</v>
      </c>
      <c r="F43" s="133" t="s">
        <v>31</v>
      </c>
      <c r="G43" s="135" t="s">
        <v>31</v>
      </c>
    </row>
    <row r="44" spans="1:7" s="10" customFormat="1" ht="36" customHeight="1">
      <c r="A44" s="7" t="s">
        <v>387</v>
      </c>
      <c r="B44" s="22" t="s">
        <v>388</v>
      </c>
      <c r="C44" s="136" t="s">
        <v>389</v>
      </c>
      <c r="D44" s="22" t="s">
        <v>323</v>
      </c>
      <c r="E44" s="22">
        <f>0.15*(196.5+160.36+266)+0.1*9*7.4+0.1*9*6.2+0.1*12.4*2.1+0.1*12.4*4.28+16.8*2.1*0.1+16.8*0.1*4.28</f>
        <v>124.29859999999999</v>
      </c>
      <c r="F44" s="22"/>
      <c r="G44" s="9">
        <f>ROUND(E44*F44,2)</f>
        <v>0</v>
      </c>
    </row>
    <row r="45" spans="1:7" s="10" customFormat="1" ht="36" customHeight="1">
      <c r="A45" s="40"/>
      <c r="B45" s="45"/>
      <c r="C45" s="131" t="s">
        <v>390</v>
      </c>
      <c r="D45" s="45" t="s">
        <v>31</v>
      </c>
      <c r="E45" s="45" t="s">
        <v>31</v>
      </c>
      <c r="F45" s="45" t="s">
        <v>31</v>
      </c>
      <c r="G45" s="46" t="s">
        <v>31</v>
      </c>
    </row>
    <row r="46" spans="1:7" s="10" customFormat="1" ht="36" customHeight="1">
      <c r="A46" s="132" t="s">
        <v>391</v>
      </c>
      <c r="B46" s="133"/>
      <c r="C46" s="134" t="s">
        <v>392</v>
      </c>
      <c r="D46" s="133" t="s">
        <v>31</v>
      </c>
      <c r="E46" s="133" t="s">
        <v>31</v>
      </c>
      <c r="F46" s="133" t="s">
        <v>31</v>
      </c>
      <c r="G46" s="135" t="s">
        <v>31</v>
      </c>
    </row>
    <row r="47" spans="1:7" s="10" customFormat="1" ht="36" customHeight="1">
      <c r="A47" s="7" t="s">
        <v>393</v>
      </c>
      <c r="B47" s="22" t="s">
        <v>394</v>
      </c>
      <c r="C47" s="136" t="s">
        <v>395</v>
      </c>
      <c r="D47" s="22" t="s">
        <v>42</v>
      </c>
      <c r="E47" s="22">
        <f>142.7+143.4</f>
        <v>286.10000000000002</v>
      </c>
      <c r="F47" s="22"/>
      <c r="G47" s="9">
        <f>ROUND(E47*F47,2)</f>
        <v>0</v>
      </c>
    </row>
    <row r="48" spans="1:7" s="10" customFormat="1" ht="36" customHeight="1">
      <c r="A48" s="40"/>
      <c r="B48" s="45"/>
      <c r="C48" s="131" t="s">
        <v>396</v>
      </c>
      <c r="D48" s="45" t="s">
        <v>31</v>
      </c>
      <c r="E48" s="45" t="s">
        <v>31</v>
      </c>
      <c r="F48" s="45" t="s">
        <v>31</v>
      </c>
      <c r="G48" s="46" t="s">
        <v>31</v>
      </c>
    </row>
    <row r="49" spans="1:7" s="10" customFormat="1" ht="36" customHeight="1">
      <c r="A49" s="132" t="s">
        <v>397</v>
      </c>
      <c r="B49" s="133"/>
      <c r="C49" s="134" t="s">
        <v>398</v>
      </c>
      <c r="D49" s="133" t="s">
        <v>31</v>
      </c>
      <c r="E49" s="133" t="s">
        <v>31</v>
      </c>
      <c r="F49" s="133" t="s">
        <v>31</v>
      </c>
      <c r="G49" s="135" t="s">
        <v>31</v>
      </c>
    </row>
    <row r="50" spans="1:7" s="10" customFormat="1" ht="36" customHeight="1">
      <c r="A50" s="7" t="s">
        <v>399</v>
      </c>
      <c r="B50" s="22" t="s">
        <v>400</v>
      </c>
      <c r="C50" s="136" t="s">
        <v>401</v>
      </c>
      <c r="D50" s="22" t="s">
        <v>341</v>
      </c>
      <c r="E50" s="22">
        <f>60636+2661.5+168096+45486+2*17322</f>
        <v>311523.5</v>
      </c>
      <c r="F50" s="22"/>
      <c r="G50" s="9">
        <f>ROUND(E50*F50,2)</f>
        <v>0</v>
      </c>
    </row>
    <row r="51" spans="1:7" s="10" customFormat="1" ht="36" customHeight="1">
      <c r="A51" s="132" t="s">
        <v>402</v>
      </c>
      <c r="B51" s="133"/>
      <c r="C51" s="134" t="s">
        <v>403</v>
      </c>
      <c r="D51" s="133" t="s">
        <v>31</v>
      </c>
      <c r="E51" s="133" t="s">
        <v>31</v>
      </c>
      <c r="F51" s="133" t="s">
        <v>31</v>
      </c>
      <c r="G51" s="135" t="s">
        <v>31</v>
      </c>
    </row>
    <row r="52" spans="1:7" s="10" customFormat="1" ht="36" customHeight="1">
      <c r="A52" s="7" t="s">
        <v>404</v>
      </c>
      <c r="B52" s="22" t="s">
        <v>405</v>
      </c>
      <c r="C52" s="136" t="s">
        <v>406</v>
      </c>
      <c r="D52" s="22" t="s">
        <v>36</v>
      </c>
      <c r="E52" s="22">
        <f>716.4+23.5+517.4+375.1+2*117.4+2*88.3</f>
        <v>2043.8</v>
      </c>
      <c r="F52" s="22"/>
      <c r="G52" s="9">
        <f>ROUND(E52*F52,2)</f>
        <v>0</v>
      </c>
    </row>
    <row r="53" spans="1:7" s="10" customFormat="1" ht="36" customHeight="1">
      <c r="A53" s="40"/>
      <c r="B53" s="45"/>
      <c r="C53" s="131" t="s">
        <v>407</v>
      </c>
      <c r="D53" s="45" t="s">
        <v>31</v>
      </c>
      <c r="E53" s="45" t="s">
        <v>31</v>
      </c>
      <c r="F53" s="45" t="s">
        <v>31</v>
      </c>
      <c r="G53" s="46" t="s">
        <v>31</v>
      </c>
    </row>
    <row r="54" spans="1:7" s="10" customFormat="1" ht="36" customHeight="1">
      <c r="A54" s="132" t="s">
        <v>408</v>
      </c>
      <c r="B54" s="133"/>
      <c r="C54" s="134" t="s">
        <v>409</v>
      </c>
      <c r="D54" s="133" t="s">
        <v>31</v>
      </c>
      <c r="E54" s="133" t="s">
        <v>31</v>
      </c>
      <c r="F54" s="133" t="s">
        <v>31</v>
      </c>
      <c r="G54" s="135" t="s">
        <v>31</v>
      </c>
    </row>
    <row r="55" spans="1:7" s="10" customFormat="1" ht="36" customHeight="1">
      <c r="A55" s="7" t="s">
        <v>410</v>
      </c>
      <c r="B55" s="22" t="s">
        <v>411</v>
      </c>
      <c r="C55" s="136" t="s">
        <v>412</v>
      </c>
      <c r="D55" s="22" t="s">
        <v>162</v>
      </c>
      <c r="E55" s="22">
        <f>286+286</f>
        <v>572</v>
      </c>
      <c r="F55" s="22"/>
      <c r="G55" s="9">
        <f>ROUND(E55*F55,2)</f>
        <v>0</v>
      </c>
    </row>
    <row r="56" spans="1:7" s="10" customFormat="1" ht="36" customHeight="1">
      <c r="A56" s="7" t="s">
        <v>413</v>
      </c>
      <c r="B56" s="22" t="s">
        <v>411</v>
      </c>
      <c r="C56" s="136" t="s">
        <v>414</v>
      </c>
      <c r="D56" s="22" t="s">
        <v>162</v>
      </c>
      <c r="E56" s="22">
        <v>20</v>
      </c>
      <c r="F56" s="22"/>
      <c r="G56" s="9">
        <f>ROUND(E56*F56,2)</f>
        <v>0</v>
      </c>
    </row>
    <row r="57" spans="1:7" s="10" customFormat="1" ht="36" customHeight="1">
      <c r="A57" s="7" t="s">
        <v>415</v>
      </c>
      <c r="B57" s="22" t="s">
        <v>411</v>
      </c>
      <c r="C57" s="136" t="s">
        <v>416</v>
      </c>
      <c r="D57" s="22" t="s">
        <v>162</v>
      </c>
      <c r="E57" s="22">
        <v>5</v>
      </c>
      <c r="F57" s="22"/>
      <c r="G57" s="9">
        <f>ROUND(E57*F57,2)</f>
        <v>0</v>
      </c>
    </row>
    <row r="58" spans="1:7" s="10" customFormat="1" ht="36" customHeight="1">
      <c r="A58" s="132" t="s">
        <v>47</v>
      </c>
      <c r="B58" s="133"/>
      <c r="C58" s="134" t="s">
        <v>417</v>
      </c>
      <c r="D58" s="133" t="s">
        <v>31</v>
      </c>
      <c r="E58" s="133" t="s">
        <v>31</v>
      </c>
      <c r="F58" s="133" t="s">
        <v>31</v>
      </c>
      <c r="G58" s="135" t="s">
        <v>31</v>
      </c>
    </row>
    <row r="59" spans="1:7" s="10" customFormat="1" ht="36" customHeight="1">
      <c r="A59" s="7" t="s">
        <v>418</v>
      </c>
      <c r="B59" s="22" t="s">
        <v>419</v>
      </c>
      <c r="C59" s="136" t="s">
        <v>420</v>
      </c>
      <c r="D59" s="22" t="s">
        <v>42</v>
      </c>
      <c r="E59" s="22">
        <f>12*5.2+12*3</f>
        <v>98.4</v>
      </c>
      <c r="F59" s="22"/>
      <c r="G59" s="9">
        <f>ROUND(E59*F59,2)</f>
        <v>0</v>
      </c>
    </row>
    <row r="60" spans="1:7" s="10" customFormat="1" ht="36" customHeight="1">
      <c r="A60" s="48" t="s">
        <v>421</v>
      </c>
      <c r="B60" s="22" t="s">
        <v>419</v>
      </c>
      <c r="C60" s="137" t="s">
        <v>422</v>
      </c>
      <c r="D60" s="138" t="s">
        <v>42</v>
      </c>
      <c r="E60" s="138">
        <f>12*5.2+12*3</f>
        <v>98.4</v>
      </c>
      <c r="F60" s="22"/>
      <c r="G60" s="9">
        <f>ROUND(E60*F60,2)</f>
        <v>0</v>
      </c>
    </row>
    <row r="61" spans="1:7" s="10" customFormat="1" ht="36" customHeight="1">
      <c r="A61" s="40"/>
      <c r="B61" s="45"/>
      <c r="C61" s="131" t="s">
        <v>423</v>
      </c>
      <c r="D61" s="45" t="s">
        <v>31</v>
      </c>
      <c r="E61" s="45" t="s">
        <v>31</v>
      </c>
      <c r="F61" s="45" t="s">
        <v>31</v>
      </c>
      <c r="G61" s="46" t="s">
        <v>31</v>
      </c>
    </row>
    <row r="62" spans="1:7" s="10" customFormat="1" ht="36" customHeight="1">
      <c r="A62" s="40"/>
      <c r="B62" s="45"/>
      <c r="C62" s="131" t="s">
        <v>424</v>
      </c>
      <c r="D62" s="45" t="s">
        <v>31</v>
      </c>
      <c r="E62" s="45" t="s">
        <v>31</v>
      </c>
      <c r="F62" s="45" t="s">
        <v>31</v>
      </c>
      <c r="G62" s="46" t="s">
        <v>31</v>
      </c>
    </row>
    <row r="63" spans="1:7" s="10" customFormat="1" ht="36" customHeight="1">
      <c r="A63" s="132" t="s">
        <v>425</v>
      </c>
      <c r="B63" s="133"/>
      <c r="C63" s="134" t="s">
        <v>426</v>
      </c>
      <c r="D63" s="133" t="s">
        <v>31</v>
      </c>
      <c r="E63" s="133" t="s">
        <v>31</v>
      </c>
      <c r="F63" s="133" t="s">
        <v>31</v>
      </c>
      <c r="G63" s="135" t="s">
        <v>31</v>
      </c>
    </row>
    <row r="64" spans="1:7" ht="36" customHeight="1">
      <c r="A64" s="48" t="s">
        <v>427</v>
      </c>
      <c r="B64" s="138" t="s">
        <v>428</v>
      </c>
      <c r="C64" s="137" t="s">
        <v>429</v>
      </c>
      <c r="D64" s="138" t="s">
        <v>430</v>
      </c>
      <c r="E64" s="138">
        <f>(1.25*55.71+1.5*50.6+1.4*70.7)+(185.17-33.28+150.08-3*2.3+251.71-60.6)+1.22*15.83+0.8*15.83+6.6*3*0.9+87.6*2+147.32*2+45.5*2+76.5*2+7.5*8.8+8.7*8.8</f>
        <v>1636.8941</v>
      </c>
      <c r="F64" s="22"/>
      <c r="G64" s="9">
        <f>ROUND(E64*F64,2)</f>
        <v>0</v>
      </c>
    </row>
    <row r="65" spans="1:7" ht="36" customHeight="1">
      <c r="A65" s="40"/>
      <c r="B65" s="45"/>
      <c r="C65" s="131" t="s">
        <v>431</v>
      </c>
      <c r="D65" s="45" t="s">
        <v>31</v>
      </c>
      <c r="E65" s="45" t="s">
        <v>31</v>
      </c>
      <c r="F65" s="45" t="s">
        <v>31</v>
      </c>
      <c r="G65" s="46" t="s">
        <v>31</v>
      </c>
    </row>
    <row r="66" spans="1:7" ht="36" customHeight="1">
      <c r="A66" s="132" t="s">
        <v>432</v>
      </c>
      <c r="B66" s="133"/>
      <c r="C66" s="134" t="s">
        <v>433</v>
      </c>
      <c r="D66" s="133" t="s">
        <v>31</v>
      </c>
      <c r="E66" s="133" t="s">
        <v>31</v>
      </c>
      <c r="F66" s="133" t="s">
        <v>31</v>
      </c>
      <c r="G66" s="135" t="s">
        <v>31</v>
      </c>
    </row>
    <row r="67" spans="1:7" ht="36" customHeight="1">
      <c r="A67" s="48" t="s">
        <v>434</v>
      </c>
      <c r="B67" s="138" t="s">
        <v>435</v>
      </c>
      <c r="C67" s="137" t="s">
        <v>436</v>
      </c>
      <c r="D67" s="138" t="s">
        <v>430</v>
      </c>
      <c r="E67" s="138">
        <f>111.22*16.126</f>
        <v>1793.5337200000001</v>
      </c>
      <c r="F67" s="22"/>
      <c r="G67" s="9">
        <f>ROUND(E67*F67,2)</f>
        <v>0</v>
      </c>
    </row>
    <row r="68" spans="1:7" ht="36" customHeight="1">
      <c r="A68" s="48" t="s">
        <v>437</v>
      </c>
      <c r="B68" s="138" t="s">
        <v>435</v>
      </c>
      <c r="C68" s="137" t="s">
        <v>438</v>
      </c>
      <c r="D68" s="138" t="s">
        <v>430</v>
      </c>
      <c r="E68" s="138">
        <f>111.22*(3.46+5.66)</f>
        <v>1014.3264000000001</v>
      </c>
      <c r="F68" s="22"/>
      <c r="G68" s="9">
        <f>ROUND(E68*F68,2)</f>
        <v>0</v>
      </c>
    </row>
    <row r="69" spans="1:7" ht="36" customHeight="1">
      <c r="A69" s="40"/>
      <c r="B69" s="45"/>
      <c r="C69" s="131" t="s">
        <v>439</v>
      </c>
      <c r="D69" s="45" t="s">
        <v>31</v>
      </c>
      <c r="E69" s="45" t="s">
        <v>31</v>
      </c>
      <c r="F69" s="45" t="s">
        <v>31</v>
      </c>
      <c r="G69" s="46" t="s">
        <v>31</v>
      </c>
    </row>
    <row r="70" spans="1:7" ht="36" customHeight="1">
      <c r="A70" s="132" t="s">
        <v>50</v>
      </c>
      <c r="B70" s="133"/>
      <c r="C70" s="134" t="s">
        <v>440</v>
      </c>
      <c r="D70" s="133" t="s">
        <v>31</v>
      </c>
      <c r="E70" s="133" t="s">
        <v>31</v>
      </c>
      <c r="F70" s="133" t="s">
        <v>31</v>
      </c>
      <c r="G70" s="135" t="s">
        <v>31</v>
      </c>
    </row>
    <row r="71" spans="1:7" ht="36" customHeight="1">
      <c r="A71" s="48" t="s">
        <v>441</v>
      </c>
      <c r="B71" s="138" t="s">
        <v>442</v>
      </c>
      <c r="C71" s="137" t="s">
        <v>443</v>
      </c>
      <c r="D71" s="138" t="s">
        <v>430</v>
      </c>
      <c r="E71" s="138">
        <f>8*111.22</f>
        <v>889.76</v>
      </c>
      <c r="F71" s="22"/>
      <c r="G71" s="9">
        <f>ROUND(E71*F71,2)</f>
        <v>0</v>
      </c>
    </row>
    <row r="72" spans="1:7" ht="36" customHeight="1">
      <c r="A72" s="132" t="s">
        <v>51</v>
      </c>
      <c r="B72" s="133"/>
      <c r="C72" s="134" t="s">
        <v>444</v>
      </c>
      <c r="D72" s="133" t="s">
        <v>31</v>
      </c>
      <c r="E72" s="133" t="s">
        <v>31</v>
      </c>
      <c r="F72" s="133" t="s">
        <v>31</v>
      </c>
      <c r="G72" s="135" t="s">
        <v>31</v>
      </c>
    </row>
    <row r="73" spans="1:7" ht="36" customHeight="1">
      <c r="A73" s="48" t="s">
        <v>445</v>
      </c>
      <c r="B73" s="138" t="s">
        <v>446</v>
      </c>
      <c r="C73" s="137" t="s">
        <v>447</v>
      </c>
      <c r="D73" s="138" t="s">
        <v>430</v>
      </c>
      <c r="E73" s="138">
        <f>7.5*111.22</f>
        <v>834.15</v>
      </c>
      <c r="F73" s="22"/>
      <c r="G73" s="9">
        <f>ROUND(E73*F73,2)</f>
        <v>0</v>
      </c>
    </row>
    <row r="74" spans="1:7" ht="36" customHeight="1">
      <c r="A74" s="132" t="s">
        <v>21</v>
      </c>
      <c r="B74" s="133"/>
      <c r="C74" s="134" t="s">
        <v>448</v>
      </c>
      <c r="D74" s="133" t="s">
        <v>31</v>
      </c>
      <c r="E74" s="133" t="s">
        <v>31</v>
      </c>
      <c r="F74" s="133" t="s">
        <v>31</v>
      </c>
      <c r="G74" s="135" t="s">
        <v>31</v>
      </c>
    </row>
    <row r="75" spans="1:7" ht="36" customHeight="1">
      <c r="A75" s="48" t="s">
        <v>449</v>
      </c>
      <c r="B75" s="138" t="s">
        <v>442</v>
      </c>
      <c r="C75" s="137" t="s">
        <v>450</v>
      </c>
      <c r="D75" s="138" t="s">
        <v>430</v>
      </c>
      <c r="E75" s="138">
        <f>0.5*111.22</f>
        <v>55.61</v>
      </c>
      <c r="F75" s="22"/>
      <c r="G75" s="9">
        <f>ROUND(E75*F75,2)</f>
        <v>0</v>
      </c>
    </row>
    <row r="76" spans="1:7" ht="36" customHeight="1">
      <c r="A76" s="132" t="s">
        <v>22</v>
      </c>
      <c r="B76" s="133"/>
      <c r="C76" s="134" t="s">
        <v>451</v>
      </c>
      <c r="D76" s="133" t="s">
        <v>31</v>
      </c>
      <c r="E76" s="133" t="s">
        <v>31</v>
      </c>
      <c r="F76" s="133" t="s">
        <v>31</v>
      </c>
      <c r="G76" s="135" t="s">
        <v>31</v>
      </c>
    </row>
    <row r="77" spans="1:7" ht="36" customHeight="1">
      <c r="A77" s="48" t="s">
        <v>452</v>
      </c>
      <c r="B77" s="138" t="s">
        <v>453</v>
      </c>
      <c r="C77" s="137" t="s">
        <v>454</v>
      </c>
      <c r="D77" s="138" t="s">
        <v>430</v>
      </c>
      <c r="E77" s="138">
        <f>393.21+711.62</f>
        <v>1104.83</v>
      </c>
      <c r="F77" s="22"/>
      <c r="G77" s="9">
        <f>ROUND(E77*F77,2)</f>
        <v>0</v>
      </c>
    </row>
    <row r="78" spans="1:7" ht="36" customHeight="1">
      <c r="A78" s="40"/>
      <c r="B78" s="45"/>
      <c r="C78" s="131" t="s">
        <v>455</v>
      </c>
      <c r="D78" s="45" t="s">
        <v>31</v>
      </c>
      <c r="E78" s="45" t="s">
        <v>31</v>
      </c>
      <c r="F78" s="45" t="s">
        <v>31</v>
      </c>
      <c r="G78" s="46" t="s">
        <v>31</v>
      </c>
    </row>
    <row r="79" spans="1:7" ht="36" customHeight="1">
      <c r="A79" s="40"/>
      <c r="B79" s="45"/>
      <c r="C79" s="131" t="s">
        <v>456</v>
      </c>
      <c r="D79" s="45" t="s">
        <v>31</v>
      </c>
      <c r="E79" s="45" t="s">
        <v>31</v>
      </c>
      <c r="F79" s="45" t="s">
        <v>31</v>
      </c>
      <c r="G79" s="46" t="s">
        <v>31</v>
      </c>
    </row>
    <row r="80" spans="1:7" ht="36" customHeight="1">
      <c r="A80" s="132" t="s">
        <v>56</v>
      </c>
      <c r="B80" s="133"/>
      <c r="C80" s="134" t="s">
        <v>457</v>
      </c>
      <c r="D80" s="133" t="s">
        <v>31</v>
      </c>
      <c r="E80" s="133" t="s">
        <v>31</v>
      </c>
      <c r="F80" s="133" t="s">
        <v>31</v>
      </c>
      <c r="G80" s="135" t="s">
        <v>31</v>
      </c>
    </row>
    <row r="81" spans="1:7" ht="36" customHeight="1">
      <c r="A81" s="48" t="s">
        <v>458</v>
      </c>
      <c r="B81" s="138" t="s">
        <v>459</v>
      </c>
      <c r="C81" s="137" t="s">
        <v>460</v>
      </c>
      <c r="D81" s="138" t="s">
        <v>162</v>
      </c>
      <c r="E81" s="138">
        <v>14</v>
      </c>
      <c r="F81" s="22"/>
      <c r="G81" s="9">
        <f>ROUND(E81*F81,2)</f>
        <v>0</v>
      </c>
    </row>
    <row r="82" spans="1:7" ht="36" customHeight="1">
      <c r="A82" s="132" t="s">
        <v>58</v>
      </c>
      <c r="B82" s="133"/>
      <c r="C82" s="134" t="s">
        <v>461</v>
      </c>
      <c r="D82" s="133" t="s">
        <v>31</v>
      </c>
      <c r="E82" s="133" t="s">
        <v>31</v>
      </c>
      <c r="F82" s="133" t="s">
        <v>31</v>
      </c>
      <c r="G82" s="135" t="s">
        <v>31</v>
      </c>
    </row>
    <row r="83" spans="1:7" ht="36" customHeight="1">
      <c r="A83" s="48" t="s">
        <v>462</v>
      </c>
      <c r="B83" s="138" t="s">
        <v>463</v>
      </c>
      <c r="C83" s="137" t="s">
        <v>464</v>
      </c>
      <c r="D83" s="138" t="s">
        <v>162</v>
      </c>
      <c r="E83" s="138">
        <v>32</v>
      </c>
      <c r="F83" s="22"/>
      <c r="G83" s="9">
        <f>ROUND(E83*F83,2)</f>
        <v>0</v>
      </c>
    </row>
    <row r="84" spans="1:7" ht="36" customHeight="1">
      <c r="A84" s="132" t="s">
        <v>61</v>
      </c>
      <c r="B84" s="133"/>
      <c r="C84" s="134" t="s">
        <v>465</v>
      </c>
      <c r="D84" s="133" t="s">
        <v>31</v>
      </c>
      <c r="E84" s="133" t="s">
        <v>31</v>
      </c>
      <c r="F84" s="133" t="s">
        <v>31</v>
      </c>
      <c r="G84" s="135" t="s">
        <v>31</v>
      </c>
    </row>
    <row r="85" spans="1:7" ht="36" customHeight="1">
      <c r="A85" s="48" t="s">
        <v>466</v>
      </c>
      <c r="B85" s="138" t="s">
        <v>467</v>
      </c>
      <c r="C85" s="137" t="s">
        <v>468</v>
      </c>
      <c r="D85" s="138" t="s">
        <v>42</v>
      </c>
      <c r="E85" s="138">
        <f>2*16.2+111.22*2+111*0.5*2</f>
        <v>365.84000000000003</v>
      </c>
      <c r="F85" s="22"/>
      <c r="G85" s="9">
        <f>ROUND(E85*F85,2)</f>
        <v>0</v>
      </c>
    </row>
    <row r="86" spans="1:7" ht="36" customHeight="1">
      <c r="A86" s="132" t="s">
        <v>64</v>
      </c>
      <c r="B86" s="133"/>
      <c r="C86" s="134" t="s">
        <v>469</v>
      </c>
      <c r="D86" s="133" t="s">
        <v>31</v>
      </c>
      <c r="E86" s="133" t="s">
        <v>31</v>
      </c>
      <c r="F86" s="133" t="s">
        <v>31</v>
      </c>
      <c r="G86" s="135" t="s">
        <v>31</v>
      </c>
    </row>
    <row r="87" spans="1:7" ht="36" customHeight="1">
      <c r="A87" s="48" t="s">
        <v>470</v>
      </c>
      <c r="B87" s="138" t="s">
        <v>471</v>
      </c>
      <c r="C87" s="137" t="s">
        <v>472</v>
      </c>
      <c r="D87" s="138" t="s">
        <v>42</v>
      </c>
      <c r="E87" s="138">
        <f>2*(111+10)</f>
        <v>242</v>
      </c>
      <c r="F87" s="22"/>
      <c r="G87" s="9">
        <f>ROUND(E87*F87,2)</f>
        <v>0</v>
      </c>
    </row>
    <row r="88" spans="1:7" ht="36" customHeight="1">
      <c r="A88" s="40"/>
      <c r="B88" s="45"/>
      <c r="C88" s="131" t="s">
        <v>473</v>
      </c>
      <c r="D88" s="45" t="s">
        <v>31</v>
      </c>
      <c r="E88" s="45" t="s">
        <v>31</v>
      </c>
      <c r="F88" s="45" t="s">
        <v>31</v>
      </c>
      <c r="G88" s="46" t="s">
        <v>31</v>
      </c>
    </row>
    <row r="89" spans="1:7" ht="36" customHeight="1">
      <c r="A89" s="132" t="s">
        <v>69</v>
      </c>
      <c r="B89" s="133"/>
      <c r="C89" s="134" t="s">
        <v>474</v>
      </c>
      <c r="D89" s="133" t="s">
        <v>31</v>
      </c>
      <c r="E89" s="133" t="s">
        <v>31</v>
      </c>
      <c r="F89" s="133" t="s">
        <v>31</v>
      </c>
      <c r="G89" s="135" t="s">
        <v>31</v>
      </c>
    </row>
    <row r="90" spans="1:7" ht="36" customHeight="1">
      <c r="A90" s="48" t="s">
        <v>475</v>
      </c>
      <c r="B90" s="138" t="s">
        <v>476</v>
      </c>
      <c r="C90" s="137" t="s">
        <v>477</v>
      </c>
      <c r="D90" s="138" t="s">
        <v>42</v>
      </c>
      <c r="E90" s="138">
        <f>35+39</f>
        <v>74</v>
      </c>
      <c r="F90" s="22"/>
      <c r="G90" s="9">
        <f>ROUND(E90*F90,2)</f>
        <v>0</v>
      </c>
    </row>
    <row r="91" spans="1:7" ht="36" customHeight="1">
      <c r="A91" s="132" t="s">
        <v>478</v>
      </c>
      <c r="B91" s="133"/>
      <c r="C91" s="134" t="s">
        <v>479</v>
      </c>
      <c r="D91" s="133" t="s">
        <v>31</v>
      </c>
      <c r="E91" s="133" t="s">
        <v>31</v>
      </c>
      <c r="F91" s="133" t="s">
        <v>31</v>
      </c>
      <c r="G91" s="135" t="s">
        <v>31</v>
      </c>
    </row>
    <row r="92" spans="1:7" ht="36" customHeight="1">
      <c r="A92" s="48" t="s">
        <v>480</v>
      </c>
      <c r="B92" s="138" t="s">
        <v>481</v>
      </c>
      <c r="C92" s="137" t="s">
        <v>479</v>
      </c>
      <c r="D92" s="138" t="s">
        <v>162</v>
      </c>
      <c r="E92" s="138">
        <v>4</v>
      </c>
      <c r="F92" s="22"/>
      <c r="G92" s="9">
        <f>ROUND(E92*F92,2)</f>
        <v>0</v>
      </c>
    </row>
    <row r="93" spans="1:7" ht="36" customHeight="1">
      <c r="A93" s="40"/>
      <c r="B93" s="45"/>
      <c r="C93" s="131" t="s">
        <v>482</v>
      </c>
      <c r="D93" s="45" t="s">
        <v>31</v>
      </c>
      <c r="E93" s="45" t="s">
        <v>31</v>
      </c>
      <c r="F93" s="45" t="s">
        <v>31</v>
      </c>
      <c r="G93" s="46" t="s">
        <v>31</v>
      </c>
    </row>
    <row r="94" spans="1:7" ht="36" customHeight="1">
      <c r="A94" s="132" t="s">
        <v>483</v>
      </c>
      <c r="B94" s="133"/>
      <c r="C94" s="134" t="s">
        <v>484</v>
      </c>
      <c r="D94" s="133" t="s">
        <v>31</v>
      </c>
      <c r="E94" s="133" t="s">
        <v>31</v>
      </c>
      <c r="F94" s="133" t="s">
        <v>31</v>
      </c>
      <c r="G94" s="135" t="s">
        <v>31</v>
      </c>
    </row>
    <row r="95" spans="1:7" ht="36" customHeight="1">
      <c r="A95" s="48" t="s">
        <v>485</v>
      </c>
      <c r="B95" s="138" t="s">
        <v>486</v>
      </c>
      <c r="C95" s="137" t="s">
        <v>707</v>
      </c>
      <c r="D95" s="138" t="s">
        <v>162</v>
      </c>
      <c r="E95" s="138">
        <v>5</v>
      </c>
      <c r="F95" s="22"/>
      <c r="G95" s="9">
        <f>ROUND(E95*F95,2)</f>
        <v>0</v>
      </c>
    </row>
    <row r="96" spans="1:7" ht="36" customHeight="1">
      <c r="A96" s="48" t="s">
        <v>487</v>
      </c>
      <c r="B96" s="138" t="s">
        <v>486</v>
      </c>
      <c r="C96" s="137" t="s">
        <v>708</v>
      </c>
      <c r="D96" s="138" t="s">
        <v>162</v>
      </c>
      <c r="E96" s="138">
        <v>3</v>
      </c>
      <c r="F96" s="22"/>
      <c r="G96" s="9">
        <f>ROUND(E96*F96,2)</f>
        <v>0</v>
      </c>
    </row>
    <row r="97" spans="1:7" ht="36" customHeight="1">
      <c r="A97" s="48" t="s">
        <v>488</v>
      </c>
      <c r="B97" s="138" t="s">
        <v>486</v>
      </c>
      <c r="C97" s="137" t="s">
        <v>709</v>
      </c>
      <c r="D97" s="138" t="s">
        <v>162</v>
      </c>
      <c r="E97" s="138">
        <v>2</v>
      </c>
      <c r="F97" s="22"/>
      <c r="G97" s="9">
        <f>ROUND(E97*F97,2)</f>
        <v>0</v>
      </c>
    </row>
    <row r="98" spans="1:7" ht="36" customHeight="1">
      <c r="A98" s="40"/>
      <c r="B98" s="45"/>
      <c r="C98" s="131" t="s">
        <v>489</v>
      </c>
      <c r="D98" s="45" t="s">
        <v>31</v>
      </c>
      <c r="E98" s="45" t="s">
        <v>31</v>
      </c>
      <c r="F98" s="45" t="s">
        <v>31</v>
      </c>
      <c r="G98" s="46" t="s">
        <v>31</v>
      </c>
    </row>
    <row r="99" spans="1:7" ht="36" customHeight="1">
      <c r="A99" s="132" t="s">
        <v>152</v>
      </c>
      <c r="B99" s="133"/>
      <c r="C99" s="134" t="s">
        <v>490</v>
      </c>
      <c r="D99" s="133" t="s">
        <v>31</v>
      </c>
      <c r="E99" s="133" t="s">
        <v>31</v>
      </c>
      <c r="F99" s="133" t="s">
        <v>31</v>
      </c>
      <c r="G99" s="135" t="s">
        <v>31</v>
      </c>
    </row>
    <row r="100" spans="1:7" ht="36" customHeight="1">
      <c r="A100" s="48" t="s">
        <v>491</v>
      </c>
      <c r="B100" s="138" t="s">
        <v>492</v>
      </c>
      <c r="C100" s="137" t="s">
        <v>493</v>
      </c>
      <c r="D100" s="138" t="s">
        <v>42</v>
      </c>
      <c r="E100" s="138">
        <v>16.149999999999999</v>
      </c>
      <c r="F100" s="22"/>
      <c r="G100" s="9">
        <f>ROUND(E100*F100,2)</f>
        <v>0</v>
      </c>
    </row>
    <row r="101" spans="1:7" ht="36" customHeight="1">
      <c r="A101" s="48" t="s">
        <v>494</v>
      </c>
      <c r="B101" s="138" t="s">
        <v>492</v>
      </c>
      <c r="C101" s="137" t="s">
        <v>495</v>
      </c>
      <c r="D101" s="138" t="s">
        <v>42</v>
      </c>
      <c r="E101" s="138">
        <v>16.149999999999999</v>
      </c>
      <c r="F101" s="22"/>
      <c r="G101" s="9">
        <f>ROUND(E101*F101,2)</f>
        <v>0</v>
      </c>
    </row>
    <row r="102" spans="1:7" ht="36" customHeight="1">
      <c r="A102" s="40"/>
      <c r="B102" s="45"/>
      <c r="C102" s="131" t="s">
        <v>496</v>
      </c>
      <c r="D102" s="45" t="s">
        <v>31</v>
      </c>
      <c r="E102" s="45" t="s">
        <v>31</v>
      </c>
      <c r="F102" s="45" t="s">
        <v>31</v>
      </c>
      <c r="G102" s="46" t="s">
        <v>31</v>
      </c>
    </row>
    <row r="103" spans="1:7" ht="36" customHeight="1">
      <c r="A103" s="132" t="s">
        <v>153</v>
      </c>
      <c r="B103" s="133"/>
      <c r="C103" s="134" t="s">
        <v>497</v>
      </c>
      <c r="D103" s="133" t="s">
        <v>31</v>
      </c>
      <c r="E103" s="133" t="s">
        <v>31</v>
      </c>
      <c r="F103" s="133" t="s">
        <v>31</v>
      </c>
      <c r="G103" s="135" t="s">
        <v>31</v>
      </c>
    </row>
    <row r="104" spans="1:7" ht="36" customHeight="1">
      <c r="A104" s="48" t="s">
        <v>498</v>
      </c>
      <c r="B104" s="138" t="s">
        <v>419</v>
      </c>
      <c r="C104" s="137" t="s">
        <v>499</v>
      </c>
      <c r="D104" s="138" t="s">
        <v>42</v>
      </c>
      <c r="E104" s="138">
        <f>9.4*2+11.2*2</f>
        <v>41.2</v>
      </c>
      <c r="F104" s="22"/>
      <c r="G104" s="9">
        <f>ROUND(E104*F104,2)</f>
        <v>0</v>
      </c>
    </row>
    <row r="105" spans="1:7" ht="36" customHeight="1">
      <c r="A105" s="40"/>
      <c r="B105" s="45"/>
      <c r="C105" s="131" t="s">
        <v>500</v>
      </c>
      <c r="D105" s="45" t="s">
        <v>31</v>
      </c>
      <c r="E105" s="45" t="s">
        <v>31</v>
      </c>
      <c r="F105" s="45" t="s">
        <v>31</v>
      </c>
      <c r="G105" s="46" t="s">
        <v>31</v>
      </c>
    </row>
    <row r="106" spans="1:7" ht="36" customHeight="1">
      <c r="A106" s="40"/>
      <c r="B106" s="45"/>
      <c r="C106" s="131" t="s">
        <v>501</v>
      </c>
      <c r="D106" s="45" t="s">
        <v>31</v>
      </c>
      <c r="E106" s="45" t="s">
        <v>31</v>
      </c>
      <c r="F106" s="45" t="s">
        <v>31</v>
      </c>
      <c r="G106" s="46" t="s">
        <v>31</v>
      </c>
    </row>
    <row r="107" spans="1:7" ht="36" customHeight="1">
      <c r="A107" s="132" t="s">
        <v>154</v>
      </c>
      <c r="B107" s="133"/>
      <c r="C107" s="134" t="s">
        <v>502</v>
      </c>
      <c r="D107" s="133" t="s">
        <v>31</v>
      </c>
      <c r="E107" s="133" t="s">
        <v>31</v>
      </c>
      <c r="F107" s="133" t="s">
        <v>31</v>
      </c>
      <c r="G107" s="135" t="s">
        <v>31</v>
      </c>
    </row>
    <row r="108" spans="1:7" ht="36" customHeight="1">
      <c r="A108" s="48" t="s">
        <v>503</v>
      </c>
      <c r="B108" s="138" t="s">
        <v>504</v>
      </c>
      <c r="C108" s="137" t="s">
        <v>505</v>
      </c>
      <c r="D108" s="138" t="s">
        <v>42</v>
      </c>
      <c r="E108" s="138">
        <f>142.22+143.55</f>
        <v>285.77</v>
      </c>
      <c r="F108" s="22"/>
      <c r="G108" s="9">
        <f>ROUND(E108*F108,2)</f>
        <v>0</v>
      </c>
    </row>
    <row r="109" spans="1:7" ht="36" customHeight="1">
      <c r="A109" s="132" t="s">
        <v>155</v>
      </c>
      <c r="B109" s="133"/>
      <c r="C109" s="134" t="s">
        <v>506</v>
      </c>
      <c r="D109" s="133" t="s">
        <v>31</v>
      </c>
      <c r="E109" s="133" t="s">
        <v>31</v>
      </c>
      <c r="F109" s="133" t="s">
        <v>31</v>
      </c>
      <c r="G109" s="135" t="s">
        <v>31</v>
      </c>
    </row>
    <row r="110" spans="1:7" ht="36" customHeight="1">
      <c r="A110" s="48" t="s">
        <v>507</v>
      </c>
      <c r="B110" s="138" t="s">
        <v>504</v>
      </c>
      <c r="C110" s="137" t="s">
        <v>508</v>
      </c>
      <c r="D110" s="138" t="s">
        <v>42</v>
      </c>
      <c r="E110" s="138">
        <f>13.4+9.6+7.1+7.6</f>
        <v>37.700000000000003</v>
      </c>
      <c r="F110" s="22"/>
      <c r="G110" s="9">
        <f>ROUND(E110*F110,2)</f>
        <v>0</v>
      </c>
    </row>
    <row r="111" spans="1:7" ht="36" customHeight="1">
      <c r="A111" s="132" t="s">
        <v>156</v>
      </c>
      <c r="B111" s="133"/>
      <c r="C111" s="134" t="s">
        <v>509</v>
      </c>
      <c r="D111" s="133" t="s">
        <v>31</v>
      </c>
      <c r="E111" s="133" t="s">
        <v>31</v>
      </c>
      <c r="F111" s="133" t="s">
        <v>31</v>
      </c>
      <c r="G111" s="135" t="s">
        <v>31</v>
      </c>
    </row>
    <row r="112" spans="1:7" ht="36" customHeight="1">
      <c r="A112" s="48" t="s">
        <v>510</v>
      </c>
      <c r="B112" s="138" t="s">
        <v>511</v>
      </c>
      <c r="C112" s="137" t="s">
        <v>512</v>
      </c>
      <c r="D112" s="138" t="s">
        <v>42</v>
      </c>
      <c r="E112" s="138">
        <f>142.3+143.5</f>
        <v>285.8</v>
      </c>
      <c r="F112" s="22"/>
      <c r="G112" s="9">
        <f>ROUND(E112*F112,2)</f>
        <v>0</v>
      </c>
    </row>
    <row r="113" spans="1:7" ht="36" customHeight="1">
      <c r="A113" s="132" t="s">
        <v>196</v>
      </c>
      <c r="B113" s="133"/>
      <c r="C113" s="134" t="s">
        <v>513</v>
      </c>
      <c r="D113" s="133" t="s">
        <v>31</v>
      </c>
      <c r="E113" s="133" t="s">
        <v>31</v>
      </c>
      <c r="F113" s="133" t="s">
        <v>31</v>
      </c>
      <c r="G113" s="135" t="s">
        <v>31</v>
      </c>
    </row>
    <row r="114" spans="1:7" ht="36" customHeight="1">
      <c r="A114" s="48" t="s">
        <v>514</v>
      </c>
      <c r="B114" s="138" t="s">
        <v>515</v>
      </c>
      <c r="C114" s="137" t="s">
        <v>516</v>
      </c>
      <c r="D114" s="138" t="s">
        <v>42</v>
      </c>
      <c r="E114" s="138">
        <f>142.67+142.73+100.63</f>
        <v>386.03</v>
      </c>
      <c r="F114" s="22"/>
      <c r="G114" s="9">
        <f>ROUND(E114*F114,2)</f>
        <v>0</v>
      </c>
    </row>
    <row r="115" spans="1:7" ht="36" customHeight="1">
      <c r="A115" s="48" t="s">
        <v>517</v>
      </c>
      <c r="B115" s="138" t="s">
        <v>515</v>
      </c>
      <c r="C115" s="137" t="s">
        <v>518</v>
      </c>
      <c r="D115" s="138" t="s">
        <v>42</v>
      </c>
      <c r="E115" s="138">
        <f>1.2*12.96+1.2*18.9</f>
        <v>38.231999999999999</v>
      </c>
      <c r="F115" s="22"/>
      <c r="G115" s="9">
        <f>ROUND(E115*F115,2)</f>
        <v>0</v>
      </c>
    </row>
    <row r="116" spans="1:7" ht="36" customHeight="1">
      <c r="A116" s="40"/>
      <c r="B116" s="45"/>
      <c r="C116" s="131" t="s">
        <v>519</v>
      </c>
      <c r="D116" s="45" t="s">
        <v>31</v>
      </c>
      <c r="E116" s="45" t="s">
        <v>31</v>
      </c>
      <c r="F116" s="45" t="s">
        <v>31</v>
      </c>
      <c r="G116" s="46" t="s">
        <v>31</v>
      </c>
    </row>
    <row r="117" spans="1:7" ht="36" customHeight="1">
      <c r="A117" s="132" t="s">
        <v>198</v>
      </c>
      <c r="B117" s="133"/>
      <c r="C117" s="134" t="s">
        <v>520</v>
      </c>
      <c r="D117" s="133" t="s">
        <v>31</v>
      </c>
      <c r="E117" s="133" t="s">
        <v>31</v>
      </c>
      <c r="F117" s="133" t="s">
        <v>31</v>
      </c>
      <c r="G117" s="135" t="s">
        <v>31</v>
      </c>
    </row>
    <row r="118" spans="1:7" ht="36" customHeight="1">
      <c r="A118" s="48" t="s">
        <v>521</v>
      </c>
      <c r="B118" s="138" t="s">
        <v>522</v>
      </c>
      <c r="C118" s="137" t="s">
        <v>520</v>
      </c>
      <c r="D118" s="138" t="s">
        <v>42</v>
      </c>
      <c r="E118" s="138">
        <f>8.9*2</f>
        <v>17.8</v>
      </c>
      <c r="F118" s="22"/>
      <c r="G118" s="9">
        <f>ROUND(E118*F118,2)</f>
        <v>0</v>
      </c>
    </row>
    <row r="119" spans="1:7" ht="36" customHeight="1">
      <c r="A119" s="40"/>
      <c r="B119" s="45"/>
      <c r="C119" s="131" t="s">
        <v>523</v>
      </c>
      <c r="D119" s="45" t="s">
        <v>31</v>
      </c>
      <c r="E119" s="45" t="s">
        <v>31</v>
      </c>
      <c r="F119" s="45" t="s">
        <v>31</v>
      </c>
      <c r="G119" s="46" t="s">
        <v>31</v>
      </c>
    </row>
    <row r="120" spans="1:7" ht="36" customHeight="1">
      <c r="A120" s="40"/>
      <c r="B120" s="45"/>
      <c r="C120" s="131" t="s">
        <v>524</v>
      </c>
      <c r="D120" s="45" t="s">
        <v>31</v>
      </c>
      <c r="E120" s="45" t="s">
        <v>31</v>
      </c>
      <c r="F120" s="45" t="s">
        <v>31</v>
      </c>
      <c r="G120" s="46" t="s">
        <v>31</v>
      </c>
    </row>
    <row r="121" spans="1:7" ht="36" customHeight="1">
      <c r="A121" s="132" t="s">
        <v>200</v>
      </c>
      <c r="B121" s="133"/>
      <c r="C121" s="134" t="s">
        <v>525</v>
      </c>
      <c r="D121" s="133" t="s">
        <v>31</v>
      </c>
      <c r="E121" s="133" t="s">
        <v>31</v>
      </c>
      <c r="F121" s="133" t="s">
        <v>31</v>
      </c>
      <c r="G121" s="135" t="s">
        <v>31</v>
      </c>
    </row>
    <row r="122" spans="1:7" ht="36" customHeight="1">
      <c r="A122" s="48" t="s">
        <v>526</v>
      </c>
      <c r="B122" s="138" t="s">
        <v>527</v>
      </c>
      <c r="C122" s="137" t="s">
        <v>528</v>
      </c>
      <c r="D122" s="138" t="s">
        <v>42</v>
      </c>
      <c r="E122" s="138">
        <f>6.5*2+1.7+1.7</f>
        <v>16.399999999999999</v>
      </c>
      <c r="F122" s="22"/>
      <c r="G122" s="9">
        <f>ROUND(E122*F122,2)</f>
        <v>0</v>
      </c>
    </row>
    <row r="123" spans="1:7" ht="36" customHeight="1">
      <c r="A123" s="48" t="s">
        <v>529</v>
      </c>
      <c r="B123" s="138" t="s">
        <v>527</v>
      </c>
      <c r="C123" s="137" t="s">
        <v>530</v>
      </c>
      <c r="D123" s="138" t="s">
        <v>42</v>
      </c>
      <c r="E123" s="138">
        <f>3*142.73</f>
        <v>428.18999999999994</v>
      </c>
      <c r="F123" s="22"/>
      <c r="G123" s="9">
        <f>ROUND(E123*F123,2)</f>
        <v>0</v>
      </c>
    </row>
    <row r="124" spans="1:7" ht="36" customHeight="1">
      <c r="A124" s="132" t="s">
        <v>202</v>
      </c>
      <c r="B124" s="133"/>
      <c r="C124" s="134" t="s">
        <v>531</v>
      </c>
      <c r="D124" s="133" t="s">
        <v>31</v>
      </c>
      <c r="E124" s="133" t="s">
        <v>31</v>
      </c>
      <c r="F124" s="133" t="s">
        <v>31</v>
      </c>
      <c r="G124" s="135" t="s">
        <v>31</v>
      </c>
    </row>
    <row r="125" spans="1:7" ht="36" customHeight="1">
      <c r="A125" s="48" t="s">
        <v>532</v>
      </c>
      <c r="B125" s="138" t="s">
        <v>533</v>
      </c>
      <c r="C125" s="137" t="s">
        <v>534</v>
      </c>
      <c r="D125" s="138" t="s">
        <v>42</v>
      </c>
      <c r="E125" s="138">
        <f>1.2*12.96+1.2*18.9</f>
        <v>38.231999999999999</v>
      </c>
      <c r="F125" s="22"/>
      <c r="G125" s="9">
        <f>ROUND(E125*F125,2)</f>
        <v>0</v>
      </c>
    </row>
    <row r="126" spans="1:7" ht="36" customHeight="1">
      <c r="A126" s="132" t="s">
        <v>204</v>
      </c>
      <c r="B126" s="133"/>
      <c r="C126" s="134" t="s">
        <v>535</v>
      </c>
      <c r="D126" s="133" t="s">
        <v>31</v>
      </c>
      <c r="E126" s="133" t="s">
        <v>31</v>
      </c>
      <c r="F126" s="133" t="s">
        <v>31</v>
      </c>
      <c r="G126" s="135" t="s">
        <v>31</v>
      </c>
    </row>
    <row r="127" spans="1:7" ht="36" customHeight="1">
      <c r="A127" s="48" t="s">
        <v>536</v>
      </c>
      <c r="B127" s="138" t="s">
        <v>537</v>
      </c>
      <c r="C127" s="137" t="s">
        <v>538</v>
      </c>
      <c r="D127" s="138" t="s">
        <v>430</v>
      </c>
      <c r="E127" s="138">
        <f>351.96+357.24+174.2+183.41+37.77+26.66+18.79+31.76</f>
        <v>1181.7900000000002</v>
      </c>
      <c r="F127" s="22"/>
      <c r="G127" s="9">
        <f>ROUND(E127*F127,2)</f>
        <v>0</v>
      </c>
    </row>
    <row r="128" spans="1:7" ht="36" customHeight="1">
      <c r="A128" s="132" t="s">
        <v>206</v>
      </c>
      <c r="B128" s="133"/>
      <c r="C128" s="134" t="s">
        <v>539</v>
      </c>
      <c r="D128" s="133" t="s">
        <v>31</v>
      </c>
      <c r="E128" s="133" t="s">
        <v>31</v>
      </c>
      <c r="F128" s="133" t="s">
        <v>31</v>
      </c>
      <c r="G128" s="135" t="s">
        <v>31</v>
      </c>
    </row>
    <row r="129" spans="1:7" ht="36" customHeight="1">
      <c r="A129" s="48" t="s">
        <v>540</v>
      </c>
      <c r="B129" s="138" t="s">
        <v>541</v>
      </c>
      <c r="C129" s="137" t="s">
        <v>542</v>
      </c>
      <c r="D129" s="138" t="s">
        <v>162</v>
      </c>
      <c r="E129" s="138">
        <f>4*3+10</f>
        <v>22</v>
      </c>
      <c r="F129" s="22"/>
      <c r="G129" s="9">
        <f>ROUND(E129*F129,2)</f>
        <v>0</v>
      </c>
    </row>
    <row r="130" spans="1:7" ht="36" customHeight="1">
      <c r="A130" s="48" t="s">
        <v>543</v>
      </c>
      <c r="B130" s="138" t="s">
        <v>541</v>
      </c>
      <c r="C130" s="137" t="s">
        <v>544</v>
      </c>
      <c r="D130" s="138" t="s">
        <v>162</v>
      </c>
      <c r="E130" s="138">
        <v>1</v>
      </c>
      <c r="F130" s="22"/>
      <c r="G130" s="9">
        <f>ROUND(E130*F130,2)</f>
        <v>0</v>
      </c>
    </row>
    <row r="131" spans="1:7" ht="36" customHeight="1">
      <c r="A131" s="132" t="s">
        <v>208</v>
      </c>
      <c r="B131" s="133"/>
      <c r="C131" s="134" t="s">
        <v>545</v>
      </c>
      <c r="D131" s="133" t="s">
        <v>31</v>
      </c>
      <c r="E131" s="133" t="s">
        <v>31</v>
      </c>
      <c r="F131" s="133" t="s">
        <v>31</v>
      </c>
      <c r="G131" s="135" t="s">
        <v>31</v>
      </c>
    </row>
    <row r="132" spans="1:7" ht="36" customHeight="1">
      <c r="A132" s="48" t="s">
        <v>546</v>
      </c>
      <c r="B132" s="138" t="s">
        <v>547</v>
      </c>
      <c r="C132" s="137" t="s">
        <v>548</v>
      </c>
      <c r="D132" s="138" t="s">
        <v>430</v>
      </c>
      <c r="E132" s="138">
        <f>9.65*15.83+12.57*15.83+57.34*2+95.32*2+6.2*3*5.7+37.42*1.1+18.4*84.61+15.8*1*2</f>
        <v>2392.6685999999995</v>
      </c>
      <c r="F132" s="22"/>
      <c r="G132" s="9">
        <f>ROUND(E132*F132,2)</f>
        <v>0</v>
      </c>
    </row>
    <row r="133" spans="1:7" ht="36" customHeight="1">
      <c r="A133" s="40"/>
      <c r="B133" s="45"/>
      <c r="C133" s="131" t="s">
        <v>549</v>
      </c>
      <c r="D133" s="45" t="s">
        <v>31</v>
      </c>
      <c r="E133" s="45" t="s">
        <v>31</v>
      </c>
      <c r="F133" s="45" t="s">
        <v>31</v>
      </c>
      <c r="G133" s="46" t="s">
        <v>31</v>
      </c>
    </row>
    <row r="134" spans="1:7" ht="36" customHeight="1">
      <c r="A134" s="132" t="s">
        <v>210</v>
      </c>
      <c r="B134" s="133"/>
      <c r="C134" s="134" t="s">
        <v>550</v>
      </c>
      <c r="D134" s="133" t="s">
        <v>31</v>
      </c>
      <c r="E134" s="133" t="s">
        <v>31</v>
      </c>
      <c r="F134" s="133" t="s">
        <v>31</v>
      </c>
      <c r="G134" s="135" t="s">
        <v>31</v>
      </c>
    </row>
    <row r="135" spans="1:7" ht="36" customHeight="1" thickBot="1">
      <c r="A135" s="48" t="s">
        <v>551</v>
      </c>
      <c r="B135" s="138" t="s">
        <v>552</v>
      </c>
      <c r="C135" s="137" t="s">
        <v>553</v>
      </c>
      <c r="D135" s="138" t="s">
        <v>317</v>
      </c>
      <c r="E135" s="138">
        <v>1</v>
      </c>
      <c r="F135" s="22"/>
      <c r="G135" s="9">
        <f>ROUND(E135*F135,2)</f>
        <v>0</v>
      </c>
    </row>
    <row r="136" spans="1:7" ht="41.25" customHeight="1" thickBot="1">
      <c r="A136" s="205" t="s">
        <v>554</v>
      </c>
      <c r="B136" s="206"/>
      <c r="C136" s="206"/>
      <c r="D136" s="206"/>
      <c r="E136" s="206"/>
      <c r="F136" s="206"/>
      <c r="G136" s="207"/>
    </row>
    <row r="137" spans="1:7" ht="26.25" thickBot="1">
      <c r="A137" s="4" t="s">
        <v>6</v>
      </c>
      <c r="B137" s="18" t="s">
        <v>25</v>
      </c>
      <c r="C137" s="130" t="s">
        <v>7</v>
      </c>
      <c r="D137" s="18" t="s">
        <v>26</v>
      </c>
      <c r="E137" s="18" t="s">
        <v>27</v>
      </c>
      <c r="F137" s="19" t="s">
        <v>28</v>
      </c>
      <c r="G137" s="6" t="s">
        <v>8</v>
      </c>
    </row>
    <row r="138" spans="1:7" ht="36" customHeight="1">
      <c r="A138" s="40"/>
      <c r="B138" s="45"/>
      <c r="C138" s="131" t="s">
        <v>30</v>
      </c>
      <c r="D138" s="45" t="s">
        <v>31</v>
      </c>
      <c r="E138" s="45" t="s">
        <v>31</v>
      </c>
      <c r="F138" s="45" t="s">
        <v>31</v>
      </c>
      <c r="G138" s="46" t="s">
        <v>31</v>
      </c>
    </row>
    <row r="139" spans="1:7" ht="36" customHeight="1">
      <c r="A139" s="132" t="s">
        <v>9</v>
      </c>
      <c r="B139" s="133"/>
      <c r="C139" s="134" t="s">
        <v>315</v>
      </c>
      <c r="D139" s="133" t="s">
        <v>31</v>
      </c>
      <c r="E139" s="133" t="s">
        <v>31</v>
      </c>
      <c r="F139" s="133" t="s">
        <v>31</v>
      </c>
      <c r="G139" s="135" t="s">
        <v>31</v>
      </c>
    </row>
    <row r="140" spans="1:7" ht="36" customHeight="1">
      <c r="A140" s="48" t="s">
        <v>300</v>
      </c>
      <c r="B140" s="138" t="s">
        <v>555</v>
      </c>
      <c r="C140" s="137" t="s">
        <v>315</v>
      </c>
      <c r="D140" s="138" t="s">
        <v>317</v>
      </c>
      <c r="E140" s="138">
        <v>1</v>
      </c>
      <c r="F140" s="22"/>
      <c r="G140" s="9">
        <f>ROUND(E140*F140,2)</f>
        <v>0</v>
      </c>
    </row>
    <row r="141" spans="1:7" ht="36" customHeight="1">
      <c r="A141" s="40"/>
      <c r="B141" s="45"/>
      <c r="C141" s="131" t="s">
        <v>318</v>
      </c>
      <c r="D141" s="45" t="s">
        <v>31</v>
      </c>
      <c r="E141" s="45" t="s">
        <v>31</v>
      </c>
      <c r="F141" s="45" t="s">
        <v>31</v>
      </c>
      <c r="G141" s="46" t="s">
        <v>31</v>
      </c>
    </row>
    <row r="142" spans="1:7" ht="36" customHeight="1">
      <c r="A142" s="132" t="s">
        <v>11</v>
      </c>
      <c r="B142" s="133"/>
      <c r="C142" s="134" t="s">
        <v>319</v>
      </c>
      <c r="D142" s="133" t="s">
        <v>31</v>
      </c>
      <c r="E142" s="133" t="s">
        <v>31</v>
      </c>
      <c r="F142" s="133" t="s">
        <v>31</v>
      </c>
      <c r="G142" s="135" t="s">
        <v>31</v>
      </c>
    </row>
    <row r="143" spans="1:7" ht="36" customHeight="1">
      <c r="A143" s="48" t="s">
        <v>320</v>
      </c>
      <c r="B143" s="138" t="s">
        <v>321</v>
      </c>
      <c r="C143" s="137" t="s">
        <v>322</v>
      </c>
      <c r="D143" s="138" t="s">
        <v>323</v>
      </c>
      <c r="E143" s="138">
        <f>2.1*332.9+152*2+200.5*1.7</f>
        <v>1343.94</v>
      </c>
      <c r="F143" s="22"/>
      <c r="G143" s="9">
        <f>ROUND(E143*F143,2)</f>
        <v>0</v>
      </c>
    </row>
    <row r="144" spans="1:7" ht="36" customHeight="1">
      <c r="A144" s="132">
        <v>3</v>
      </c>
      <c r="B144" s="133"/>
      <c r="C144" s="134" t="s">
        <v>325</v>
      </c>
      <c r="D144" s="133" t="s">
        <v>31</v>
      </c>
      <c r="E144" s="133" t="s">
        <v>31</v>
      </c>
      <c r="F144" s="133" t="s">
        <v>31</v>
      </c>
      <c r="G144" s="135" t="s">
        <v>31</v>
      </c>
    </row>
    <row r="145" spans="1:7" ht="36" customHeight="1">
      <c r="A145" s="48" t="s">
        <v>326</v>
      </c>
      <c r="B145" s="138" t="s">
        <v>327</v>
      </c>
      <c r="C145" s="137" t="s">
        <v>556</v>
      </c>
      <c r="D145" s="138" t="s">
        <v>323</v>
      </c>
      <c r="E145" s="138">
        <f>2.1*332.9-213+152*2-128.9+200.5*1.7-120.2</f>
        <v>881.83999999999992</v>
      </c>
      <c r="F145" s="22"/>
      <c r="G145" s="9">
        <f>ROUND(E145*F145,2)</f>
        <v>0</v>
      </c>
    </row>
    <row r="146" spans="1:7" ht="36" customHeight="1">
      <c r="A146" s="48" t="s">
        <v>557</v>
      </c>
      <c r="B146" s="138" t="s">
        <v>327</v>
      </c>
      <c r="C146" s="137" t="s">
        <v>329</v>
      </c>
      <c r="D146" s="138" t="s">
        <v>323</v>
      </c>
      <c r="E146" s="138">
        <f>11.91*70.45+6*199.4+5.91*154.8</f>
        <v>2950.3275000000003</v>
      </c>
      <c r="F146" s="22"/>
      <c r="G146" s="9">
        <f t="shared" ref="G146:G147" si="4">ROUND(E146*F146,2)</f>
        <v>0</v>
      </c>
    </row>
    <row r="147" spans="1:7" ht="36" customHeight="1">
      <c r="A147" s="48" t="s">
        <v>558</v>
      </c>
      <c r="B147" s="138" t="s">
        <v>327</v>
      </c>
      <c r="C147" s="137" t="s">
        <v>330</v>
      </c>
      <c r="D147" s="138" t="s">
        <v>323</v>
      </c>
      <c r="E147" s="138">
        <f>0.5*(PI()*11.8*(18.7^2+18.7*1+1^2)/3)</f>
        <v>2282.2633902754164</v>
      </c>
      <c r="F147" s="22"/>
      <c r="G147" s="9">
        <f t="shared" si="4"/>
        <v>0</v>
      </c>
    </row>
    <row r="148" spans="1:7" ht="36" customHeight="1">
      <c r="A148" s="132" t="s">
        <v>15</v>
      </c>
      <c r="B148" s="133"/>
      <c r="C148" s="134" t="s">
        <v>332</v>
      </c>
      <c r="D148" s="133" t="s">
        <v>31</v>
      </c>
      <c r="E148" s="133" t="s">
        <v>31</v>
      </c>
      <c r="F148" s="133" t="s">
        <v>31</v>
      </c>
      <c r="G148" s="135" t="s">
        <v>31</v>
      </c>
    </row>
    <row r="149" spans="1:7" ht="36" customHeight="1">
      <c r="A149" s="48" t="s">
        <v>333</v>
      </c>
      <c r="B149" s="138" t="s">
        <v>334</v>
      </c>
      <c r="C149" s="137" t="s">
        <v>335</v>
      </c>
      <c r="D149" s="138" t="s">
        <v>36</v>
      </c>
      <c r="E149" s="138">
        <f>16*6.5+16*6.5</f>
        <v>208</v>
      </c>
      <c r="F149" s="22"/>
      <c r="G149" s="9">
        <f>ROUND(E149*F149,2)</f>
        <v>0</v>
      </c>
    </row>
    <row r="150" spans="1:7" ht="36" customHeight="1">
      <c r="A150" s="40"/>
      <c r="B150" s="45"/>
      <c r="C150" s="131" t="s">
        <v>336</v>
      </c>
      <c r="D150" s="45" t="s">
        <v>31</v>
      </c>
      <c r="E150" s="45" t="s">
        <v>31</v>
      </c>
      <c r="F150" s="45" t="s">
        <v>31</v>
      </c>
      <c r="G150" s="46" t="s">
        <v>31</v>
      </c>
    </row>
    <row r="151" spans="1:7" ht="36" customHeight="1">
      <c r="A151" s="132" t="s">
        <v>17</v>
      </c>
      <c r="B151" s="133"/>
      <c r="C151" s="134" t="s">
        <v>337</v>
      </c>
      <c r="D151" s="133" t="s">
        <v>31</v>
      </c>
      <c r="E151" s="133" t="s">
        <v>31</v>
      </c>
      <c r="F151" s="133" t="s">
        <v>31</v>
      </c>
      <c r="G151" s="135" t="s">
        <v>31</v>
      </c>
    </row>
    <row r="152" spans="1:7" ht="36" customHeight="1">
      <c r="A152" s="48" t="s">
        <v>338</v>
      </c>
      <c r="B152" s="138" t="s">
        <v>339</v>
      </c>
      <c r="C152" s="137" t="s">
        <v>340</v>
      </c>
      <c r="D152" s="138" t="s">
        <v>341</v>
      </c>
      <c r="E152" s="138">
        <f>43295+9490+22794</f>
        <v>75579</v>
      </c>
      <c r="F152" s="22"/>
      <c r="G152" s="9">
        <f>ROUND(E152*F152,2)</f>
        <v>0</v>
      </c>
    </row>
    <row r="153" spans="1:7" ht="36" customHeight="1">
      <c r="A153" s="48" t="s">
        <v>342</v>
      </c>
      <c r="B153" s="138" t="s">
        <v>339</v>
      </c>
      <c r="C153" s="137" t="s">
        <v>343</v>
      </c>
      <c r="D153" s="138" t="s">
        <v>341</v>
      </c>
      <c r="E153" s="138">
        <f>6597+6609+16911+10726</f>
        <v>40843</v>
      </c>
      <c r="F153" s="22"/>
      <c r="G153" s="9">
        <f t="shared" ref="G153:G157" si="5">ROUND(E153*F153,2)</f>
        <v>0</v>
      </c>
    </row>
    <row r="154" spans="1:7" ht="36" customHeight="1">
      <c r="A154" s="48" t="s">
        <v>344</v>
      </c>
      <c r="B154" s="138" t="s">
        <v>339</v>
      </c>
      <c r="C154" s="137" t="s">
        <v>345</v>
      </c>
      <c r="D154" s="138" t="s">
        <v>341</v>
      </c>
      <c r="E154" s="138">
        <v>3831</v>
      </c>
      <c r="F154" s="22"/>
      <c r="G154" s="9">
        <f t="shared" si="5"/>
        <v>0</v>
      </c>
    </row>
    <row r="155" spans="1:7" ht="36" customHeight="1">
      <c r="A155" s="48" t="s">
        <v>346</v>
      </c>
      <c r="B155" s="138" t="s">
        <v>339</v>
      </c>
      <c r="C155" s="137" t="s">
        <v>347</v>
      </c>
      <c r="D155" s="138" t="s">
        <v>341</v>
      </c>
      <c r="E155" s="138">
        <f>56228+3698.5+3687.5+5898.9</f>
        <v>69512.899999999994</v>
      </c>
      <c r="F155" s="22"/>
      <c r="G155" s="9">
        <f t="shared" si="5"/>
        <v>0</v>
      </c>
    </row>
    <row r="156" spans="1:7" ht="36" customHeight="1">
      <c r="A156" s="48" t="s">
        <v>348</v>
      </c>
      <c r="B156" s="138" t="s">
        <v>339</v>
      </c>
      <c r="C156" s="137" t="s">
        <v>349</v>
      </c>
      <c r="D156" s="138" t="s">
        <v>341</v>
      </c>
      <c r="E156" s="138">
        <f>1981+6846+138</f>
        <v>8965</v>
      </c>
      <c r="F156" s="22"/>
      <c r="G156" s="9">
        <f t="shared" si="5"/>
        <v>0</v>
      </c>
    </row>
    <row r="157" spans="1:7" ht="36" customHeight="1">
      <c r="A157" s="48" t="s">
        <v>350</v>
      </c>
      <c r="B157" s="138" t="s">
        <v>339</v>
      </c>
      <c r="C157" s="137" t="s">
        <v>351</v>
      </c>
      <c r="D157" s="138" t="s">
        <v>341</v>
      </c>
      <c r="E157" s="138">
        <f>4006+1927</f>
        <v>5933</v>
      </c>
      <c r="F157" s="22"/>
      <c r="G157" s="9">
        <f t="shared" si="5"/>
        <v>0</v>
      </c>
    </row>
    <row r="158" spans="1:7" ht="36" customHeight="1">
      <c r="A158" s="40"/>
      <c r="B158" s="45"/>
      <c r="C158" s="131" t="s">
        <v>359</v>
      </c>
      <c r="D158" s="45" t="s">
        <v>31</v>
      </c>
      <c r="E158" s="45" t="s">
        <v>31</v>
      </c>
      <c r="F158" s="45" t="s">
        <v>31</v>
      </c>
      <c r="G158" s="46" t="s">
        <v>31</v>
      </c>
    </row>
    <row r="159" spans="1:7" ht="36" customHeight="1">
      <c r="A159" s="40"/>
      <c r="B159" s="45"/>
      <c r="C159" s="131" t="s">
        <v>360</v>
      </c>
      <c r="D159" s="45" t="s">
        <v>31</v>
      </c>
      <c r="E159" s="45" t="s">
        <v>31</v>
      </c>
      <c r="F159" s="45" t="s">
        <v>31</v>
      </c>
      <c r="G159" s="46" t="s">
        <v>31</v>
      </c>
    </row>
    <row r="160" spans="1:7" ht="36" customHeight="1">
      <c r="A160" s="132" t="s">
        <v>18</v>
      </c>
      <c r="B160" s="133"/>
      <c r="C160" s="134" t="s">
        <v>362</v>
      </c>
      <c r="D160" s="133" t="s">
        <v>31</v>
      </c>
      <c r="E160" s="133" t="s">
        <v>31</v>
      </c>
      <c r="F160" s="133" t="s">
        <v>31</v>
      </c>
      <c r="G160" s="135" t="s">
        <v>31</v>
      </c>
    </row>
    <row r="161" spans="1:7" ht="36" customHeight="1">
      <c r="A161" s="48" t="s">
        <v>354</v>
      </c>
      <c r="B161" s="138" t="s">
        <v>364</v>
      </c>
      <c r="C161" s="137" t="s">
        <v>365</v>
      </c>
      <c r="D161" s="138" t="s">
        <v>323</v>
      </c>
      <c r="E161" s="138">
        <f>213+128.9+120.2</f>
        <v>462.09999999999997</v>
      </c>
      <c r="F161" s="22"/>
      <c r="G161" s="9">
        <f t="shared" ref="G161" si="6">ROUND(E161*F161,2)</f>
        <v>0</v>
      </c>
    </row>
    <row r="162" spans="1:7" ht="36" customHeight="1">
      <c r="A162" s="132" t="s">
        <v>19</v>
      </c>
      <c r="B162" s="133"/>
      <c r="C162" s="134" t="s">
        <v>367</v>
      </c>
      <c r="D162" s="133" t="s">
        <v>31</v>
      </c>
      <c r="E162" s="133" t="s">
        <v>31</v>
      </c>
      <c r="F162" s="133" t="s">
        <v>31</v>
      </c>
      <c r="G162" s="135" t="s">
        <v>31</v>
      </c>
    </row>
    <row r="163" spans="1:7" ht="36" customHeight="1">
      <c r="A163" s="48" t="s">
        <v>363</v>
      </c>
      <c r="B163" s="138" t="s">
        <v>364</v>
      </c>
      <c r="C163" s="137" t="s">
        <v>369</v>
      </c>
      <c r="D163" s="138" t="s">
        <v>323</v>
      </c>
      <c r="E163" s="138">
        <f>179+170+170.2+121.7+9.8+4</f>
        <v>654.70000000000005</v>
      </c>
      <c r="F163" s="22"/>
      <c r="G163" s="9">
        <f t="shared" ref="G163:G164" si="7">ROUND(E163*F163,2)</f>
        <v>0</v>
      </c>
    </row>
    <row r="164" spans="1:7" ht="36" customHeight="1">
      <c r="A164" s="48" t="s">
        <v>559</v>
      </c>
      <c r="B164" s="138" t="s">
        <v>364</v>
      </c>
      <c r="C164" s="137" t="s">
        <v>371</v>
      </c>
      <c r="D164" s="138" t="s">
        <v>323</v>
      </c>
      <c r="E164" s="138">
        <f>44.9+1.2</f>
        <v>46.1</v>
      </c>
      <c r="F164" s="22"/>
      <c r="G164" s="9">
        <f t="shared" si="7"/>
        <v>0</v>
      </c>
    </row>
    <row r="165" spans="1:7" ht="36" customHeight="1">
      <c r="A165" s="132" t="s">
        <v>20</v>
      </c>
      <c r="B165" s="133"/>
      <c r="C165" s="134" t="s">
        <v>373</v>
      </c>
      <c r="D165" s="133" t="s">
        <v>31</v>
      </c>
      <c r="E165" s="133" t="s">
        <v>31</v>
      </c>
      <c r="F165" s="133" t="s">
        <v>31</v>
      </c>
      <c r="G165" s="135" t="s">
        <v>31</v>
      </c>
    </row>
    <row r="166" spans="1:7" ht="36" customHeight="1">
      <c r="A166" s="48" t="s">
        <v>368</v>
      </c>
      <c r="B166" s="138" t="s">
        <v>364</v>
      </c>
      <c r="C166" s="137" t="s">
        <v>560</v>
      </c>
      <c r="D166" s="138" t="s">
        <v>323</v>
      </c>
      <c r="E166" s="138">
        <v>311</v>
      </c>
      <c r="F166" s="22"/>
      <c r="G166" s="9">
        <f t="shared" ref="G166" si="8">ROUND(E166*F166,2)</f>
        <v>0</v>
      </c>
    </row>
    <row r="167" spans="1:7" ht="36" customHeight="1">
      <c r="A167" s="132" t="s">
        <v>39</v>
      </c>
      <c r="B167" s="133"/>
      <c r="C167" s="134" t="s">
        <v>377</v>
      </c>
      <c r="D167" s="133" t="s">
        <v>31</v>
      </c>
      <c r="E167" s="133" t="s">
        <v>31</v>
      </c>
      <c r="F167" s="133" t="s">
        <v>31</v>
      </c>
      <c r="G167" s="135" t="s">
        <v>31</v>
      </c>
    </row>
    <row r="168" spans="1:7" ht="36" customHeight="1">
      <c r="A168" s="48" t="s">
        <v>374</v>
      </c>
      <c r="B168" s="138" t="s">
        <v>364</v>
      </c>
      <c r="C168" s="137" t="s">
        <v>379</v>
      </c>
      <c r="D168" s="138" t="s">
        <v>323</v>
      </c>
      <c r="E168" s="138">
        <f>28.5+18.2</f>
        <v>46.7</v>
      </c>
      <c r="F168" s="22"/>
      <c r="G168" s="9">
        <f t="shared" ref="G168:G170" si="9">ROUND(E168*F168,2)</f>
        <v>0</v>
      </c>
    </row>
    <row r="169" spans="1:7" ht="36" customHeight="1">
      <c r="A169" s="48" t="s">
        <v>561</v>
      </c>
      <c r="B169" s="138" t="s">
        <v>364</v>
      </c>
      <c r="C169" s="137" t="s">
        <v>381</v>
      </c>
      <c r="D169" s="138" t="s">
        <v>323</v>
      </c>
      <c r="E169" s="138">
        <f>20.6+73.3+1.2</f>
        <v>95.100000000000009</v>
      </c>
      <c r="F169" s="22"/>
      <c r="G169" s="9">
        <f t="shared" si="9"/>
        <v>0</v>
      </c>
    </row>
    <row r="170" spans="1:7" ht="36" customHeight="1">
      <c r="A170" s="48" t="s">
        <v>562</v>
      </c>
      <c r="B170" s="138" t="s">
        <v>364</v>
      </c>
      <c r="C170" s="137" t="s">
        <v>383</v>
      </c>
      <c r="D170" s="138" t="s">
        <v>323</v>
      </c>
      <c r="E170" s="138">
        <f>0.4*0.8*(30.1+28.4)</f>
        <v>18.720000000000002</v>
      </c>
      <c r="F170" s="22"/>
      <c r="G170" s="9">
        <f t="shared" si="9"/>
        <v>0</v>
      </c>
    </row>
    <row r="171" spans="1:7" ht="36" customHeight="1">
      <c r="A171" s="40"/>
      <c r="B171" s="45"/>
      <c r="C171" s="131" t="s">
        <v>384</v>
      </c>
      <c r="D171" s="45" t="s">
        <v>31</v>
      </c>
      <c r="E171" s="45" t="s">
        <v>31</v>
      </c>
      <c r="F171" s="45" t="s">
        <v>31</v>
      </c>
      <c r="G171" s="46" t="s">
        <v>31</v>
      </c>
    </row>
    <row r="172" spans="1:7" ht="36" customHeight="1">
      <c r="A172" s="132" t="s">
        <v>40</v>
      </c>
      <c r="B172" s="133"/>
      <c r="C172" s="134" t="s">
        <v>386</v>
      </c>
      <c r="D172" s="133" t="s">
        <v>31</v>
      </c>
      <c r="E172" s="133" t="s">
        <v>31</v>
      </c>
      <c r="F172" s="133" t="s">
        <v>31</v>
      </c>
      <c r="G172" s="135" t="s">
        <v>31</v>
      </c>
    </row>
    <row r="173" spans="1:7" ht="36" customHeight="1">
      <c r="A173" s="48" t="s">
        <v>378</v>
      </c>
      <c r="B173" s="138" t="s">
        <v>388</v>
      </c>
      <c r="C173" s="137" t="s">
        <v>389</v>
      </c>
      <c r="D173" s="138" t="s">
        <v>323</v>
      </c>
      <c r="E173" s="138">
        <f>9.4+20.1+11.2+3.7+2.7+1.6+9.7</f>
        <v>58.400000000000006</v>
      </c>
      <c r="F173" s="22"/>
      <c r="G173" s="9">
        <f t="shared" ref="G173" si="10">ROUND(E173*F173,2)</f>
        <v>0</v>
      </c>
    </row>
    <row r="174" spans="1:7" ht="36" customHeight="1">
      <c r="A174" s="40"/>
      <c r="B174" s="45"/>
      <c r="C174" s="131" t="s">
        <v>390</v>
      </c>
      <c r="D174" s="45" t="s">
        <v>31</v>
      </c>
      <c r="E174" s="45" t="s">
        <v>31</v>
      </c>
      <c r="F174" s="45" t="s">
        <v>31</v>
      </c>
      <c r="G174" s="46" t="s">
        <v>31</v>
      </c>
    </row>
    <row r="175" spans="1:7" ht="36" customHeight="1">
      <c r="A175" s="132" t="s">
        <v>41</v>
      </c>
      <c r="B175" s="133"/>
      <c r="C175" s="134" t="s">
        <v>392</v>
      </c>
      <c r="D175" s="133" t="s">
        <v>31</v>
      </c>
      <c r="E175" s="133" t="s">
        <v>31</v>
      </c>
      <c r="F175" s="133" t="s">
        <v>31</v>
      </c>
      <c r="G175" s="135" t="s">
        <v>31</v>
      </c>
    </row>
    <row r="176" spans="1:7" ht="36" customHeight="1">
      <c r="A176" s="48" t="s">
        <v>387</v>
      </c>
      <c r="B176" s="138" t="s">
        <v>388</v>
      </c>
      <c r="C176" s="137" t="s">
        <v>395</v>
      </c>
      <c r="D176" s="138" t="s">
        <v>42</v>
      </c>
      <c r="E176" s="138">
        <f>80.59+81.95</f>
        <v>162.54000000000002</v>
      </c>
      <c r="F176" s="22"/>
      <c r="G176" s="9">
        <f t="shared" ref="G176" si="11">ROUND(E176*F176,2)</f>
        <v>0</v>
      </c>
    </row>
    <row r="177" spans="1:7" ht="36" customHeight="1">
      <c r="A177" s="40"/>
      <c r="B177" s="45"/>
      <c r="C177" s="131" t="s">
        <v>396</v>
      </c>
      <c r="D177" s="45" t="s">
        <v>31</v>
      </c>
      <c r="E177" s="45" t="s">
        <v>31</v>
      </c>
      <c r="F177" s="45" t="s">
        <v>31</v>
      </c>
      <c r="G177" s="46" t="s">
        <v>31</v>
      </c>
    </row>
    <row r="178" spans="1:7" ht="36" customHeight="1">
      <c r="A178" s="132" t="s">
        <v>43</v>
      </c>
      <c r="B178" s="133"/>
      <c r="C178" s="134" t="s">
        <v>398</v>
      </c>
      <c r="D178" s="133" t="s">
        <v>31</v>
      </c>
      <c r="E178" s="133" t="s">
        <v>31</v>
      </c>
      <c r="F178" s="133" t="s">
        <v>31</v>
      </c>
      <c r="G178" s="135" t="s">
        <v>31</v>
      </c>
    </row>
    <row r="179" spans="1:7" ht="36" customHeight="1">
      <c r="A179" s="48" t="s">
        <v>393</v>
      </c>
      <c r="B179" s="138" t="s">
        <v>400</v>
      </c>
      <c r="C179" s="137" t="s">
        <v>401</v>
      </c>
      <c r="D179" s="138" t="s">
        <v>341</v>
      </c>
      <c r="E179" s="138">
        <f>148422+3726</f>
        <v>152148</v>
      </c>
      <c r="F179" s="22"/>
      <c r="G179" s="9">
        <f t="shared" ref="G179" si="12">ROUND(E179*F179,2)</f>
        <v>0</v>
      </c>
    </row>
    <row r="180" spans="1:7" ht="36" customHeight="1">
      <c r="A180" s="132" t="s">
        <v>44</v>
      </c>
      <c r="B180" s="133"/>
      <c r="C180" s="134" t="s">
        <v>403</v>
      </c>
      <c r="D180" s="133" t="s">
        <v>31</v>
      </c>
      <c r="E180" s="133" t="s">
        <v>31</v>
      </c>
      <c r="F180" s="133" t="s">
        <v>31</v>
      </c>
      <c r="G180" s="135" t="s">
        <v>31</v>
      </c>
    </row>
    <row r="181" spans="1:7" ht="36" customHeight="1">
      <c r="A181" s="48" t="s">
        <v>399</v>
      </c>
      <c r="B181" s="138" t="s">
        <v>405</v>
      </c>
      <c r="C181" s="137" t="s">
        <v>403</v>
      </c>
      <c r="D181" s="138" t="s">
        <v>36</v>
      </c>
      <c r="E181" s="138">
        <f>1583.9+32.9</f>
        <v>1616.8000000000002</v>
      </c>
      <c r="F181" s="22"/>
      <c r="G181" s="9">
        <f t="shared" ref="G181" si="13">ROUND(E181*F181,2)</f>
        <v>0</v>
      </c>
    </row>
    <row r="182" spans="1:7" ht="36" customHeight="1">
      <c r="A182" s="40"/>
      <c r="B182" s="45"/>
      <c r="C182" s="131" t="s">
        <v>407</v>
      </c>
      <c r="D182" s="45" t="s">
        <v>31</v>
      </c>
      <c r="E182" s="45" t="s">
        <v>31</v>
      </c>
      <c r="F182" s="45" t="s">
        <v>31</v>
      </c>
      <c r="G182" s="46" t="s">
        <v>31</v>
      </c>
    </row>
    <row r="183" spans="1:7" ht="36" customHeight="1">
      <c r="A183" s="132" t="s">
        <v>45</v>
      </c>
      <c r="B183" s="133"/>
      <c r="C183" s="134" t="s">
        <v>409</v>
      </c>
      <c r="D183" s="133" t="s">
        <v>31</v>
      </c>
      <c r="E183" s="133" t="s">
        <v>31</v>
      </c>
      <c r="F183" s="133" t="s">
        <v>31</v>
      </c>
      <c r="G183" s="135" t="s">
        <v>31</v>
      </c>
    </row>
    <row r="184" spans="1:7" ht="36" customHeight="1">
      <c r="A184" s="48" t="s">
        <v>404</v>
      </c>
      <c r="B184" s="138" t="s">
        <v>411</v>
      </c>
      <c r="C184" s="137" t="s">
        <v>412</v>
      </c>
      <c r="D184" s="138" t="s">
        <v>162</v>
      </c>
      <c r="E184" s="138">
        <v>246</v>
      </c>
      <c r="F184" s="22"/>
      <c r="G184" s="9">
        <f t="shared" ref="G184:G185" si="14">ROUND(E184*F184,2)</f>
        <v>0</v>
      </c>
    </row>
    <row r="185" spans="1:7" ht="36" customHeight="1">
      <c r="A185" s="48" t="s">
        <v>563</v>
      </c>
      <c r="B185" s="138" t="s">
        <v>411</v>
      </c>
      <c r="C185" s="137" t="s">
        <v>416</v>
      </c>
      <c r="D185" s="138" t="s">
        <v>162</v>
      </c>
      <c r="E185" s="138">
        <v>2</v>
      </c>
      <c r="F185" s="22"/>
      <c r="G185" s="9">
        <f t="shared" si="14"/>
        <v>0</v>
      </c>
    </row>
    <row r="186" spans="1:7" ht="36" customHeight="1">
      <c r="A186" s="132" t="s">
        <v>46</v>
      </c>
      <c r="B186" s="133"/>
      <c r="C186" s="134" t="s">
        <v>417</v>
      </c>
      <c r="D186" s="133" t="s">
        <v>31</v>
      </c>
      <c r="E186" s="133" t="s">
        <v>31</v>
      </c>
      <c r="F186" s="133" t="s">
        <v>31</v>
      </c>
      <c r="G186" s="135" t="s">
        <v>31</v>
      </c>
    </row>
    <row r="187" spans="1:7" ht="36" customHeight="1">
      <c r="A187" s="48" t="s">
        <v>410</v>
      </c>
      <c r="B187" s="138" t="s">
        <v>419</v>
      </c>
      <c r="C187" s="137" t="s">
        <v>420</v>
      </c>
      <c r="D187" s="138" t="s">
        <v>42</v>
      </c>
      <c r="E187" s="138">
        <f>6*3.77+6*1.06</f>
        <v>28.98</v>
      </c>
      <c r="F187" s="22"/>
      <c r="G187" s="9">
        <f t="shared" ref="G187:G188" si="15">ROUND(E187*F187,2)</f>
        <v>0</v>
      </c>
    </row>
    <row r="188" spans="1:7" ht="36" customHeight="1">
      <c r="A188" s="48" t="s">
        <v>413</v>
      </c>
      <c r="B188" s="138" t="s">
        <v>419</v>
      </c>
      <c r="C188" s="137" t="s">
        <v>422</v>
      </c>
      <c r="D188" s="138" t="s">
        <v>42</v>
      </c>
      <c r="E188" s="138">
        <f>7*3.77+7*1.06</f>
        <v>33.81</v>
      </c>
      <c r="F188" s="22"/>
      <c r="G188" s="9">
        <f t="shared" si="15"/>
        <v>0</v>
      </c>
    </row>
    <row r="189" spans="1:7" ht="36" customHeight="1">
      <c r="A189" s="40"/>
      <c r="B189" s="45"/>
      <c r="C189" s="131" t="s">
        <v>423</v>
      </c>
      <c r="D189" s="45" t="s">
        <v>31</v>
      </c>
      <c r="E189" s="45" t="s">
        <v>31</v>
      </c>
      <c r="F189" s="45" t="s">
        <v>31</v>
      </c>
      <c r="G189" s="46" t="s">
        <v>31</v>
      </c>
    </row>
    <row r="190" spans="1:7" ht="36" customHeight="1">
      <c r="A190" s="40"/>
      <c r="B190" s="45"/>
      <c r="C190" s="131" t="s">
        <v>424</v>
      </c>
      <c r="D190" s="45" t="s">
        <v>31</v>
      </c>
      <c r="E190" s="45" t="s">
        <v>31</v>
      </c>
      <c r="F190" s="45" t="s">
        <v>31</v>
      </c>
      <c r="G190" s="46" t="s">
        <v>31</v>
      </c>
    </row>
    <row r="191" spans="1:7" ht="36" customHeight="1">
      <c r="A191" s="132" t="s">
        <v>47</v>
      </c>
      <c r="B191" s="133"/>
      <c r="C191" s="134" t="s">
        <v>426</v>
      </c>
      <c r="D191" s="133" t="s">
        <v>31</v>
      </c>
      <c r="E191" s="133" t="s">
        <v>31</v>
      </c>
      <c r="F191" s="133" t="s">
        <v>31</v>
      </c>
      <c r="G191" s="135" t="s">
        <v>31</v>
      </c>
    </row>
    <row r="192" spans="1:7" ht="36" customHeight="1">
      <c r="A192" s="48" t="s">
        <v>418</v>
      </c>
      <c r="B192" s="138" t="s">
        <v>428</v>
      </c>
      <c r="C192" s="137" t="s">
        <v>429</v>
      </c>
      <c r="D192" s="138" t="s">
        <v>430</v>
      </c>
      <c r="E192" s="138">
        <f>1.2*(69.8+44.2)+1.5*42+(90-4*1.77)+(195.14-50.19)+(107.63-18.02)+(4*4.71*0.9)+1.2*13.3+0.8*13.3+170+170.5+19.35+7.824+89.21+89.2+9.1*8.8+7.04*8.8</f>
        <v>1248.952</v>
      </c>
      <c r="F192" s="22"/>
      <c r="G192" s="9">
        <f t="shared" ref="G192" si="16">ROUND(E192*F192,2)</f>
        <v>0</v>
      </c>
    </row>
    <row r="193" spans="1:7" ht="36" customHeight="1">
      <c r="A193" s="40"/>
      <c r="B193" s="45"/>
      <c r="C193" s="131" t="s">
        <v>431</v>
      </c>
      <c r="D193" s="45" t="s">
        <v>31</v>
      </c>
      <c r="E193" s="45" t="s">
        <v>31</v>
      </c>
      <c r="F193" s="45" t="s">
        <v>31</v>
      </c>
      <c r="G193" s="46" t="s">
        <v>31</v>
      </c>
    </row>
    <row r="194" spans="1:7" ht="36" customHeight="1">
      <c r="A194" s="132" t="s">
        <v>48</v>
      </c>
      <c r="B194" s="133"/>
      <c r="C194" s="134" t="s">
        <v>433</v>
      </c>
      <c r="D194" s="133" t="s">
        <v>31</v>
      </c>
      <c r="E194" s="133" t="s">
        <v>31</v>
      </c>
      <c r="F194" s="133" t="s">
        <v>31</v>
      </c>
      <c r="G194" s="135" t="s">
        <v>31</v>
      </c>
    </row>
    <row r="195" spans="1:7" ht="36" customHeight="1">
      <c r="A195" s="48" t="s">
        <v>427</v>
      </c>
      <c r="B195" s="138" t="s">
        <v>435</v>
      </c>
      <c r="C195" s="137" t="s">
        <v>436</v>
      </c>
      <c r="D195" s="138" t="s">
        <v>430</v>
      </c>
      <c r="E195" s="138">
        <f>13.19*61.444</f>
        <v>810.44636000000003</v>
      </c>
      <c r="F195" s="22"/>
      <c r="G195" s="9">
        <f t="shared" ref="G195:G196" si="17">ROUND(E195*F195,2)</f>
        <v>0</v>
      </c>
    </row>
    <row r="196" spans="1:7" ht="36" customHeight="1">
      <c r="A196" s="48" t="s">
        <v>564</v>
      </c>
      <c r="B196" s="138" t="s">
        <v>435</v>
      </c>
      <c r="C196" s="137" t="s">
        <v>438</v>
      </c>
      <c r="D196" s="138" t="s">
        <v>430</v>
      </c>
      <c r="E196" s="138">
        <f>61.444*(1.76+4.472)</f>
        <v>382.91900800000002</v>
      </c>
      <c r="F196" s="22"/>
      <c r="G196" s="9">
        <f t="shared" si="17"/>
        <v>0</v>
      </c>
    </row>
    <row r="197" spans="1:7" ht="36" customHeight="1">
      <c r="A197" s="132" t="s">
        <v>49</v>
      </c>
      <c r="B197" s="133"/>
      <c r="C197" s="134" t="s">
        <v>565</v>
      </c>
      <c r="D197" s="133" t="s">
        <v>31</v>
      </c>
      <c r="E197" s="133" t="s">
        <v>31</v>
      </c>
      <c r="F197" s="133" t="s">
        <v>31</v>
      </c>
      <c r="G197" s="135" t="s">
        <v>31</v>
      </c>
    </row>
    <row r="198" spans="1:7" ht="36" customHeight="1">
      <c r="A198" s="48" t="s">
        <v>434</v>
      </c>
      <c r="B198" s="138" t="s">
        <v>566</v>
      </c>
      <c r="C198" s="137" t="s">
        <v>565</v>
      </c>
      <c r="D198" s="138" t="s">
        <v>430</v>
      </c>
      <c r="E198" s="138">
        <f>13.1*14+14.3*14</f>
        <v>383.6</v>
      </c>
      <c r="F198" s="22"/>
      <c r="G198" s="9">
        <f t="shared" ref="G198" si="18">ROUND(E198*F198,2)</f>
        <v>0</v>
      </c>
    </row>
    <row r="199" spans="1:7" ht="36" customHeight="1">
      <c r="A199" s="40"/>
      <c r="B199" s="45"/>
      <c r="C199" s="131" t="s">
        <v>439</v>
      </c>
      <c r="D199" s="45" t="s">
        <v>31</v>
      </c>
      <c r="E199" s="45" t="s">
        <v>31</v>
      </c>
      <c r="F199" s="45" t="s">
        <v>31</v>
      </c>
      <c r="G199" s="46" t="s">
        <v>31</v>
      </c>
    </row>
    <row r="200" spans="1:7" ht="36" customHeight="1">
      <c r="A200" s="132" t="s">
        <v>50</v>
      </c>
      <c r="B200" s="133"/>
      <c r="C200" s="134" t="s">
        <v>440</v>
      </c>
      <c r="D200" s="133" t="s">
        <v>31</v>
      </c>
      <c r="E200" s="133" t="s">
        <v>31</v>
      </c>
      <c r="F200" s="133" t="s">
        <v>31</v>
      </c>
      <c r="G200" s="135" t="s">
        <v>31</v>
      </c>
    </row>
    <row r="201" spans="1:7" ht="36" customHeight="1">
      <c r="A201" s="48" t="s">
        <v>441</v>
      </c>
      <c r="B201" s="138" t="s">
        <v>442</v>
      </c>
      <c r="C201" s="137" t="s">
        <v>443</v>
      </c>
      <c r="D201" s="138" t="s">
        <v>430</v>
      </c>
      <c r="E201" s="138">
        <f>8*61.444</f>
        <v>491.55200000000002</v>
      </c>
      <c r="F201" s="22"/>
      <c r="G201" s="9">
        <f t="shared" ref="G201" si="19">ROUND(E201*F201,2)</f>
        <v>0</v>
      </c>
    </row>
    <row r="202" spans="1:7" ht="36" customHeight="1">
      <c r="A202" s="132" t="s">
        <v>51</v>
      </c>
      <c r="B202" s="133"/>
      <c r="C202" s="134" t="s">
        <v>444</v>
      </c>
      <c r="D202" s="133" t="s">
        <v>31</v>
      </c>
      <c r="E202" s="133" t="s">
        <v>31</v>
      </c>
      <c r="F202" s="133" t="s">
        <v>31</v>
      </c>
      <c r="G202" s="135" t="s">
        <v>31</v>
      </c>
    </row>
    <row r="203" spans="1:7" ht="36" customHeight="1">
      <c r="A203" s="48" t="s">
        <v>445</v>
      </c>
      <c r="B203" s="138" t="str">
        <f>B73</f>
        <v>D-05.03.13</v>
      </c>
      <c r="C203" s="137" t="s">
        <v>447</v>
      </c>
      <c r="D203" s="138" t="s">
        <v>430</v>
      </c>
      <c r="E203" s="138">
        <f>E201-E205</f>
        <v>460.83000000000004</v>
      </c>
      <c r="F203" s="22"/>
      <c r="G203" s="9">
        <f t="shared" ref="G203" si="20">ROUND(E203*F203,2)</f>
        <v>0</v>
      </c>
    </row>
    <row r="204" spans="1:7" ht="36" customHeight="1">
      <c r="A204" s="132" t="s">
        <v>21</v>
      </c>
      <c r="B204" s="133"/>
      <c r="C204" s="134" t="s">
        <v>448</v>
      </c>
      <c r="D204" s="133" t="s">
        <v>31</v>
      </c>
      <c r="E204" s="133" t="s">
        <v>31</v>
      </c>
      <c r="F204" s="133" t="s">
        <v>31</v>
      </c>
      <c r="G204" s="135" t="s">
        <v>31</v>
      </c>
    </row>
    <row r="205" spans="1:7" ht="36" customHeight="1">
      <c r="A205" s="48" t="s">
        <v>449</v>
      </c>
      <c r="B205" s="138" t="str">
        <f>B201</f>
        <v>M.15.03.05</v>
      </c>
      <c r="C205" s="137" t="s">
        <v>450</v>
      </c>
      <c r="D205" s="138" t="s">
        <v>430</v>
      </c>
      <c r="E205" s="138">
        <f>0.25*2*61.444</f>
        <v>30.722000000000001</v>
      </c>
      <c r="F205" s="22"/>
      <c r="G205" s="9">
        <f t="shared" ref="G205" si="21">ROUND(E205*F205,2)</f>
        <v>0</v>
      </c>
    </row>
    <row r="206" spans="1:7" ht="36" customHeight="1">
      <c r="A206" s="132" t="s">
        <v>22</v>
      </c>
      <c r="B206" s="133"/>
      <c r="C206" s="134" t="s">
        <v>451</v>
      </c>
      <c r="D206" s="133" t="s">
        <v>31</v>
      </c>
      <c r="E206" s="133" t="s">
        <v>31</v>
      </c>
      <c r="F206" s="133" t="s">
        <v>31</v>
      </c>
      <c r="G206" s="135" t="s">
        <v>31</v>
      </c>
    </row>
    <row r="207" spans="1:7" ht="36" customHeight="1">
      <c r="A207" s="48" t="s">
        <v>452</v>
      </c>
      <c r="B207" s="138" t="e">
        <f>M.15.03.01</f>
        <v>#NAME?</v>
      </c>
      <c r="C207" s="137" t="s">
        <v>454</v>
      </c>
      <c r="D207" s="138" t="s">
        <v>430</v>
      </c>
      <c r="E207" s="138">
        <f>3.772*80.59+1.061*81.95</f>
        <v>390.93443000000002</v>
      </c>
      <c r="F207" s="22"/>
      <c r="G207" s="9">
        <f t="shared" ref="G207" si="22">ROUND(E207*F207,2)</f>
        <v>0</v>
      </c>
    </row>
    <row r="208" spans="1:7" ht="36" customHeight="1">
      <c r="A208" s="40"/>
      <c r="B208" s="45"/>
      <c r="C208" s="131" t="s">
        <v>455</v>
      </c>
      <c r="D208" s="45" t="s">
        <v>31</v>
      </c>
      <c r="E208" s="45" t="s">
        <v>31</v>
      </c>
      <c r="F208" s="45" t="s">
        <v>31</v>
      </c>
      <c r="G208" s="46" t="s">
        <v>31</v>
      </c>
    </row>
    <row r="209" spans="1:7" ht="36" customHeight="1">
      <c r="A209" s="40"/>
      <c r="B209" s="45"/>
      <c r="C209" s="131" t="s">
        <v>456</v>
      </c>
      <c r="D209" s="45" t="s">
        <v>31</v>
      </c>
      <c r="E209" s="45" t="s">
        <v>31</v>
      </c>
      <c r="F209" s="45" t="s">
        <v>31</v>
      </c>
      <c r="G209" s="46" t="s">
        <v>31</v>
      </c>
    </row>
    <row r="210" spans="1:7" ht="36" customHeight="1">
      <c r="A210" s="132" t="s">
        <v>56</v>
      </c>
      <c r="B210" s="133"/>
      <c r="C210" s="134" t="s">
        <v>457</v>
      </c>
      <c r="D210" s="133" t="s">
        <v>31</v>
      </c>
      <c r="E210" s="133" t="s">
        <v>31</v>
      </c>
      <c r="F210" s="133" t="s">
        <v>31</v>
      </c>
      <c r="G210" s="135" t="s">
        <v>31</v>
      </c>
    </row>
    <row r="211" spans="1:7" ht="36" customHeight="1">
      <c r="A211" s="48" t="s">
        <v>458</v>
      </c>
      <c r="B211" s="138" t="s">
        <v>459</v>
      </c>
      <c r="C211" s="137" t="s">
        <v>460</v>
      </c>
      <c r="D211" s="138" t="s">
        <v>162</v>
      </c>
      <c r="E211" s="138">
        <v>8</v>
      </c>
      <c r="F211" s="22"/>
      <c r="G211" s="9">
        <f t="shared" ref="G211" si="23">ROUND(E211*F211,2)</f>
        <v>0</v>
      </c>
    </row>
    <row r="212" spans="1:7" ht="36" customHeight="1">
      <c r="A212" s="132" t="s">
        <v>58</v>
      </c>
      <c r="B212" s="133"/>
      <c r="C212" s="134" t="s">
        <v>461</v>
      </c>
      <c r="D212" s="133" t="s">
        <v>31</v>
      </c>
      <c r="E212" s="133" t="s">
        <v>31</v>
      </c>
      <c r="F212" s="133" t="s">
        <v>31</v>
      </c>
      <c r="G212" s="135" t="s">
        <v>31</v>
      </c>
    </row>
    <row r="213" spans="1:7" ht="36" customHeight="1">
      <c r="A213" s="48" t="s">
        <v>462</v>
      </c>
      <c r="B213" s="138" t="s">
        <v>463</v>
      </c>
      <c r="C213" s="137" t="s">
        <v>464</v>
      </c>
      <c r="D213" s="138" t="s">
        <v>162</v>
      </c>
      <c r="E213" s="138">
        <v>20</v>
      </c>
      <c r="F213" s="22"/>
      <c r="G213" s="9">
        <f t="shared" ref="G213" si="24">ROUND(E213*F213,2)</f>
        <v>0</v>
      </c>
    </row>
    <row r="214" spans="1:7" ht="36" customHeight="1">
      <c r="A214" s="132" t="s">
        <v>61</v>
      </c>
      <c r="B214" s="133"/>
      <c r="C214" s="134" t="s">
        <v>465</v>
      </c>
      <c r="D214" s="133" t="s">
        <v>31</v>
      </c>
      <c r="E214" s="133" t="s">
        <v>31</v>
      </c>
      <c r="F214" s="133" t="s">
        <v>31</v>
      </c>
      <c r="G214" s="135" t="s">
        <v>31</v>
      </c>
    </row>
    <row r="215" spans="1:7" ht="36" customHeight="1">
      <c r="A215" s="48" t="s">
        <v>466</v>
      </c>
      <c r="B215" s="138" t="s">
        <v>467</v>
      </c>
      <c r="C215" s="137" t="s">
        <v>468</v>
      </c>
      <c r="D215" s="138" t="s">
        <v>42</v>
      </c>
      <c r="E215" s="138">
        <f>47+122.9</f>
        <v>169.9</v>
      </c>
      <c r="F215" s="22"/>
      <c r="G215" s="9">
        <f t="shared" ref="G215" si="25">ROUND(E215*F215,2)</f>
        <v>0</v>
      </c>
    </row>
    <row r="216" spans="1:7" ht="36" customHeight="1">
      <c r="A216" s="132" t="s">
        <v>64</v>
      </c>
      <c r="B216" s="133"/>
      <c r="C216" s="134" t="s">
        <v>469</v>
      </c>
      <c r="D216" s="133" t="s">
        <v>31</v>
      </c>
      <c r="E216" s="133" t="s">
        <v>31</v>
      </c>
      <c r="F216" s="133" t="s">
        <v>31</v>
      </c>
      <c r="G216" s="135" t="s">
        <v>31</v>
      </c>
    </row>
    <row r="217" spans="1:7" ht="36" customHeight="1">
      <c r="A217" s="48" t="s">
        <v>470</v>
      </c>
      <c r="B217" s="138" t="s">
        <v>471</v>
      </c>
      <c r="C217" s="137" t="s">
        <v>567</v>
      </c>
      <c r="D217" s="138" t="s">
        <v>42</v>
      </c>
      <c r="E217" s="138">
        <v>129.6</v>
      </c>
      <c r="F217" s="22"/>
      <c r="G217" s="9">
        <f t="shared" ref="G217:G218" si="26">ROUND(E217*F217,2)</f>
        <v>0</v>
      </c>
    </row>
    <row r="218" spans="1:7" ht="36" customHeight="1">
      <c r="A218" s="48" t="s">
        <v>568</v>
      </c>
      <c r="B218" s="138" t="s">
        <v>471</v>
      </c>
      <c r="C218" s="137" t="s">
        <v>569</v>
      </c>
      <c r="D218" s="138" t="s">
        <v>42</v>
      </c>
      <c r="E218" s="138">
        <v>89.6</v>
      </c>
      <c r="F218" s="22"/>
      <c r="G218" s="9">
        <f t="shared" si="26"/>
        <v>0</v>
      </c>
    </row>
    <row r="219" spans="1:7" ht="36" customHeight="1">
      <c r="A219" s="40"/>
      <c r="B219" s="45"/>
      <c r="C219" s="131" t="s">
        <v>473</v>
      </c>
      <c r="D219" s="45" t="s">
        <v>31</v>
      </c>
      <c r="E219" s="45" t="s">
        <v>31</v>
      </c>
      <c r="F219" s="45" t="s">
        <v>31</v>
      </c>
      <c r="G219" s="46" t="s">
        <v>31</v>
      </c>
    </row>
    <row r="220" spans="1:7" ht="36" customHeight="1">
      <c r="A220" s="132" t="s">
        <v>69</v>
      </c>
      <c r="B220" s="133"/>
      <c r="C220" s="134" t="s">
        <v>474</v>
      </c>
      <c r="D220" s="133" t="s">
        <v>31</v>
      </c>
      <c r="E220" s="133" t="s">
        <v>31</v>
      </c>
      <c r="F220" s="133" t="s">
        <v>31</v>
      </c>
      <c r="G220" s="135" t="s">
        <v>31</v>
      </c>
    </row>
    <row r="221" spans="1:7" ht="36" customHeight="1">
      <c r="A221" s="48" t="s">
        <v>475</v>
      </c>
      <c r="B221" s="138" t="s">
        <v>476</v>
      </c>
      <c r="C221" s="137" t="s">
        <v>477</v>
      </c>
      <c r="D221" s="138" t="s">
        <v>42</v>
      </c>
      <c r="E221" s="138">
        <f>39.3+36.1</f>
        <v>75.400000000000006</v>
      </c>
      <c r="F221" s="22"/>
      <c r="G221" s="9">
        <f t="shared" ref="G221" si="27">ROUND(E221*F221,2)</f>
        <v>0</v>
      </c>
    </row>
    <row r="222" spans="1:7" ht="36" customHeight="1">
      <c r="A222" s="132" t="s">
        <v>70</v>
      </c>
      <c r="B222" s="133"/>
      <c r="C222" s="134" t="s">
        <v>479</v>
      </c>
      <c r="D222" s="133" t="s">
        <v>31</v>
      </c>
      <c r="E222" s="133" t="s">
        <v>31</v>
      </c>
      <c r="F222" s="133" t="s">
        <v>31</v>
      </c>
      <c r="G222" s="135" t="s">
        <v>31</v>
      </c>
    </row>
    <row r="223" spans="1:7" ht="36" customHeight="1">
      <c r="A223" s="48" t="s">
        <v>480</v>
      </c>
      <c r="B223" s="138" t="s">
        <v>481</v>
      </c>
      <c r="C223" s="137" t="s">
        <v>479</v>
      </c>
      <c r="D223" s="138" t="s">
        <v>162</v>
      </c>
      <c r="E223" s="138">
        <v>4</v>
      </c>
      <c r="F223" s="22"/>
      <c r="G223" s="9">
        <f t="shared" ref="G223" si="28">ROUND(E223*F223,2)</f>
        <v>0</v>
      </c>
    </row>
    <row r="224" spans="1:7" ht="36" customHeight="1">
      <c r="A224" s="40"/>
      <c r="B224" s="45"/>
      <c r="C224" s="131" t="s">
        <v>482</v>
      </c>
      <c r="D224" s="45" t="s">
        <v>31</v>
      </c>
      <c r="E224" s="45" t="s">
        <v>31</v>
      </c>
      <c r="F224" s="45" t="s">
        <v>31</v>
      </c>
      <c r="G224" s="46" t="s">
        <v>31</v>
      </c>
    </row>
    <row r="225" spans="1:7" ht="36" customHeight="1">
      <c r="A225" s="132" t="s">
        <v>151</v>
      </c>
      <c r="B225" s="133"/>
      <c r="C225" s="134" t="s">
        <v>570</v>
      </c>
      <c r="D225" s="133" t="s">
        <v>31</v>
      </c>
      <c r="E225" s="133" t="s">
        <v>31</v>
      </c>
      <c r="F225" s="133" t="s">
        <v>31</v>
      </c>
      <c r="G225" s="135" t="s">
        <v>31</v>
      </c>
    </row>
    <row r="226" spans="1:7" ht="36" customHeight="1">
      <c r="A226" s="48" t="s">
        <v>485</v>
      </c>
      <c r="B226" s="138" t="s">
        <v>571</v>
      </c>
      <c r="C226" s="137" t="s">
        <v>572</v>
      </c>
      <c r="D226" s="138" t="s">
        <v>162</v>
      </c>
      <c r="E226" s="138">
        <v>2</v>
      </c>
      <c r="F226" s="22"/>
      <c r="G226" s="9">
        <f t="shared" ref="G226:G228" si="29">ROUND(E226*F226,2)</f>
        <v>0</v>
      </c>
    </row>
    <row r="227" spans="1:7" ht="36" customHeight="1">
      <c r="A227" s="48" t="s">
        <v>487</v>
      </c>
      <c r="B227" s="138" t="s">
        <v>571</v>
      </c>
      <c r="C227" s="137" t="s">
        <v>573</v>
      </c>
      <c r="D227" s="138" t="s">
        <v>162</v>
      </c>
      <c r="E227" s="138">
        <v>9</v>
      </c>
      <c r="F227" s="22"/>
      <c r="G227" s="9">
        <f t="shared" si="29"/>
        <v>0</v>
      </c>
    </row>
    <row r="228" spans="1:7" ht="36" customHeight="1">
      <c r="A228" s="48" t="s">
        <v>488</v>
      </c>
      <c r="B228" s="138" t="s">
        <v>571</v>
      </c>
      <c r="C228" s="137" t="s">
        <v>574</v>
      </c>
      <c r="D228" s="138" t="s">
        <v>162</v>
      </c>
      <c r="E228" s="138">
        <v>1</v>
      </c>
      <c r="F228" s="22"/>
      <c r="G228" s="9">
        <f t="shared" si="29"/>
        <v>0</v>
      </c>
    </row>
    <row r="229" spans="1:7" ht="36" customHeight="1">
      <c r="A229" s="40"/>
      <c r="B229" s="45"/>
      <c r="C229" s="131" t="s">
        <v>489</v>
      </c>
      <c r="D229" s="45" t="s">
        <v>31</v>
      </c>
      <c r="E229" s="45" t="s">
        <v>31</v>
      </c>
      <c r="F229" s="45" t="s">
        <v>31</v>
      </c>
      <c r="G229" s="46" t="s">
        <v>31</v>
      </c>
    </row>
    <row r="230" spans="1:7" ht="36" customHeight="1">
      <c r="A230" s="132" t="s">
        <v>152</v>
      </c>
      <c r="B230" s="133"/>
      <c r="C230" s="134" t="s">
        <v>490</v>
      </c>
      <c r="D230" s="133" t="s">
        <v>31</v>
      </c>
      <c r="E230" s="133" t="s">
        <v>31</v>
      </c>
      <c r="F230" s="133" t="s">
        <v>31</v>
      </c>
      <c r="G230" s="135" t="s">
        <v>31</v>
      </c>
    </row>
    <row r="231" spans="1:7" ht="36" customHeight="1">
      <c r="A231" s="48" t="s">
        <v>491</v>
      </c>
      <c r="B231" s="138" t="s">
        <v>492</v>
      </c>
      <c r="C231" s="137" t="s">
        <v>493</v>
      </c>
      <c r="D231" s="138" t="s">
        <v>42</v>
      </c>
      <c r="E231" s="138">
        <f>13.65*2</f>
        <v>27.3</v>
      </c>
      <c r="F231" s="22"/>
      <c r="G231" s="9">
        <f t="shared" ref="G231" si="30">ROUND(E231*F231,2)</f>
        <v>0</v>
      </c>
    </row>
    <row r="232" spans="1:7" ht="36" customHeight="1">
      <c r="A232" s="40"/>
      <c r="B232" s="45"/>
      <c r="C232" s="131" t="s">
        <v>496</v>
      </c>
      <c r="D232" s="45" t="s">
        <v>31</v>
      </c>
      <c r="E232" s="45" t="s">
        <v>31</v>
      </c>
      <c r="F232" s="45" t="s">
        <v>31</v>
      </c>
      <c r="G232" s="46" t="s">
        <v>31</v>
      </c>
    </row>
    <row r="233" spans="1:7" ht="36" customHeight="1">
      <c r="A233" s="132" t="s">
        <v>153</v>
      </c>
      <c r="B233" s="133"/>
      <c r="C233" s="134" t="s">
        <v>497</v>
      </c>
      <c r="D233" s="133" t="s">
        <v>31</v>
      </c>
      <c r="E233" s="133" t="s">
        <v>31</v>
      </c>
      <c r="F233" s="133" t="s">
        <v>31</v>
      </c>
      <c r="G233" s="135" t="s">
        <v>31</v>
      </c>
    </row>
    <row r="234" spans="1:7" ht="36" customHeight="1">
      <c r="A234" s="48" t="s">
        <v>498</v>
      </c>
      <c r="B234" s="138" t="s">
        <v>419</v>
      </c>
      <c r="C234" s="137" t="s">
        <v>499</v>
      </c>
      <c r="D234" s="138" t="s">
        <v>42</v>
      </c>
      <c r="E234" s="138">
        <f>12.15+12.2</f>
        <v>24.35</v>
      </c>
      <c r="F234" s="22"/>
      <c r="G234" s="9">
        <f t="shared" ref="G234" si="31">ROUND(E234*F234,2)</f>
        <v>0</v>
      </c>
    </row>
    <row r="235" spans="1:7" ht="36" customHeight="1">
      <c r="A235" s="40"/>
      <c r="B235" s="45"/>
      <c r="C235" s="131" t="s">
        <v>500</v>
      </c>
      <c r="D235" s="45" t="s">
        <v>31</v>
      </c>
      <c r="E235" s="45" t="s">
        <v>31</v>
      </c>
      <c r="F235" s="45" t="s">
        <v>31</v>
      </c>
      <c r="G235" s="46" t="s">
        <v>31</v>
      </c>
    </row>
    <row r="236" spans="1:7" ht="36" customHeight="1">
      <c r="A236" s="40"/>
      <c r="B236" s="45"/>
      <c r="C236" s="131" t="s">
        <v>501</v>
      </c>
      <c r="D236" s="45" t="s">
        <v>31</v>
      </c>
      <c r="E236" s="45" t="s">
        <v>31</v>
      </c>
      <c r="F236" s="45" t="s">
        <v>31</v>
      </c>
      <c r="G236" s="46" t="s">
        <v>31</v>
      </c>
    </row>
    <row r="237" spans="1:7" ht="36" customHeight="1">
      <c r="A237" s="132" t="s">
        <v>154</v>
      </c>
      <c r="B237" s="133"/>
      <c r="C237" s="134" t="s">
        <v>502</v>
      </c>
      <c r="D237" s="133" t="s">
        <v>31</v>
      </c>
      <c r="E237" s="133" t="s">
        <v>31</v>
      </c>
      <c r="F237" s="133" t="s">
        <v>31</v>
      </c>
      <c r="G237" s="135" t="s">
        <v>31</v>
      </c>
    </row>
    <row r="238" spans="1:7" ht="36" customHeight="1">
      <c r="A238" s="48" t="s">
        <v>503</v>
      </c>
      <c r="B238" s="138" t="s">
        <v>504</v>
      </c>
      <c r="C238" s="137" t="s">
        <v>505</v>
      </c>
      <c r="D238" s="138" t="s">
        <v>42</v>
      </c>
      <c r="E238" s="138">
        <f>81.95+80.59</f>
        <v>162.54000000000002</v>
      </c>
      <c r="F238" s="22"/>
      <c r="G238" s="9">
        <f t="shared" ref="G238" si="32">ROUND(E238*F238,2)</f>
        <v>0</v>
      </c>
    </row>
    <row r="239" spans="1:7" ht="36" customHeight="1">
      <c r="A239" s="132" t="s">
        <v>155</v>
      </c>
      <c r="B239" s="133"/>
      <c r="C239" s="134" t="s">
        <v>506</v>
      </c>
      <c r="D239" s="133" t="s">
        <v>31</v>
      </c>
      <c r="E239" s="133" t="s">
        <v>31</v>
      </c>
      <c r="F239" s="133" t="s">
        <v>31</v>
      </c>
      <c r="G239" s="135" t="s">
        <v>31</v>
      </c>
    </row>
    <row r="240" spans="1:7" ht="36" customHeight="1">
      <c r="A240" s="48" t="s">
        <v>507</v>
      </c>
      <c r="B240" s="138" t="s">
        <v>504</v>
      </c>
      <c r="C240" s="137" t="s">
        <v>508</v>
      </c>
      <c r="D240" s="138" t="s">
        <v>42</v>
      </c>
      <c r="E240" s="138">
        <v>20</v>
      </c>
      <c r="F240" s="22"/>
      <c r="G240" s="9">
        <f t="shared" ref="G240" si="33">ROUND(E240*F240,2)</f>
        <v>0</v>
      </c>
    </row>
    <row r="241" spans="1:7" ht="36" customHeight="1">
      <c r="A241" s="132" t="s">
        <v>156</v>
      </c>
      <c r="B241" s="133"/>
      <c r="C241" s="134" t="s">
        <v>509</v>
      </c>
      <c r="D241" s="133" t="s">
        <v>31</v>
      </c>
      <c r="E241" s="133" t="s">
        <v>31</v>
      </c>
      <c r="F241" s="133" t="s">
        <v>31</v>
      </c>
      <c r="G241" s="135" t="s">
        <v>31</v>
      </c>
    </row>
    <row r="242" spans="1:7" ht="36" customHeight="1">
      <c r="A242" s="48" t="s">
        <v>510</v>
      </c>
      <c r="B242" s="138" t="s">
        <v>511</v>
      </c>
      <c r="C242" s="137" t="s">
        <v>575</v>
      </c>
      <c r="D242" s="138" t="s">
        <v>42</v>
      </c>
      <c r="E242" s="138">
        <v>80.59</v>
      </c>
      <c r="F242" s="22"/>
      <c r="G242" s="9">
        <f t="shared" ref="G242:G243" si="34">ROUND(E242*F242,2)</f>
        <v>0</v>
      </c>
    </row>
    <row r="243" spans="1:7" ht="36" customHeight="1">
      <c r="A243" s="48" t="s">
        <v>576</v>
      </c>
      <c r="B243" s="138" t="s">
        <v>511</v>
      </c>
      <c r="C243" s="137" t="s">
        <v>577</v>
      </c>
      <c r="D243" s="138" t="s">
        <v>42</v>
      </c>
      <c r="E243" s="138">
        <v>81.95</v>
      </c>
      <c r="F243" s="22"/>
      <c r="G243" s="9">
        <f t="shared" si="34"/>
        <v>0</v>
      </c>
    </row>
    <row r="244" spans="1:7" ht="36" customHeight="1">
      <c r="A244" s="132" t="s">
        <v>196</v>
      </c>
      <c r="B244" s="133"/>
      <c r="C244" s="134" t="s">
        <v>513</v>
      </c>
      <c r="D244" s="133" t="s">
        <v>31</v>
      </c>
      <c r="E244" s="133" t="s">
        <v>31</v>
      </c>
      <c r="F244" s="133" t="s">
        <v>31</v>
      </c>
      <c r="G244" s="135" t="s">
        <v>31</v>
      </c>
    </row>
    <row r="245" spans="1:7" ht="36" customHeight="1">
      <c r="A245" s="48" t="s">
        <v>514</v>
      </c>
      <c r="B245" s="138" t="s">
        <v>515</v>
      </c>
      <c r="C245" s="137" t="s">
        <v>516</v>
      </c>
      <c r="D245" s="138" t="s">
        <v>42</v>
      </c>
      <c r="E245" s="138">
        <v>80.59</v>
      </c>
      <c r="F245" s="22"/>
      <c r="G245" s="9">
        <f t="shared" ref="G245:G246" si="35">ROUND(E245*F245,2)</f>
        <v>0</v>
      </c>
    </row>
    <row r="246" spans="1:7" ht="36" customHeight="1">
      <c r="A246" s="48" t="s">
        <v>517</v>
      </c>
      <c r="B246" s="138" t="s">
        <v>515</v>
      </c>
      <c r="C246" s="137" t="s">
        <v>518</v>
      </c>
      <c r="D246" s="138" t="s">
        <v>42</v>
      </c>
      <c r="E246" s="138">
        <f>1.2*18.09</f>
        <v>21.707999999999998</v>
      </c>
      <c r="F246" s="22"/>
      <c r="G246" s="9">
        <f t="shared" si="35"/>
        <v>0</v>
      </c>
    </row>
    <row r="247" spans="1:7" ht="36" customHeight="1">
      <c r="A247" s="40"/>
      <c r="B247" s="45"/>
      <c r="C247" s="131" t="s">
        <v>519</v>
      </c>
      <c r="D247" s="45" t="s">
        <v>31</v>
      </c>
      <c r="E247" s="45" t="s">
        <v>31</v>
      </c>
      <c r="F247" s="45" t="s">
        <v>31</v>
      </c>
      <c r="G247" s="46" t="s">
        <v>31</v>
      </c>
    </row>
    <row r="248" spans="1:7" ht="36" customHeight="1">
      <c r="A248" s="132" t="s">
        <v>198</v>
      </c>
      <c r="B248" s="133"/>
      <c r="C248" s="134" t="s">
        <v>520</v>
      </c>
      <c r="D248" s="133" t="s">
        <v>31</v>
      </c>
      <c r="E248" s="133" t="s">
        <v>31</v>
      </c>
      <c r="F248" s="133" t="s">
        <v>31</v>
      </c>
      <c r="G248" s="135" t="s">
        <v>31</v>
      </c>
    </row>
    <row r="249" spans="1:7" ht="36" customHeight="1">
      <c r="A249" s="48" t="s">
        <v>521</v>
      </c>
      <c r="B249" s="138" t="s">
        <v>522</v>
      </c>
      <c r="C249" s="137" t="s">
        <v>520</v>
      </c>
      <c r="D249" s="138" t="s">
        <v>42</v>
      </c>
      <c r="E249" s="138">
        <f>12+10+22</f>
        <v>44</v>
      </c>
      <c r="F249" s="22"/>
      <c r="G249" s="9">
        <f t="shared" ref="G249" si="36">ROUND(E249*F249,2)</f>
        <v>0</v>
      </c>
    </row>
    <row r="250" spans="1:7" ht="36" customHeight="1">
      <c r="A250" s="40"/>
      <c r="B250" s="45"/>
      <c r="C250" s="131" t="s">
        <v>523</v>
      </c>
      <c r="D250" s="45" t="s">
        <v>31</v>
      </c>
      <c r="E250" s="45" t="s">
        <v>31</v>
      </c>
      <c r="F250" s="45" t="s">
        <v>31</v>
      </c>
      <c r="G250" s="46" t="s">
        <v>31</v>
      </c>
    </row>
    <row r="251" spans="1:7" ht="36" customHeight="1">
      <c r="A251" s="40"/>
      <c r="B251" s="45"/>
      <c r="C251" s="131" t="s">
        <v>524</v>
      </c>
      <c r="D251" s="45" t="s">
        <v>31</v>
      </c>
      <c r="E251" s="45" t="s">
        <v>31</v>
      </c>
      <c r="F251" s="45" t="s">
        <v>31</v>
      </c>
      <c r="G251" s="46" t="s">
        <v>31</v>
      </c>
    </row>
    <row r="252" spans="1:7" ht="36" customHeight="1">
      <c r="A252" s="132" t="s">
        <v>200</v>
      </c>
      <c r="B252" s="133"/>
      <c r="C252" s="134" t="s">
        <v>525</v>
      </c>
      <c r="D252" s="133" t="s">
        <v>31</v>
      </c>
      <c r="E252" s="133" t="s">
        <v>31</v>
      </c>
      <c r="F252" s="133" t="s">
        <v>31</v>
      </c>
      <c r="G252" s="135" t="s">
        <v>31</v>
      </c>
    </row>
    <row r="253" spans="1:7" ht="36" customHeight="1">
      <c r="A253" s="48" t="s">
        <v>526</v>
      </c>
      <c r="B253" s="138" t="s">
        <v>527</v>
      </c>
      <c r="C253" s="137" t="s">
        <v>528</v>
      </c>
      <c r="D253" s="138" t="s">
        <v>42</v>
      </c>
      <c r="E253" s="138">
        <v>5.38</v>
      </c>
      <c r="F253" s="22"/>
      <c r="G253" s="9">
        <f t="shared" ref="G253:G255" si="37">ROUND(E253*F253,2)</f>
        <v>0</v>
      </c>
    </row>
    <row r="254" spans="1:7" ht="36" customHeight="1">
      <c r="A254" s="48" t="s">
        <v>529</v>
      </c>
      <c r="B254" s="138" t="s">
        <v>527</v>
      </c>
      <c r="C254" s="137" t="s">
        <v>530</v>
      </c>
      <c r="D254" s="138" t="s">
        <v>42</v>
      </c>
      <c r="E254" s="138">
        <f>3*80.59</f>
        <v>241.77</v>
      </c>
      <c r="F254" s="22"/>
      <c r="G254" s="9">
        <f t="shared" si="37"/>
        <v>0</v>
      </c>
    </row>
    <row r="255" spans="1:7" ht="36" customHeight="1">
      <c r="A255" s="48" t="s">
        <v>578</v>
      </c>
      <c r="B255" s="138" t="s">
        <v>527</v>
      </c>
      <c r="C255" s="137" t="s">
        <v>579</v>
      </c>
      <c r="D255" s="138" t="s">
        <v>42</v>
      </c>
      <c r="E255" s="138">
        <v>89.6</v>
      </c>
      <c r="F255" s="22"/>
      <c r="G255" s="9">
        <f t="shared" si="37"/>
        <v>0</v>
      </c>
    </row>
    <row r="256" spans="1:7" ht="36" customHeight="1">
      <c r="A256" s="132" t="s">
        <v>202</v>
      </c>
      <c r="B256" s="133"/>
      <c r="C256" s="134" t="s">
        <v>531</v>
      </c>
      <c r="D256" s="133" t="s">
        <v>31</v>
      </c>
      <c r="E256" s="133" t="s">
        <v>31</v>
      </c>
      <c r="F256" s="133" t="s">
        <v>31</v>
      </c>
      <c r="G256" s="135" t="s">
        <v>31</v>
      </c>
    </row>
    <row r="257" spans="1:7" ht="36" customHeight="1">
      <c r="A257" s="48" t="s">
        <v>532</v>
      </c>
      <c r="B257" s="138" t="s">
        <v>533</v>
      </c>
      <c r="C257" s="137" t="s">
        <v>534</v>
      </c>
      <c r="D257" s="138" t="s">
        <v>42</v>
      </c>
      <c r="E257" s="138">
        <f>1.2*18.09</f>
        <v>21.707999999999998</v>
      </c>
      <c r="F257" s="22"/>
      <c r="G257" s="9">
        <f t="shared" ref="G257" si="38">ROUND(E257*F257,2)</f>
        <v>0</v>
      </c>
    </row>
    <row r="258" spans="1:7" ht="36" customHeight="1">
      <c r="A258" s="132" t="s">
        <v>204</v>
      </c>
      <c r="B258" s="133"/>
      <c r="C258" s="134" t="s">
        <v>535</v>
      </c>
      <c r="D258" s="133" t="s">
        <v>31</v>
      </c>
      <c r="E258" s="133" t="s">
        <v>31</v>
      </c>
      <c r="F258" s="133" t="s">
        <v>31</v>
      </c>
      <c r="G258" s="135" t="s">
        <v>31</v>
      </c>
    </row>
    <row r="259" spans="1:7" ht="36" customHeight="1">
      <c r="A259" s="48" t="s">
        <v>536</v>
      </c>
      <c r="B259" s="138" t="s">
        <v>537</v>
      </c>
      <c r="C259" s="137" t="s">
        <v>538</v>
      </c>
      <c r="D259" s="138" t="s">
        <v>430</v>
      </c>
      <c r="E259" s="138">
        <f>330.24+276.75+17.13*2</f>
        <v>641.25</v>
      </c>
      <c r="F259" s="22"/>
      <c r="G259" s="9">
        <f t="shared" ref="G259" si="39">ROUND(E259*F259,2)</f>
        <v>0</v>
      </c>
    </row>
    <row r="260" spans="1:7" ht="36" customHeight="1">
      <c r="A260" s="132" t="s">
        <v>206</v>
      </c>
      <c r="B260" s="133"/>
      <c r="C260" s="134" t="s">
        <v>539</v>
      </c>
      <c r="D260" s="133" t="s">
        <v>31</v>
      </c>
      <c r="E260" s="133" t="s">
        <v>31</v>
      </c>
      <c r="F260" s="133" t="s">
        <v>31</v>
      </c>
      <c r="G260" s="135" t="s">
        <v>31</v>
      </c>
    </row>
    <row r="261" spans="1:7" ht="36" customHeight="1">
      <c r="A261" s="48" t="s">
        <v>540</v>
      </c>
      <c r="B261" s="138" t="s">
        <v>541</v>
      </c>
      <c r="C261" s="137" t="s">
        <v>542</v>
      </c>
      <c r="D261" s="138" t="s">
        <v>162</v>
      </c>
      <c r="E261" s="138">
        <v>22</v>
      </c>
      <c r="F261" s="22"/>
      <c r="G261" s="9">
        <f t="shared" ref="G261:G262" si="40">ROUND(E261*F261,2)</f>
        <v>0</v>
      </c>
    </row>
    <row r="262" spans="1:7" ht="36" customHeight="1">
      <c r="A262" s="48" t="s">
        <v>543</v>
      </c>
      <c r="B262" s="138" t="s">
        <v>541</v>
      </c>
      <c r="C262" s="137" t="s">
        <v>544</v>
      </c>
      <c r="D262" s="138" t="s">
        <v>162</v>
      </c>
      <c r="E262" s="138">
        <v>1</v>
      </c>
      <c r="F262" s="22"/>
      <c r="G262" s="9">
        <f t="shared" si="40"/>
        <v>0</v>
      </c>
    </row>
    <row r="263" spans="1:7" ht="36" customHeight="1">
      <c r="A263" s="132" t="s">
        <v>208</v>
      </c>
      <c r="B263" s="139"/>
      <c r="C263" s="134" t="s">
        <v>545</v>
      </c>
      <c r="D263" s="133" t="s">
        <v>31</v>
      </c>
      <c r="E263" s="133" t="s">
        <v>31</v>
      </c>
      <c r="F263" s="133" t="s">
        <v>31</v>
      </c>
      <c r="G263" s="135" t="s">
        <v>31</v>
      </c>
    </row>
    <row r="264" spans="1:7" ht="36" customHeight="1">
      <c r="A264" s="48" t="s">
        <v>546</v>
      </c>
      <c r="B264" s="138" t="s">
        <v>547</v>
      </c>
      <c r="C264" s="137" t="s">
        <v>548</v>
      </c>
      <c r="D264" s="138" t="s">
        <v>430</v>
      </c>
      <c r="E264" s="138">
        <f>12.75*13.32+9.51*13.32+6.1*4*4.71+103.56+103.89+27.23+16.26+12.91*1.5+12.91*2*1.1</f>
        <v>710.13420000000008</v>
      </c>
      <c r="F264" s="22"/>
      <c r="G264" s="9">
        <f t="shared" ref="G264" si="41">ROUND(E264*F264,2)</f>
        <v>0</v>
      </c>
    </row>
    <row r="265" spans="1:7" ht="36" customHeight="1">
      <c r="A265" s="40"/>
      <c r="B265" s="140"/>
      <c r="C265" s="131" t="s">
        <v>549</v>
      </c>
      <c r="D265" s="45" t="s">
        <v>31</v>
      </c>
      <c r="E265" s="45" t="s">
        <v>31</v>
      </c>
      <c r="F265" s="45" t="s">
        <v>31</v>
      </c>
      <c r="G265" s="46" t="s">
        <v>31</v>
      </c>
    </row>
    <row r="266" spans="1:7" ht="36" customHeight="1">
      <c r="A266" s="132" t="s">
        <v>210</v>
      </c>
      <c r="B266" s="139"/>
      <c r="C266" s="134" t="s">
        <v>550</v>
      </c>
      <c r="D266" s="133" t="s">
        <v>31</v>
      </c>
      <c r="E266" s="133" t="s">
        <v>31</v>
      </c>
      <c r="F266" s="133" t="s">
        <v>31</v>
      </c>
      <c r="G266" s="135" t="s">
        <v>31</v>
      </c>
    </row>
    <row r="267" spans="1:7" ht="36" customHeight="1" thickBot="1">
      <c r="A267" s="48" t="s">
        <v>551</v>
      </c>
      <c r="B267" s="138" t="s">
        <v>552</v>
      </c>
      <c r="C267" s="137" t="s">
        <v>553</v>
      </c>
      <c r="D267" s="138" t="s">
        <v>317</v>
      </c>
      <c r="E267" s="138">
        <v>1</v>
      </c>
      <c r="F267" s="22"/>
      <c r="G267" s="9">
        <f t="shared" ref="G267" si="42">ROUND(E267*F267,2)</f>
        <v>0</v>
      </c>
    </row>
    <row r="268" spans="1:7" ht="36" customHeight="1" thickBot="1">
      <c r="A268" s="205" t="s">
        <v>580</v>
      </c>
      <c r="B268" s="206"/>
      <c r="C268" s="206"/>
      <c r="D268" s="206"/>
      <c r="E268" s="206"/>
      <c r="F268" s="206"/>
      <c r="G268" s="207"/>
    </row>
    <row r="269" spans="1:7" ht="36" customHeight="1" thickBot="1">
      <c r="A269" s="4" t="s">
        <v>6</v>
      </c>
      <c r="B269" s="18" t="s">
        <v>25</v>
      </c>
      <c r="C269" s="130" t="s">
        <v>7</v>
      </c>
      <c r="D269" s="18" t="s">
        <v>26</v>
      </c>
      <c r="E269" s="18" t="s">
        <v>27</v>
      </c>
      <c r="F269" s="19" t="s">
        <v>28</v>
      </c>
      <c r="G269" s="6" t="s">
        <v>8</v>
      </c>
    </row>
    <row r="270" spans="1:7" ht="36" customHeight="1">
      <c r="A270" s="40"/>
      <c r="B270" s="45"/>
      <c r="C270" s="131" t="s">
        <v>30</v>
      </c>
      <c r="D270" s="45" t="s">
        <v>31</v>
      </c>
      <c r="E270" s="45" t="s">
        <v>31</v>
      </c>
      <c r="F270" s="45" t="s">
        <v>31</v>
      </c>
      <c r="G270" s="46" t="s">
        <v>31</v>
      </c>
    </row>
    <row r="271" spans="1:7" ht="36" customHeight="1">
      <c r="A271" s="132" t="s">
        <v>9</v>
      </c>
      <c r="B271" s="133"/>
      <c r="C271" s="134" t="s">
        <v>315</v>
      </c>
      <c r="D271" s="133" t="s">
        <v>31</v>
      </c>
      <c r="E271" s="133" t="s">
        <v>31</v>
      </c>
      <c r="F271" s="133" t="s">
        <v>31</v>
      </c>
      <c r="G271" s="135" t="s">
        <v>31</v>
      </c>
    </row>
    <row r="272" spans="1:7" ht="36" customHeight="1">
      <c r="A272" s="48" t="s">
        <v>300</v>
      </c>
      <c r="B272" s="138" t="s">
        <v>316</v>
      </c>
      <c r="C272" s="137" t="s">
        <v>315</v>
      </c>
      <c r="D272" s="138" t="s">
        <v>317</v>
      </c>
      <c r="E272" s="138">
        <v>1</v>
      </c>
      <c r="F272" s="22"/>
      <c r="G272" s="9">
        <f t="shared" ref="G272" si="43">ROUND(E272*F272,2)</f>
        <v>0</v>
      </c>
    </row>
    <row r="273" spans="1:7" ht="36" customHeight="1">
      <c r="A273" s="40"/>
      <c r="B273" s="45"/>
      <c r="C273" s="131" t="s">
        <v>318</v>
      </c>
      <c r="D273" s="45" t="s">
        <v>31</v>
      </c>
      <c r="E273" s="45" t="s">
        <v>31</v>
      </c>
      <c r="F273" s="45" t="s">
        <v>31</v>
      </c>
      <c r="G273" s="46" t="s">
        <v>31</v>
      </c>
    </row>
    <row r="274" spans="1:7" ht="36" customHeight="1">
      <c r="A274" s="132" t="s">
        <v>11</v>
      </c>
      <c r="B274" s="133"/>
      <c r="C274" s="134" t="s">
        <v>319</v>
      </c>
      <c r="D274" s="133" t="s">
        <v>31</v>
      </c>
      <c r="E274" s="133" t="s">
        <v>31</v>
      </c>
      <c r="F274" s="133" t="s">
        <v>31</v>
      </c>
      <c r="G274" s="135" t="s">
        <v>31</v>
      </c>
    </row>
    <row r="275" spans="1:7" ht="36" customHeight="1">
      <c r="A275" s="48" t="s">
        <v>320</v>
      </c>
      <c r="B275" s="138" t="s">
        <v>321</v>
      </c>
      <c r="C275" s="137" t="s">
        <v>322</v>
      </c>
      <c r="D275" s="138" t="s">
        <v>581</v>
      </c>
      <c r="E275" s="138">
        <v>606.24</v>
      </c>
      <c r="F275" s="22"/>
      <c r="G275" s="9">
        <f t="shared" ref="G275" si="44">ROUND(E275*F275,2)</f>
        <v>0</v>
      </c>
    </row>
    <row r="276" spans="1:7" ht="36" customHeight="1">
      <c r="A276" s="132" t="s">
        <v>13</v>
      </c>
      <c r="B276" s="133"/>
      <c r="C276" s="134" t="s">
        <v>325</v>
      </c>
      <c r="D276" s="133" t="s">
        <v>31</v>
      </c>
      <c r="E276" s="133" t="s">
        <v>31</v>
      </c>
      <c r="F276" s="133" t="s">
        <v>31</v>
      </c>
      <c r="G276" s="135" t="s">
        <v>31</v>
      </c>
    </row>
    <row r="277" spans="1:7" ht="36" customHeight="1">
      <c r="A277" s="48" t="s">
        <v>326</v>
      </c>
      <c r="B277" s="138" t="s">
        <v>327</v>
      </c>
      <c r="C277" s="137" t="s">
        <v>556</v>
      </c>
      <c r="D277" s="138" t="s">
        <v>581</v>
      </c>
      <c r="E277" s="138">
        <v>255.3</v>
      </c>
      <c r="F277" s="22"/>
      <c r="G277" s="9">
        <f t="shared" ref="G277:G280" si="45">ROUND(E277*F277,2)</f>
        <v>0</v>
      </c>
    </row>
    <row r="278" spans="1:7" ht="36" customHeight="1">
      <c r="A278" s="48" t="s">
        <v>557</v>
      </c>
      <c r="B278" s="138" t="s">
        <v>327</v>
      </c>
      <c r="C278" s="137" t="s">
        <v>329</v>
      </c>
      <c r="D278" s="138" t="s">
        <v>581</v>
      </c>
      <c r="E278" s="138">
        <v>3902.1</v>
      </c>
      <c r="F278" s="22"/>
      <c r="G278" s="9">
        <f t="shared" si="45"/>
        <v>0</v>
      </c>
    </row>
    <row r="279" spans="1:7" ht="36" customHeight="1">
      <c r="A279" s="48" t="s">
        <v>558</v>
      </c>
      <c r="B279" s="138" t="s">
        <v>327</v>
      </c>
      <c r="C279" s="137" t="s">
        <v>582</v>
      </c>
      <c r="D279" s="138" t="s">
        <v>581</v>
      </c>
      <c r="E279" s="138">
        <f>358*12</f>
        <v>4296</v>
      </c>
      <c r="F279" s="22"/>
      <c r="G279" s="9">
        <f t="shared" si="45"/>
        <v>0</v>
      </c>
    </row>
    <row r="280" spans="1:7" ht="36" customHeight="1">
      <c r="A280" s="48" t="s">
        <v>583</v>
      </c>
      <c r="B280" s="138" t="s">
        <v>327</v>
      </c>
      <c r="C280" s="137" t="s">
        <v>330</v>
      </c>
      <c r="D280" s="138" t="s">
        <v>581</v>
      </c>
      <c r="E280" s="138">
        <v>478.78</v>
      </c>
      <c r="F280" s="22"/>
      <c r="G280" s="9">
        <f t="shared" si="45"/>
        <v>0</v>
      </c>
    </row>
    <row r="281" spans="1:7" ht="36" customHeight="1">
      <c r="A281" s="40"/>
      <c r="B281" s="45"/>
      <c r="C281" s="131" t="s">
        <v>336</v>
      </c>
      <c r="D281" s="45" t="s">
        <v>31</v>
      </c>
      <c r="E281" s="45" t="s">
        <v>31</v>
      </c>
      <c r="F281" s="45" t="s">
        <v>31</v>
      </c>
      <c r="G281" s="46" t="s">
        <v>31</v>
      </c>
    </row>
    <row r="282" spans="1:7" ht="36" customHeight="1">
      <c r="A282" s="132" t="s">
        <v>15</v>
      </c>
      <c r="B282" s="133"/>
      <c r="C282" s="134" t="s">
        <v>337</v>
      </c>
      <c r="D282" s="133" t="s">
        <v>31</v>
      </c>
      <c r="E282" s="133" t="s">
        <v>31</v>
      </c>
      <c r="F282" s="133" t="s">
        <v>31</v>
      </c>
      <c r="G282" s="135" t="s">
        <v>31</v>
      </c>
    </row>
    <row r="283" spans="1:7" ht="36" customHeight="1">
      <c r="A283" s="48" t="s">
        <v>333</v>
      </c>
      <c r="B283" s="138" t="s">
        <v>339</v>
      </c>
      <c r="C283" s="137" t="s">
        <v>584</v>
      </c>
      <c r="D283" s="138" t="s">
        <v>341</v>
      </c>
      <c r="E283" s="138">
        <v>23015</v>
      </c>
      <c r="F283" s="22"/>
      <c r="G283" s="9">
        <f t="shared" ref="G283:G287" si="46">ROUND(E283*F283,2)</f>
        <v>0</v>
      </c>
    </row>
    <row r="284" spans="1:7" ht="36" customHeight="1">
      <c r="A284" s="48" t="s">
        <v>585</v>
      </c>
      <c r="B284" s="138" t="s">
        <v>339</v>
      </c>
      <c r="C284" s="137" t="s">
        <v>586</v>
      </c>
      <c r="D284" s="138" t="s">
        <v>341</v>
      </c>
      <c r="E284" s="138">
        <v>6598</v>
      </c>
      <c r="F284" s="22"/>
      <c r="G284" s="9">
        <f t="shared" si="46"/>
        <v>0</v>
      </c>
    </row>
    <row r="285" spans="1:7" ht="36" customHeight="1">
      <c r="A285" s="48" t="s">
        <v>587</v>
      </c>
      <c r="B285" s="138" t="s">
        <v>339</v>
      </c>
      <c r="C285" s="137" t="s">
        <v>588</v>
      </c>
      <c r="D285" s="138" t="s">
        <v>341</v>
      </c>
      <c r="E285" s="138">
        <v>41913</v>
      </c>
      <c r="F285" s="22"/>
      <c r="G285" s="9">
        <f t="shared" si="46"/>
        <v>0</v>
      </c>
    </row>
    <row r="286" spans="1:7" ht="36" customHeight="1">
      <c r="A286" s="48" t="s">
        <v>589</v>
      </c>
      <c r="B286" s="138" t="s">
        <v>339</v>
      </c>
      <c r="C286" s="137" t="s">
        <v>349</v>
      </c>
      <c r="D286" s="138" t="s">
        <v>341</v>
      </c>
      <c r="E286" s="138">
        <f>9069+39</f>
        <v>9108</v>
      </c>
      <c r="F286" s="22"/>
      <c r="G286" s="9">
        <f t="shared" si="46"/>
        <v>0</v>
      </c>
    </row>
    <row r="287" spans="1:7" ht="36" customHeight="1">
      <c r="A287" s="48" t="s">
        <v>590</v>
      </c>
      <c r="B287" s="138" t="s">
        <v>339</v>
      </c>
      <c r="C287" s="137" t="s">
        <v>351</v>
      </c>
      <c r="D287" s="138" t="s">
        <v>341</v>
      </c>
      <c r="E287" s="138">
        <v>4064</v>
      </c>
      <c r="F287" s="22"/>
      <c r="G287" s="9">
        <f t="shared" si="46"/>
        <v>0</v>
      </c>
    </row>
    <row r="288" spans="1:7" ht="36" customHeight="1">
      <c r="A288" s="40"/>
      <c r="B288" s="45"/>
      <c r="C288" s="131" t="s">
        <v>359</v>
      </c>
      <c r="D288" s="45" t="s">
        <v>31</v>
      </c>
      <c r="E288" s="45" t="s">
        <v>31</v>
      </c>
      <c r="F288" s="45" t="s">
        <v>31</v>
      </c>
      <c r="G288" s="46" t="s">
        <v>31</v>
      </c>
    </row>
    <row r="289" spans="1:7" ht="36" customHeight="1">
      <c r="A289" s="40"/>
      <c r="B289" s="45"/>
      <c r="C289" s="131" t="s">
        <v>360</v>
      </c>
      <c r="D289" s="45" t="s">
        <v>31</v>
      </c>
      <c r="E289" s="45" t="s">
        <v>31</v>
      </c>
      <c r="F289" s="45" t="s">
        <v>31</v>
      </c>
      <c r="G289" s="46" t="s">
        <v>31</v>
      </c>
    </row>
    <row r="290" spans="1:7" ht="36" customHeight="1">
      <c r="A290" s="132" t="s">
        <v>17</v>
      </c>
      <c r="B290" s="133"/>
      <c r="C290" s="134" t="s">
        <v>362</v>
      </c>
      <c r="D290" s="133" t="s">
        <v>31</v>
      </c>
      <c r="E290" s="133" t="s">
        <v>31</v>
      </c>
      <c r="F290" s="133" t="s">
        <v>31</v>
      </c>
      <c r="G290" s="135" t="s">
        <v>31</v>
      </c>
    </row>
    <row r="291" spans="1:7" ht="36" customHeight="1">
      <c r="A291" s="48" t="s">
        <v>338</v>
      </c>
      <c r="B291" s="138" t="s">
        <v>364</v>
      </c>
      <c r="C291" s="137" t="s">
        <v>365</v>
      </c>
      <c r="D291" s="138" t="s">
        <v>581</v>
      </c>
      <c r="E291" s="138">
        <v>177.2</v>
      </c>
      <c r="F291" s="22"/>
      <c r="G291" s="9">
        <f t="shared" ref="G291" si="47">ROUND(E291*F291,2)</f>
        <v>0</v>
      </c>
    </row>
    <row r="292" spans="1:7" ht="36" customHeight="1">
      <c r="A292" s="132" t="s">
        <v>18</v>
      </c>
      <c r="B292" s="133"/>
      <c r="C292" s="134" t="s">
        <v>367</v>
      </c>
      <c r="D292" s="133" t="s">
        <v>31</v>
      </c>
      <c r="E292" s="133" t="s">
        <v>31</v>
      </c>
      <c r="F292" s="133" t="s">
        <v>31</v>
      </c>
      <c r="G292" s="135" t="s">
        <v>31</v>
      </c>
    </row>
    <row r="293" spans="1:7" ht="36" customHeight="1">
      <c r="A293" s="48" t="s">
        <v>354</v>
      </c>
      <c r="B293" s="138" t="s">
        <v>364</v>
      </c>
      <c r="C293" s="137" t="s">
        <v>591</v>
      </c>
      <c r="D293" s="138" t="s">
        <v>581</v>
      </c>
      <c r="E293" s="138">
        <v>88.6</v>
      </c>
      <c r="F293" s="22"/>
      <c r="G293" s="9">
        <f t="shared" ref="G293" si="48">ROUND(E293*F293,2)</f>
        <v>0</v>
      </c>
    </row>
    <row r="294" spans="1:7" ht="36" customHeight="1">
      <c r="A294" s="132" t="s">
        <v>19</v>
      </c>
      <c r="B294" s="133"/>
      <c r="C294" s="134" t="s">
        <v>373</v>
      </c>
      <c r="D294" s="133" t="s">
        <v>31</v>
      </c>
      <c r="E294" s="133" t="s">
        <v>31</v>
      </c>
      <c r="F294" s="133" t="s">
        <v>31</v>
      </c>
      <c r="G294" s="135" t="s">
        <v>31</v>
      </c>
    </row>
    <row r="295" spans="1:7" ht="36" customHeight="1">
      <c r="A295" s="48" t="s">
        <v>363</v>
      </c>
      <c r="B295" s="138" t="s">
        <v>364</v>
      </c>
      <c r="C295" s="137" t="s">
        <v>560</v>
      </c>
      <c r="D295" s="138" t="s">
        <v>581</v>
      </c>
      <c r="E295" s="138">
        <v>250.3</v>
      </c>
      <c r="F295" s="22"/>
      <c r="G295" s="9">
        <f t="shared" ref="G295" si="49">ROUND(E295*F295,2)</f>
        <v>0</v>
      </c>
    </row>
    <row r="296" spans="1:7" ht="36" customHeight="1">
      <c r="A296" s="132" t="s">
        <v>20</v>
      </c>
      <c r="B296" s="133"/>
      <c r="C296" s="134" t="s">
        <v>377</v>
      </c>
      <c r="D296" s="133" t="s">
        <v>31</v>
      </c>
      <c r="E296" s="133" t="s">
        <v>31</v>
      </c>
      <c r="F296" s="133" t="s">
        <v>31</v>
      </c>
      <c r="G296" s="135" t="s">
        <v>31</v>
      </c>
    </row>
    <row r="297" spans="1:7" ht="36" customHeight="1">
      <c r="A297" s="48" t="s">
        <v>368</v>
      </c>
      <c r="B297" s="138" t="s">
        <v>364</v>
      </c>
      <c r="C297" s="137" t="s">
        <v>379</v>
      </c>
      <c r="D297" s="138" t="s">
        <v>581</v>
      </c>
      <c r="E297" s="138">
        <v>41.5</v>
      </c>
      <c r="F297" s="22"/>
      <c r="G297" s="9">
        <f t="shared" ref="G297:G298" si="50">ROUND(E297*F297,2)</f>
        <v>0</v>
      </c>
    </row>
    <row r="298" spans="1:7" ht="36" customHeight="1">
      <c r="A298" s="48" t="s">
        <v>370</v>
      </c>
      <c r="B298" s="138" t="s">
        <v>364</v>
      </c>
      <c r="C298" s="137" t="s">
        <v>381</v>
      </c>
      <c r="D298" s="138" t="s">
        <v>581</v>
      </c>
      <c r="E298" s="138">
        <v>135.1</v>
      </c>
      <c r="F298" s="22"/>
      <c r="G298" s="9">
        <f t="shared" si="50"/>
        <v>0</v>
      </c>
    </row>
    <row r="299" spans="1:7" ht="36" customHeight="1">
      <c r="A299" s="40"/>
      <c r="B299" s="45"/>
      <c r="C299" s="131" t="s">
        <v>384</v>
      </c>
      <c r="D299" s="45" t="s">
        <v>31</v>
      </c>
      <c r="E299" s="45" t="s">
        <v>31</v>
      </c>
      <c r="F299" s="45" t="s">
        <v>31</v>
      </c>
      <c r="G299" s="46" t="s">
        <v>31</v>
      </c>
    </row>
    <row r="300" spans="1:7" ht="36" customHeight="1">
      <c r="A300" s="132" t="s">
        <v>39</v>
      </c>
      <c r="B300" s="133"/>
      <c r="C300" s="134" t="s">
        <v>592</v>
      </c>
      <c r="D300" s="133" t="s">
        <v>31</v>
      </c>
      <c r="E300" s="133" t="s">
        <v>31</v>
      </c>
      <c r="F300" s="133" t="s">
        <v>31</v>
      </c>
      <c r="G300" s="135" t="s">
        <v>31</v>
      </c>
    </row>
    <row r="301" spans="1:7" ht="36" customHeight="1">
      <c r="A301" s="48" t="s">
        <v>374</v>
      </c>
      <c r="B301" s="138" t="s">
        <v>388</v>
      </c>
      <c r="C301" s="137" t="s">
        <v>389</v>
      </c>
      <c r="D301" s="138" t="s">
        <v>581</v>
      </c>
      <c r="E301" s="138">
        <f>6.7+9.1+19.5</f>
        <v>35.299999999999997</v>
      </c>
      <c r="F301" s="22"/>
      <c r="G301" s="9">
        <f t="shared" ref="G301" si="51">ROUND(E301*F301,2)</f>
        <v>0</v>
      </c>
    </row>
    <row r="302" spans="1:7" ht="36" customHeight="1">
      <c r="A302" s="40"/>
      <c r="B302" s="45"/>
      <c r="C302" s="131" t="s">
        <v>390</v>
      </c>
      <c r="D302" s="45" t="s">
        <v>31</v>
      </c>
      <c r="E302" s="45" t="s">
        <v>31</v>
      </c>
      <c r="F302" s="45" t="s">
        <v>31</v>
      </c>
      <c r="G302" s="46" t="s">
        <v>31</v>
      </c>
    </row>
    <row r="303" spans="1:7" ht="36" customHeight="1">
      <c r="A303" s="132" t="s">
        <v>40</v>
      </c>
      <c r="B303" s="133"/>
      <c r="C303" s="134" t="s">
        <v>392</v>
      </c>
      <c r="D303" s="133" t="s">
        <v>31</v>
      </c>
      <c r="E303" s="133" t="s">
        <v>31</v>
      </c>
      <c r="F303" s="133" t="s">
        <v>31</v>
      </c>
      <c r="G303" s="135" t="s">
        <v>31</v>
      </c>
    </row>
    <row r="304" spans="1:7" ht="36" customHeight="1">
      <c r="A304" s="48" t="s">
        <v>378</v>
      </c>
      <c r="B304" s="138" t="s">
        <v>394</v>
      </c>
      <c r="C304" s="137" t="s">
        <v>395</v>
      </c>
      <c r="D304" s="138" t="s">
        <v>42</v>
      </c>
      <c r="E304" s="138">
        <v>139.99</v>
      </c>
      <c r="F304" s="22"/>
      <c r="G304" s="9">
        <f t="shared" ref="G304" si="52">ROUND(E304*F304,2)</f>
        <v>0</v>
      </c>
    </row>
    <row r="305" spans="1:7" ht="36" customHeight="1">
      <c r="A305" s="40"/>
      <c r="B305" s="45"/>
      <c r="C305" s="131" t="s">
        <v>407</v>
      </c>
      <c r="D305" s="45" t="s">
        <v>31</v>
      </c>
      <c r="E305" s="45" t="s">
        <v>31</v>
      </c>
      <c r="F305" s="45" t="s">
        <v>31</v>
      </c>
      <c r="G305" s="46" t="s">
        <v>31</v>
      </c>
    </row>
    <row r="306" spans="1:7" ht="36" customHeight="1">
      <c r="A306" s="132" t="s">
        <v>41</v>
      </c>
      <c r="B306" s="133"/>
      <c r="C306" s="134" t="s">
        <v>409</v>
      </c>
      <c r="D306" s="133" t="s">
        <v>31</v>
      </c>
      <c r="E306" s="133" t="s">
        <v>31</v>
      </c>
      <c r="F306" s="133" t="s">
        <v>31</v>
      </c>
      <c r="G306" s="135" t="s">
        <v>31</v>
      </c>
    </row>
    <row r="307" spans="1:7" ht="36" customHeight="1">
      <c r="A307" s="48" t="s">
        <v>387</v>
      </c>
      <c r="B307" s="138" t="s">
        <v>411</v>
      </c>
      <c r="C307" s="137" t="s">
        <v>412</v>
      </c>
      <c r="D307" s="138" t="s">
        <v>162</v>
      </c>
      <c r="E307" s="138">
        <v>96</v>
      </c>
      <c r="F307" s="22"/>
      <c r="G307" s="9">
        <f t="shared" ref="G307:G308" si="53">ROUND(E307*F307,2)</f>
        <v>0</v>
      </c>
    </row>
    <row r="308" spans="1:7" ht="36" customHeight="1">
      <c r="A308" s="48" t="s">
        <v>593</v>
      </c>
      <c r="B308" s="138" t="s">
        <v>411</v>
      </c>
      <c r="C308" s="137" t="s">
        <v>416</v>
      </c>
      <c r="D308" s="138" t="s">
        <v>162</v>
      </c>
      <c r="E308" s="138">
        <v>2</v>
      </c>
      <c r="F308" s="22"/>
      <c r="G308" s="9">
        <f t="shared" si="53"/>
        <v>0</v>
      </c>
    </row>
    <row r="309" spans="1:7" ht="36" customHeight="1">
      <c r="A309" s="132" t="s">
        <v>43</v>
      </c>
      <c r="B309" s="133"/>
      <c r="C309" s="134" t="s">
        <v>417</v>
      </c>
      <c r="D309" s="133" t="s">
        <v>31</v>
      </c>
      <c r="E309" s="133" t="s">
        <v>31</v>
      </c>
      <c r="F309" s="133" t="s">
        <v>31</v>
      </c>
      <c r="G309" s="135" t="s">
        <v>31</v>
      </c>
    </row>
    <row r="310" spans="1:7" ht="36" customHeight="1">
      <c r="A310" s="48" t="s">
        <v>393</v>
      </c>
      <c r="B310" s="138" t="s">
        <v>419</v>
      </c>
      <c r="C310" s="137" t="s">
        <v>420</v>
      </c>
      <c r="D310" s="138" t="s">
        <v>42</v>
      </c>
      <c r="E310" s="138">
        <v>28</v>
      </c>
      <c r="F310" s="22"/>
      <c r="G310" s="9">
        <f t="shared" ref="G310:G311" si="54">ROUND(E310*F310,2)</f>
        <v>0</v>
      </c>
    </row>
    <row r="311" spans="1:7" ht="36" customHeight="1">
      <c r="A311" s="48" t="s">
        <v>594</v>
      </c>
      <c r="B311" s="138" t="s">
        <v>419</v>
      </c>
      <c r="C311" s="137" t="s">
        <v>422</v>
      </c>
      <c r="D311" s="138" t="s">
        <v>42</v>
      </c>
      <c r="E311" s="138">
        <v>33.6</v>
      </c>
      <c r="F311" s="22"/>
      <c r="G311" s="9">
        <f t="shared" si="54"/>
        <v>0</v>
      </c>
    </row>
    <row r="312" spans="1:7" ht="36" customHeight="1">
      <c r="A312" s="40"/>
      <c r="B312" s="45"/>
      <c r="C312" s="131" t="s">
        <v>423</v>
      </c>
      <c r="D312" s="45" t="s">
        <v>31</v>
      </c>
      <c r="E312" s="45" t="s">
        <v>31</v>
      </c>
      <c r="F312" s="45" t="s">
        <v>31</v>
      </c>
      <c r="G312" s="46" t="s">
        <v>31</v>
      </c>
    </row>
    <row r="313" spans="1:7" ht="36" customHeight="1">
      <c r="A313" s="40"/>
      <c r="B313" s="45"/>
      <c r="C313" s="131" t="s">
        <v>424</v>
      </c>
      <c r="D313" s="45" t="s">
        <v>31</v>
      </c>
      <c r="E313" s="45" t="s">
        <v>31</v>
      </c>
      <c r="F313" s="45" t="s">
        <v>31</v>
      </c>
      <c r="G313" s="46" t="s">
        <v>31</v>
      </c>
    </row>
    <row r="314" spans="1:7" ht="36" customHeight="1">
      <c r="A314" s="132" t="s">
        <v>44</v>
      </c>
      <c r="B314" s="133"/>
      <c r="C314" s="134" t="s">
        <v>426</v>
      </c>
      <c r="D314" s="133" t="s">
        <v>31</v>
      </c>
      <c r="E314" s="133" t="s">
        <v>31</v>
      </c>
      <c r="F314" s="133" t="s">
        <v>31</v>
      </c>
      <c r="G314" s="135" t="s">
        <v>31</v>
      </c>
    </row>
    <row r="315" spans="1:7" ht="36" customHeight="1">
      <c r="A315" s="48" t="s">
        <v>399</v>
      </c>
      <c r="B315" s="138" t="s">
        <v>428</v>
      </c>
      <c r="C315" s="137" t="s">
        <v>429</v>
      </c>
      <c r="D315" s="138" t="s">
        <v>595</v>
      </c>
      <c r="E315" s="138">
        <v>599.70000000000005</v>
      </c>
      <c r="F315" s="22"/>
      <c r="G315" s="9">
        <f t="shared" ref="G315" si="55">ROUND(E315*F315,2)</f>
        <v>0</v>
      </c>
    </row>
    <row r="316" spans="1:7" ht="36" customHeight="1">
      <c r="A316" s="40"/>
      <c r="B316" s="45"/>
      <c r="C316" s="131" t="s">
        <v>431</v>
      </c>
      <c r="D316" s="45" t="s">
        <v>31</v>
      </c>
      <c r="E316" s="45" t="s">
        <v>31</v>
      </c>
      <c r="F316" s="45" t="s">
        <v>31</v>
      </c>
      <c r="G316" s="46" t="s">
        <v>31</v>
      </c>
    </row>
    <row r="317" spans="1:7" ht="36" customHeight="1">
      <c r="A317" s="132" t="s">
        <v>45</v>
      </c>
      <c r="B317" s="133"/>
      <c r="C317" s="134" t="s">
        <v>433</v>
      </c>
      <c r="D317" s="133" t="s">
        <v>31</v>
      </c>
      <c r="E317" s="133" t="s">
        <v>31</v>
      </c>
      <c r="F317" s="133" t="s">
        <v>31</v>
      </c>
      <c r="G317" s="135" t="s">
        <v>31</v>
      </c>
    </row>
    <row r="318" spans="1:7" ht="36" customHeight="1">
      <c r="A318" s="48" t="s">
        <v>404</v>
      </c>
      <c r="B318" s="138" t="s">
        <v>435</v>
      </c>
      <c r="C318" s="137" t="s">
        <v>436</v>
      </c>
      <c r="D318" s="138" t="s">
        <v>595</v>
      </c>
      <c r="E318" s="138">
        <v>267.3</v>
      </c>
      <c r="F318" s="22"/>
      <c r="G318" s="9">
        <f t="shared" ref="G318:G319" si="56">ROUND(E318*F318,2)</f>
        <v>0</v>
      </c>
    </row>
    <row r="319" spans="1:7" ht="36" customHeight="1">
      <c r="A319" s="48" t="s">
        <v>563</v>
      </c>
      <c r="B319" s="138" t="s">
        <v>435</v>
      </c>
      <c r="C319" s="137" t="s">
        <v>438</v>
      </c>
      <c r="D319" s="138" t="s">
        <v>595</v>
      </c>
      <c r="E319" s="138">
        <v>17.2</v>
      </c>
      <c r="F319" s="22"/>
      <c r="G319" s="9">
        <f t="shared" si="56"/>
        <v>0</v>
      </c>
    </row>
    <row r="320" spans="1:7" ht="36" customHeight="1">
      <c r="A320" s="132" t="s">
        <v>46</v>
      </c>
      <c r="B320" s="133"/>
      <c r="C320" s="134" t="s">
        <v>565</v>
      </c>
      <c r="D320" s="133" t="s">
        <v>31</v>
      </c>
      <c r="E320" s="133" t="s">
        <v>31</v>
      </c>
      <c r="F320" s="133" t="s">
        <v>31</v>
      </c>
      <c r="G320" s="135" t="s">
        <v>31</v>
      </c>
    </row>
    <row r="321" spans="1:7" ht="36" customHeight="1">
      <c r="A321" s="48" t="s">
        <v>410</v>
      </c>
      <c r="B321" s="138" t="s">
        <v>566</v>
      </c>
      <c r="C321" s="137" t="s">
        <v>565</v>
      </c>
      <c r="D321" s="138" t="s">
        <v>430</v>
      </c>
      <c r="E321" s="138">
        <v>110.63</v>
      </c>
      <c r="F321" s="22"/>
      <c r="G321" s="9">
        <f t="shared" ref="G321" si="57">ROUND(E321*F321,2)</f>
        <v>0</v>
      </c>
    </row>
    <row r="322" spans="1:7" ht="36" customHeight="1">
      <c r="A322" s="40"/>
      <c r="B322" s="45"/>
      <c r="C322" s="131" t="s">
        <v>439</v>
      </c>
      <c r="D322" s="45" t="s">
        <v>31</v>
      </c>
      <c r="E322" s="45" t="s">
        <v>31</v>
      </c>
      <c r="F322" s="45" t="s">
        <v>31</v>
      </c>
      <c r="G322" s="46" t="s">
        <v>31</v>
      </c>
    </row>
    <row r="323" spans="1:7" ht="36" customHeight="1">
      <c r="A323" s="132" t="s">
        <v>47</v>
      </c>
      <c r="B323" s="133"/>
      <c r="C323" s="134" t="s">
        <v>440</v>
      </c>
      <c r="D323" s="133" t="s">
        <v>31</v>
      </c>
      <c r="E323" s="133" t="s">
        <v>31</v>
      </c>
      <c r="F323" s="133" t="s">
        <v>31</v>
      </c>
      <c r="G323" s="135" t="s">
        <v>31</v>
      </c>
    </row>
    <row r="324" spans="1:7" ht="36" customHeight="1">
      <c r="A324" s="48" t="s">
        <v>418</v>
      </c>
      <c r="B324" s="138" t="s">
        <v>596</v>
      </c>
      <c r="C324" s="137" t="s">
        <v>443</v>
      </c>
      <c r="D324" s="138" t="s">
        <v>595</v>
      </c>
      <c r="E324" s="138">
        <v>178.4</v>
      </c>
      <c r="F324" s="22"/>
      <c r="G324" s="9">
        <f t="shared" ref="G324" si="58">ROUND(E324*F324,2)</f>
        <v>0</v>
      </c>
    </row>
    <row r="325" spans="1:7" ht="36" customHeight="1">
      <c r="A325" s="132" t="s">
        <v>48</v>
      </c>
      <c r="B325" s="133"/>
      <c r="C325" s="134" t="s">
        <v>444</v>
      </c>
      <c r="D325" s="133" t="s">
        <v>31</v>
      </c>
      <c r="E325" s="133" t="s">
        <v>31</v>
      </c>
      <c r="F325" s="133" t="s">
        <v>31</v>
      </c>
      <c r="G325" s="135" t="s">
        <v>31</v>
      </c>
    </row>
    <row r="326" spans="1:7" ht="36" customHeight="1">
      <c r="A326" s="48" t="s">
        <v>427</v>
      </c>
      <c r="B326" s="138" t="str">
        <f>B73</f>
        <v>D-05.03.13</v>
      </c>
      <c r="C326" s="137" t="s">
        <v>447</v>
      </c>
      <c r="D326" s="138" t="s">
        <v>595</v>
      </c>
      <c r="E326" s="138">
        <v>178.4</v>
      </c>
      <c r="F326" s="22"/>
      <c r="G326" s="9">
        <f t="shared" ref="G326" si="59">ROUND(E326*F326,2)</f>
        <v>0</v>
      </c>
    </row>
    <row r="327" spans="1:7" ht="36" customHeight="1">
      <c r="A327" s="132" t="s">
        <v>49</v>
      </c>
      <c r="B327" s="133"/>
      <c r="C327" s="134" t="s">
        <v>451</v>
      </c>
      <c r="D327" s="133" t="s">
        <v>31</v>
      </c>
      <c r="E327" s="133" t="s">
        <v>31</v>
      </c>
      <c r="F327" s="133" t="s">
        <v>31</v>
      </c>
      <c r="G327" s="135" t="s">
        <v>31</v>
      </c>
    </row>
    <row r="328" spans="1:7" ht="36" customHeight="1">
      <c r="A328" s="48" t="s">
        <v>434</v>
      </c>
      <c r="B328" s="138" t="s">
        <v>453</v>
      </c>
      <c r="C328" s="137" t="s">
        <v>454</v>
      </c>
      <c r="D328" s="138" t="s">
        <v>595</v>
      </c>
      <c r="E328" s="138">
        <v>238.32</v>
      </c>
      <c r="F328" s="22"/>
      <c r="G328" s="9">
        <f t="shared" ref="G328" si="60">ROUND(E328*F328,2)</f>
        <v>0</v>
      </c>
    </row>
    <row r="329" spans="1:7" ht="36" customHeight="1">
      <c r="A329" s="40"/>
      <c r="B329" s="45"/>
      <c r="C329" s="131" t="s">
        <v>455</v>
      </c>
      <c r="D329" s="45" t="s">
        <v>31</v>
      </c>
      <c r="E329" s="45" t="s">
        <v>31</v>
      </c>
      <c r="F329" s="45" t="s">
        <v>31</v>
      </c>
      <c r="G329" s="46" t="s">
        <v>31</v>
      </c>
    </row>
    <row r="330" spans="1:7" ht="36" customHeight="1">
      <c r="A330" s="40"/>
      <c r="B330" s="45"/>
      <c r="C330" s="131" t="s">
        <v>456</v>
      </c>
      <c r="D330" s="45" t="s">
        <v>31</v>
      </c>
      <c r="E330" s="45" t="s">
        <v>31</v>
      </c>
      <c r="F330" s="45" t="s">
        <v>31</v>
      </c>
      <c r="G330" s="46" t="s">
        <v>31</v>
      </c>
    </row>
    <row r="331" spans="1:7" ht="36" customHeight="1">
      <c r="A331" s="132" t="s">
        <v>50</v>
      </c>
      <c r="B331" s="133"/>
      <c r="C331" s="134" t="s">
        <v>461</v>
      </c>
      <c r="D331" s="133" t="s">
        <v>31</v>
      </c>
      <c r="E331" s="133" t="s">
        <v>31</v>
      </c>
      <c r="F331" s="133" t="s">
        <v>31</v>
      </c>
      <c r="G331" s="135" t="s">
        <v>31</v>
      </c>
    </row>
    <row r="332" spans="1:7" ht="36" customHeight="1">
      <c r="A332" s="48" t="s">
        <v>441</v>
      </c>
      <c r="B332" s="138" t="s">
        <v>463</v>
      </c>
      <c r="C332" s="137" t="s">
        <v>464</v>
      </c>
      <c r="D332" s="138" t="s">
        <v>162</v>
      </c>
      <c r="E332" s="138">
        <v>4</v>
      </c>
      <c r="F332" s="22"/>
      <c r="G332" s="9">
        <f t="shared" ref="G332" si="61">ROUND(E332*F332,2)</f>
        <v>0</v>
      </c>
    </row>
    <row r="333" spans="1:7" ht="36" customHeight="1">
      <c r="A333" s="132" t="s">
        <v>51</v>
      </c>
      <c r="B333" s="133"/>
      <c r="C333" s="134" t="s">
        <v>465</v>
      </c>
      <c r="D333" s="133" t="s">
        <v>31</v>
      </c>
      <c r="E333" s="133" t="s">
        <v>31</v>
      </c>
      <c r="F333" s="133" t="s">
        <v>31</v>
      </c>
      <c r="G333" s="135" t="s">
        <v>31</v>
      </c>
    </row>
    <row r="334" spans="1:7" ht="36" customHeight="1">
      <c r="A334" s="48" t="s">
        <v>445</v>
      </c>
      <c r="B334" s="138" t="s">
        <v>467</v>
      </c>
      <c r="C334" s="137" t="s">
        <v>468</v>
      </c>
      <c r="D334" s="138" t="s">
        <v>42</v>
      </c>
      <c r="E334" s="138">
        <v>43.6</v>
      </c>
      <c r="F334" s="22"/>
      <c r="G334" s="9">
        <f t="shared" ref="G334" si="62">ROUND(E334*F334,2)</f>
        <v>0</v>
      </c>
    </row>
    <row r="335" spans="1:7" ht="36" customHeight="1">
      <c r="A335" s="40"/>
      <c r="B335" s="45"/>
      <c r="C335" s="131" t="s">
        <v>473</v>
      </c>
      <c r="D335" s="45" t="s">
        <v>31</v>
      </c>
      <c r="E335" s="45" t="s">
        <v>31</v>
      </c>
      <c r="F335" s="45" t="s">
        <v>31</v>
      </c>
      <c r="G335" s="46" t="s">
        <v>31</v>
      </c>
    </row>
    <row r="336" spans="1:7" ht="36" customHeight="1">
      <c r="A336" s="132" t="s">
        <v>21</v>
      </c>
      <c r="B336" s="133"/>
      <c r="C336" s="134" t="s">
        <v>474</v>
      </c>
      <c r="D336" s="133" t="s">
        <v>31</v>
      </c>
      <c r="E336" s="133" t="s">
        <v>31</v>
      </c>
      <c r="F336" s="133" t="s">
        <v>31</v>
      </c>
      <c r="G336" s="135" t="s">
        <v>31</v>
      </c>
    </row>
    <row r="337" spans="1:7" ht="36" customHeight="1">
      <c r="A337" s="48" t="s">
        <v>449</v>
      </c>
      <c r="B337" s="138" t="s">
        <v>476</v>
      </c>
      <c r="C337" s="137" t="s">
        <v>477</v>
      </c>
      <c r="D337" s="138" t="s">
        <v>42</v>
      </c>
      <c r="E337" s="138">
        <v>53.9</v>
      </c>
      <c r="F337" s="22"/>
      <c r="G337" s="9">
        <f t="shared" ref="G337" si="63">ROUND(E337*F337,2)</f>
        <v>0</v>
      </c>
    </row>
    <row r="338" spans="1:7" ht="36" customHeight="1">
      <c r="A338" s="132" t="s">
        <v>22</v>
      </c>
      <c r="B338" s="133"/>
      <c r="C338" s="134" t="s">
        <v>597</v>
      </c>
      <c r="D338" s="133" t="s">
        <v>31</v>
      </c>
      <c r="E338" s="133" t="s">
        <v>31</v>
      </c>
      <c r="F338" s="133" t="s">
        <v>31</v>
      </c>
      <c r="G338" s="135" t="s">
        <v>31</v>
      </c>
    </row>
    <row r="339" spans="1:7" ht="36" customHeight="1">
      <c r="A339" s="48" t="s">
        <v>452</v>
      </c>
      <c r="B339" s="138" t="s">
        <v>476</v>
      </c>
      <c r="C339" s="137" t="s">
        <v>597</v>
      </c>
      <c r="D339" s="138" t="s">
        <v>42</v>
      </c>
      <c r="E339" s="138">
        <f>2*2.5</f>
        <v>5</v>
      </c>
      <c r="F339" s="22"/>
      <c r="G339" s="9">
        <f t="shared" ref="G339" si="64">ROUND(E339*F339,2)</f>
        <v>0</v>
      </c>
    </row>
    <row r="340" spans="1:7" ht="36" customHeight="1">
      <c r="A340" s="132" t="s">
        <v>56</v>
      </c>
      <c r="B340" s="133"/>
      <c r="C340" s="134" t="s">
        <v>479</v>
      </c>
      <c r="D340" s="133" t="s">
        <v>31</v>
      </c>
      <c r="E340" s="133" t="s">
        <v>31</v>
      </c>
      <c r="F340" s="133" t="s">
        <v>31</v>
      </c>
      <c r="G340" s="135" t="s">
        <v>31</v>
      </c>
    </row>
    <row r="341" spans="1:7" ht="36" customHeight="1">
      <c r="A341" s="48" t="s">
        <v>458</v>
      </c>
      <c r="B341" s="138" t="s">
        <v>481</v>
      </c>
      <c r="C341" s="137" t="s">
        <v>479</v>
      </c>
      <c r="D341" s="138" t="s">
        <v>162</v>
      </c>
      <c r="E341" s="138">
        <v>6</v>
      </c>
      <c r="F341" s="22"/>
      <c r="G341" s="9">
        <f t="shared" ref="G341" si="65">ROUND(E341*F341,2)</f>
        <v>0</v>
      </c>
    </row>
    <row r="342" spans="1:7" ht="36" customHeight="1">
      <c r="A342" s="40"/>
      <c r="B342" s="45"/>
      <c r="C342" s="131" t="s">
        <v>496</v>
      </c>
      <c r="D342" s="45" t="s">
        <v>31</v>
      </c>
      <c r="E342" s="45" t="s">
        <v>31</v>
      </c>
      <c r="F342" s="45" t="s">
        <v>31</v>
      </c>
      <c r="G342" s="46" t="s">
        <v>31</v>
      </c>
    </row>
    <row r="343" spans="1:7" ht="36" customHeight="1">
      <c r="A343" s="132" t="s">
        <v>58</v>
      </c>
      <c r="B343" s="133"/>
      <c r="C343" s="134" t="s">
        <v>497</v>
      </c>
      <c r="D343" s="133" t="s">
        <v>31</v>
      </c>
      <c r="E343" s="133" t="s">
        <v>31</v>
      </c>
      <c r="F343" s="133" t="s">
        <v>31</v>
      </c>
      <c r="G343" s="135" t="s">
        <v>31</v>
      </c>
    </row>
    <row r="344" spans="1:7" ht="36" customHeight="1">
      <c r="A344" s="48" t="s">
        <v>462</v>
      </c>
      <c r="B344" s="138" t="s">
        <v>419</v>
      </c>
      <c r="C344" s="137" t="s">
        <v>499</v>
      </c>
      <c r="D344" s="138" t="s">
        <v>42</v>
      </c>
      <c r="E344" s="138">
        <v>28.8</v>
      </c>
      <c r="F344" s="22"/>
      <c r="G344" s="9">
        <f t="shared" ref="G344" si="66">ROUND(E344*F344,2)</f>
        <v>0</v>
      </c>
    </row>
    <row r="345" spans="1:7" ht="36" customHeight="1">
      <c r="A345" s="40"/>
      <c r="B345" s="45"/>
      <c r="C345" s="131" t="s">
        <v>500</v>
      </c>
      <c r="D345" s="45" t="s">
        <v>31</v>
      </c>
      <c r="E345" s="45" t="s">
        <v>31</v>
      </c>
      <c r="F345" s="45" t="s">
        <v>31</v>
      </c>
      <c r="G345" s="46" t="s">
        <v>31</v>
      </c>
    </row>
    <row r="346" spans="1:7" ht="36" customHeight="1">
      <c r="A346" s="40"/>
      <c r="B346" s="45"/>
      <c r="C346" s="131" t="s">
        <v>501</v>
      </c>
      <c r="D346" s="45" t="s">
        <v>31</v>
      </c>
      <c r="E346" s="45" t="s">
        <v>31</v>
      </c>
      <c r="F346" s="45" t="s">
        <v>31</v>
      </c>
      <c r="G346" s="46" t="s">
        <v>31</v>
      </c>
    </row>
    <row r="347" spans="1:7" ht="36" customHeight="1">
      <c r="A347" s="132" t="s">
        <v>61</v>
      </c>
      <c r="B347" s="133"/>
      <c r="C347" s="134" t="s">
        <v>502</v>
      </c>
      <c r="D347" s="133" t="s">
        <v>31</v>
      </c>
      <c r="E347" s="133" t="s">
        <v>31</v>
      </c>
      <c r="F347" s="133" t="s">
        <v>31</v>
      </c>
      <c r="G347" s="135" t="s">
        <v>31</v>
      </c>
    </row>
    <row r="348" spans="1:7" ht="36" customHeight="1">
      <c r="A348" s="48" t="s">
        <v>466</v>
      </c>
      <c r="B348" s="138" t="s">
        <v>504</v>
      </c>
      <c r="C348" s="137" t="s">
        <v>505</v>
      </c>
      <c r="D348" s="138" t="s">
        <v>42</v>
      </c>
      <c r="E348" s="138">
        <v>140</v>
      </c>
      <c r="F348" s="22"/>
      <c r="G348" s="9">
        <f t="shared" ref="G348" si="67">ROUND(E348*F348,2)</f>
        <v>0</v>
      </c>
    </row>
    <row r="349" spans="1:7" ht="36" customHeight="1">
      <c r="A349" s="132" t="s">
        <v>64</v>
      </c>
      <c r="B349" s="133"/>
      <c r="C349" s="134" t="s">
        <v>506</v>
      </c>
      <c r="D349" s="133" t="s">
        <v>31</v>
      </c>
      <c r="E349" s="133" t="s">
        <v>31</v>
      </c>
      <c r="F349" s="133" t="s">
        <v>31</v>
      </c>
      <c r="G349" s="135" t="s">
        <v>31</v>
      </c>
    </row>
    <row r="350" spans="1:7" ht="36" customHeight="1">
      <c r="A350" s="48" t="s">
        <v>470</v>
      </c>
      <c r="B350" s="138" t="s">
        <v>504</v>
      </c>
      <c r="C350" s="137" t="s">
        <v>508</v>
      </c>
      <c r="D350" s="138" t="s">
        <v>42</v>
      </c>
      <c r="E350" s="138">
        <v>20</v>
      </c>
      <c r="F350" s="22"/>
      <c r="G350" s="9">
        <f t="shared" ref="G350" si="68">ROUND(E350*F350,2)</f>
        <v>0</v>
      </c>
    </row>
    <row r="351" spans="1:7" ht="36" customHeight="1">
      <c r="A351" s="132" t="s">
        <v>69</v>
      </c>
      <c r="B351" s="133"/>
      <c r="C351" s="134" t="s">
        <v>509</v>
      </c>
      <c r="D351" s="133" t="s">
        <v>31</v>
      </c>
      <c r="E351" s="133" t="s">
        <v>31</v>
      </c>
      <c r="F351" s="133" t="s">
        <v>31</v>
      </c>
      <c r="G351" s="135" t="s">
        <v>31</v>
      </c>
    </row>
    <row r="352" spans="1:7" ht="36" customHeight="1">
      <c r="A352" s="48" t="s">
        <v>475</v>
      </c>
      <c r="B352" s="138" t="s">
        <v>511</v>
      </c>
      <c r="C352" s="137" t="s">
        <v>577</v>
      </c>
      <c r="D352" s="138" t="s">
        <v>42</v>
      </c>
      <c r="E352" s="138">
        <v>140</v>
      </c>
      <c r="F352" s="22"/>
      <c r="G352" s="9">
        <f t="shared" ref="G352" si="69">ROUND(E352*F352,2)</f>
        <v>0</v>
      </c>
    </row>
    <row r="353" spans="1:7" ht="36" customHeight="1">
      <c r="A353" s="132" t="s">
        <v>70</v>
      </c>
      <c r="B353" s="133"/>
      <c r="C353" s="134" t="s">
        <v>513</v>
      </c>
      <c r="D353" s="133" t="s">
        <v>31</v>
      </c>
      <c r="E353" s="133" t="s">
        <v>31</v>
      </c>
      <c r="F353" s="133" t="s">
        <v>31</v>
      </c>
      <c r="G353" s="135" t="s">
        <v>31</v>
      </c>
    </row>
    <row r="354" spans="1:7" ht="36" customHeight="1">
      <c r="A354" s="48" t="s">
        <v>480</v>
      </c>
      <c r="B354" s="138" t="s">
        <v>515</v>
      </c>
      <c r="C354" s="137" t="s">
        <v>516</v>
      </c>
      <c r="D354" s="138" t="s">
        <v>42</v>
      </c>
      <c r="E354" s="138">
        <v>70</v>
      </c>
      <c r="F354" s="22"/>
      <c r="G354" s="9">
        <f t="shared" ref="G354:G355" si="70">ROUND(E354*F354,2)</f>
        <v>0</v>
      </c>
    </row>
    <row r="355" spans="1:7" ht="36" customHeight="1">
      <c r="A355" s="48" t="s">
        <v>598</v>
      </c>
      <c r="B355" s="138" t="s">
        <v>515</v>
      </c>
      <c r="C355" s="137" t="s">
        <v>518</v>
      </c>
      <c r="D355" s="138" t="s">
        <v>42</v>
      </c>
      <c r="E355" s="138">
        <v>12</v>
      </c>
      <c r="F355" s="22"/>
      <c r="G355" s="9">
        <f t="shared" si="70"/>
        <v>0</v>
      </c>
    </row>
    <row r="356" spans="1:7" ht="36" customHeight="1">
      <c r="A356" s="40"/>
      <c r="B356" s="45"/>
      <c r="C356" s="131" t="s">
        <v>523</v>
      </c>
      <c r="D356" s="45" t="s">
        <v>31</v>
      </c>
      <c r="E356" s="45" t="s">
        <v>31</v>
      </c>
      <c r="F356" s="45" t="s">
        <v>31</v>
      </c>
      <c r="G356" s="46" t="s">
        <v>31</v>
      </c>
    </row>
    <row r="357" spans="1:7" ht="36" customHeight="1">
      <c r="A357" s="40"/>
      <c r="B357" s="45"/>
      <c r="C357" s="131" t="s">
        <v>524</v>
      </c>
      <c r="D357" s="45" t="s">
        <v>31</v>
      </c>
      <c r="E357" s="45" t="s">
        <v>31</v>
      </c>
      <c r="F357" s="45" t="s">
        <v>31</v>
      </c>
      <c r="G357" s="46" t="s">
        <v>31</v>
      </c>
    </row>
    <row r="358" spans="1:7" ht="36" customHeight="1">
      <c r="A358" s="132" t="s">
        <v>151</v>
      </c>
      <c r="B358" s="133"/>
      <c r="C358" s="134" t="s">
        <v>525</v>
      </c>
      <c r="D358" s="133" t="s">
        <v>31</v>
      </c>
      <c r="E358" s="133" t="s">
        <v>31</v>
      </c>
      <c r="F358" s="133" t="s">
        <v>31</v>
      </c>
      <c r="G358" s="135" t="s">
        <v>31</v>
      </c>
    </row>
    <row r="359" spans="1:7" ht="36" customHeight="1">
      <c r="A359" s="48" t="s">
        <v>485</v>
      </c>
      <c r="B359" s="138" t="s">
        <v>527</v>
      </c>
      <c r="C359" s="137" t="s">
        <v>530</v>
      </c>
      <c r="D359" s="138" t="s">
        <v>42</v>
      </c>
      <c r="E359" s="138">
        <v>213</v>
      </c>
      <c r="F359" s="22"/>
      <c r="G359" s="9">
        <f t="shared" ref="G359:G360" si="71">ROUND(E359*F359,2)</f>
        <v>0</v>
      </c>
    </row>
    <row r="360" spans="1:7" ht="36" customHeight="1">
      <c r="A360" s="48" t="s">
        <v>487</v>
      </c>
      <c r="B360" s="138" t="s">
        <v>527</v>
      </c>
      <c r="C360" s="137" t="s">
        <v>579</v>
      </c>
      <c r="D360" s="138" t="s">
        <v>42</v>
      </c>
      <c r="E360" s="138">
        <v>2.6</v>
      </c>
      <c r="F360" s="22"/>
      <c r="G360" s="9">
        <f t="shared" si="71"/>
        <v>0</v>
      </c>
    </row>
    <row r="361" spans="1:7" ht="36" customHeight="1">
      <c r="A361" s="132" t="s">
        <v>152</v>
      </c>
      <c r="B361" s="133"/>
      <c r="C361" s="134" t="s">
        <v>531</v>
      </c>
      <c r="D361" s="133" t="s">
        <v>31</v>
      </c>
      <c r="E361" s="133" t="s">
        <v>31</v>
      </c>
      <c r="F361" s="133" t="s">
        <v>31</v>
      </c>
      <c r="G361" s="135" t="s">
        <v>31</v>
      </c>
    </row>
    <row r="362" spans="1:7" ht="36" customHeight="1">
      <c r="A362" s="48" t="s">
        <v>491</v>
      </c>
      <c r="B362" s="138" t="s">
        <v>533</v>
      </c>
      <c r="C362" s="137" t="s">
        <v>534</v>
      </c>
      <c r="D362" s="138" t="s">
        <v>42</v>
      </c>
      <c r="E362" s="138">
        <v>12.3</v>
      </c>
      <c r="F362" s="22"/>
      <c r="G362" s="9">
        <f t="shared" ref="G362" si="72">ROUND(E362*F362,2)</f>
        <v>0</v>
      </c>
    </row>
    <row r="363" spans="1:7" ht="36" customHeight="1">
      <c r="A363" s="132" t="s">
        <v>153</v>
      </c>
      <c r="B363" s="133"/>
      <c r="C363" s="134" t="s">
        <v>535</v>
      </c>
      <c r="D363" s="133" t="s">
        <v>31</v>
      </c>
      <c r="E363" s="133" t="s">
        <v>31</v>
      </c>
      <c r="F363" s="133" t="s">
        <v>31</v>
      </c>
      <c r="G363" s="135" t="s">
        <v>31</v>
      </c>
    </row>
    <row r="364" spans="1:7" ht="36" customHeight="1">
      <c r="A364" s="48" t="s">
        <v>498</v>
      </c>
      <c r="B364" s="138" t="s">
        <v>537</v>
      </c>
      <c r="C364" s="137" t="s">
        <v>538</v>
      </c>
      <c r="D364" s="138" t="s">
        <v>595</v>
      </c>
      <c r="E364" s="138">
        <v>6</v>
      </c>
      <c r="F364" s="22"/>
      <c r="G364" s="9">
        <f t="shared" ref="G364" si="73">ROUND(E364*F364,2)</f>
        <v>0</v>
      </c>
    </row>
    <row r="365" spans="1:7" ht="36" customHeight="1">
      <c r="A365" s="132" t="s">
        <v>154</v>
      </c>
      <c r="B365" s="133"/>
      <c r="C365" s="134" t="s">
        <v>539</v>
      </c>
      <c r="D365" s="133" t="s">
        <v>31</v>
      </c>
      <c r="E365" s="133" t="s">
        <v>31</v>
      </c>
      <c r="F365" s="133" t="s">
        <v>31</v>
      </c>
      <c r="G365" s="135" t="s">
        <v>31</v>
      </c>
    </row>
    <row r="366" spans="1:7" ht="36" customHeight="1">
      <c r="A366" s="48" t="s">
        <v>503</v>
      </c>
      <c r="B366" s="138" t="s">
        <v>541</v>
      </c>
      <c r="C366" s="137" t="s">
        <v>542</v>
      </c>
      <c r="D366" s="138" t="s">
        <v>162</v>
      </c>
      <c r="E366" s="138">
        <v>6</v>
      </c>
      <c r="F366" s="22"/>
      <c r="G366" s="9">
        <f t="shared" ref="G366:G367" si="74">ROUND(E366*F366,2)</f>
        <v>0</v>
      </c>
    </row>
    <row r="367" spans="1:7" ht="36" customHeight="1">
      <c r="A367" s="48" t="s">
        <v>599</v>
      </c>
      <c r="B367" s="138" t="s">
        <v>541</v>
      </c>
      <c r="C367" s="137" t="s">
        <v>544</v>
      </c>
      <c r="D367" s="138" t="s">
        <v>162</v>
      </c>
      <c r="E367" s="138">
        <v>1</v>
      </c>
      <c r="F367" s="22"/>
      <c r="G367" s="9">
        <f t="shared" si="74"/>
        <v>0</v>
      </c>
    </row>
    <row r="368" spans="1:7" ht="36" customHeight="1">
      <c r="A368" s="132" t="s">
        <v>155</v>
      </c>
      <c r="B368" s="133"/>
      <c r="C368" s="134" t="s">
        <v>545</v>
      </c>
      <c r="D368" s="133" t="s">
        <v>31</v>
      </c>
      <c r="E368" s="133" t="s">
        <v>31</v>
      </c>
      <c r="F368" s="133" t="s">
        <v>31</v>
      </c>
      <c r="G368" s="135" t="s">
        <v>31</v>
      </c>
    </row>
    <row r="369" spans="1:7" ht="36" customHeight="1">
      <c r="A369" s="48" t="s">
        <v>507</v>
      </c>
      <c r="B369" s="138" t="s">
        <v>547</v>
      </c>
      <c r="C369" s="137" t="s">
        <v>548</v>
      </c>
      <c r="D369" s="138" t="s">
        <v>595</v>
      </c>
      <c r="E369" s="138">
        <v>312.5</v>
      </c>
      <c r="F369" s="22"/>
      <c r="G369" s="9">
        <f t="shared" ref="G369" si="75">ROUND(E369*F369,2)</f>
        <v>0</v>
      </c>
    </row>
    <row r="370" spans="1:7" ht="36" customHeight="1">
      <c r="A370" s="132" t="s">
        <v>156</v>
      </c>
      <c r="B370" s="133"/>
      <c r="C370" s="134" t="s">
        <v>600</v>
      </c>
      <c r="D370" s="133" t="s">
        <v>31</v>
      </c>
      <c r="E370" s="133" t="s">
        <v>31</v>
      </c>
      <c r="F370" s="133" t="s">
        <v>31</v>
      </c>
      <c r="G370" s="135" t="s">
        <v>31</v>
      </c>
    </row>
    <row r="371" spans="1:7" ht="36" customHeight="1" thickBot="1">
      <c r="A371" s="141" t="s">
        <v>510</v>
      </c>
      <c r="B371" s="142" t="s">
        <v>601</v>
      </c>
      <c r="C371" s="143" t="s">
        <v>602</v>
      </c>
      <c r="D371" s="142" t="s">
        <v>595</v>
      </c>
      <c r="E371" s="142">
        <f>358.3+341.1</f>
        <v>699.40000000000009</v>
      </c>
      <c r="F371" s="144"/>
      <c r="G371" s="176">
        <f t="shared" ref="G371" si="76">ROUND(E371*F371,2)</f>
        <v>0</v>
      </c>
    </row>
    <row r="372" spans="1:7" ht="36" customHeight="1">
      <c r="A372"/>
      <c r="B372"/>
      <c r="C372"/>
      <c r="D372"/>
      <c r="E372"/>
      <c r="F372"/>
      <c r="G372"/>
    </row>
    <row r="373" spans="1:7" ht="36" customHeight="1">
      <c r="A373"/>
      <c r="B373"/>
      <c r="C373"/>
      <c r="D373"/>
      <c r="E373"/>
      <c r="F373"/>
      <c r="G373"/>
    </row>
    <row r="374" spans="1:7" ht="36" customHeight="1">
      <c r="A374"/>
      <c r="B374"/>
      <c r="C374"/>
      <c r="D374"/>
      <c r="E374"/>
      <c r="F374"/>
      <c r="G374"/>
    </row>
    <row r="375" spans="1:7" ht="35.25" customHeight="1">
      <c r="A375"/>
      <c r="B375"/>
      <c r="C375"/>
      <c r="D375"/>
      <c r="E375"/>
      <c r="F375"/>
      <c r="G375"/>
    </row>
  </sheetData>
  <mergeCells count="6">
    <mergeCell ref="A268:G268"/>
    <mergeCell ref="B1:G1"/>
    <mergeCell ref="B2:G2"/>
    <mergeCell ref="B3:G3"/>
    <mergeCell ref="A4:G4"/>
    <mergeCell ref="A136:G136"/>
  </mergeCells>
  <pageMargins left="0.7" right="0.7" top="0.75" bottom="0.75" header="0.3" footer="0.3"/>
  <pageSetup paperSize="9" scale="71" orientation="portrait" r:id="rId1"/>
  <rowBreaks count="13" manualBreakCount="13">
    <brk id="25" max="6" man="1"/>
    <brk id="52" max="6" man="1"/>
    <brk id="77" max="6" man="1"/>
    <brk id="104" max="6" man="1"/>
    <brk id="138" max="6" man="1"/>
    <brk id="167" max="6" man="1"/>
    <brk id="191" max="6" man="1"/>
    <brk id="216" max="6" man="1"/>
    <brk id="243" max="6" man="1"/>
    <brk id="270" max="6" man="1"/>
    <brk id="298" max="6" man="1"/>
    <brk id="324" max="6" man="1"/>
    <brk id="353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Zeros="0" zoomScale="85" zoomScaleNormal="85" zoomScaleSheetLayoutView="100" workbookViewId="0">
      <selection activeCell="I7" sqref="I7"/>
    </sheetView>
  </sheetViews>
  <sheetFormatPr defaultRowHeight="12.75"/>
  <cols>
    <col min="1" max="1" width="11.140625" style="127" customWidth="1"/>
    <col min="2" max="2" width="11.5703125" style="126" customWidth="1"/>
    <col min="3" max="3" width="48.7109375" style="128" customWidth="1"/>
    <col min="4" max="4" width="8.85546875" style="128" customWidth="1"/>
    <col min="5" max="7" width="12.7109375" style="125" customWidth="1"/>
    <col min="8" max="231" width="8.7109375" style="125"/>
    <col min="232" max="232" width="5.5703125" style="125" customWidth="1"/>
    <col min="233" max="233" width="19.85546875" style="125" customWidth="1"/>
    <col min="234" max="234" width="73" style="125" customWidth="1"/>
    <col min="235" max="235" width="11.140625" style="125" customWidth="1"/>
    <col min="236" max="236" width="11.85546875" style="125" customWidth="1"/>
    <col min="237" max="237" width="12.28515625" style="125" customWidth="1"/>
    <col min="238" max="238" width="16.7109375" style="125" customWidth="1"/>
    <col min="239" max="487" width="8.7109375" style="125"/>
    <col min="488" max="488" width="5.5703125" style="125" customWidth="1"/>
    <col min="489" max="489" width="19.85546875" style="125" customWidth="1"/>
    <col min="490" max="490" width="73" style="125" customWidth="1"/>
    <col min="491" max="491" width="11.140625" style="125" customWidth="1"/>
    <col min="492" max="492" width="11.85546875" style="125" customWidth="1"/>
    <col min="493" max="493" width="12.28515625" style="125" customWidth="1"/>
    <col min="494" max="494" width="16.7109375" style="125" customWidth="1"/>
    <col min="495" max="743" width="8.7109375" style="125"/>
    <col min="744" max="744" width="5.5703125" style="125" customWidth="1"/>
    <col min="745" max="745" width="19.85546875" style="125" customWidth="1"/>
    <col min="746" max="746" width="73" style="125" customWidth="1"/>
    <col min="747" max="747" width="11.140625" style="125" customWidth="1"/>
    <col min="748" max="748" width="11.85546875" style="125" customWidth="1"/>
    <col min="749" max="749" width="12.28515625" style="125" customWidth="1"/>
    <col min="750" max="750" width="16.7109375" style="125" customWidth="1"/>
    <col min="751" max="999" width="8.7109375" style="125"/>
    <col min="1000" max="1000" width="5.5703125" style="125" customWidth="1"/>
    <col min="1001" max="1001" width="19.85546875" style="125" customWidth="1"/>
    <col min="1002" max="1002" width="73" style="125" customWidth="1"/>
    <col min="1003" max="1003" width="11.140625" style="125" customWidth="1"/>
    <col min="1004" max="1004" width="11.85546875" style="125" customWidth="1"/>
    <col min="1005" max="1005" width="12.28515625" style="125" customWidth="1"/>
    <col min="1006" max="1006" width="16.7109375" style="125" customWidth="1"/>
    <col min="1007" max="1255" width="8.7109375" style="125"/>
    <col min="1256" max="1256" width="5.5703125" style="125" customWidth="1"/>
    <col min="1257" max="1257" width="19.85546875" style="125" customWidth="1"/>
    <col min="1258" max="1258" width="73" style="125" customWidth="1"/>
    <col min="1259" max="1259" width="11.140625" style="125" customWidth="1"/>
    <col min="1260" max="1260" width="11.85546875" style="125" customWidth="1"/>
    <col min="1261" max="1261" width="12.28515625" style="125" customWidth="1"/>
    <col min="1262" max="1262" width="16.7109375" style="125" customWidth="1"/>
    <col min="1263" max="1511" width="8.7109375" style="125"/>
    <col min="1512" max="1512" width="5.5703125" style="125" customWidth="1"/>
    <col min="1513" max="1513" width="19.85546875" style="125" customWidth="1"/>
    <col min="1514" max="1514" width="73" style="125" customWidth="1"/>
    <col min="1515" max="1515" width="11.140625" style="125" customWidth="1"/>
    <col min="1516" max="1516" width="11.85546875" style="125" customWidth="1"/>
    <col min="1517" max="1517" width="12.28515625" style="125" customWidth="1"/>
    <col min="1518" max="1518" width="16.7109375" style="125" customWidth="1"/>
    <col min="1519" max="1767" width="8.7109375" style="125"/>
    <col min="1768" max="1768" width="5.5703125" style="125" customWidth="1"/>
    <col min="1769" max="1769" width="19.85546875" style="125" customWidth="1"/>
    <col min="1770" max="1770" width="73" style="125" customWidth="1"/>
    <col min="1771" max="1771" width="11.140625" style="125" customWidth="1"/>
    <col min="1772" max="1772" width="11.85546875" style="125" customWidth="1"/>
    <col min="1773" max="1773" width="12.28515625" style="125" customWidth="1"/>
    <col min="1774" max="1774" width="16.7109375" style="125" customWidth="1"/>
    <col min="1775" max="2023" width="8.7109375" style="125"/>
    <col min="2024" max="2024" width="5.5703125" style="125" customWidth="1"/>
    <col min="2025" max="2025" width="19.85546875" style="125" customWidth="1"/>
    <col min="2026" max="2026" width="73" style="125" customWidth="1"/>
    <col min="2027" max="2027" width="11.140625" style="125" customWidth="1"/>
    <col min="2028" max="2028" width="11.85546875" style="125" customWidth="1"/>
    <col min="2029" max="2029" width="12.28515625" style="125" customWidth="1"/>
    <col min="2030" max="2030" width="16.7109375" style="125" customWidth="1"/>
    <col min="2031" max="2279" width="8.7109375" style="125"/>
    <col min="2280" max="2280" width="5.5703125" style="125" customWidth="1"/>
    <col min="2281" max="2281" width="19.85546875" style="125" customWidth="1"/>
    <col min="2282" max="2282" width="73" style="125" customWidth="1"/>
    <col min="2283" max="2283" width="11.140625" style="125" customWidth="1"/>
    <col min="2284" max="2284" width="11.85546875" style="125" customWidth="1"/>
    <col min="2285" max="2285" width="12.28515625" style="125" customWidth="1"/>
    <col min="2286" max="2286" width="16.7109375" style="125" customWidth="1"/>
    <col min="2287" max="2535" width="8.7109375" style="125"/>
    <col min="2536" max="2536" width="5.5703125" style="125" customWidth="1"/>
    <col min="2537" max="2537" width="19.85546875" style="125" customWidth="1"/>
    <col min="2538" max="2538" width="73" style="125" customWidth="1"/>
    <col min="2539" max="2539" width="11.140625" style="125" customWidth="1"/>
    <col min="2540" max="2540" width="11.85546875" style="125" customWidth="1"/>
    <col min="2541" max="2541" width="12.28515625" style="125" customWidth="1"/>
    <col min="2542" max="2542" width="16.7109375" style="125" customWidth="1"/>
    <col min="2543" max="2791" width="8.7109375" style="125"/>
    <col min="2792" max="2792" width="5.5703125" style="125" customWidth="1"/>
    <col min="2793" max="2793" width="19.85546875" style="125" customWidth="1"/>
    <col min="2794" max="2794" width="73" style="125" customWidth="1"/>
    <col min="2795" max="2795" width="11.140625" style="125" customWidth="1"/>
    <col min="2796" max="2796" width="11.85546875" style="125" customWidth="1"/>
    <col min="2797" max="2797" width="12.28515625" style="125" customWidth="1"/>
    <col min="2798" max="2798" width="16.7109375" style="125" customWidth="1"/>
    <col min="2799" max="3047" width="8.7109375" style="125"/>
    <col min="3048" max="3048" width="5.5703125" style="125" customWidth="1"/>
    <col min="3049" max="3049" width="19.85546875" style="125" customWidth="1"/>
    <col min="3050" max="3050" width="73" style="125" customWidth="1"/>
    <col min="3051" max="3051" width="11.140625" style="125" customWidth="1"/>
    <col min="3052" max="3052" width="11.85546875" style="125" customWidth="1"/>
    <col min="3053" max="3053" width="12.28515625" style="125" customWidth="1"/>
    <col min="3054" max="3054" width="16.7109375" style="125" customWidth="1"/>
    <col min="3055" max="3303" width="8.7109375" style="125"/>
    <col min="3304" max="3304" width="5.5703125" style="125" customWidth="1"/>
    <col min="3305" max="3305" width="19.85546875" style="125" customWidth="1"/>
    <col min="3306" max="3306" width="73" style="125" customWidth="1"/>
    <col min="3307" max="3307" width="11.140625" style="125" customWidth="1"/>
    <col min="3308" max="3308" width="11.85546875" style="125" customWidth="1"/>
    <col min="3309" max="3309" width="12.28515625" style="125" customWidth="1"/>
    <col min="3310" max="3310" width="16.7109375" style="125" customWidth="1"/>
    <col min="3311" max="3559" width="8.7109375" style="125"/>
    <col min="3560" max="3560" width="5.5703125" style="125" customWidth="1"/>
    <col min="3561" max="3561" width="19.85546875" style="125" customWidth="1"/>
    <col min="3562" max="3562" width="73" style="125" customWidth="1"/>
    <col min="3563" max="3563" width="11.140625" style="125" customWidth="1"/>
    <col min="3564" max="3564" width="11.85546875" style="125" customWidth="1"/>
    <col min="3565" max="3565" width="12.28515625" style="125" customWidth="1"/>
    <col min="3566" max="3566" width="16.7109375" style="125" customWidth="1"/>
    <col min="3567" max="3815" width="8.7109375" style="125"/>
    <col min="3816" max="3816" width="5.5703125" style="125" customWidth="1"/>
    <col min="3817" max="3817" width="19.85546875" style="125" customWidth="1"/>
    <col min="3818" max="3818" width="73" style="125" customWidth="1"/>
    <col min="3819" max="3819" width="11.140625" style="125" customWidth="1"/>
    <col min="3820" max="3820" width="11.85546875" style="125" customWidth="1"/>
    <col min="3821" max="3821" width="12.28515625" style="125" customWidth="1"/>
    <col min="3822" max="3822" width="16.7109375" style="125" customWidth="1"/>
    <col min="3823" max="4071" width="8.7109375" style="125"/>
    <col min="4072" max="4072" width="5.5703125" style="125" customWidth="1"/>
    <col min="4073" max="4073" width="19.85546875" style="125" customWidth="1"/>
    <col min="4074" max="4074" width="73" style="125" customWidth="1"/>
    <col min="4075" max="4075" width="11.140625" style="125" customWidth="1"/>
    <col min="4076" max="4076" width="11.85546875" style="125" customWidth="1"/>
    <col min="4077" max="4077" width="12.28515625" style="125" customWidth="1"/>
    <col min="4078" max="4078" width="16.7109375" style="125" customWidth="1"/>
    <col min="4079" max="4327" width="8.7109375" style="125"/>
    <col min="4328" max="4328" width="5.5703125" style="125" customWidth="1"/>
    <col min="4329" max="4329" width="19.85546875" style="125" customWidth="1"/>
    <col min="4330" max="4330" width="73" style="125" customWidth="1"/>
    <col min="4331" max="4331" width="11.140625" style="125" customWidth="1"/>
    <col min="4332" max="4332" width="11.85546875" style="125" customWidth="1"/>
    <col min="4333" max="4333" width="12.28515625" style="125" customWidth="1"/>
    <col min="4334" max="4334" width="16.7109375" style="125" customWidth="1"/>
    <col min="4335" max="4583" width="8.7109375" style="125"/>
    <col min="4584" max="4584" width="5.5703125" style="125" customWidth="1"/>
    <col min="4585" max="4585" width="19.85546875" style="125" customWidth="1"/>
    <col min="4586" max="4586" width="73" style="125" customWidth="1"/>
    <col min="4587" max="4587" width="11.140625" style="125" customWidth="1"/>
    <col min="4588" max="4588" width="11.85546875" style="125" customWidth="1"/>
    <col min="4589" max="4589" width="12.28515625" style="125" customWidth="1"/>
    <col min="4590" max="4590" width="16.7109375" style="125" customWidth="1"/>
    <col min="4591" max="4839" width="8.7109375" style="125"/>
    <col min="4840" max="4840" width="5.5703125" style="125" customWidth="1"/>
    <col min="4841" max="4841" width="19.85546875" style="125" customWidth="1"/>
    <col min="4842" max="4842" width="73" style="125" customWidth="1"/>
    <col min="4843" max="4843" width="11.140625" style="125" customWidth="1"/>
    <col min="4844" max="4844" width="11.85546875" style="125" customWidth="1"/>
    <col min="4845" max="4845" width="12.28515625" style="125" customWidth="1"/>
    <col min="4846" max="4846" width="16.7109375" style="125" customWidth="1"/>
    <col min="4847" max="5095" width="8.7109375" style="125"/>
    <col min="5096" max="5096" width="5.5703125" style="125" customWidth="1"/>
    <col min="5097" max="5097" width="19.85546875" style="125" customWidth="1"/>
    <col min="5098" max="5098" width="73" style="125" customWidth="1"/>
    <col min="5099" max="5099" width="11.140625" style="125" customWidth="1"/>
    <col min="5100" max="5100" width="11.85546875" style="125" customWidth="1"/>
    <col min="5101" max="5101" width="12.28515625" style="125" customWidth="1"/>
    <col min="5102" max="5102" width="16.7109375" style="125" customWidth="1"/>
    <col min="5103" max="5351" width="8.7109375" style="125"/>
    <col min="5352" max="5352" width="5.5703125" style="125" customWidth="1"/>
    <col min="5353" max="5353" width="19.85546875" style="125" customWidth="1"/>
    <col min="5354" max="5354" width="73" style="125" customWidth="1"/>
    <col min="5355" max="5355" width="11.140625" style="125" customWidth="1"/>
    <col min="5356" max="5356" width="11.85546875" style="125" customWidth="1"/>
    <col min="5357" max="5357" width="12.28515625" style="125" customWidth="1"/>
    <col min="5358" max="5358" width="16.7109375" style="125" customWidth="1"/>
    <col min="5359" max="5607" width="8.7109375" style="125"/>
    <col min="5608" max="5608" width="5.5703125" style="125" customWidth="1"/>
    <col min="5609" max="5609" width="19.85546875" style="125" customWidth="1"/>
    <col min="5610" max="5610" width="73" style="125" customWidth="1"/>
    <col min="5611" max="5611" width="11.140625" style="125" customWidth="1"/>
    <col min="5612" max="5612" width="11.85546875" style="125" customWidth="1"/>
    <col min="5613" max="5613" width="12.28515625" style="125" customWidth="1"/>
    <col min="5614" max="5614" width="16.7109375" style="125" customWidth="1"/>
    <col min="5615" max="5863" width="8.7109375" style="125"/>
    <col min="5864" max="5864" width="5.5703125" style="125" customWidth="1"/>
    <col min="5865" max="5865" width="19.85546875" style="125" customWidth="1"/>
    <col min="5866" max="5866" width="73" style="125" customWidth="1"/>
    <col min="5867" max="5867" width="11.140625" style="125" customWidth="1"/>
    <col min="5868" max="5868" width="11.85546875" style="125" customWidth="1"/>
    <col min="5869" max="5869" width="12.28515625" style="125" customWidth="1"/>
    <col min="5870" max="5870" width="16.7109375" style="125" customWidth="1"/>
    <col min="5871" max="6119" width="8.7109375" style="125"/>
    <col min="6120" max="6120" width="5.5703125" style="125" customWidth="1"/>
    <col min="6121" max="6121" width="19.85546875" style="125" customWidth="1"/>
    <col min="6122" max="6122" width="73" style="125" customWidth="1"/>
    <col min="6123" max="6123" width="11.140625" style="125" customWidth="1"/>
    <col min="6124" max="6124" width="11.85546875" style="125" customWidth="1"/>
    <col min="6125" max="6125" width="12.28515625" style="125" customWidth="1"/>
    <col min="6126" max="6126" width="16.7109375" style="125" customWidth="1"/>
    <col min="6127" max="6375" width="8.7109375" style="125"/>
    <col min="6376" max="6376" width="5.5703125" style="125" customWidth="1"/>
    <col min="6377" max="6377" width="19.85546875" style="125" customWidth="1"/>
    <col min="6378" max="6378" width="73" style="125" customWidth="1"/>
    <col min="6379" max="6379" width="11.140625" style="125" customWidth="1"/>
    <col min="6380" max="6380" width="11.85546875" style="125" customWidth="1"/>
    <col min="6381" max="6381" width="12.28515625" style="125" customWidth="1"/>
    <col min="6382" max="6382" width="16.7109375" style="125" customWidth="1"/>
    <col min="6383" max="6631" width="8.7109375" style="125"/>
    <col min="6632" max="6632" width="5.5703125" style="125" customWidth="1"/>
    <col min="6633" max="6633" width="19.85546875" style="125" customWidth="1"/>
    <col min="6634" max="6634" width="73" style="125" customWidth="1"/>
    <col min="6635" max="6635" width="11.140625" style="125" customWidth="1"/>
    <col min="6636" max="6636" width="11.85546875" style="125" customWidth="1"/>
    <col min="6637" max="6637" width="12.28515625" style="125" customWidth="1"/>
    <col min="6638" max="6638" width="16.7109375" style="125" customWidth="1"/>
    <col min="6639" max="6887" width="8.7109375" style="125"/>
    <col min="6888" max="6888" width="5.5703125" style="125" customWidth="1"/>
    <col min="6889" max="6889" width="19.85546875" style="125" customWidth="1"/>
    <col min="6890" max="6890" width="73" style="125" customWidth="1"/>
    <col min="6891" max="6891" width="11.140625" style="125" customWidth="1"/>
    <col min="6892" max="6892" width="11.85546875" style="125" customWidth="1"/>
    <col min="6893" max="6893" width="12.28515625" style="125" customWidth="1"/>
    <col min="6894" max="6894" width="16.7109375" style="125" customWidth="1"/>
    <col min="6895" max="7143" width="8.7109375" style="125"/>
    <col min="7144" max="7144" width="5.5703125" style="125" customWidth="1"/>
    <col min="7145" max="7145" width="19.85546875" style="125" customWidth="1"/>
    <col min="7146" max="7146" width="73" style="125" customWidth="1"/>
    <col min="7147" max="7147" width="11.140625" style="125" customWidth="1"/>
    <col min="7148" max="7148" width="11.85546875" style="125" customWidth="1"/>
    <col min="7149" max="7149" width="12.28515625" style="125" customWidth="1"/>
    <col min="7150" max="7150" width="16.7109375" style="125" customWidth="1"/>
    <col min="7151" max="7399" width="8.7109375" style="125"/>
    <col min="7400" max="7400" width="5.5703125" style="125" customWidth="1"/>
    <col min="7401" max="7401" width="19.85546875" style="125" customWidth="1"/>
    <col min="7402" max="7402" width="73" style="125" customWidth="1"/>
    <col min="7403" max="7403" width="11.140625" style="125" customWidth="1"/>
    <col min="7404" max="7404" width="11.85546875" style="125" customWidth="1"/>
    <col min="7405" max="7405" width="12.28515625" style="125" customWidth="1"/>
    <col min="7406" max="7406" width="16.7109375" style="125" customWidth="1"/>
    <col min="7407" max="7655" width="8.7109375" style="125"/>
    <col min="7656" max="7656" width="5.5703125" style="125" customWidth="1"/>
    <col min="7657" max="7657" width="19.85546875" style="125" customWidth="1"/>
    <col min="7658" max="7658" width="73" style="125" customWidth="1"/>
    <col min="7659" max="7659" width="11.140625" style="125" customWidth="1"/>
    <col min="7660" max="7660" width="11.85546875" style="125" customWidth="1"/>
    <col min="7661" max="7661" width="12.28515625" style="125" customWidth="1"/>
    <col min="7662" max="7662" width="16.7109375" style="125" customWidth="1"/>
    <col min="7663" max="7911" width="8.7109375" style="125"/>
    <col min="7912" max="7912" width="5.5703125" style="125" customWidth="1"/>
    <col min="7913" max="7913" width="19.85546875" style="125" customWidth="1"/>
    <col min="7914" max="7914" width="73" style="125" customWidth="1"/>
    <col min="7915" max="7915" width="11.140625" style="125" customWidth="1"/>
    <col min="7916" max="7916" width="11.85546875" style="125" customWidth="1"/>
    <col min="7917" max="7917" width="12.28515625" style="125" customWidth="1"/>
    <col min="7918" max="7918" width="16.7109375" style="125" customWidth="1"/>
    <col min="7919" max="8167" width="8.7109375" style="125"/>
    <col min="8168" max="8168" width="5.5703125" style="125" customWidth="1"/>
    <col min="8169" max="8169" width="19.85546875" style="125" customWidth="1"/>
    <col min="8170" max="8170" width="73" style="125" customWidth="1"/>
    <col min="8171" max="8171" width="11.140625" style="125" customWidth="1"/>
    <col min="8172" max="8172" width="11.85546875" style="125" customWidth="1"/>
    <col min="8173" max="8173" width="12.28515625" style="125" customWidth="1"/>
    <col min="8174" max="8174" width="16.7109375" style="125" customWidth="1"/>
    <col min="8175" max="8423" width="8.7109375" style="125"/>
    <col min="8424" max="8424" width="5.5703125" style="125" customWidth="1"/>
    <col min="8425" max="8425" width="19.85546875" style="125" customWidth="1"/>
    <col min="8426" max="8426" width="73" style="125" customWidth="1"/>
    <col min="8427" max="8427" width="11.140625" style="125" customWidth="1"/>
    <col min="8428" max="8428" width="11.85546875" style="125" customWidth="1"/>
    <col min="8429" max="8429" width="12.28515625" style="125" customWidth="1"/>
    <col min="8430" max="8430" width="16.7109375" style="125" customWidth="1"/>
    <col min="8431" max="8679" width="8.7109375" style="125"/>
    <col min="8680" max="8680" width="5.5703125" style="125" customWidth="1"/>
    <col min="8681" max="8681" width="19.85546875" style="125" customWidth="1"/>
    <col min="8682" max="8682" width="73" style="125" customWidth="1"/>
    <col min="8683" max="8683" width="11.140625" style="125" customWidth="1"/>
    <col min="8684" max="8684" width="11.85546875" style="125" customWidth="1"/>
    <col min="8685" max="8685" width="12.28515625" style="125" customWidth="1"/>
    <col min="8686" max="8686" width="16.7109375" style="125" customWidth="1"/>
    <col min="8687" max="8935" width="8.7109375" style="125"/>
    <col min="8936" max="8936" width="5.5703125" style="125" customWidth="1"/>
    <col min="8937" max="8937" width="19.85546875" style="125" customWidth="1"/>
    <col min="8938" max="8938" width="73" style="125" customWidth="1"/>
    <col min="8939" max="8939" width="11.140625" style="125" customWidth="1"/>
    <col min="8940" max="8940" width="11.85546875" style="125" customWidth="1"/>
    <col min="8941" max="8941" width="12.28515625" style="125" customWidth="1"/>
    <col min="8942" max="8942" width="16.7109375" style="125" customWidth="1"/>
    <col min="8943" max="9191" width="8.7109375" style="125"/>
    <col min="9192" max="9192" width="5.5703125" style="125" customWidth="1"/>
    <col min="9193" max="9193" width="19.85546875" style="125" customWidth="1"/>
    <col min="9194" max="9194" width="73" style="125" customWidth="1"/>
    <col min="9195" max="9195" width="11.140625" style="125" customWidth="1"/>
    <col min="9196" max="9196" width="11.85546875" style="125" customWidth="1"/>
    <col min="9197" max="9197" width="12.28515625" style="125" customWidth="1"/>
    <col min="9198" max="9198" width="16.7109375" style="125" customWidth="1"/>
    <col min="9199" max="9447" width="8.7109375" style="125"/>
    <col min="9448" max="9448" width="5.5703125" style="125" customWidth="1"/>
    <col min="9449" max="9449" width="19.85546875" style="125" customWidth="1"/>
    <col min="9450" max="9450" width="73" style="125" customWidth="1"/>
    <col min="9451" max="9451" width="11.140625" style="125" customWidth="1"/>
    <col min="9452" max="9452" width="11.85546875" style="125" customWidth="1"/>
    <col min="9453" max="9453" width="12.28515625" style="125" customWidth="1"/>
    <col min="9454" max="9454" width="16.7109375" style="125" customWidth="1"/>
    <col min="9455" max="9703" width="8.7109375" style="125"/>
    <col min="9704" max="9704" width="5.5703125" style="125" customWidth="1"/>
    <col min="9705" max="9705" width="19.85546875" style="125" customWidth="1"/>
    <col min="9706" max="9706" width="73" style="125" customWidth="1"/>
    <col min="9707" max="9707" width="11.140625" style="125" customWidth="1"/>
    <col min="9708" max="9708" width="11.85546875" style="125" customWidth="1"/>
    <col min="9709" max="9709" width="12.28515625" style="125" customWidth="1"/>
    <col min="9710" max="9710" width="16.7109375" style="125" customWidth="1"/>
    <col min="9711" max="9959" width="8.7109375" style="125"/>
    <col min="9960" max="9960" width="5.5703125" style="125" customWidth="1"/>
    <col min="9961" max="9961" width="19.85546875" style="125" customWidth="1"/>
    <col min="9962" max="9962" width="73" style="125" customWidth="1"/>
    <col min="9963" max="9963" width="11.140625" style="125" customWidth="1"/>
    <col min="9964" max="9964" width="11.85546875" style="125" customWidth="1"/>
    <col min="9965" max="9965" width="12.28515625" style="125" customWidth="1"/>
    <col min="9966" max="9966" width="16.7109375" style="125" customWidth="1"/>
    <col min="9967" max="10215" width="8.7109375" style="125"/>
    <col min="10216" max="10216" width="5.5703125" style="125" customWidth="1"/>
    <col min="10217" max="10217" width="19.85546875" style="125" customWidth="1"/>
    <col min="10218" max="10218" width="73" style="125" customWidth="1"/>
    <col min="10219" max="10219" width="11.140625" style="125" customWidth="1"/>
    <col min="10220" max="10220" width="11.85546875" style="125" customWidth="1"/>
    <col min="10221" max="10221" width="12.28515625" style="125" customWidth="1"/>
    <col min="10222" max="10222" width="16.7109375" style="125" customWidth="1"/>
    <col min="10223" max="10471" width="8.7109375" style="125"/>
    <col min="10472" max="10472" width="5.5703125" style="125" customWidth="1"/>
    <col min="10473" max="10473" width="19.85546875" style="125" customWidth="1"/>
    <col min="10474" max="10474" width="73" style="125" customWidth="1"/>
    <col min="10475" max="10475" width="11.140625" style="125" customWidth="1"/>
    <col min="10476" max="10476" width="11.85546875" style="125" customWidth="1"/>
    <col min="10477" max="10477" width="12.28515625" style="125" customWidth="1"/>
    <col min="10478" max="10478" width="16.7109375" style="125" customWidth="1"/>
    <col min="10479" max="10727" width="8.7109375" style="125"/>
    <col min="10728" max="10728" width="5.5703125" style="125" customWidth="1"/>
    <col min="10729" max="10729" width="19.85546875" style="125" customWidth="1"/>
    <col min="10730" max="10730" width="73" style="125" customWidth="1"/>
    <col min="10731" max="10731" width="11.140625" style="125" customWidth="1"/>
    <col min="10732" max="10732" width="11.85546875" style="125" customWidth="1"/>
    <col min="10733" max="10733" width="12.28515625" style="125" customWidth="1"/>
    <col min="10734" max="10734" width="16.7109375" style="125" customWidth="1"/>
    <col min="10735" max="10983" width="8.7109375" style="125"/>
    <col min="10984" max="10984" width="5.5703125" style="125" customWidth="1"/>
    <col min="10985" max="10985" width="19.85546875" style="125" customWidth="1"/>
    <col min="10986" max="10986" width="73" style="125" customWidth="1"/>
    <col min="10987" max="10987" width="11.140625" style="125" customWidth="1"/>
    <col min="10988" max="10988" width="11.85546875" style="125" customWidth="1"/>
    <col min="10989" max="10989" width="12.28515625" style="125" customWidth="1"/>
    <col min="10990" max="10990" width="16.7109375" style="125" customWidth="1"/>
    <col min="10991" max="11239" width="8.7109375" style="125"/>
    <col min="11240" max="11240" width="5.5703125" style="125" customWidth="1"/>
    <col min="11241" max="11241" width="19.85546875" style="125" customWidth="1"/>
    <col min="11242" max="11242" width="73" style="125" customWidth="1"/>
    <col min="11243" max="11243" width="11.140625" style="125" customWidth="1"/>
    <col min="11244" max="11244" width="11.85546875" style="125" customWidth="1"/>
    <col min="11245" max="11245" width="12.28515625" style="125" customWidth="1"/>
    <col min="11246" max="11246" width="16.7109375" style="125" customWidth="1"/>
    <col min="11247" max="11495" width="8.7109375" style="125"/>
    <col min="11496" max="11496" width="5.5703125" style="125" customWidth="1"/>
    <col min="11497" max="11497" width="19.85546875" style="125" customWidth="1"/>
    <col min="11498" max="11498" width="73" style="125" customWidth="1"/>
    <col min="11499" max="11499" width="11.140625" style="125" customWidth="1"/>
    <col min="11500" max="11500" width="11.85546875" style="125" customWidth="1"/>
    <col min="11501" max="11501" width="12.28515625" style="125" customWidth="1"/>
    <col min="11502" max="11502" width="16.7109375" style="125" customWidth="1"/>
    <col min="11503" max="11751" width="8.7109375" style="125"/>
    <col min="11752" max="11752" width="5.5703125" style="125" customWidth="1"/>
    <col min="11753" max="11753" width="19.85546875" style="125" customWidth="1"/>
    <col min="11754" max="11754" width="73" style="125" customWidth="1"/>
    <col min="11755" max="11755" width="11.140625" style="125" customWidth="1"/>
    <col min="11756" max="11756" width="11.85546875" style="125" customWidth="1"/>
    <col min="11757" max="11757" width="12.28515625" style="125" customWidth="1"/>
    <col min="11758" max="11758" width="16.7109375" style="125" customWidth="1"/>
    <col min="11759" max="12007" width="8.7109375" style="125"/>
    <col min="12008" max="12008" width="5.5703125" style="125" customWidth="1"/>
    <col min="12009" max="12009" width="19.85546875" style="125" customWidth="1"/>
    <col min="12010" max="12010" width="73" style="125" customWidth="1"/>
    <col min="12011" max="12011" width="11.140625" style="125" customWidth="1"/>
    <col min="12012" max="12012" width="11.85546875" style="125" customWidth="1"/>
    <col min="12013" max="12013" width="12.28515625" style="125" customWidth="1"/>
    <col min="12014" max="12014" width="16.7109375" style="125" customWidth="1"/>
    <col min="12015" max="12263" width="8.7109375" style="125"/>
    <col min="12264" max="12264" width="5.5703125" style="125" customWidth="1"/>
    <col min="12265" max="12265" width="19.85546875" style="125" customWidth="1"/>
    <col min="12266" max="12266" width="73" style="125" customWidth="1"/>
    <col min="12267" max="12267" width="11.140625" style="125" customWidth="1"/>
    <col min="12268" max="12268" width="11.85546875" style="125" customWidth="1"/>
    <col min="12269" max="12269" width="12.28515625" style="125" customWidth="1"/>
    <col min="12270" max="12270" width="16.7109375" style="125" customWidth="1"/>
    <col min="12271" max="12519" width="8.7109375" style="125"/>
    <col min="12520" max="12520" width="5.5703125" style="125" customWidth="1"/>
    <col min="12521" max="12521" width="19.85546875" style="125" customWidth="1"/>
    <col min="12522" max="12522" width="73" style="125" customWidth="1"/>
    <col min="12523" max="12523" width="11.140625" style="125" customWidth="1"/>
    <col min="12524" max="12524" width="11.85546875" style="125" customWidth="1"/>
    <col min="12525" max="12525" width="12.28515625" style="125" customWidth="1"/>
    <col min="12526" max="12526" width="16.7109375" style="125" customWidth="1"/>
    <col min="12527" max="12775" width="8.7109375" style="125"/>
    <col min="12776" max="12776" width="5.5703125" style="125" customWidth="1"/>
    <col min="12777" max="12777" width="19.85546875" style="125" customWidth="1"/>
    <col min="12778" max="12778" width="73" style="125" customWidth="1"/>
    <col min="12779" max="12779" width="11.140625" style="125" customWidth="1"/>
    <col min="12780" max="12780" width="11.85546875" style="125" customWidth="1"/>
    <col min="12781" max="12781" width="12.28515625" style="125" customWidth="1"/>
    <col min="12782" max="12782" width="16.7109375" style="125" customWidth="1"/>
    <col min="12783" max="13031" width="8.7109375" style="125"/>
    <col min="13032" max="13032" width="5.5703125" style="125" customWidth="1"/>
    <col min="13033" max="13033" width="19.85546875" style="125" customWidth="1"/>
    <col min="13034" max="13034" width="73" style="125" customWidth="1"/>
    <col min="13035" max="13035" width="11.140625" style="125" customWidth="1"/>
    <col min="13036" max="13036" width="11.85546875" style="125" customWidth="1"/>
    <col min="13037" max="13037" width="12.28515625" style="125" customWidth="1"/>
    <col min="13038" max="13038" width="16.7109375" style="125" customWidth="1"/>
    <col min="13039" max="13287" width="8.7109375" style="125"/>
    <col min="13288" max="13288" width="5.5703125" style="125" customWidth="1"/>
    <col min="13289" max="13289" width="19.85546875" style="125" customWidth="1"/>
    <col min="13290" max="13290" width="73" style="125" customWidth="1"/>
    <col min="13291" max="13291" width="11.140625" style="125" customWidth="1"/>
    <col min="13292" max="13292" width="11.85546875" style="125" customWidth="1"/>
    <col min="13293" max="13293" width="12.28515625" style="125" customWidth="1"/>
    <col min="13294" max="13294" width="16.7109375" style="125" customWidth="1"/>
    <col min="13295" max="13543" width="8.7109375" style="125"/>
    <col min="13544" max="13544" width="5.5703125" style="125" customWidth="1"/>
    <col min="13545" max="13545" width="19.85546875" style="125" customWidth="1"/>
    <col min="13546" max="13546" width="73" style="125" customWidth="1"/>
    <col min="13547" max="13547" width="11.140625" style="125" customWidth="1"/>
    <col min="13548" max="13548" width="11.85546875" style="125" customWidth="1"/>
    <col min="13549" max="13549" width="12.28515625" style="125" customWidth="1"/>
    <col min="13550" max="13550" width="16.7109375" style="125" customWidth="1"/>
    <col min="13551" max="13799" width="8.7109375" style="125"/>
    <col min="13800" max="13800" width="5.5703125" style="125" customWidth="1"/>
    <col min="13801" max="13801" width="19.85546875" style="125" customWidth="1"/>
    <col min="13802" max="13802" width="73" style="125" customWidth="1"/>
    <col min="13803" max="13803" width="11.140625" style="125" customWidth="1"/>
    <col min="13804" max="13804" width="11.85546875" style="125" customWidth="1"/>
    <col min="13805" max="13805" width="12.28515625" style="125" customWidth="1"/>
    <col min="13806" max="13806" width="16.7109375" style="125" customWidth="1"/>
    <col min="13807" max="14055" width="8.7109375" style="125"/>
    <col min="14056" max="14056" width="5.5703125" style="125" customWidth="1"/>
    <col min="14057" max="14057" width="19.85546875" style="125" customWidth="1"/>
    <col min="14058" max="14058" width="73" style="125" customWidth="1"/>
    <col min="14059" max="14059" width="11.140625" style="125" customWidth="1"/>
    <col min="14060" max="14060" width="11.85546875" style="125" customWidth="1"/>
    <col min="14061" max="14061" width="12.28515625" style="125" customWidth="1"/>
    <col min="14062" max="14062" width="16.7109375" style="125" customWidth="1"/>
    <col min="14063" max="14311" width="8.7109375" style="125"/>
    <col min="14312" max="14312" width="5.5703125" style="125" customWidth="1"/>
    <col min="14313" max="14313" width="19.85546875" style="125" customWidth="1"/>
    <col min="14314" max="14314" width="73" style="125" customWidth="1"/>
    <col min="14315" max="14315" width="11.140625" style="125" customWidth="1"/>
    <col min="14316" max="14316" width="11.85546875" style="125" customWidth="1"/>
    <col min="14317" max="14317" width="12.28515625" style="125" customWidth="1"/>
    <col min="14318" max="14318" width="16.7109375" style="125" customWidth="1"/>
    <col min="14319" max="14567" width="8.7109375" style="125"/>
    <col min="14568" max="14568" width="5.5703125" style="125" customWidth="1"/>
    <col min="14569" max="14569" width="19.85546875" style="125" customWidth="1"/>
    <col min="14570" max="14570" width="73" style="125" customWidth="1"/>
    <col min="14571" max="14571" width="11.140625" style="125" customWidth="1"/>
    <col min="14572" max="14572" width="11.85546875" style="125" customWidth="1"/>
    <col min="14573" max="14573" width="12.28515625" style="125" customWidth="1"/>
    <col min="14574" max="14574" width="16.7109375" style="125" customWidth="1"/>
    <col min="14575" max="14823" width="8.7109375" style="125"/>
    <col min="14824" max="14824" width="5.5703125" style="125" customWidth="1"/>
    <col min="14825" max="14825" width="19.85546875" style="125" customWidth="1"/>
    <col min="14826" max="14826" width="73" style="125" customWidth="1"/>
    <col min="14827" max="14827" width="11.140625" style="125" customWidth="1"/>
    <col min="14828" max="14828" width="11.85546875" style="125" customWidth="1"/>
    <col min="14829" max="14829" width="12.28515625" style="125" customWidth="1"/>
    <col min="14830" max="14830" width="16.7109375" style="125" customWidth="1"/>
    <col min="14831" max="15079" width="8.7109375" style="125"/>
    <col min="15080" max="15080" width="5.5703125" style="125" customWidth="1"/>
    <col min="15081" max="15081" width="19.85546875" style="125" customWidth="1"/>
    <col min="15082" max="15082" width="73" style="125" customWidth="1"/>
    <col min="15083" max="15083" width="11.140625" style="125" customWidth="1"/>
    <col min="15084" max="15084" width="11.85546875" style="125" customWidth="1"/>
    <col min="15085" max="15085" width="12.28515625" style="125" customWidth="1"/>
    <col min="15086" max="15086" width="16.7109375" style="125" customWidth="1"/>
    <col min="15087" max="15335" width="8.7109375" style="125"/>
    <col min="15336" max="15336" width="5.5703125" style="125" customWidth="1"/>
    <col min="15337" max="15337" width="19.85546875" style="125" customWidth="1"/>
    <col min="15338" max="15338" width="73" style="125" customWidth="1"/>
    <col min="15339" max="15339" width="11.140625" style="125" customWidth="1"/>
    <col min="15340" max="15340" width="11.85546875" style="125" customWidth="1"/>
    <col min="15341" max="15341" width="12.28515625" style="125" customWidth="1"/>
    <col min="15342" max="15342" width="16.7109375" style="125" customWidth="1"/>
    <col min="15343" max="15591" width="8.7109375" style="125"/>
    <col min="15592" max="15592" width="5.5703125" style="125" customWidth="1"/>
    <col min="15593" max="15593" width="19.85546875" style="125" customWidth="1"/>
    <col min="15594" max="15594" width="73" style="125" customWidth="1"/>
    <col min="15595" max="15595" width="11.140625" style="125" customWidth="1"/>
    <col min="15596" max="15596" width="11.85546875" style="125" customWidth="1"/>
    <col min="15597" max="15597" width="12.28515625" style="125" customWidth="1"/>
    <col min="15598" max="15598" width="16.7109375" style="125" customWidth="1"/>
    <col min="15599" max="15847" width="8.7109375" style="125"/>
    <col min="15848" max="15848" width="5.5703125" style="125" customWidth="1"/>
    <col min="15849" max="15849" width="19.85546875" style="125" customWidth="1"/>
    <col min="15850" max="15850" width="73" style="125" customWidth="1"/>
    <col min="15851" max="15851" width="11.140625" style="125" customWidth="1"/>
    <col min="15852" max="15852" width="11.85546875" style="125" customWidth="1"/>
    <col min="15853" max="15853" width="12.28515625" style="125" customWidth="1"/>
    <col min="15854" max="15854" width="16.7109375" style="125" customWidth="1"/>
    <col min="15855" max="16103" width="8.7109375" style="125"/>
    <col min="16104" max="16104" width="5.5703125" style="125" customWidth="1"/>
    <col min="16105" max="16105" width="19.85546875" style="125" customWidth="1"/>
    <col min="16106" max="16106" width="73" style="125" customWidth="1"/>
    <col min="16107" max="16107" width="11.140625" style="125" customWidth="1"/>
    <col min="16108" max="16108" width="11.85546875" style="125" customWidth="1"/>
    <col min="16109" max="16109" width="12.28515625" style="125" customWidth="1"/>
    <col min="16110" max="16110" width="16.7109375" style="125" customWidth="1"/>
    <col min="16111" max="16365" width="8.7109375" style="125"/>
    <col min="16366" max="16366" width="9.140625" style="125" customWidth="1"/>
    <col min="16367" max="16382" width="8.7109375" style="125"/>
    <col min="16383" max="16384" width="9.140625" style="125" customWidth="1"/>
  </cols>
  <sheetData>
    <row r="1" spans="1:7" s="50" customFormat="1" ht="60" customHeight="1">
      <c r="A1" s="49" t="s">
        <v>0</v>
      </c>
      <c r="B1" s="214" t="s">
        <v>157</v>
      </c>
      <c r="C1" s="215"/>
      <c r="D1" s="215"/>
      <c r="E1" s="215"/>
      <c r="F1" s="215"/>
      <c r="G1" s="216"/>
    </row>
    <row r="2" spans="1:7" s="50" customFormat="1" ht="104.45" customHeight="1">
      <c r="A2" s="51" t="s">
        <v>1</v>
      </c>
      <c r="B2" s="217" t="s">
        <v>2</v>
      </c>
      <c r="C2" s="218"/>
      <c r="D2" s="218"/>
      <c r="E2" s="218"/>
      <c r="F2" s="218"/>
      <c r="G2" s="219"/>
    </row>
    <row r="3" spans="1:7" s="50" customFormat="1" ht="90" customHeight="1" thickBot="1">
      <c r="A3" s="52" t="s">
        <v>3</v>
      </c>
      <c r="B3" s="220" t="s">
        <v>4</v>
      </c>
      <c r="C3" s="221"/>
      <c r="D3" s="221"/>
      <c r="E3" s="221"/>
      <c r="F3" s="221"/>
      <c r="G3" s="222"/>
    </row>
    <row r="4" spans="1:7" ht="30" customHeight="1" thickBot="1">
      <c r="A4" s="205" t="s">
        <v>704</v>
      </c>
      <c r="B4" s="206"/>
      <c r="C4" s="206"/>
      <c r="D4" s="206"/>
      <c r="E4" s="206"/>
      <c r="F4" s="206"/>
      <c r="G4" s="207"/>
    </row>
    <row r="5" spans="1:7" ht="37.5" customHeight="1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129" customFormat="1" ht="30" customHeight="1">
      <c r="A6" s="58"/>
      <c r="B6" s="59" t="s">
        <v>159</v>
      </c>
      <c r="C6" s="60" t="s">
        <v>299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ht="30" customHeight="1">
      <c r="A7" s="166" t="s">
        <v>300</v>
      </c>
      <c r="B7" s="167"/>
      <c r="C7" s="168" t="s">
        <v>301</v>
      </c>
      <c r="D7" s="169" t="s">
        <v>302</v>
      </c>
      <c r="E7" s="170">
        <v>5</v>
      </c>
      <c r="F7" s="171"/>
      <c r="G7" s="172">
        <f>ROUND(E7*F7,2)</f>
        <v>0</v>
      </c>
    </row>
    <row r="8" spans="1:7" ht="30" customHeight="1">
      <c r="A8" s="228" t="s">
        <v>303</v>
      </c>
      <c r="B8" s="229"/>
      <c r="C8" s="173" t="s">
        <v>304</v>
      </c>
      <c r="D8" s="232" t="s">
        <v>101</v>
      </c>
      <c r="E8" s="233">
        <v>313</v>
      </c>
      <c r="F8" s="234"/>
      <c r="G8" s="235">
        <f>ROUND(F8*E8,2)</f>
        <v>0</v>
      </c>
    </row>
    <row r="9" spans="1:7" ht="30" customHeight="1">
      <c r="A9" s="228"/>
      <c r="B9" s="230"/>
      <c r="C9" s="174" t="s">
        <v>305</v>
      </c>
      <c r="D9" s="232"/>
      <c r="E9" s="233"/>
      <c r="F9" s="234"/>
      <c r="G9" s="236"/>
    </row>
    <row r="10" spans="1:7" ht="30" customHeight="1">
      <c r="A10" s="228"/>
      <c r="B10" s="230"/>
      <c r="C10" s="174" t="s">
        <v>306</v>
      </c>
      <c r="D10" s="232"/>
      <c r="E10" s="233"/>
      <c r="F10" s="234"/>
      <c r="G10" s="236"/>
    </row>
    <row r="11" spans="1:7" ht="30" customHeight="1">
      <c r="A11" s="228"/>
      <c r="B11" s="231"/>
      <c r="C11" s="174" t="s">
        <v>307</v>
      </c>
      <c r="D11" s="232"/>
      <c r="E11" s="233"/>
      <c r="F11" s="234"/>
      <c r="G11" s="237"/>
    </row>
    <row r="12" spans="1:7" ht="30" customHeight="1">
      <c r="A12" s="228" t="s">
        <v>308</v>
      </c>
      <c r="B12" s="229"/>
      <c r="C12" s="175" t="s">
        <v>309</v>
      </c>
      <c r="D12" s="238" t="s">
        <v>101</v>
      </c>
      <c r="E12" s="239">
        <v>177</v>
      </c>
      <c r="F12" s="226"/>
      <c r="G12" s="227">
        <f>ROUND(E12*F12,2)</f>
        <v>0</v>
      </c>
    </row>
    <row r="13" spans="1:7" ht="30" customHeight="1">
      <c r="A13" s="228"/>
      <c r="B13" s="230"/>
      <c r="C13" s="174" t="s">
        <v>305</v>
      </c>
      <c r="D13" s="238"/>
      <c r="E13" s="239"/>
      <c r="F13" s="226"/>
      <c r="G13" s="227"/>
    </row>
    <row r="14" spans="1:7" ht="30" customHeight="1">
      <c r="A14" s="228"/>
      <c r="B14" s="230"/>
      <c r="C14" s="174" t="s">
        <v>310</v>
      </c>
      <c r="D14" s="238"/>
      <c r="E14" s="239"/>
      <c r="F14" s="226"/>
      <c r="G14" s="227"/>
    </row>
    <row r="15" spans="1:7" ht="30" customHeight="1" thickBot="1">
      <c r="A15" s="228"/>
      <c r="B15" s="231"/>
      <c r="C15" s="174" t="s">
        <v>311</v>
      </c>
      <c r="D15" s="238"/>
      <c r="E15" s="239"/>
      <c r="F15" s="226"/>
      <c r="G15" s="227"/>
    </row>
    <row r="16" spans="1:7" s="65" customFormat="1" ht="36" customHeight="1" thickBot="1">
      <c r="A16" s="72"/>
      <c r="B16" s="73" t="s">
        <v>111</v>
      </c>
      <c r="C16" s="74"/>
      <c r="D16" s="75"/>
      <c r="E16" s="75"/>
      <c r="F16" s="76"/>
      <c r="G16" s="77">
        <f>SUBTOTAL(9,G7:G15)</f>
        <v>0</v>
      </c>
    </row>
  </sheetData>
  <sheetProtection selectLockedCells="1" selectUnlockedCells="1"/>
  <mergeCells count="16">
    <mergeCell ref="F12:F15"/>
    <mergeCell ref="G12:G15"/>
    <mergeCell ref="B1:G1"/>
    <mergeCell ref="B2:G2"/>
    <mergeCell ref="B3:G3"/>
    <mergeCell ref="A4:G4"/>
    <mergeCell ref="A8:A11"/>
    <mergeCell ref="B8:B11"/>
    <mergeCell ref="D8:D11"/>
    <mergeCell ref="E8:E11"/>
    <mergeCell ref="F8:F11"/>
    <mergeCell ref="G8:G11"/>
    <mergeCell ref="A12:A15"/>
    <mergeCell ref="B12:B15"/>
    <mergeCell ref="D12:D15"/>
    <mergeCell ref="E12:E15"/>
  </mergeCell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Zeros="0" topLeftCell="A25" workbookViewId="0">
      <selection activeCell="K36" sqref="K36"/>
    </sheetView>
  </sheetViews>
  <sheetFormatPr defaultColWidth="9.140625" defaultRowHeight="15"/>
  <cols>
    <col min="1" max="1" width="11.140625" style="78" customWidth="1"/>
    <col min="2" max="2" width="11.5703125" style="79" customWidth="1"/>
    <col min="3" max="3" width="48.7109375" style="163" customWidth="1"/>
    <col min="4" max="4" width="9.140625" style="81"/>
    <col min="5" max="5" width="12.7109375" style="81" customWidth="1"/>
    <col min="6" max="7" width="12.7109375" style="83" customWidth="1"/>
    <col min="8" max="16384" width="9.140625" style="50"/>
  </cols>
  <sheetData>
    <row r="1" spans="1:7" ht="60" customHeight="1">
      <c r="A1" s="49" t="s">
        <v>0</v>
      </c>
      <c r="B1" s="214" t="s">
        <v>157</v>
      </c>
      <c r="C1" s="215"/>
      <c r="D1" s="215"/>
      <c r="E1" s="215"/>
      <c r="F1" s="215"/>
      <c r="G1" s="216"/>
    </row>
    <row r="2" spans="1:7" ht="104.45" customHeight="1">
      <c r="A2" s="51" t="s">
        <v>1</v>
      </c>
      <c r="B2" s="217" t="s">
        <v>2</v>
      </c>
      <c r="C2" s="218"/>
      <c r="D2" s="218"/>
      <c r="E2" s="218"/>
      <c r="F2" s="218"/>
      <c r="G2" s="219"/>
    </row>
    <row r="3" spans="1:7" ht="90" customHeight="1" thickBot="1">
      <c r="A3" s="52" t="s">
        <v>3</v>
      </c>
      <c r="B3" s="220" t="s">
        <v>4</v>
      </c>
      <c r="C3" s="221"/>
      <c r="D3" s="221"/>
      <c r="E3" s="221"/>
      <c r="F3" s="221"/>
      <c r="G3" s="222"/>
    </row>
    <row r="4" spans="1:7" ht="30" customHeight="1" thickBot="1">
      <c r="A4" s="223" t="s">
        <v>632</v>
      </c>
      <c r="B4" s="224"/>
      <c r="C4" s="224"/>
      <c r="D4" s="224"/>
      <c r="E4" s="224"/>
      <c r="F4" s="224"/>
      <c r="G4" s="225"/>
    </row>
    <row r="5" spans="1:7" ht="26.25" thickBot="1">
      <c r="A5" s="53" t="s">
        <v>6</v>
      </c>
      <c r="B5" s="54" t="s">
        <v>25</v>
      </c>
      <c r="C5" s="150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65" customFormat="1" ht="36" customHeight="1">
      <c r="A6" s="58"/>
      <c r="B6" s="59" t="s">
        <v>633</v>
      </c>
      <c r="C6" s="151" t="s">
        <v>634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65" customFormat="1" ht="30" customHeight="1">
      <c r="A7" s="152"/>
      <c r="B7" s="153"/>
      <c r="C7" s="154" t="s">
        <v>635</v>
      </c>
      <c r="D7" s="155" t="s">
        <v>31</v>
      </c>
      <c r="E7" s="156" t="s">
        <v>31</v>
      </c>
      <c r="F7" s="157" t="s">
        <v>31</v>
      </c>
      <c r="G7" s="158" t="s">
        <v>31</v>
      </c>
    </row>
    <row r="8" spans="1:7" s="65" customFormat="1" ht="30" customHeight="1">
      <c r="A8" s="146" t="s">
        <v>9</v>
      </c>
      <c r="B8" s="147" t="s">
        <v>636</v>
      </c>
      <c r="C8" s="159" t="s">
        <v>637</v>
      </c>
      <c r="D8" s="148" t="s">
        <v>42</v>
      </c>
      <c r="E8" s="149">
        <v>328</v>
      </c>
      <c r="F8" s="70"/>
      <c r="G8" s="160">
        <f>ROUND(E8*F8,2)</f>
        <v>0</v>
      </c>
    </row>
    <row r="9" spans="1:7" s="65" customFormat="1" ht="30" customHeight="1">
      <c r="A9" s="146" t="s">
        <v>11</v>
      </c>
      <c r="B9" s="147" t="s">
        <v>636</v>
      </c>
      <c r="C9" s="159" t="s">
        <v>638</v>
      </c>
      <c r="D9" s="148" t="s">
        <v>42</v>
      </c>
      <c r="E9" s="149">
        <v>328</v>
      </c>
      <c r="F9" s="70"/>
      <c r="G9" s="160">
        <f t="shared" ref="G9:G16" si="0">ROUND(E9*F9,2)</f>
        <v>0</v>
      </c>
    </row>
    <row r="10" spans="1:7" s="65" customFormat="1" ht="30" customHeight="1">
      <c r="A10" s="146" t="s">
        <v>13</v>
      </c>
      <c r="B10" s="147" t="s">
        <v>636</v>
      </c>
      <c r="C10" s="159" t="s">
        <v>639</v>
      </c>
      <c r="D10" s="148" t="s">
        <v>42</v>
      </c>
      <c r="E10" s="149">
        <v>12</v>
      </c>
      <c r="F10" s="70"/>
      <c r="G10" s="160">
        <f t="shared" si="0"/>
        <v>0</v>
      </c>
    </row>
    <row r="11" spans="1:7" s="65" customFormat="1" ht="30" customHeight="1">
      <c r="A11" s="146" t="s">
        <v>15</v>
      </c>
      <c r="B11" s="147" t="s">
        <v>636</v>
      </c>
      <c r="C11" s="159" t="s">
        <v>640</v>
      </c>
      <c r="D11" s="148" t="s">
        <v>42</v>
      </c>
      <c r="E11" s="149">
        <v>12</v>
      </c>
      <c r="F11" s="70"/>
      <c r="G11" s="160">
        <f t="shared" si="0"/>
        <v>0</v>
      </c>
    </row>
    <row r="12" spans="1:7" s="65" customFormat="1" ht="30" customHeight="1">
      <c r="A12" s="146" t="s">
        <v>17</v>
      </c>
      <c r="B12" s="147" t="s">
        <v>636</v>
      </c>
      <c r="C12" s="159" t="s">
        <v>641</v>
      </c>
      <c r="D12" s="148" t="s">
        <v>42</v>
      </c>
      <c r="E12" s="149">
        <v>524</v>
      </c>
      <c r="F12" s="70"/>
      <c r="G12" s="160">
        <f t="shared" si="0"/>
        <v>0</v>
      </c>
    </row>
    <row r="13" spans="1:7" s="65" customFormat="1" ht="30" customHeight="1">
      <c r="A13" s="146" t="s">
        <v>18</v>
      </c>
      <c r="B13" s="147" t="s">
        <v>636</v>
      </c>
      <c r="C13" s="159" t="s">
        <v>642</v>
      </c>
      <c r="D13" s="148" t="s">
        <v>42</v>
      </c>
      <c r="E13" s="149">
        <v>34</v>
      </c>
      <c r="F13" s="70"/>
      <c r="G13" s="160">
        <f t="shared" si="0"/>
        <v>0</v>
      </c>
    </row>
    <row r="14" spans="1:7" s="65" customFormat="1" ht="30" customHeight="1">
      <c r="A14" s="146" t="s">
        <v>19</v>
      </c>
      <c r="B14" s="147" t="s">
        <v>636</v>
      </c>
      <c r="C14" s="159" t="s">
        <v>643</v>
      </c>
      <c r="D14" s="148" t="s">
        <v>42</v>
      </c>
      <c r="E14" s="149">
        <v>34</v>
      </c>
      <c r="F14" s="70"/>
      <c r="G14" s="160">
        <f t="shared" si="0"/>
        <v>0</v>
      </c>
    </row>
    <row r="15" spans="1:7" s="65" customFormat="1" ht="30" customHeight="1">
      <c r="A15" s="146" t="s">
        <v>20</v>
      </c>
      <c r="B15" s="147" t="s">
        <v>636</v>
      </c>
      <c r="C15" s="159" t="s">
        <v>644</v>
      </c>
      <c r="D15" s="148" t="s">
        <v>42</v>
      </c>
      <c r="E15" s="149">
        <v>90</v>
      </c>
      <c r="F15" s="70"/>
      <c r="G15" s="160">
        <f t="shared" si="0"/>
        <v>0</v>
      </c>
    </row>
    <row r="16" spans="1:7" s="65" customFormat="1" ht="36">
      <c r="A16" s="146" t="s">
        <v>39</v>
      </c>
      <c r="B16" s="147" t="s">
        <v>636</v>
      </c>
      <c r="C16" s="159" t="s">
        <v>645</v>
      </c>
      <c r="D16" s="148" t="s">
        <v>57</v>
      </c>
      <c r="E16" s="149">
        <v>6</v>
      </c>
      <c r="F16" s="70"/>
      <c r="G16" s="160">
        <f t="shared" si="0"/>
        <v>0</v>
      </c>
    </row>
    <row r="17" spans="1:7" s="65" customFormat="1" ht="30" customHeight="1">
      <c r="A17" s="152"/>
      <c r="B17" s="153"/>
      <c r="C17" s="154" t="s">
        <v>646</v>
      </c>
      <c r="D17" s="155" t="s">
        <v>31</v>
      </c>
      <c r="E17" s="156" t="s">
        <v>31</v>
      </c>
      <c r="F17" s="157" t="s">
        <v>31</v>
      </c>
      <c r="G17" s="158" t="s">
        <v>31</v>
      </c>
    </row>
    <row r="18" spans="1:7" s="65" customFormat="1" ht="36">
      <c r="A18" s="146" t="s">
        <v>40</v>
      </c>
      <c r="B18" s="147" t="s">
        <v>636</v>
      </c>
      <c r="C18" s="159" t="s">
        <v>647</v>
      </c>
      <c r="D18" s="148" t="s">
        <v>42</v>
      </c>
      <c r="E18" s="149">
        <v>250</v>
      </c>
      <c r="F18" s="70"/>
      <c r="G18" s="160">
        <f t="shared" ref="G18:G28" si="1">ROUND(E18*F18,2)</f>
        <v>0</v>
      </c>
    </row>
    <row r="19" spans="1:7" s="65" customFormat="1" ht="36">
      <c r="A19" s="146" t="s">
        <v>41</v>
      </c>
      <c r="B19" s="147" t="s">
        <v>636</v>
      </c>
      <c r="C19" s="159" t="s">
        <v>648</v>
      </c>
      <c r="D19" s="148" t="s">
        <v>162</v>
      </c>
      <c r="E19" s="149">
        <v>1</v>
      </c>
      <c r="F19" s="70"/>
      <c r="G19" s="160">
        <f t="shared" si="1"/>
        <v>0</v>
      </c>
    </row>
    <row r="20" spans="1:7" s="65" customFormat="1" ht="36">
      <c r="A20" s="146" t="s">
        <v>43</v>
      </c>
      <c r="B20" s="147" t="s">
        <v>636</v>
      </c>
      <c r="C20" s="159" t="s">
        <v>649</v>
      </c>
      <c r="D20" s="148" t="s">
        <v>42</v>
      </c>
      <c r="E20" s="149">
        <v>445</v>
      </c>
      <c r="F20" s="70"/>
      <c r="G20" s="160">
        <f t="shared" si="1"/>
        <v>0</v>
      </c>
    </row>
    <row r="21" spans="1:7" s="65" customFormat="1" ht="30" customHeight="1">
      <c r="A21" s="146" t="s">
        <v>44</v>
      </c>
      <c r="B21" s="147" t="s">
        <v>636</v>
      </c>
      <c r="C21" s="159" t="s">
        <v>650</v>
      </c>
      <c r="D21" s="148" t="s">
        <v>42</v>
      </c>
      <c r="E21" s="149">
        <v>250</v>
      </c>
      <c r="F21" s="70"/>
      <c r="G21" s="160">
        <f t="shared" si="1"/>
        <v>0</v>
      </c>
    </row>
    <row r="22" spans="1:7" s="65" customFormat="1" ht="30" customHeight="1">
      <c r="A22" s="146" t="s">
        <v>45</v>
      </c>
      <c r="B22" s="147" t="s">
        <v>636</v>
      </c>
      <c r="C22" s="159" t="s">
        <v>651</v>
      </c>
      <c r="D22" s="148" t="s">
        <v>42</v>
      </c>
      <c r="E22" s="149">
        <v>450</v>
      </c>
      <c r="F22" s="70"/>
      <c r="G22" s="160">
        <f t="shared" si="1"/>
        <v>0</v>
      </c>
    </row>
    <row r="23" spans="1:7" s="65" customFormat="1" ht="30" customHeight="1">
      <c r="A23" s="146" t="s">
        <v>46</v>
      </c>
      <c r="B23" s="147" t="s">
        <v>636</v>
      </c>
      <c r="C23" s="159" t="s">
        <v>652</v>
      </c>
      <c r="D23" s="148" t="s">
        <v>162</v>
      </c>
      <c r="E23" s="149">
        <v>16</v>
      </c>
      <c r="F23" s="70"/>
      <c r="G23" s="160">
        <f t="shared" si="1"/>
        <v>0</v>
      </c>
    </row>
    <row r="24" spans="1:7" s="65" customFormat="1" ht="30" customHeight="1">
      <c r="A24" s="146" t="s">
        <v>47</v>
      </c>
      <c r="B24" s="147" t="s">
        <v>636</v>
      </c>
      <c r="C24" s="159" t="s">
        <v>653</v>
      </c>
      <c r="D24" s="148" t="s">
        <v>162</v>
      </c>
      <c r="E24" s="149">
        <v>16</v>
      </c>
      <c r="F24" s="70"/>
      <c r="G24" s="160">
        <f t="shared" si="1"/>
        <v>0</v>
      </c>
    </row>
    <row r="25" spans="1:7" s="65" customFormat="1" ht="36">
      <c r="A25" s="146" t="s">
        <v>48</v>
      </c>
      <c r="B25" s="147" t="s">
        <v>636</v>
      </c>
      <c r="C25" s="159" t="s">
        <v>654</v>
      </c>
      <c r="D25" s="148" t="s">
        <v>162</v>
      </c>
      <c r="E25" s="149">
        <v>36</v>
      </c>
      <c r="F25" s="70"/>
      <c r="G25" s="160">
        <f t="shared" si="1"/>
        <v>0</v>
      </c>
    </row>
    <row r="26" spans="1:7" s="65" customFormat="1" ht="30" customHeight="1">
      <c r="A26" s="146" t="s">
        <v>49</v>
      </c>
      <c r="B26" s="147" t="s">
        <v>636</v>
      </c>
      <c r="C26" s="159" t="s">
        <v>655</v>
      </c>
      <c r="D26" s="148" t="s">
        <v>162</v>
      </c>
      <c r="E26" s="149">
        <v>16</v>
      </c>
      <c r="F26" s="70"/>
      <c r="G26" s="160">
        <f t="shared" si="1"/>
        <v>0</v>
      </c>
    </row>
    <row r="27" spans="1:7" s="65" customFormat="1" ht="30" customHeight="1">
      <c r="A27" s="146" t="s">
        <v>50</v>
      </c>
      <c r="B27" s="147" t="s">
        <v>636</v>
      </c>
      <c r="C27" s="159" t="s">
        <v>656</v>
      </c>
      <c r="D27" s="148" t="s">
        <v>657</v>
      </c>
      <c r="E27" s="149">
        <v>1</v>
      </c>
      <c r="F27" s="70"/>
      <c r="G27" s="160">
        <f t="shared" si="1"/>
        <v>0</v>
      </c>
    </row>
    <row r="28" spans="1:7" s="65" customFormat="1" ht="30" customHeight="1">
      <c r="A28" s="146" t="s">
        <v>51</v>
      </c>
      <c r="B28" s="147" t="s">
        <v>636</v>
      </c>
      <c r="C28" s="159" t="s">
        <v>658</v>
      </c>
      <c r="D28" s="148" t="s">
        <v>185</v>
      </c>
      <c r="E28" s="149">
        <v>18</v>
      </c>
      <c r="F28" s="70"/>
      <c r="G28" s="160">
        <f t="shared" si="1"/>
        <v>0</v>
      </c>
    </row>
    <row r="29" spans="1:7" s="65" customFormat="1" ht="30" customHeight="1">
      <c r="A29" s="152"/>
      <c r="B29" s="153"/>
      <c r="C29" s="154" t="s">
        <v>659</v>
      </c>
      <c r="D29" s="155" t="s">
        <v>31</v>
      </c>
      <c r="E29" s="156" t="s">
        <v>31</v>
      </c>
      <c r="F29" s="157" t="s">
        <v>31</v>
      </c>
      <c r="G29" s="158" t="s">
        <v>31</v>
      </c>
    </row>
    <row r="30" spans="1:7" s="65" customFormat="1" ht="36">
      <c r="A30" s="146" t="s">
        <v>21</v>
      </c>
      <c r="B30" s="147" t="s">
        <v>636</v>
      </c>
      <c r="C30" s="159" t="s">
        <v>660</v>
      </c>
      <c r="D30" s="148" t="s">
        <v>162</v>
      </c>
      <c r="E30" s="149">
        <v>6</v>
      </c>
      <c r="F30" s="70"/>
      <c r="G30" s="160">
        <f t="shared" ref="G30:G40" si="2">ROUND(E30*F30,2)</f>
        <v>0</v>
      </c>
    </row>
    <row r="31" spans="1:7" s="65" customFormat="1" ht="36">
      <c r="A31" s="146" t="s">
        <v>22</v>
      </c>
      <c r="B31" s="147" t="s">
        <v>636</v>
      </c>
      <c r="C31" s="159" t="s">
        <v>661</v>
      </c>
      <c r="D31" s="148" t="s">
        <v>162</v>
      </c>
      <c r="E31" s="149">
        <v>9</v>
      </c>
      <c r="F31" s="70"/>
      <c r="G31" s="160">
        <f t="shared" si="2"/>
        <v>0</v>
      </c>
    </row>
    <row r="32" spans="1:7" s="65" customFormat="1" ht="36">
      <c r="A32" s="146" t="s">
        <v>56</v>
      </c>
      <c r="B32" s="147" t="s">
        <v>636</v>
      </c>
      <c r="C32" s="159" t="s">
        <v>662</v>
      </c>
      <c r="D32" s="148" t="s">
        <v>162</v>
      </c>
      <c r="E32" s="149">
        <v>2</v>
      </c>
      <c r="F32" s="70"/>
      <c r="G32" s="160">
        <f t="shared" si="2"/>
        <v>0</v>
      </c>
    </row>
    <row r="33" spans="1:7" s="65" customFormat="1" ht="30" customHeight="1">
      <c r="A33" s="146" t="s">
        <v>58</v>
      </c>
      <c r="B33" s="147" t="s">
        <v>636</v>
      </c>
      <c r="C33" s="159" t="s">
        <v>663</v>
      </c>
      <c r="D33" s="148" t="s">
        <v>162</v>
      </c>
      <c r="E33" s="149">
        <v>16</v>
      </c>
      <c r="F33" s="70"/>
      <c r="G33" s="160">
        <f t="shared" si="2"/>
        <v>0</v>
      </c>
    </row>
    <row r="34" spans="1:7" s="65" customFormat="1" ht="36">
      <c r="A34" s="146" t="s">
        <v>61</v>
      </c>
      <c r="B34" s="147" t="s">
        <v>636</v>
      </c>
      <c r="C34" s="159" t="s">
        <v>664</v>
      </c>
      <c r="D34" s="148" t="s">
        <v>162</v>
      </c>
      <c r="E34" s="149">
        <v>16</v>
      </c>
      <c r="F34" s="70"/>
      <c r="G34" s="160">
        <f t="shared" si="2"/>
        <v>0</v>
      </c>
    </row>
    <row r="35" spans="1:7" s="65" customFormat="1" ht="30" customHeight="1">
      <c r="A35" s="146" t="s">
        <v>64</v>
      </c>
      <c r="B35" s="147" t="s">
        <v>636</v>
      </c>
      <c r="C35" s="159" t="s">
        <v>665</v>
      </c>
      <c r="D35" s="148" t="s">
        <v>42</v>
      </c>
      <c r="E35" s="149">
        <v>180</v>
      </c>
      <c r="F35" s="70"/>
      <c r="G35" s="160">
        <f t="shared" si="2"/>
        <v>0</v>
      </c>
    </row>
    <row r="36" spans="1:7" s="65" customFormat="1" ht="30" customHeight="1">
      <c r="A36" s="146" t="s">
        <v>69</v>
      </c>
      <c r="B36" s="147" t="s">
        <v>636</v>
      </c>
      <c r="C36" s="159" t="s">
        <v>666</v>
      </c>
      <c r="D36" s="148" t="s">
        <v>162</v>
      </c>
      <c r="E36" s="149">
        <v>68</v>
      </c>
      <c r="F36" s="70"/>
      <c r="G36" s="160">
        <f t="shared" si="2"/>
        <v>0</v>
      </c>
    </row>
    <row r="37" spans="1:7" s="65" customFormat="1" ht="36">
      <c r="A37" s="146" t="s">
        <v>70</v>
      </c>
      <c r="B37" s="147" t="s">
        <v>636</v>
      </c>
      <c r="C37" s="159" t="s">
        <v>667</v>
      </c>
      <c r="D37" s="148" t="s">
        <v>657</v>
      </c>
      <c r="E37" s="149">
        <v>1</v>
      </c>
      <c r="F37" s="70"/>
      <c r="G37" s="160">
        <f t="shared" si="2"/>
        <v>0</v>
      </c>
    </row>
    <row r="38" spans="1:7" s="65" customFormat="1" ht="36">
      <c r="A38" s="146" t="s">
        <v>151</v>
      </c>
      <c r="B38" s="147" t="s">
        <v>636</v>
      </c>
      <c r="C38" s="159" t="s">
        <v>668</v>
      </c>
      <c r="D38" s="148" t="s">
        <v>657</v>
      </c>
      <c r="E38" s="149">
        <v>1</v>
      </c>
      <c r="F38" s="70"/>
      <c r="G38" s="160">
        <f t="shared" si="2"/>
        <v>0</v>
      </c>
    </row>
    <row r="39" spans="1:7" s="65" customFormat="1" ht="30" customHeight="1">
      <c r="A39" s="146" t="s">
        <v>152</v>
      </c>
      <c r="B39" s="147" t="s">
        <v>636</v>
      </c>
      <c r="C39" s="159" t="s">
        <v>669</v>
      </c>
      <c r="D39" s="148" t="s">
        <v>670</v>
      </c>
      <c r="E39" s="149">
        <v>1</v>
      </c>
      <c r="F39" s="70"/>
      <c r="G39" s="160">
        <f t="shared" si="2"/>
        <v>0</v>
      </c>
    </row>
    <row r="40" spans="1:7" s="65" customFormat="1" ht="30" customHeight="1" thickBot="1">
      <c r="A40" s="146" t="s">
        <v>153</v>
      </c>
      <c r="B40" s="147" t="s">
        <v>636</v>
      </c>
      <c r="C40" s="159" t="s">
        <v>671</v>
      </c>
      <c r="D40" s="148" t="s">
        <v>670</v>
      </c>
      <c r="E40" s="149">
        <v>1</v>
      </c>
      <c r="F40" s="70"/>
      <c r="G40" s="160">
        <f t="shared" si="2"/>
        <v>0</v>
      </c>
    </row>
    <row r="41" spans="1:7" s="65" customFormat="1" ht="36" customHeight="1" thickBot="1">
      <c r="A41" s="72"/>
      <c r="B41" s="73" t="s">
        <v>111</v>
      </c>
      <c r="C41" s="74"/>
      <c r="D41" s="75"/>
      <c r="E41" s="75"/>
      <c r="F41" s="76"/>
      <c r="G41" s="161">
        <f>SUBTOTAL(9,G6:G40)</f>
        <v>0</v>
      </c>
    </row>
    <row r="43" spans="1:7" s="83" customFormat="1">
      <c r="A43" s="78"/>
      <c r="B43" s="79"/>
      <c r="C43" s="162"/>
      <c r="D43" s="81"/>
      <c r="E43" s="82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Zeros="0" topLeftCell="A22" workbookViewId="0">
      <selection activeCell="E11" sqref="E11"/>
    </sheetView>
  </sheetViews>
  <sheetFormatPr defaultColWidth="9.140625" defaultRowHeight="15"/>
  <cols>
    <col min="1" max="1" width="11.140625" style="78" customWidth="1"/>
    <col min="2" max="2" width="11.5703125" style="79" customWidth="1"/>
    <col min="3" max="3" width="48.7109375" style="163" customWidth="1"/>
    <col min="4" max="4" width="9.140625" style="81"/>
    <col min="5" max="5" width="12.7109375" style="81" customWidth="1"/>
    <col min="6" max="7" width="12.7109375" style="83" customWidth="1"/>
    <col min="8" max="16384" width="9.140625" style="50"/>
  </cols>
  <sheetData>
    <row r="1" spans="1:7" ht="60" customHeight="1">
      <c r="A1" s="49" t="s">
        <v>0</v>
      </c>
      <c r="B1" s="214" t="s">
        <v>157</v>
      </c>
      <c r="C1" s="215"/>
      <c r="D1" s="215"/>
      <c r="E1" s="215"/>
      <c r="F1" s="215"/>
      <c r="G1" s="216"/>
    </row>
    <row r="2" spans="1:7" ht="104.45" customHeight="1">
      <c r="A2" s="51" t="s">
        <v>1</v>
      </c>
      <c r="B2" s="217" t="s">
        <v>2</v>
      </c>
      <c r="C2" s="218"/>
      <c r="D2" s="218"/>
      <c r="E2" s="218"/>
      <c r="F2" s="218"/>
      <c r="G2" s="219"/>
    </row>
    <row r="3" spans="1:7" ht="90" customHeight="1" thickBot="1">
      <c r="A3" s="52" t="s">
        <v>3</v>
      </c>
      <c r="B3" s="220" t="s">
        <v>4</v>
      </c>
      <c r="C3" s="221"/>
      <c r="D3" s="221"/>
      <c r="E3" s="221"/>
      <c r="F3" s="221"/>
      <c r="G3" s="222"/>
    </row>
    <row r="4" spans="1:7" ht="30" customHeight="1" thickBot="1">
      <c r="A4" s="223" t="s">
        <v>672</v>
      </c>
      <c r="B4" s="224"/>
      <c r="C4" s="224"/>
      <c r="D4" s="224"/>
      <c r="E4" s="224"/>
      <c r="F4" s="224"/>
      <c r="G4" s="225"/>
    </row>
    <row r="5" spans="1:7" ht="26.25" thickBot="1">
      <c r="A5" s="53" t="s">
        <v>6</v>
      </c>
      <c r="B5" s="54" t="s">
        <v>25</v>
      </c>
      <c r="C5" s="150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65" customFormat="1" ht="36" customHeight="1">
      <c r="A6" s="58"/>
      <c r="B6" s="59" t="s">
        <v>633</v>
      </c>
      <c r="C6" s="151" t="s">
        <v>673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65" customFormat="1" ht="36" customHeight="1">
      <c r="A7" s="152"/>
      <c r="B7" s="153"/>
      <c r="C7" s="154" t="s">
        <v>674</v>
      </c>
      <c r="D7" s="155" t="s">
        <v>31</v>
      </c>
      <c r="E7" s="156" t="s">
        <v>31</v>
      </c>
      <c r="F7" s="157" t="s">
        <v>31</v>
      </c>
      <c r="G7" s="158" t="s">
        <v>31</v>
      </c>
    </row>
    <row r="8" spans="1:7" s="65" customFormat="1" ht="36" customHeight="1">
      <c r="A8" s="146" t="s">
        <v>9</v>
      </c>
      <c r="B8" s="147" t="s">
        <v>675</v>
      </c>
      <c r="C8" s="159" t="s">
        <v>676</v>
      </c>
      <c r="D8" s="148" t="s">
        <v>57</v>
      </c>
      <c r="E8" s="149">
        <v>8</v>
      </c>
      <c r="F8" s="70"/>
      <c r="G8" s="160">
        <f>ROUND(E8*F8,2)</f>
        <v>0</v>
      </c>
    </row>
    <row r="9" spans="1:7" s="65" customFormat="1" ht="36" customHeight="1">
      <c r="A9" s="146" t="s">
        <v>11</v>
      </c>
      <c r="B9" s="147" t="s">
        <v>675</v>
      </c>
      <c r="C9" s="159" t="s">
        <v>677</v>
      </c>
      <c r="D9" s="148" t="s">
        <v>162</v>
      </c>
      <c r="E9" s="149">
        <v>1</v>
      </c>
      <c r="F9" s="70"/>
      <c r="G9" s="160">
        <f t="shared" ref="G9:G11" si="0">ROUND(E9*F9,2)</f>
        <v>0</v>
      </c>
    </row>
    <row r="10" spans="1:7" s="65" customFormat="1" ht="36" customHeight="1">
      <c r="A10" s="146" t="s">
        <v>13</v>
      </c>
      <c r="B10" s="147" t="s">
        <v>675</v>
      </c>
      <c r="C10" s="159" t="s">
        <v>678</v>
      </c>
      <c r="D10" s="148" t="s">
        <v>162</v>
      </c>
      <c r="E10" s="149">
        <v>2</v>
      </c>
      <c r="F10" s="70"/>
      <c r="G10" s="160">
        <f t="shared" si="0"/>
        <v>0</v>
      </c>
    </row>
    <row r="11" spans="1:7" s="65" customFormat="1" ht="48">
      <c r="A11" s="146" t="s">
        <v>15</v>
      </c>
      <c r="B11" s="147" t="s">
        <v>675</v>
      </c>
      <c r="C11" s="159" t="s">
        <v>679</v>
      </c>
      <c r="D11" s="148" t="s">
        <v>680</v>
      </c>
      <c r="E11" s="164">
        <v>0.75</v>
      </c>
      <c r="F11" s="70"/>
      <c r="G11" s="160">
        <f t="shared" si="0"/>
        <v>0</v>
      </c>
    </row>
    <row r="12" spans="1:7" s="65" customFormat="1" ht="36" customHeight="1">
      <c r="A12" s="152"/>
      <c r="B12" s="153"/>
      <c r="C12" s="154" t="s">
        <v>681</v>
      </c>
      <c r="D12" s="155" t="s">
        <v>31</v>
      </c>
      <c r="E12" s="156" t="s">
        <v>31</v>
      </c>
      <c r="F12" s="157" t="s">
        <v>31</v>
      </c>
      <c r="G12" s="158" t="s">
        <v>31</v>
      </c>
    </row>
    <row r="13" spans="1:7" s="65" customFormat="1" ht="36" customHeight="1">
      <c r="A13" s="146" t="s">
        <v>17</v>
      </c>
      <c r="B13" s="147" t="s">
        <v>675</v>
      </c>
      <c r="C13" s="159" t="s">
        <v>682</v>
      </c>
      <c r="D13" s="148" t="s">
        <v>57</v>
      </c>
      <c r="E13" s="149">
        <v>4</v>
      </c>
      <c r="F13" s="70"/>
      <c r="G13" s="160">
        <f t="shared" ref="G13:G18" si="1">ROUND(E13*F13,2)</f>
        <v>0</v>
      </c>
    </row>
    <row r="14" spans="1:7" s="65" customFormat="1" ht="48">
      <c r="A14" s="146" t="s">
        <v>18</v>
      </c>
      <c r="B14" s="147" t="s">
        <v>675</v>
      </c>
      <c r="C14" s="159" t="s">
        <v>683</v>
      </c>
      <c r="D14" s="148" t="s">
        <v>162</v>
      </c>
      <c r="E14" s="149">
        <v>1</v>
      </c>
      <c r="F14" s="70"/>
      <c r="G14" s="160">
        <f t="shared" si="1"/>
        <v>0</v>
      </c>
    </row>
    <row r="15" spans="1:7" s="65" customFormat="1" ht="36" customHeight="1">
      <c r="A15" s="146" t="s">
        <v>19</v>
      </c>
      <c r="B15" s="147" t="s">
        <v>675</v>
      </c>
      <c r="C15" s="159" t="s">
        <v>684</v>
      </c>
      <c r="D15" s="148" t="s">
        <v>162</v>
      </c>
      <c r="E15" s="149">
        <v>3</v>
      </c>
      <c r="F15" s="70"/>
      <c r="G15" s="160">
        <f t="shared" si="1"/>
        <v>0</v>
      </c>
    </row>
    <row r="16" spans="1:7" s="65" customFormat="1" ht="36" customHeight="1">
      <c r="A16" s="146" t="s">
        <v>20</v>
      </c>
      <c r="B16" s="147" t="s">
        <v>675</v>
      </c>
      <c r="C16" s="159" t="s">
        <v>685</v>
      </c>
      <c r="D16" s="148" t="s">
        <v>680</v>
      </c>
      <c r="E16" s="164">
        <v>0.45</v>
      </c>
      <c r="F16" s="70"/>
      <c r="G16" s="160">
        <f t="shared" si="1"/>
        <v>0</v>
      </c>
    </row>
    <row r="17" spans="1:7" s="65" customFormat="1" ht="36" customHeight="1">
      <c r="A17" s="146" t="s">
        <v>39</v>
      </c>
      <c r="B17" s="147" t="s">
        <v>675</v>
      </c>
      <c r="C17" s="159" t="s">
        <v>686</v>
      </c>
      <c r="D17" s="148" t="s">
        <v>162</v>
      </c>
      <c r="E17" s="149">
        <v>1</v>
      </c>
      <c r="F17" s="70"/>
      <c r="G17" s="160">
        <f t="shared" si="1"/>
        <v>0</v>
      </c>
    </row>
    <row r="18" spans="1:7" s="65" customFormat="1" ht="36" customHeight="1">
      <c r="A18" s="146" t="s">
        <v>40</v>
      </c>
      <c r="B18" s="147" t="s">
        <v>675</v>
      </c>
      <c r="C18" s="159" t="s">
        <v>687</v>
      </c>
      <c r="D18" s="148" t="s">
        <v>185</v>
      </c>
      <c r="E18" s="149">
        <v>3</v>
      </c>
      <c r="F18" s="70"/>
      <c r="G18" s="160">
        <f t="shared" si="1"/>
        <v>0</v>
      </c>
    </row>
    <row r="19" spans="1:7" s="65" customFormat="1" ht="36" customHeight="1">
      <c r="A19" s="152"/>
      <c r="B19" s="153"/>
      <c r="C19" s="154" t="s">
        <v>688</v>
      </c>
      <c r="D19" s="155" t="s">
        <v>31</v>
      </c>
      <c r="E19" s="156" t="s">
        <v>31</v>
      </c>
      <c r="F19" s="157" t="s">
        <v>31</v>
      </c>
      <c r="G19" s="158" t="s">
        <v>31</v>
      </c>
    </row>
    <row r="20" spans="1:7" s="65" customFormat="1" ht="36" customHeight="1">
      <c r="A20" s="146" t="s">
        <v>41</v>
      </c>
      <c r="B20" s="147" t="s">
        <v>675</v>
      </c>
      <c r="C20" s="159" t="s">
        <v>689</v>
      </c>
      <c r="D20" s="148" t="s">
        <v>42</v>
      </c>
      <c r="E20" s="149">
        <v>25</v>
      </c>
      <c r="F20" s="70"/>
      <c r="G20" s="160">
        <f t="shared" ref="G20:G31" si="2">ROUND(E20*F20,2)</f>
        <v>0</v>
      </c>
    </row>
    <row r="21" spans="1:7" s="65" customFormat="1" ht="36" customHeight="1">
      <c r="A21" s="146" t="s">
        <v>43</v>
      </c>
      <c r="B21" s="147" t="s">
        <v>675</v>
      </c>
      <c r="C21" s="159" t="s">
        <v>690</v>
      </c>
      <c r="D21" s="148" t="s">
        <v>42</v>
      </c>
      <c r="E21" s="149">
        <v>25</v>
      </c>
      <c r="F21" s="70"/>
      <c r="G21" s="160">
        <f t="shared" si="2"/>
        <v>0</v>
      </c>
    </row>
    <row r="22" spans="1:7" s="65" customFormat="1" ht="36" customHeight="1">
      <c r="A22" s="146" t="s">
        <v>44</v>
      </c>
      <c r="B22" s="147" t="s">
        <v>675</v>
      </c>
      <c r="C22" s="159" t="s">
        <v>639</v>
      </c>
      <c r="D22" s="148" t="s">
        <v>42</v>
      </c>
      <c r="E22" s="149">
        <v>150</v>
      </c>
      <c r="F22" s="70"/>
      <c r="G22" s="160">
        <f t="shared" si="2"/>
        <v>0</v>
      </c>
    </row>
    <row r="23" spans="1:7" s="65" customFormat="1" ht="36" customHeight="1">
      <c r="A23" s="146" t="s">
        <v>45</v>
      </c>
      <c r="B23" s="147" t="s">
        <v>675</v>
      </c>
      <c r="C23" s="159" t="s">
        <v>691</v>
      </c>
      <c r="D23" s="148" t="s">
        <v>42</v>
      </c>
      <c r="E23" s="149">
        <v>150</v>
      </c>
      <c r="F23" s="70"/>
      <c r="G23" s="160">
        <f t="shared" si="2"/>
        <v>0</v>
      </c>
    </row>
    <row r="24" spans="1:7" s="65" customFormat="1" ht="36" customHeight="1">
      <c r="A24" s="146" t="s">
        <v>46</v>
      </c>
      <c r="B24" s="147" t="s">
        <v>675</v>
      </c>
      <c r="C24" s="159" t="s">
        <v>641</v>
      </c>
      <c r="D24" s="148" t="s">
        <v>42</v>
      </c>
      <c r="E24" s="149">
        <v>180</v>
      </c>
      <c r="F24" s="70"/>
      <c r="G24" s="160">
        <f t="shared" si="2"/>
        <v>0</v>
      </c>
    </row>
    <row r="25" spans="1:7" s="65" customFormat="1" ht="36" customHeight="1">
      <c r="A25" s="146" t="s">
        <v>47</v>
      </c>
      <c r="B25" s="147" t="s">
        <v>675</v>
      </c>
      <c r="C25" s="159" t="s">
        <v>692</v>
      </c>
      <c r="D25" s="148" t="s">
        <v>42</v>
      </c>
      <c r="E25" s="149">
        <v>175</v>
      </c>
      <c r="F25" s="70"/>
      <c r="G25" s="160">
        <f t="shared" si="2"/>
        <v>0</v>
      </c>
    </row>
    <row r="26" spans="1:7" s="65" customFormat="1" ht="36" customHeight="1">
      <c r="A26" s="146" t="s">
        <v>48</v>
      </c>
      <c r="B26" s="147" t="s">
        <v>675</v>
      </c>
      <c r="C26" s="159" t="s">
        <v>693</v>
      </c>
      <c r="D26" s="148" t="s">
        <v>42</v>
      </c>
      <c r="E26" s="149">
        <v>55</v>
      </c>
      <c r="F26" s="70"/>
      <c r="G26" s="160">
        <f t="shared" si="2"/>
        <v>0</v>
      </c>
    </row>
    <row r="27" spans="1:7" s="65" customFormat="1" ht="36" customHeight="1">
      <c r="A27" s="146" t="s">
        <v>49</v>
      </c>
      <c r="B27" s="147" t="s">
        <v>675</v>
      </c>
      <c r="C27" s="159" t="s">
        <v>694</v>
      </c>
      <c r="D27" s="148" t="s">
        <v>42</v>
      </c>
      <c r="E27" s="149">
        <v>100</v>
      </c>
      <c r="F27" s="70"/>
      <c r="G27" s="160">
        <f t="shared" si="2"/>
        <v>0</v>
      </c>
    </row>
    <row r="28" spans="1:7" s="65" customFormat="1" ht="36" customHeight="1">
      <c r="A28" s="146" t="s">
        <v>50</v>
      </c>
      <c r="B28" s="147" t="s">
        <v>675</v>
      </c>
      <c r="C28" s="159" t="s">
        <v>695</v>
      </c>
      <c r="D28" s="148" t="s">
        <v>42</v>
      </c>
      <c r="E28" s="149">
        <v>80</v>
      </c>
      <c r="F28" s="70"/>
      <c r="G28" s="160">
        <f t="shared" si="2"/>
        <v>0</v>
      </c>
    </row>
    <row r="29" spans="1:7" s="65" customFormat="1" ht="38.25" customHeight="1">
      <c r="A29" s="146" t="s">
        <v>51</v>
      </c>
      <c r="B29" s="147" t="s">
        <v>675</v>
      </c>
      <c r="C29" s="159" t="s">
        <v>696</v>
      </c>
      <c r="D29" s="148" t="s">
        <v>162</v>
      </c>
      <c r="E29" s="149">
        <v>1</v>
      </c>
      <c r="F29" s="70"/>
      <c r="G29" s="160">
        <f t="shared" si="2"/>
        <v>0</v>
      </c>
    </row>
    <row r="30" spans="1:7" s="65" customFormat="1" ht="36" customHeight="1">
      <c r="A30" s="146" t="s">
        <v>21</v>
      </c>
      <c r="B30" s="147" t="s">
        <v>675</v>
      </c>
      <c r="C30" s="159" t="s">
        <v>697</v>
      </c>
      <c r="D30" s="148" t="s">
        <v>185</v>
      </c>
      <c r="E30" s="149">
        <v>4</v>
      </c>
      <c r="F30" s="70"/>
      <c r="G30" s="160">
        <f t="shared" si="2"/>
        <v>0</v>
      </c>
    </row>
    <row r="31" spans="1:7" s="65" customFormat="1" ht="36" customHeight="1" thickBot="1">
      <c r="A31" s="146" t="s">
        <v>22</v>
      </c>
      <c r="B31" s="147" t="s">
        <v>675</v>
      </c>
      <c r="C31" s="159" t="s">
        <v>698</v>
      </c>
      <c r="D31" s="148" t="s">
        <v>185</v>
      </c>
      <c r="E31" s="149">
        <v>1</v>
      </c>
      <c r="F31" s="70"/>
      <c r="G31" s="160">
        <f t="shared" si="2"/>
        <v>0</v>
      </c>
    </row>
    <row r="32" spans="1:7" s="65" customFormat="1" ht="36" customHeight="1" thickBot="1">
      <c r="A32" s="72"/>
      <c r="B32" s="73" t="s">
        <v>111</v>
      </c>
      <c r="C32" s="74"/>
      <c r="D32" s="75"/>
      <c r="E32" s="75"/>
      <c r="F32" s="76"/>
      <c r="G32" s="161">
        <f>SUBTOTAL(9,G6:G31)</f>
        <v>0</v>
      </c>
    </row>
    <row r="34" spans="1:5" s="83" customFormat="1">
      <c r="A34" s="78"/>
      <c r="B34" s="79"/>
      <c r="C34" s="162"/>
      <c r="D34" s="81"/>
      <c r="E34" s="82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Zeros="0" zoomScale="71" zoomScaleNormal="71" workbookViewId="0">
      <selection activeCell="G27" sqref="G27"/>
    </sheetView>
  </sheetViews>
  <sheetFormatPr defaultColWidth="9.28515625" defaultRowHeight="15"/>
  <cols>
    <col min="1" max="1" width="11.140625" style="78" customWidth="1"/>
    <col min="2" max="2" width="11.5703125" style="79" customWidth="1"/>
    <col min="3" max="3" width="48.7109375" style="84" customWidth="1"/>
    <col min="4" max="4" width="8.85546875" style="81" customWidth="1"/>
    <col min="5" max="5" width="12.7109375" style="81" customWidth="1"/>
    <col min="6" max="7" width="12.7109375" style="83" customWidth="1"/>
    <col min="8" max="16384" width="9.28515625" style="50"/>
  </cols>
  <sheetData>
    <row r="1" spans="1:7" ht="60" customHeight="1">
      <c r="A1" s="49" t="s">
        <v>0</v>
      </c>
      <c r="B1" s="214" t="s">
        <v>157</v>
      </c>
      <c r="C1" s="215"/>
      <c r="D1" s="215"/>
      <c r="E1" s="215"/>
      <c r="F1" s="215"/>
      <c r="G1" s="216"/>
    </row>
    <row r="2" spans="1:7" ht="104.65" customHeight="1">
      <c r="A2" s="51" t="s">
        <v>1</v>
      </c>
      <c r="B2" s="217" t="s">
        <v>2</v>
      </c>
      <c r="C2" s="218"/>
      <c r="D2" s="218"/>
      <c r="E2" s="218"/>
      <c r="F2" s="218"/>
      <c r="G2" s="219"/>
    </row>
    <row r="3" spans="1:7" ht="90" customHeight="1" thickBot="1">
      <c r="A3" s="52" t="s">
        <v>3</v>
      </c>
      <c r="B3" s="220" t="s">
        <v>4</v>
      </c>
      <c r="C3" s="221"/>
      <c r="D3" s="221"/>
      <c r="E3" s="221"/>
      <c r="F3" s="221"/>
      <c r="G3" s="222"/>
    </row>
    <row r="4" spans="1:7" ht="30" customHeight="1" thickBot="1">
      <c r="A4" s="223" t="s">
        <v>631</v>
      </c>
      <c r="B4" s="224"/>
      <c r="C4" s="224"/>
      <c r="D4" s="224"/>
      <c r="E4" s="224"/>
      <c r="F4" s="224"/>
      <c r="G4" s="225"/>
    </row>
    <row r="5" spans="1:7" ht="26.25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65" customFormat="1" ht="36" customHeight="1">
      <c r="A6" s="58"/>
      <c r="B6" s="59" t="s">
        <v>705</v>
      </c>
      <c r="C6" s="60" t="s">
        <v>706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65" customFormat="1" ht="36" customHeight="1">
      <c r="A7" s="146" t="s">
        <v>9</v>
      </c>
      <c r="B7" s="147" t="s">
        <v>705</v>
      </c>
      <c r="C7" s="159" t="s">
        <v>624</v>
      </c>
      <c r="D7" s="148" t="s">
        <v>42</v>
      </c>
      <c r="E7" s="149">
        <v>25</v>
      </c>
      <c r="F7" s="70"/>
      <c r="G7" s="71">
        <f>ROUND(E7*F7,2)</f>
        <v>0</v>
      </c>
    </row>
    <row r="8" spans="1:7" s="65" customFormat="1" ht="36" customHeight="1">
      <c r="A8" s="146" t="s">
        <v>11</v>
      </c>
      <c r="B8" s="147" t="s">
        <v>705</v>
      </c>
      <c r="C8" s="159" t="s">
        <v>623</v>
      </c>
      <c r="D8" s="148" t="s">
        <v>42</v>
      </c>
      <c r="E8" s="149">
        <v>25</v>
      </c>
      <c r="F8" s="70"/>
      <c r="G8" s="71">
        <f t="shared" ref="G8:G21" si="0">ROUND(E8*F8,2)</f>
        <v>0</v>
      </c>
    </row>
    <row r="9" spans="1:7" s="65" customFormat="1" ht="36" customHeight="1">
      <c r="A9" s="146" t="s">
        <v>13</v>
      </c>
      <c r="B9" s="147" t="s">
        <v>705</v>
      </c>
      <c r="C9" s="159" t="s">
        <v>622</v>
      </c>
      <c r="D9" s="148" t="s">
        <v>42</v>
      </c>
      <c r="E9" s="149">
        <v>25</v>
      </c>
      <c r="F9" s="70"/>
      <c r="G9" s="71">
        <f t="shared" si="0"/>
        <v>0</v>
      </c>
    </row>
    <row r="10" spans="1:7" s="65" customFormat="1" ht="36" customHeight="1">
      <c r="A10" s="146" t="s">
        <v>15</v>
      </c>
      <c r="B10" s="147" t="s">
        <v>705</v>
      </c>
      <c r="C10" s="159" t="s">
        <v>621</v>
      </c>
      <c r="D10" s="148" t="s">
        <v>42</v>
      </c>
      <c r="E10" s="149">
        <v>25</v>
      </c>
      <c r="F10" s="70"/>
      <c r="G10" s="71">
        <f t="shared" si="0"/>
        <v>0</v>
      </c>
    </row>
    <row r="11" spans="1:7" s="65" customFormat="1" ht="36" customHeight="1">
      <c r="A11" s="146" t="s">
        <v>17</v>
      </c>
      <c r="B11" s="147" t="s">
        <v>705</v>
      </c>
      <c r="C11" s="159" t="s">
        <v>620</v>
      </c>
      <c r="D11" s="148" t="s">
        <v>42</v>
      </c>
      <c r="E11" s="149">
        <v>25</v>
      </c>
      <c r="F11" s="70"/>
      <c r="G11" s="71">
        <f t="shared" si="0"/>
        <v>0</v>
      </c>
    </row>
    <row r="12" spans="1:7" s="65" customFormat="1" ht="36" customHeight="1">
      <c r="A12" s="146" t="s">
        <v>18</v>
      </c>
      <c r="B12" s="147" t="s">
        <v>705</v>
      </c>
      <c r="C12" s="159" t="s">
        <v>619</v>
      </c>
      <c r="D12" s="148" t="s">
        <v>42</v>
      </c>
      <c r="E12" s="149">
        <v>25</v>
      </c>
      <c r="F12" s="70"/>
      <c r="G12" s="71">
        <f t="shared" si="0"/>
        <v>0</v>
      </c>
    </row>
    <row r="13" spans="1:7" s="65" customFormat="1" ht="36" customHeight="1">
      <c r="A13" s="146" t="s">
        <v>19</v>
      </c>
      <c r="B13" s="147" t="s">
        <v>705</v>
      </c>
      <c r="C13" s="159" t="s">
        <v>618</v>
      </c>
      <c r="D13" s="148" t="s">
        <v>135</v>
      </c>
      <c r="E13" s="149">
        <v>5</v>
      </c>
      <c r="F13" s="70"/>
      <c r="G13" s="71">
        <f t="shared" si="0"/>
        <v>0</v>
      </c>
    </row>
    <row r="14" spans="1:7" s="65" customFormat="1" ht="36" customHeight="1">
      <c r="A14" s="146" t="s">
        <v>20</v>
      </c>
      <c r="B14" s="147" t="s">
        <v>705</v>
      </c>
      <c r="C14" s="159" t="s">
        <v>617</v>
      </c>
      <c r="D14" s="148" t="s">
        <v>612</v>
      </c>
      <c r="E14" s="149">
        <v>25</v>
      </c>
      <c r="F14" s="70"/>
      <c r="G14" s="71">
        <f t="shared" si="0"/>
        <v>0</v>
      </c>
    </row>
    <row r="15" spans="1:7" s="65" customFormat="1" ht="36" customHeight="1">
      <c r="A15" s="146" t="s">
        <v>39</v>
      </c>
      <c r="B15" s="147" t="s">
        <v>705</v>
      </c>
      <c r="C15" s="159" t="s">
        <v>616</v>
      </c>
      <c r="D15" s="148" t="s">
        <v>42</v>
      </c>
      <c r="E15" s="149">
        <v>15</v>
      </c>
      <c r="F15" s="70"/>
      <c r="G15" s="71">
        <f t="shared" si="0"/>
        <v>0</v>
      </c>
    </row>
    <row r="16" spans="1:7" s="65" customFormat="1" ht="36" customHeight="1">
      <c r="A16" s="146" t="s">
        <v>40</v>
      </c>
      <c r="B16" s="147" t="s">
        <v>705</v>
      </c>
      <c r="C16" s="159" t="s">
        <v>615</v>
      </c>
      <c r="D16" s="148" t="s">
        <v>162</v>
      </c>
      <c r="E16" s="149">
        <v>4</v>
      </c>
      <c r="F16" s="70"/>
      <c r="G16" s="71">
        <f t="shared" si="0"/>
        <v>0</v>
      </c>
    </row>
    <row r="17" spans="1:7" s="65" customFormat="1" ht="36" customHeight="1">
      <c r="A17" s="146" t="s">
        <v>41</v>
      </c>
      <c r="B17" s="147" t="s">
        <v>705</v>
      </c>
      <c r="C17" s="159" t="s">
        <v>614</v>
      </c>
      <c r="D17" s="148" t="s">
        <v>612</v>
      </c>
      <c r="E17" s="149">
        <v>1</v>
      </c>
      <c r="F17" s="70"/>
      <c r="G17" s="71">
        <f t="shared" si="0"/>
        <v>0</v>
      </c>
    </row>
    <row r="18" spans="1:7" s="65" customFormat="1" ht="36" customHeight="1">
      <c r="A18" s="146" t="s">
        <v>43</v>
      </c>
      <c r="B18" s="147" t="s">
        <v>705</v>
      </c>
      <c r="C18" s="159" t="s">
        <v>613</v>
      </c>
      <c r="D18" s="148" t="s">
        <v>612</v>
      </c>
      <c r="E18" s="149">
        <v>1</v>
      </c>
      <c r="F18" s="70"/>
      <c r="G18" s="71">
        <f t="shared" si="0"/>
        <v>0</v>
      </c>
    </row>
    <row r="19" spans="1:7" s="65" customFormat="1" ht="36" customHeight="1">
      <c r="A19" s="146" t="s">
        <v>44</v>
      </c>
      <c r="B19" s="147" t="s">
        <v>705</v>
      </c>
      <c r="C19" s="159" t="s">
        <v>611</v>
      </c>
      <c r="D19" s="148" t="s">
        <v>302</v>
      </c>
      <c r="E19" s="149">
        <v>1</v>
      </c>
      <c r="F19" s="70"/>
      <c r="G19" s="71">
        <f t="shared" si="0"/>
        <v>0</v>
      </c>
    </row>
    <row r="20" spans="1:7" s="65" customFormat="1" ht="36" customHeight="1">
      <c r="A20" s="146" t="s">
        <v>45</v>
      </c>
      <c r="B20" s="147" t="s">
        <v>705</v>
      </c>
      <c r="C20" s="159" t="s">
        <v>610</v>
      </c>
      <c r="D20" s="148" t="s">
        <v>42</v>
      </c>
      <c r="E20" s="149">
        <v>50</v>
      </c>
      <c r="F20" s="70"/>
      <c r="G20" s="71">
        <f t="shared" si="0"/>
        <v>0</v>
      </c>
    </row>
    <row r="21" spans="1:7" s="65" customFormat="1" ht="36" customHeight="1" thickBot="1">
      <c r="A21" s="146" t="s">
        <v>46</v>
      </c>
      <c r="B21" s="147" t="s">
        <v>705</v>
      </c>
      <c r="C21" s="159" t="s">
        <v>609</v>
      </c>
      <c r="D21" s="148" t="s">
        <v>302</v>
      </c>
      <c r="E21" s="149">
        <v>1</v>
      </c>
      <c r="F21" s="70"/>
      <c r="G21" s="71">
        <f t="shared" si="0"/>
        <v>0</v>
      </c>
    </row>
    <row r="22" spans="1:7" s="65" customFormat="1" ht="36" customHeight="1" thickBot="1">
      <c r="A22" s="72"/>
      <c r="B22" s="73" t="s">
        <v>111</v>
      </c>
      <c r="C22" s="74"/>
      <c r="D22" s="75"/>
      <c r="E22" s="75"/>
      <c r="F22" s="76"/>
      <c r="G22" s="77">
        <f>SUBTOTAL(9,G6:G21)</f>
        <v>0</v>
      </c>
    </row>
    <row r="24" spans="1:7" s="83" customFormat="1">
      <c r="A24" s="78"/>
      <c r="B24" s="79"/>
      <c r="C24" s="80"/>
      <c r="D24" s="81"/>
      <c r="E24" s="82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Zeros="0" workbookViewId="0">
      <selection activeCell="C15" sqref="C15"/>
    </sheetView>
  </sheetViews>
  <sheetFormatPr defaultRowHeight="15"/>
  <cols>
    <col min="1" max="1" width="11.140625" style="78" customWidth="1"/>
    <col min="2" max="2" width="11.5703125" style="79" customWidth="1"/>
    <col min="3" max="3" width="48.7109375" style="163" customWidth="1"/>
    <col min="4" max="4" width="9.140625" style="81"/>
    <col min="5" max="5" width="12.7109375" style="81" customWidth="1"/>
    <col min="6" max="7" width="12.7109375" style="83" customWidth="1"/>
  </cols>
  <sheetData>
    <row r="1" spans="1:7" s="50" customFormat="1" ht="60" customHeight="1">
      <c r="A1" s="49" t="s">
        <v>0</v>
      </c>
      <c r="B1" s="214" t="s">
        <v>157</v>
      </c>
      <c r="C1" s="215"/>
      <c r="D1" s="215"/>
      <c r="E1" s="215"/>
      <c r="F1" s="215"/>
      <c r="G1" s="216"/>
    </row>
    <row r="2" spans="1:7" s="50" customFormat="1" ht="104.45" customHeight="1">
      <c r="A2" s="51" t="s">
        <v>1</v>
      </c>
      <c r="B2" s="217" t="s">
        <v>2</v>
      </c>
      <c r="C2" s="218"/>
      <c r="D2" s="218"/>
      <c r="E2" s="218"/>
      <c r="F2" s="218"/>
      <c r="G2" s="219"/>
    </row>
    <row r="3" spans="1:7" s="50" customFormat="1" ht="90" customHeight="1" thickBot="1">
      <c r="A3" s="52" t="s">
        <v>3</v>
      </c>
      <c r="B3" s="220" t="s">
        <v>4</v>
      </c>
      <c r="C3" s="221"/>
      <c r="D3" s="221"/>
      <c r="E3" s="221"/>
      <c r="F3" s="221"/>
      <c r="G3" s="222"/>
    </row>
    <row r="4" spans="1:7" s="125" customFormat="1" ht="21.6" customHeight="1" thickBot="1">
      <c r="A4" s="223"/>
      <c r="B4" s="224" t="s">
        <v>312</v>
      </c>
      <c r="C4" s="224"/>
      <c r="D4" s="224"/>
      <c r="E4" s="224"/>
      <c r="F4" s="224"/>
      <c r="G4" s="225"/>
    </row>
    <row r="5" spans="1:7" s="125" customFormat="1" ht="37.5" customHeight="1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129" customFormat="1" ht="30" customHeight="1">
      <c r="A6" s="58"/>
      <c r="B6" s="59"/>
      <c r="C6" s="151"/>
      <c r="D6" s="61" t="s">
        <v>31</v>
      </c>
      <c r="E6" s="62" t="s">
        <v>31</v>
      </c>
      <c r="F6" s="63" t="s">
        <v>31</v>
      </c>
      <c r="G6" s="64" t="s">
        <v>31</v>
      </c>
    </row>
    <row r="7" spans="1:7" ht="30" customHeight="1">
      <c r="A7" s="146" t="s">
        <v>300</v>
      </c>
      <c r="B7" s="147" t="s">
        <v>625</v>
      </c>
      <c r="C7" s="159" t="s">
        <v>626</v>
      </c>
      <c r="D7" s="148" t="s">
        <v>101</v>
      </c>
      <c r="E7" s="149">
        <v>38</v>
      </c>
      <c r="F7" s="70"/>
      <c r="G7" s="160">
        <f>ROUND(E7*F7,2)</f>
        <v>0</v>
      </c>
    </row>
    <row r="8" spans="1:7" ht="30" customHeight="1">
      <c r="A8" s="146" t="s">
        <v>303</v>
      </c>
      <c r="B8" s="147" t="s">
        <v>625</v>
      </c>
      <c r="C8" s="159" t="s">
        <v>627</v>
      </c>
      <c r="D8" s="148" t="s">
        <v>101</v>
      </c>
      <c r="E8" s="149">
        <v>28</v>
      </c>
      <c r="F8" s="70"/>
      <c r="G8" s="160">
        <f t="shared" ref="G8:G10" si="0">ROUND(E8*F8,2)</f>
        <v>0</v>
      </c>
    </row>
    <row r="9" spans="1:7" ht="30" customHeight="1">
      <c r="A9" s="146" t="s">
        <v>308</v>
      </c>
      <c r="B9" s="147" t="s">
        <v>625</v>
      </c>
      <c r="C9" s="159" t="s">
        <v>628</v>
      </c>
      <c r="D9" s="148" t="s">
        <v>101</v>
      </c>
      <c r="E9" s="149">
        <v>28</v>
      </c>
      <c r="F9" s="70"/>
      <c r="G9" s="160">
        <f t="shared" si="0"/>
        <v>0</v>
      </c>
    </row>
    <row r="10" spans="1:7" ht="30" customHeight="1" thickBot="1">
      <c r="A10" s="184" t="s">
        <v>629</v>
      </c>
      <c r="B10" s="185" t="s">
        <v>625</v>
      </c>
      <c r="C10" s="186" t="s">
        <v>630</v>
      </c>
      <c r="D10" s="187" t="s">
        <v>101</v>
      </c>
      <c r="E10" s="188">
        <v>2600</v>
      </c>
      <c r="F10" s="189"/>
      <c r="G10" s="160">
        <f t="shared" si="0"/>
        <v>0</v>
      </c>
    </row>
    <row r="11" spans="1:7" s="183" customFormat="1" ht="30" customHeight="1" thickBot="1">
      <c r="A11" s="177" t="s">
        <v>111</v>
      </c>
      <c r="B11" s="178"/>
      <c r="C11" s="179"/>
      <c r="D11" s="179"/>
      <c r="E11" s="180"/>
      <c r="F11" s="181"/>
      <c r="G11" s="182">
        <f>SUBTOTAL(9,G6:G10)</f>
        <v>0</v>
      </c>
    </row>
    <row r="13" spans="1:7">
      <c r="C13" s="162"/>
      <c r="E13" s="82"/>
    </row>
  </sheetData>
  <mergeCells count="4">
    <mergeCell ref="B1:G1"/>
    <mergeCell ref="B2:G2"/>
    <mergeCell ref="B3:G3"/>
    <mergeCell ref="A4:G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Zeros="0" topLeftCell="A4" workbookViewId="0">
      <selection activeCell="L14" sqref="L14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9.140625" style="32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199" t="s">
        <v>157</v>
      </c>
      <c r="C1" s="208"/>
      <c r="D1" s="208"/>
      <c r="E1" s="208"/>
      <c r="F1" s="208"/>
      <c r="G1" s="200"/>
    </row>
    <row r="2" spans="1:7" ht="104.45" customHeight="1">
      <c r="A2" s="2" t="s">
        <v>1</v>
      </c>
      <c r="B2" s="201" t="s">
        <v>2</v>
      </c>
      <c r="C2" s="209"/>
      <c r="D2" s="209"/>
      <c r="E2" s="209"/>
      <c r="F2" s="209"/>
      <c r="G2" s="202"/>
    </row>
    <row r="3" spans="1:7" ht="90" customHeight="1" thickBot="1">
      <c r="A3" s="3" t="s">
        <v>3</v>
      </c>
      <c r="B3" s="203" t="s">
        <v>4</v>
      </c>
      <c r="C3" s="210"/>
      <c r="D3" s="210"/>
      <c r="E3" s="210"/>
      <c r="F3" s="210"/>
      <c r="G3" s="211"/>
    </row>
    <row r="4" spans="1:7" ht="30" customHeight="1" thickBot="1">
      <c r="A4" s="223" t="s">
        <v>631</v>
      </c>
      <c r="B4" s="224"/>
      <c r="C4" s="224"/>
      <c r="D4" s="224"/>
      <c r="E4" s="224"/>
      <c r="F4" s="224"/>
      <c r="G4" s="225"/>
    </row>
    <row r="5" spans="1:7" ht="26.25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10" customFormat="1" ht="36" customHeight="1">
      <c r="A6" s="58"/>
      <c r="B6" s="59" t="s">
        <v>715</v>
      </c>
      <c r="C6" s="151" t="s">
        <v>710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10" customFormat="1" ht="36" customHeight="1">
      <c r="A7" s="146"/>
      <c r="B7" s="147"/>
      <c r="C7" s="159" t="s">
        <v>635</v>
      </c>
      <c r="D7" s="148" t="s">
        <v>31</v>
      </c>
      <c r="E7" s="149" t="s">
        <v>31</v>
      </c>
      <c r="F7" s="190" t="s">
        <v>31</v>
      </c>
      <c r="G7" s="71" t="s">
        <v>31</v>
      </c>
    </row>
    <row r="8" spans="1:7" s="10" customFormat="1" ht="36" customHeight="1">
      <c r="A8" s="146" t="s">
        <v>9</v>
      </c>
      <c r="B8" s="147" t="s">
        <v>636</v>
      </c>
      <c r="C8" s="159" t="s">
        <v>711</v>
      </c>
      <c r="D8" s="148" t="s">
        <v>42</v>
      </c>
      <c r="E8" s="149">
        <v>40</v>
      </c>
      <c r="F8" s="190"/>
      <c r="G8" s="160">
        <f>ROUND(E8*F8,2)</f>
        <v>0</v>
      </c>
    </row>
    <row r="9" spans="1:7" s="10" customFormat="1" ht="36" customHeight="1">
      <c r="A9" s="146" t="s">
        <v>11</v>
      </c>
      <c r="B9" s="147" t="s">
        <v>636</v>
      </c>
      <c r="C9" s="159" t="s">
        <v>712</v>
      </c>
      <c r="D9" s="148" t="s">
        <v>42</v>
      </c>
      <c r="E9" s="149">
        <v>40</v>
      </c>
      <c r="F9" s="190"/>
      <c r="G9" s="160">
        <f>ROUND(E9*F9,2)</f>
        <v>0</v>
      </c>
    </row>
    <row r="10" spans="1:7" s="10" customFormat="1" ht="36" customHeight="1">
      <c r="A10" s="146"/>
      <c r="B10" s="147"/>
      <c r="C10" s="159" t="s">
        <v>646</v>
      </c>
      <c r="D10" s="148" t="s">
        <v>31</v>
      </c>
      <c r="E10" s="149" t="s">
        <v>31</v>
      </c>
      <c r="F10" s="190" t="s">
        <v>31</v>
      </c>
      <c r="G10" s="160" t="s">
        <v>31</v>
      </c>
    </row>
    <row r="11" spans="1:7" s="10" customFormat="1" ht="36" customHeight="1">
      <c r="A11" s="146" t="s">
        <v>13</v>
      </c>
      <c r="B11" s="147" t="s">
        <v>636</v>
      </c>
      <c r="C11" s="159" t="s">
        <v>713</v>
      </c>
      <c r="D11" s="148" t="s">
        <v>42</v>
      </c>
      <c r="E11" s="149">
        <v>13</v>
      </c>
      <c r="F11" s="190"/>
      <c r="G11" s="160">
        <f t="shared" ref="G11:G16" si="0">ROUND(E11*F11,2)</f>
        <v>0</v>
      </c>
    </row>
    <row r="12" spans="1:7" s="10" customFormat="1" ht="36" customHeight="1">
      <c r="A12" s="146" t="s">
        <v>15</v>
      </c>
      <c r="B12" s="147" t="s">
        <v>636</v>
      </c>
      <c r="C12" s="159" t="s">
        <v>714</v>
      </c>
      <c r="D12" s="148" t="s">
        <v>42</v>
      </c>
      <c r="E12" s="149">
        <v>13</v>
      </c>
      <c r="F12" s="190"/>
      <c r="G12" s="160">
        <f t="shared" si="0"/>
        <v>0</v>
      </c>
    </row>
    <row r="13" spans="1:7" s="10" customFormat="1" ht="36" customHeight="1">
      <c r="A13" s="146" t="s">
        <v>17</v>
      </c>
      <c r="B13" s="147" t="s">
        <v>636</v>
      </c>
      <c r="C13" s="159" t="s">
        <v>650</v>
      </c>
      <c r="D13" s="148" t="s">
        <v>42</v>
      </c>
      <c r="E13" s="149">
        <v>20</v>
      </c>
      <c r="F13" s="190"/>
      <c r="G13" s="160">
        <f t="shared" si="0"/>
        <v>0</v>
      </c>
    </row>
    <row r="14" spans="1:7" s="10" customFormat="1" ht="36" customHeight="1">
      <c r="A14" s="146" t="s">
        <v>18</v>
      </c>
      <c r="B14" s="147" t="s">
        <v>636</v>
      </c>
      <c r="C14" s="159" t="s">
        <v>652</v>
      </c>
      <c r="D14" s="148" t="s">
        <v>162</v>
      </c>
      <c r="E14" s="149">
        <v>2</v>
      </c>
      <c r="F14" s="190"/>
      <c r="G14" s="160">
        <f t="shared" si="0"/>
        <v>0</v>
      </c>
    </row>
    <row r="15" spans="1:7" s="10" customFormat="1" ht="36" customHeight="1">
      <c r="A15" s="146" t="s">
        <v>19</v>
      </c>
      <c r="B15" s="147" t="s">
        <v>636</v>
      </c>
      <c r="C15" s="159" t="s">
        <v>656</v>
      </c>
      <c r="D15" s="148" t="s">
        <v>657</v>
      </c>
      <c r="E15" s="149">
        <v>1</v>
      </c>
      <c r="F15" s="190"/>
      <c r="G15" s="160">
        <f t="shared" si="0"/>
        <v>0</v>
      </c>
    </row>
    <row r="16" spans="1:7" s="10" customFormat="1" ht="36" customHeight="1" thickBot="1">
      <c r="A16" s="146" t="s">
        <v>20</v>
      </c>
      <c r="B16" s="147" t="s">
        <v>636</v>
      </c>
      <c r="C16" s="159" t="s">
        <v>658</v>
      </c>
      <c r="D16" s="148" t="s">
        <v>185</v>
      </c>
      <c r="E16" s="149">
        <v>1</v>
      </c>
      <c r="F16" s="190"/>
      <c r="G16" s="160">
        <f t="shared" si="0"/>
        <v>0</v>
      </c>
    </row>
    <row r="17" spans="1:7" s="10" customFormat="1" ht="36" customHeight="1" thickBot="1">
      <c r="A17" s="72"/>
      <c r="B17" s="73" t="s">
        <v>111</v>
      </c>
      <c r="C17" s="74"/>
      <c r="D17" s="75"/>
      <c r="E17" s="75"/>
      <c r="F17" s="76"/>
      <c r="G17" s="77">
        <f>SUBTOTAL(9,G6:G16)</f>
        <v>0</v>
      </c>
    </row>
    <row r="19" spans="1:7" s="16" customFormat="1">
      <c r="A19" s="14"/>
      <c r="B19" s="31"/>
      <c r="C19" s="15"/>
      <c r="D19" s="32"/>
      <c r="E19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Zeros="0" topLeftCell="A4" workbookViewId="0">
      <selection activeCell="P10" sqref="P10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10.7109375" style="32" customWidth="1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199" t="s">
        <v>157</v>
      </c>
      <c r="C1" s="208"/>
      <c r="D1" s="208"/>
      <c r="E1" s="208"/>
      <c r="F1" s="208"/>
      <c r="G1" s="200"/>
    </row>
    <row r="2" spans="1:7" ht="104.45" customHeight="1">
      <c r="A2" s="2" t="s">
        <v>1</v>
      </c>
      <c r="B2" s="201" t="s">
        <v>2</v>
      </c>
      <c r="C2" s="209"/>
      <c r="D2" s="209"/>
      <c r="E2" s="209"/>
      <c r="F2" s="209"/>
      <c r="G2" s="202"/>
    </row>
    <row r="3" spans="1:7" ht="90" customHeight="1" thickBot="1">
      <c r="A3" s="3" t="s">
        <v>3</v>
      </c>
      <c r="B3" s="203" t="s">
        <v>4</v>
      </c>
      <c r="C3" s="210"/>
      <c r="D3" s="210"/>
      <c r="E3" s="210"/>
      <c r="F3" s="210"/>
      <c r="G3" s="211"/>
    </row>
    <row r="4" spans="1:7" ht="30" customHeight="1" thickBot="1">
      <c r="A4" s="223" t="s">
        <v>631</v>
      </c>
      <c r="B4" s="224"/>
      <c r="C4" s="224"/>
      <c r="D4" s="224"/>
      <c r="E4" s="224"/>
      <c r="F4" s="224"/>
      <c r="G4" s="225"/>
    </row>
    <row r="5" spans="1:7" ht="26.25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10" customFormat="1" ht="36" customHeight="1" thickBot="1">
      <c r="A6" s="223" t="s">
        <v>716</v>
      </c>
      <c r="B6" s="224"/>
      <c r="C6" s="224"/>
      <c r="D6" s="224"/>
      <c r="E6" s="224"/>
      <c r="F6" s="224"/>
      <c r="G6" s="225"/>
    </row>
    <row r="7" spans="1:7" s="10" customFormat="1" ht="36" customHeight="1" thickBot="1">
      <c r="A7" s="53" t="s">
        <v>6</v>
      </c>
      <c r="B7" s="54" t="s">
        <v>25</v>
      </c>
      <c r="C7" s="55" t="s">
        <v>7</v>
      </c>
      <c r="D7" s="54" t="s">
        <v>26</v>
      </c>
      <c r="E7" s="54" t="s">
        <v>27</v>
      </c>
      <c r="F7" s="56" t="s">
        <v>28</v>
      </c>
      <c r="G7" s="57" t="s">
        <v>8</v>
      </c>
    </row>
    <row r="8" spans="1:7" s="10" customFormat="1" ht="36" customHeight="1">
      <c r="A8" s="58"/>
      <c r="B8" s="59"/>
      <c r="C8" s="151" t="s">
        <v>717</v>
      </c>
      <c r="D8" s="61" t="s">
        <v>31</v>
      </c>
      <c r="E8" s="62" t="s">
        <v>31</v>
      </c>
      <c r="F8" s="63" t="s">
        <v>31</v>
      </c>
      <c r="G8" s="64" t="s">
        <v>31</v>
      </c>
    </row>
    <row r="9" spans="1:7" s="10" customFormat="1" ht="36" customHeight="1">
      <c r="A9" s="146" t="s">
        <v>9</v>
      </c>
      <c r="B9" s="147"/>
      <c r="C9" s="191" t="s">
        <v>718</v>
      </c>
      <c r="D9" s="192" t="s">
        <v>150</v>
      </c>
      <c r="E9" s="193">
        <v>2</v>
      </c>
      <c r="F9" s="195"/>
      <c r="G9" s="196">
        <f>E9*F9</f>
        <v>0</v>
      </c>
    </row>
    <row r="10" spans="1:7" s="10" customFormat="1" ht="36" customHeight="1">
      <c r="A10" s="146" t="s">
        <v>11</v>
      </c>
      <c r="B10" s="191"/>
      <c r="C10" s="191" t="s">
        <v>719</v>
      </c>
      <c r="D10" s="194" t="s">
        <v>720</v>
      </c>
      <c r="E10" s="193">
        <v>2</v>
      </c>
      <c r="F10" s="195"/>
      <c r="G10" s="196">
        <f t="shared" ref="G10:G14" si="0">E10*F10</f>
        <v>0</v>
      </c>
    </row>
    <row r="11" spans="1:7" s="10" customFormat="1" ht="36" customHeight="1">
      <c r="A11" s="146" t="s">
        <v>13</v>
      </c>
      <c r="B11" s="191"/>
      <c r="C11" s="191" t="s">
        <v>721</v>
      </c>
      <c r="D11" s="192" t="s">
        <v>135</v>
      </c>
      <c r="E11" s="193">
        <v>8</v>
      </c>
      <c r="F11" s="195"/>
      <c r="G11" s="196">
        <f t="shared" si="0"/>
        <v>0</v>
      </c>
    </row>
    <row r="12" spans="1:7" s="10" customFormat="1" ht="36" customHeight="1">
      <c r="A12" s="146" t="s">
        <v>15</v>
      </c>
      <c r="B12" s="191"/>
      <c r="C12" s="191" t="s">
        <v>722</v>
      </c>
      <c r="D12" s="192" t="s">
        <v>150</v>
      </c>
      <c r="E12" s="193">
        <v>1</v>
      </c>
      <c r="F12" s="195"/>
      <c r="G12" s="196">
        <f t="shared" si="0"/>
        <v>0</v>
      </c>
    </row>
    <row r="13" spans="1:7" s="10" customFormat="1" ht="36" customHeight="1">
      <c r="A13" s="146" t="s">
        <v>17</v>
      </c>
      <c r="B13" s="191"/>
      <c r="C13" s="191" t="s">
        <v>723</v>
      </c>
      <c r="D13" s="192" t="s">
        <v>724</v>
      </c>
      <c r="E13" s="193">
        <v>2</v>
      </c>
      <c r="F13" s="195"/>
      <c r="G13" s="196">
        <f t="shared" si="0"/>
        <v>0</v>
      </c>
    </row>
    <row r="14" spans="1:7" s="10" customFormat="1" ht="36" customHeight="1">
      <c r="A14" s="146" t="s">
        <v>18</v>
      </c>
      <c r="B14" s="191"/>
      <c r="C14" s="191" t="s">
        <v>725</v>
      </c>
      <c r="D14" s="192" t="s">
        <v>724</v>
      </c>
      <c r="E14" s="193">
        <v>1</v>
      </c>
      <c r="F14" s="195"/>
      <c r="G14" s="196">
        <f t="shared" si="0"/>
        <v>0</v>
      </c>
    </row>
    <row r="15" spans="1:7" s="10" customFormat="1" ht="36" customHeight="1">
      <c r="A15" s="146" t="s">
        <v>19</v>
      </c>
      <c r="B15" s="191"/>
      <c r="C15" s="191" t="s">
        <v>726</v>
      </c>
      <c r="D15" s="192" t="s">
        <v>150</v>
      </c>
      <c r="E15" s="193">
        <v>1</v>
      </c>
      <c r="F15" s="195"/>
      <c r="G15" s="196"/>
    </row>
    <row r="16" spans="1:7" s="10" customFormat="1" ht="36" customHeight="1" thickBot="1">
      <c r="A16" s="240" t="s">
        <v>111</v>
      </c>
      <c r="B16" s="241"/>
      <c r="C16" s="241"/>
      <c r="D16" s="241"/>
      <c r="E16" s="241"/>
      <c r="F16" s="241"/>
      <c r="G16" s="197"/>
    </row>
    <row r="17" spans="1:7" s="10" customFormat="1" ht="36" customHeight="1">
      <c r="A17"/>
      <c r="B17"/>
      <c r="C17"/>
      <c r="D17"/>
      <c r="E17"/>
      <c r="F17"/>
      <c r="G17"/>
    </row>
    <row r="19" spans="1:7" s="16" customFormat="1">
      <c r="A19" s="14"/>
      <c r="B19" s="31"/>
      <c r="C19" s="15"/>
      <c r="D19" s="32"/>
      <c r="E19" s="33"/>
    </row>
  </sheetData>
  <mergeCells count="6">
    <mergeCell ref="A16:F16"/>
    <mergeCell ref="B1:G1"/>
    <mergeCell ref="B2:G2"/>
    <mergeCell ref="B3:G3"/>
    <mergeCell ref="A4:G4"/>
    <mergeCell ref="A6:G6"/>
  </mergeCells>
  <conditionalFormatting sqref="G8">
    <cfRule type="cellIs" dxfId="0" priority="3" operator="equal">
      <formula>0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K8" sqref="K8"/>
    </sheetView>
  </sheetViews>
  <sheetFormatPr defaultRowHeight="72" customHeight="1"/>
  <cols>
    <col min="1" max="1" width="10" customWidth="1"/>
    <col min="2" max="2" width="10.5703125" customWidth="1"/>
    <col min="3" max="3" width="48.7109375" customWidth="1"/>
    <col min="6" max="6" width="10.85546875" customWidth="1"/>
    <col min="7" max="7" width="11.28515625" customWidth="1"/>
  </cols>
  <sheetData>
    <row r="1" spans="1:7" ht="57.75" customHeight="1">
      <c r="A1" s="242" t="s">
        <v>0</v>
      </c>
      <c r="B1" s="199" t="s">
        <v>737</v>
      </c>
      <c r="C1" s="208"/>
      <c r="D1" s="208"/>
      <c r="E1" s="208"/>
      <c r="F1" s="208"/>
      <c r="G1" s="200"/>
    </row>
    <row r="2" spans="1:7" ht="90.75" customHeight="1">
      <c r="A2" s="2" t="s">
        <v>1</v>
      </c>
      <c r="B2" s="201" t="s">
        <v>2</v>
      </c>
      <c r="C2" s="209"/>
      <c r="D2" s="209"/>
      <c r="E2" s="209"/>
      <c r="F2" s="209"/>
      <c r="G2" s="202"/>
    </row>
    <row r="3" spans="1:7" ht="75" customHeight="1" thickBot="1">
      <c r="A3" s="3" t="s">
        <v>3</v>
      </c>
      <c r="B3" s="203" t="s">
        <v>4</v>
      </c>
      <c r="C3" s="210"/>
      <c r="D3" s="210"/>
      <c r="E3" s="210"/>
      <c r="F3" s="210"/>
      <c r="G3" s="211"/>
    </row>
    <row r="4" spans="1:7" ht="15.75" thickBot="1">
      <c r="A4" s="205" t="s">
        <v>728</v>
      </c>
      <c r="B4" s="206"/>
      <c r="C4" s="206"/>
      <c r="D4" s="206"/>
      <c r="E4" s="206"/>
      <c r="F4" s="206"/>
      <c r="G4" s="207"/>
    </row>
    <row r="5" spans="1:7" ht="38.25">
      <c r="A5" s="243" t="s">
        <v>6</v>
      </c>
      <c r="B5" s="244" t="s">
        <v>25</v>
      </c>
      <c r="C5" s="245" t="s">
        <v>7</v>
      </c>
      <c r="D5" s="244" t="s">
        <v>26</v>
      </c>
      <c r="E5" s="244" t="s">
        <v>27</v>
      </c>
      <c r="F5" s="246" t="s">
        <v>28</v>
      </c>
      <c r="G5" s="247" t="s">
        <v>8</v>
      </c>
    </row>
    <row r="6" spans="1:7" ht="25.5">
      <c r="A6" s="248"/>
      <c r="B6" s="249" t="s">
        <v>729</v>
      </c>
      <c r="C6" s="250" t="s">
        <v>728</v>
      </c>
      <c r="D6" s="249"/>
      <c r="E6" s="249"/>
      <c r="F6" s="251"/>
      <c r="G6" s="251"/>
    </row>
    <row r="7" spans="1:7" s="257" customFormat="1" ht="38.25">
      <c r="A7" s="252" t="s">
        <v>9</v>
      </c>
      <c r="B7" s="253"/>
      <c r="C7" s="254" t="s">
        <v>730</v>
      </c>
      <c r="D7" s="255" t="s">
        <v>731</v>
      </c>
      <c r="E7" s="255"/>
      <c r="F7" s="256"/>
      <c r="G7" s="256"/>
    </row>
    <row r="8" spans="1:7" s="257" customFormat="1" ht="38.25">
      <c r="A8" s="252" t="s">
        <v>11</v>
      </c>
      <c r="B8" s="253"/>
      <c r="C8" s="254" t="s">
        <v>732</v>
      </c>
      <c r="D8" s="255" t="s">
        <v>731</v>
      </c>
      <c r="E8" s="255"/>
      <c r="F8" s="256"/>
      <c r="G8" s="256"/>
    </row>
    <row r="9" spans="1:7" s="257" customFormat="1" ht="38.25">
      <c r="A9" s="252" t="s">
        <v>13</v>
      </c>
      <c r="B9" s="253"/>
      <c r="C9" s="254" t="s">
        <v>733</v>
      </c>
      <c r="D9" s="255" t="s">
        <v>731</v>
      </c>
      <c r="E9" s="255"/>
      <c r="F9" s="256"/>
      <c r="G9" s="256"/>
    </row>
    <row r="10" spans="1:7" s="257" customFormat="1" ht="30.75" customHeight="1">
      <c r="A10" s="252" t="s">
        <v>15</v>
      </c>
      <c r="B10" s="253"/>
      <c r="C10" s="258" t="s">
        <v>734</v>
      </c>
      <c r="D10" s="255" t="s">
        <v>731</v>
      </c>
      <c r="E10" s="255"/>
      <c r="F10" s="256"/>
      <c r="G10" s="256"/>
    </row>
    <row r="11" spans="1:7" s="257" customFormat="1" ht="30.75" customHeight="1">
      <c r="A11" s="252" t="s">
        <v>17</v>
      </c>
      <c r="B11" s="253"/>
      <c r="C11" s="258" t="s">
        <v>735</v>
      </c>
      <c r="D11" s="259" t="s">
        <v>135</v>
      </c>
      <c r="E11" s="259">
        <v>2</v>
      </c>
      <c r="F11" s="256"/>
      <c r="G11" s="256"/>
    </row>
    <row r="12" spans="1:7" s="257" customFormat="1" ht="30.75" customHeight="1">
      <c r="A12" s="252" t="s">
        <v>18</v>
      </c>
      <c r="B12" s="253"/>
      <c r="C12" s="258" t="s">
        <v>736</v>
      </c>
      <c r="D12" s="259" t="s">
        <v>135</v>
      </c>
      <c r="E12" s="259">
        <v>2</v>
      </c>
      <c r="F12" s="256"/>
      <c r="G12" s="256"/>
    </row>
  </sheetData>
  <mergeCells count="8">
    <mergeCell ref="D9:E9"/>
    <mergeCell ref="D10:E10"/>
    <mergeCell ref="B1:G1"/>
    <mergeCell ref="B2:G2"/>
    <mergeCell ref="B3:G3"/>
    <mergeCell ref="A4:G4"/>
    <mergeCell ref="D7:E7"/>
    <mergeCell ref="D8:E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Zeros="0" zoomScale="85" zoomScaleNormal="85" workbookViewId="0">
      <selection activeCell="B1" sqref="B1:G1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8.85546875" style="32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199" t="s">
        <v>157</v>
      </c>
      <c r="C1" s="208"/>
      <c r="D1" s="208"/>
      <c r="E1" s="208"/>
      <c r="F1" s="208"/>
      <c r="G1" s="200"/>
    </row>
    <row r="2" spans="1:7" ht="104.45" customHeight="1">
      <c r="A2" s="2" t="s">
        <v>1</v>
      </c>
      <c r="B2" s="201" t="s">
        <v>2</v>
      </c>
      <c r="C2" s="209"/>
      <c r="D2" s="209"/>
      <c r="E2" s="209"/>
      <c r="F2" s="209"/>
      <c r="G2" s="202"/>
    </row>
    <row r="3" spans="1:7" ht="90" customHeight="1" thickBot="1">
      <c r="A3" s="3" t="s">
        <v>3</v>
      </c>
      <c r="B3" s="203" t="s">
        <v>4</v>
      </c>
      <c r="C3" s="210"/>
      <c r="D3" s="210"/>
      <c r="E3" s="210"/>
      <c r="F3" s="210"/>
      <c r="G3" s="211"/>
    </row>
    <row r="4" spans="1:7" ht="30" customHeight="1" thickBot="1">
      <c r="A4" s="205" t="s">
        <v>24</v>
      </c>
      <c r="B4" s="206"/>
      <c r="C4" s="206"/>
      <c r="D4" s="206"/>
      <c r="E4" s="206"/>
      <c r="F4" s="206"/>
      <c r="G4" s="207"/>
    </row>
    <row r="5" spans="1:7" ht="26.25" thickBot="1">
      <c r="A5" s="4" t="s">
        <v>6</v>
      </c>
      <c r="B5" s="18" t="s">
        <v>25</v>
      </c>
      <c r="C5" s="5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7" s="10" customFormat="1" ht="36" customHeight="1">
      <c r="A6" s="40"/>
      <c r="B6" s="41" t="s">
        <v>29</v>
      </c>
      <c r="C6" s="42" t="s">
        <v>30</v>
      </c>
      <c r="D6" s="43" t="s">
        <v>31</v>
      </c>
      <c r="E6" s="44" t="s">
        <v>31</v>
      </c>
      <c r="F6" s="45" t="s">
        <v>31</v>
      </c>
      <c r="G6" s="46" t="s">
        <v>31</v>
      </c>
    </row>
    <row r="7" spans="1:7" s="10" customFormat="1" ht="36" customHeight="1">
      <c r="A7" s="7" t="s">
        <v>9</v>
      </c>
      <c r="B7" s="20" t="s">
        <v>32</v>
      </c>
      <c r="C7" s="8" t="s">
        <v>33</v>
      </c>
      <c r="D7" s="21" t="s">
        <v>34</v>
      </c>
      <c r="E7" s="23">
        <v>0.45</v>
      </c>
      <c r="F7" s="22"/>
      <c r="G7" s="9">
        <f>ROUND(E7*F7,2)</f>
        <v>0</v>
      </c>
    </row>
    <row r="8" spans="1:7" s="10" customFormat="1" ht="36" customHeight="1">
      <c r="A8" s="7" t="s">
        <v>11</v>
      </c>
      <c r="B8" s="20" t="s">
        <v>35</v>
      </c>
      <c r="C8" s="8" t="s">
        <v>122</v>
      </c>
      <c r="D8" s="21" t="s">
        <v>36</v>
      </c>
      <c r="E8" s="23">
        <v>8920</v>
      </c>
      <c r="F8" s="22"/>
      <c r="G8" s="9">
        <f>ROUND(E8*F8,2)</f>
        <v>0</v>
      </c>
    </row>
    <row r="9" spans="1:7" s="10" customFormat="1" ht="36" customHeight="1">
      <c r="A9" s="7"/>
      <c r="B9" s="20" t="s">
        <v>37</v>
      </c>
      <c r="C9" s="8" t="s">
        <v>38</v>
      </c>
      <c r="D9" s="21" t="s">
        <v>31</v>
      </c>
      <c r="E9" s="23" t="s">
        <v>31</v>
      </c>
      <c r="F9" s="22" t="s">
        <v>31</v>
      </c>
      <c r="G9" s="9" t="s">
        <v>31</v>
      </c>
    </row>
    <row r="10" spans="1:7" s="10" customFormat="1" ht="36" customHeight="1">
      <c r="A10" s="7" t="s">
        <v>13</v>
      </c>
      <c r="B10" s="20"/>
      <c r="C10" s="8" t="s">
        <v>112</v>
      </c>
      <c r="D10" s="21" t="s">
        <v>36</v>
      </c>
      <c r="E10" s="23">
        <v>84</v>
      </c>
      <c r="F10" s="22"/>
      <c r="G10" s="9">
        <f>ROUND(E10*F10,2)</f>
        <v>0</v>
      </c>
    </row>
    <row r="11" spans="1:7" s="10" customFormat="1" ht="36" customHeight="1">
      <c r="A11" s="7" t="s">
        <v>15</v>
      </c>
      <c r="B11" s="20"/>
      <c r="C11" s="8" t="s">
        <v>113</v>
      </c>
      <c r="D11" s="21" t="s">
        <v>36</v>
      </c>
      <c r="E11" s="23">
        <v>96.6</v>
      </c>
      <c r="F11" s="22"/>
      <c r="G11" s="9">
        <f>ROUND(E11*F11,2)</f>
        <v>0</v>
      </c>
    </row>
    <row r="12" spans="1:7" s="10" customFormat="1" ht="36" customHeight="1">
      <c r="A12" s="7" t="s">
        <v>17</v>
      </c>
      <c r="B12" s="20"/>
      <c r="C12" s="8" t="s">
        <v>144</v>
      </c>
      <c r="D12" s="21" t="s">
        <v>135</v>
      </c>
      <c r="E12" s="23">
        <v>5</v>
      </c>
      <c r="F12" s="22"/>
      <c r="G12" s="9">
        <f t="shared" ref="G12:G17" si="0">ROUND(E12*F12,2)</f>
        <v>0</v>
      </c>
    </row>
    <row r="13" spans="1:7" s="10" customFormat="1" ht="36" customHeight="1">
      <c r="A13" s="7" t="s">
        <v>18</v>
      </c>
      <c r="B13" s="20"/>
      <c r="C13" s="8" t="s">
        <v>145</v>
      </c>
      <c r="D13" s="21" t="s">
        <v>135</v>
      </c>
      <c r="E13" s="23">
        <v>5</v>
      </c>
      <c r="F13" s="22"/>
      <c r="G13" s="9">
        <f t="shared" si="0"/>
        <v>0</v>
      </c>
    </row>
    <row r="14" spans="1:7" s="10" customFormat="1" ht="36" customHeight="1">
      <c r="A14" s="7" t="s">
        <v>19</v>
      </c>
      <c r="B14" s="20"/>
      <c r="C14" s="8" t="s">
        <v>146</v>
      </c>
      <c r="D14" s="21" t="s">
        <v>135</v>
      </c>
      <c r="E14" s="23">
        <v>10</v>
      </c>
      <c r="F14" s="22"/>
      <c r="G14" s="9">
        <f t="shared" si="0"/>
        <v>0</v>
      </c>
    </row>
    <row r="15" spans="1:7" s="10" customFormat="1" ht="36" customHeight="1">
      <c r="A15" s="7" t="s">
        <v>20</v>
      </c>
      <c r="B15" s="20"/>
      <c r="C15" s="8" t="s">
        <v>147</v>
      </c>
      <c r="D15" s="21" t="s">
        <v>42</v>
      </c>
      <c r="E15" s="23">
        <v>23</v>
      </c>
      <c r="F15" s="22"/>
      <c r="G15" s="9">
        <f t="shared" si="0"/>
        <v>0</v>
      </c>
    </row>
    <row r="16" spans="1:7" s="10" customFormat="1" ht="36" customHeight="1">
      <c r="A16" s="7" t="s">
        <v>39</v>
      </c>
      <c r="B16" s="20"/>
      <c r="C16" s="8" t="s">
        <v>148</v>
      </c>
      <c r="D16" s="21" t="s">
        <v>36</v>
      </c>
      <c r="E16" s="23">
        <v>7.44</v>
      </c>
      <c r="F16" s="22"/>
      <c r="G16" s="9">
        <f t="shared" si="0"/>
        <v>0</v>
      </c>
    </row>
    <row r="17" spans="1:8" s="10" customFormat="1" ht="36" customHeight="1">
      <c r="A17" s="7" t="s">
        <v>40</v>
      </c>
      <c r="B17" s="20"/>
      <c r="C17" s="8" t="s">
        <v>149</v>
      </c>
      <c r="D17" s="21" t="s">
        <v>150</v>
      </c>
      <c r="E17" s="23">
        <v>1</v>
      </c>
      <c r="F17" s="22"/>
      <c r="G17" s="9">
        <f t="shared" si="0"/>
        <v>0</v>
      </c>
    </row>
    <row r="18" spans="1:8" s="10" customFormat="1" ht="36" customHeight="1">
      <c r="A18" s="40"/>
      <c r="B18" s="41" t="s">
        <v>52</v>
      </c>
      <c r="C18" s="42" t="s">
        <v>53</v>
      </c>
      <c r="D18" s="43" t="s">
        <v>31</v>
      </c>
      <c r="E18" s="44" t="s">
        <v>31</v>
      </c>
      <c r="F18" s="45" t="s">
        <v>31</v>
      </c>
      <c r="G18" s="46" t="s">
        <v>31</v>
      </c>
    </row>
    <row r="19" spans="1:8" s="10" customFormat="1" ht="36" customHeight="1">
      <c r="A19" s="7"/>
      <c r="B19" s="20" t="s">
        <v>54</v>
      </c>
      <c r="C19" s="8" t="s">
        <v>55</v>
      </c>
      <c r="D19" s="21" t="s">
        <v>31</v>
      </c>
      <c r="E19" s="23" t="s">
        <v>31</v>
      </c>
      <c r="F19" s="22" t="s">
        <v>31</v>
      </c>
      <c r="G19" s="9" t="s">
        <v>31</v>
      </c>
    </row>
    <row r="20" spans="1:8" s="10" customFormat="1" ht="36" customHeight="1">
      <c r="A20" s="7" t="s">
        <v>41</v>
      </c>
      <c r="B20" s="20"/>
      <c r="C20" s="8" t="s">
        <v>114</v>
      </c>
      <c r="D20" s="21" t="s">
        <v>57</v>
      </c>
      <c r="E20" s="23">
        <v>113.06</v>
      </c>
      <c r="F20" s="22"/>
      <c r="G20" s="9">
        <f>ROUND(E20*F20,2)</f>
        <v>0</v>
      </c>
    </row>
    <row r="21" spans="1:8" s="10" customFormat="1" ht="36" customHeight="1">
      <c r="A21" s="7"/>
      <c r="B21" s="20" t="s">
        <v>59</v>
      </c>
      <c r="C21" s="8" t="s">
        <v>60</v>
      </c>
      <c r="D21" s="21" t="s">
        <v>31</v>
      </c>
      <c r="E21" s="23" t="s">
        <v>31</v>
      </c>
      <c r="F21" s="22" t="s">
        <v>31</v>
      </c>
      <c r="G21" s="9" t="s">
        <v>31</v>
      </c>
    </row>
    <row r="22" spans="1:8" s="10" customFormat="1" ht="36" customHeight="1">
      <c r="A22" s="7" t="s">
        <v>43</v>
      </c>
      <c r="B22" s="20"/>
      <c r="C22" s="8" t="s">
        <v>62</v>
      </c>
      <c r="D22" s="21" t="s">
        <v>57</v>
      </c>
      <c r="E22" s="23">
        <v>113.06</v>
      </c>
      <c r="F22" s="22"/>
      <c r="G22" s="9">
        <f>ROUND(E22*F22,2)</f>
        <v>0</v>
      </c>
    </row>
    <row r="23" spans="1:8" s="10" customFormat="1" ht="36" customHeight="1">
      <c r="A23" s="7" t="s">
        <v>44</v>
      </c>
      <c r="B23" s="20"/>
      <c r="C23" s="8" t="s">
        <v>115</v>
      </c>
      <c r="D23" s="21" t="s">
        <v>57</v>
      </c>
      <c r="E23" s="23">
        <f>55399-E22+379</f>
        <v>55664.94</v>
      </c>
      <c r="F23" s="22"/>
      <c r="G23" s="9">
        <f>ROUND(E23*F23,2)</f>
        <v>0</v>
      </c>
      <c r="H23" s="198"/>
    </row>
    <row r="24" spans="1:8" s="10" customFormat="1" ht="36" customHeight="1">
      <c r="A24" s="40"/>
      <c r="B24" s="41" t="s">
        <v>65</v>
      </c>
      <c r="C24" s="42" t="s">
        <v>66</v>
      </c>
      <c r="D24" s="43" t="s">
        <v>31</v>
      </c>
      <c r="E24" s="44" t="s">
        <v>31</v>
      </c>
      <c r="F24" s="45" t="s">
        <v>31</v>
      </c>
      <c r="G24" s="46" t="s">
        <v>31</v>
      </c>
    </row>
    <row r="25" spans="1:8" s="10" customFormat="1" ht="36" customHeight="1">
      <c r="A25" s="7"/>
      <c r="B25" s="20" t="s">
        <v>67</v>
      </c>
      <c r="C25" s="8" t="s">
        <v>68</v>
      </c>
      <c r="D25" s="21" t="s">
        <v>31</v>
      </c>
      <c r="E25" s="23" t="s">
        <v>31</v>
      </c>
      <c r="F25" s="22" t="s">
        <v>31</v>
      </c>
      <c r="G25" s="9" t="s">
        <v>31</v>
      </c>
    </row>
    <row r="26" spans="1:8" s="10" customFormat="1" ht="36" customHeight="1">
      <c r="A26" s="7" t="s">
        <v>45</v>
      </c>
      <c r="B26" s="20"/>
      <c r="C26" s="8" t="s">
        <v>116</v>
      </c>
      <c r="D26" s="21" t="s">
        <v>36</v>
      </c>
      <c r="E26" s="23">
        <v>556.6</v>
      </c>
      <c r="F26" s="22"/>
      <c r="G26" s="9">
        <f>ROUND(E26*F26,2)</f>
        <v>0</v>
      </c>
    </row>
    <row r="27" spans="1:8" s="10" customFormat="1" ht="36" customHeight="1">
      <c r="A27" s="7" t="s">
        <v>46</v>
      </c>
      <c r="B27" s="20"/>
      <c r="C27" s="8" t="s">
        <v>117</v>
      </c>
      <c r="D27" s="21" t="s">
        <v>36</v>
      </c>
      <c r="E27" s="23">
        <v>3196.43</v>
      </c>
      <c r="F27" s="22"/>
      <c r="G27" s="9">
        <f>ROUND(E27*F27,2)</f>
        <v>0</v>
      </c>
    </row>
    <row r="28" spans="1:8" s="10" customFormat="1" ht="36" customHeight="1">
      <c r="A28" s="7"/>
      <c r="B28" s="20" t="s">
        <v>71</v>
      </c>
      <c r="C28" s="8" t="s">
        <v>72</v>
      </c>
      <c r="D28" s="21" t="s">
        <v>31</v>
      </c>
      <c r="E28" s="23" t="s">
        <v>31</v>
      </c>
      <c r="F28" s="22" t="s">
        <v>31</v>
      </c>
      <c r="G28" s="9" t="s">
        <v>31</v>
      </c>
    </row>
    <row r="29" spans="1:8" s="10" customFormat="1" ht="36" customHeight="1">
      <c r="A29" s="7" t="s">
        <v>47</v>
      </c>
      <c r="B29" s="20"/>
      <c r="C29" s="8" t="s">
        <v>73</v>
      </c>
      <c r="D29" s="21" t="s">
        <v>36</v>
      </c>
      <c r="E29" s="23">
        <v>2405.58</v>
      </c>
      <c r="F29" s="22"/>
      <c r="G29" s="9">
        <f>ROUND(E29*F29,2)</f>
        <v>0</v>
      </c>
    </row>
    <row r="30" spans="1:8" s="10" customFormat="1" ht="36" customHeight="1">
      <c r="A30" s="7" t="s">
        <v>48</v>
      </c>
      <c r="B30" s="20"/>
      <c r="C30" s="8" t="s">
        <v>74</v>
      </c>
      <c r="D30" s="21" t="s">
        <v>36</v>
      </c>
      <c r="E30" s="23">
        <v>4254.5600000000004</v>
      </c>
      <c r="F30" s="22"/>
      <c r="G30" s="9">
        <f>ROUND(E30*F30,2)</f>
        <v>0</v>
      </c>
    </row>
    <row r="31" spans="1:8" s="10" customFormat="1" ht="36" customHeight="1">
      <c r="A31" s="7"/>
      <c r="B31" s="20" t="s">
        <v>75</v>
      </c>
      <c r="C31" s="8" t="s">
        <v>76</v>
      </c>
      <c r="D31" s="21" t="s">
        <v>31</v>
      </c>
      <c r="E31" s="23" t="s">
        <v>31</v>
      </c>
      <c r="F31" s="22" t="s">
        <v>31</v>
      </c>
      <c r="G31" s="9" t="s">
        <v>31</v>
      </c>
    </row>
    <row r="32" spans="1:8" s="10" customFormat="1" ht="36" customHeight="1">
      <c r="A32" s="7" t="s">
        <v>49</v>
      </c>
      <c r="B32" s="20"/>
      <c r="C32" s="8" t="s">
        <v>130</v>
      </c>
      <c r="D32" s="21" t="s">
        <v>36</v>
      </c>
      <c r="E32" s="23">
        <v>206.34</v>
      </c>
      <c r="F32" s="22"/>
      <c r="G32" s="9">
        <f>ROUND(E32*F32,2)</f>
        <v>0</v>
      </c>
    </row>
    <row r="33" spans="1:7" s="10" customFormat="1" ht="36" customHeight="1">
      <c r="A33" s="7" t="s">
        <v>50</v>
      </c>
      <c r="B33" s="20"/>
      <c r="C33" s="8" t="s">
        <v>129</v>
      </c>
      <c r="D33" s="21" t="s">
        <v>36</v>
      </c>
      <c r="E33" s="23">
        <v>556.6</v>
      </c>
      <c r="F33" s="22"/>
      <c r="G33" s="9">
        <f>ROUND(E33*F33,2)</f>
        <v>0</v>
      </c>
    </row>
    <row r="34" spans="1:7" s="10" customFormat="1" ht="36" customHeight="1">
      <c r="A34" s="7" t="s">
        <v>51</v>
      </c>
      <c r="B34" s="20"/>
      <c r="C34" s="8" t="s">
        <v>128</v>
      </c>
      <c r="D34" s="21" t="s">
        <v>36</v>
      </c>
      <c r="E34" s="23">
        <v>1848.98</v>
      </c>
      <c r="F34" s="22"/>
      <c r="G34" s="9">
        <f>ROUND(E34*F34,2)</f>
        <v>0</v>
      </c>
    </row>
    <row r="35" spans="1:7" s="10" customFormat="1" ht="36" customHeight="1">
      <c r="A35" s="7"/>
      <c r="B35" s="20" t="s">
        <v>77</v>
      </c>
      <c r="C35" s="8" t="s">
        <v>78</v>
      </c>
      <c r="D35" s="21" t="s">
        <v>31</v>
      </c>
      <c r="E35" s="23" t="s">
        <v>31</v>
      </c>
      <c r="F35" s="22" t="s">
        <v>31</v>
      </c>
      <c r="G35" s="9" t="s">
        <v>31</v>
      </c>
    </row>
    <row r="36" spans="1:7" s="10" customFormat="1" ht="36" customHeight="1">
      <c r="A36" s="7" t="s">
        <v>21</v>
      </c>
      <c r="B36" s="20"/>
      <c r="C36" s="8" t="s">
        <v>79</v>
      </c>
      <c r="D36" s="21" t="s">
        <v>36</v>
      </c>
      <c r="E36" s="23">
        <v>3367</v>
      </c>
      <c r="F36" s="22"/>
      <c r="G36" s="9">
        <f>ROUND(E36*F36,2)</f>
        <v>0</v>
      </c>
    </row>
    <row r="37" spans="1:7" s="10" customFormat="1" ht="36" customHeight="1">
      <c r="A37" s="7" t="s">
        <v>22</v>
      </c>
      <c r="B37" s="20"/>
      <c r="C37" s="8" t="s">
        <v>118</v>
      </c>
      <c r="D37" s="21" t="s">
        <v>36</v>
      </c>
      <c r="E37" s="23">
        <v>213.64</v>
      </c>
      <c r="F37" s="22"/>
      <c r="G37" s="9">
        <f>ROUND(E37*F37,2)</f>
        <v>0</v>
      </c>
    </row>
    <row r="38" spans="1:7" s="10" customFormat="1" ht="36" customHeight="1">
      <c r="A38" s="7"/>
      <c r="B38" s="20" t="s">
        <v>80</v>
      </c>
      <c r="C38" s="8" t="s">
        <v>81</v>
      </c>
      <c r="D38" s="21" t="s">
        <v>31</v>
      </c>
      <c r="E38" s="23" t="s">
        <v>31</v>
      </c>
      <c r="F38" s="22" t="s">
        <v>31</v>
      </c>
      <c r="G38" s="9" t="s">
        <v>31</v>
      </c>
    </row>
    <row r="39" spans="1:7" s="10" customFormat="1" ht="36" customHeight="1">
      <c r="A39" s="7" t="s">
        <v>56</v>
      </c>
      <c r="B39" s="20"/>
      <c r="C39" s="8" t="s">
        <v>127</v>
      </c>
      <c r="D39" s="21" t="s">
        <v>36</v>
      </c>
      <c r="E39" s="23">
        <v>1848.98</v>
      </c>
      <c r="F39" s="22"/>
      <c r="G39" s="9">
        <f>ROUND(E39*F39,2)</f>
        <v>0</v>
      </c>
    </row>
    <row r="40" spans="1:7" s="10" customFormat="1" ht="36" customHeight="1">
      <c r="A40" s="40"/>
      <c r="B40" s="41" t="s">
        <v>63</v>
      </c>
      <c r="C40" s="42" t="s">
        <v>82</v>
      </c>
      <c r="D40" s="43" t="s">
        <v>31</v>
      </c>
      <c r="E40" s="44" t="s">
        <v>31</v>
      </c>
      <c r="F40" s="45" t="s">
        <v>31</v>
      </c>
      <c r="G40" s="46" t="s">
        <v>31</v>
      </c>
    </row>
    <row r="41" spans="1:7" s="10" customFormat="1" ht="36" customHeight="1">
      <c r="A41" s="7"/>
      <c r="B41" s="20" t="s">
        <v>83</v>
      </c>
      <c r="C41" s="8" t="s">
        <v>84</v>
      </c>
      <c r="D41" s="21" t="s">
        <v>31</v>
      </c>
      <c r="E41" s="23" t="s">
        <v>31</v>
      </c>
      <c r="F41" s="22" t="s">
        <v>31</v>
      </c>
      <c r="G41" s="9" t="s">
        <v>31</v>
      </c>
    </row>
    <row r="42" spans="1:7" s="10" customFormat="1" ht="36" customHeight="1">
      <c r="A42" s="7" t="s">
        <v>58</v>
      </c>
      <c r="B42" s="24"/>
      <c r="C42" s="8" t="s">
        <v>126</v>
      </c>
      <c r="D42" s="21" t="s">
        <v>36</v>
      </c>
      <c r="E42" s="23">
        <v>556.6</v>
      </c>
      <c r="F42" s="22"/>
      <c r="G42" s="9">
        <f>ROUND(E42*F42,2)</f>
        <v>0</v>
      </c>
    </row>
    <row r="43" spans="1:7" s="10" customFormat="1" ht="36" customHeight="1">
      <c r="A43" s="7"/>
      <c r="B43" s="20" t="s">
        <v>85</v>
      </c>
      <c r="C43" s="8" t="s">
        <v>86</v>
      </c>
      <c r="D43" s="21" t="s">
        <v>31</v>
      </c>
      <c r="E43" s="23" t="s">
        <v>31</v>
      </c>
      <c r="F43" s="22" t="s">
        <v>31</v>
      </c>
      <c r="G43" s="9" t="s">
        <v>31</v>
      </c>
    </row>
    <row r="44" spans="1:7" s="10" customFormat="1" ht="36" customHeight="1">
      <c r="A44" s="7" t="s">
        <v>61</v>
      </c>
      <c r="B44" s="20"/>
      <c r="C44" s="8" t="s">
        <v>125</v>
      </c>
      <c r="D44" s="21" t="s">
        <v>36</v>
      </c>
      <c r="E44" s="23">
        <v>556.6</v>
      </c>
      <c r="F44" s="22"/>
      <c r="G44" s="9">
        <f>ROUND(E44*F44,2)</f>
        <v>0</v>
      </c>
    </row>
    <row r="45" spans="1:7" s="10" customFormat="1" ht="36" customHeight="1">
      <c r="A45" s="7" t="s">
        <v>64</v>
      </c>
      <c r="B45" s="24"/>
      <c r="C45" s="8" t="s">
        <v>124</v>
      </c>
      <c r="D45" s="21" t="s">
        <v>36</v>
      </c>
      <c r="E45" s="23">
        <v>1848.98</v>
      </c>
      <c r="F45" s="22"/>
      <c r="G45" s="9">
        <f>ROUND(E45*F45,2)</f>
        <v>0</v>
      </c>
    </row>
    <row r="46" spans="1:7" s="10" customFormat="1" ht="36" customHeight="1">
      <c r="A46" s="7"/>
      <c r="B46" s="20" t="s">
        <v>87</v>
      </c>
      <c r="C46" s="8" t="s">
        <v>88</v>
      </c>
      <c r="D46" s="21" t="s">
        <v>31</v>
      </c>
      <c r="E46" s="23" t="s">
        <v>31</v>
      </c>
      <c r="F46" s="22" t="s">
        <v>31</v>
      </c>
      <c r="G46" s="9" t="s">
        <v>31</v>
      </c>
    </row>
    <row r="47" spans="1:7" s="10" customFormat="1" ht="36" customHeight="1">
      <c r="A47" s="7" t="s">
        <v>69</v>
      </c>
      <c r="B47" s="20"/>
      <c r="C47" s="8" t="s">
        <v>89</v>
      </c>
      <c r="D47" s="25" t="s">
        <v>36</v>
      </c>
      <c r="E47" s="23">
        <v>1848.98</v>
      </c>
      <c r="F47" s="22"/>
      <c r="G47" s="9">
        <f>ROUND(E47*F47,2)</f>
        <v>0</v>
      </c>
    </row>
    <row r="48" spans="1:7" s="10" customFormat="1" ht="36" customHeight="1">
      <c r="A48" s="7"/>
      <c r="B48" s="20" t="s">
        <v>90</v>
      </c>
      <c r="C48" s="8" t="s">
        <v>91</v>
      </c>
      <c r="D48" s="21" t="s">
        <v>31</v>
      </c>
      <c r="E48" s="23" t="s">
        <v>31</v>
      </c>
      <c r="F48" s="22" t="s">
        <v>31</v>
      </c>
      <c r="G48" s="9" t="s">
        <v>31</v>
      </c>
    </row>
    <row r="49" spans="1:7" s="10" customFormat="1" ht="36" customHeight="1">
      <c r="A49" s="7" t="s">
        <v>70</v>
      </c>
      <c r="B49" s="20"/>
      <c r="C49" s="8" t="s">
        <v>131</v>
      </c>
      <c r="D49" s="21" t="s">
        <v>36</v>
      </c>
      <c r="E49" s="23">
        <v>179</v>
      </c>
      <c r="F49" s="22"/>
      <c r="G49" s="9">
        <f>ROUND(E49*F49,2)</f>
        <v>0</v>
      </c>
    </row>
    <row r="50" spans="1:7" s="10" customFormat="1" ht="36" customHeight="1">
      <c r="A50" s="40"/>
      <c r="B50" s="41" t="s">
        <v>92</v>
      </c>
      <c r="C50" s="42" t="s">
        <v>93</v>
      </c>
      <c r="D50" s="43" t="s">
        <v>31</v>
      </c>
      <c r="E50" s="44" t="s">
        <v>31</v>
      </c>
      <c r="F50" s="45" t="s">
        <v>31</v>
      </c>
      <c r="G50" s="46" t="s">
        <v>31</v>
      </c>
    </row>
    <row r="51" spans="1:7" s="10" customFormat="1" ht="36" customHeight="1">
      <c r="A51" s="7"/>
      <c r="B51" s="20" t="s">
        <v>94</v>
      </c>
      <c r="C51" s="8" t="s">
        <v>95</v>
      </c>
      <c r="D51" s="21" t="s">
        <v>31</v>
      </c>
      <c r="E51" s="23" t="s">
        <v>31</v>
      </c>
      <c r="F51" s="22" t="s">
        <v>31</v>
      </c>
      <c r="G51" s="9" t="s">
        <v>31</v>
      </c>
    </row>
    <row r="52" spans="1:7" s="10" customFormat="1" ht="36" customHeight="1">
      <c r="A52" s="7" t="s">
        <v>151</v>
      </c>
      <c r="B52" s="20"/>
      <c r="C52" s="8" t="s">
        <v>119</v>
      </c>
      <c r="D52" s="21" t="s">
        <v>36</v>
      </c>
      <c r="E52" s="23">
        <v>7186.6666666666697</v>
      </c>
      <c r="F52" s="22"/>
      <c r="G52" s="9">
        <f>ROUND(E52*F52,2)</f>
        <v>0</v>
      </c>
    </row>
    <row r="53" spans="1:7" s="10" customFormat="1" ht="36" customHeight="1">
      <c r="A53" s="7"/>
      <c r="B53" s="20" t="s">
        <v>96</v>
      </c>
      <c r="C53" s="8" t="s">
        <v>97</v>
      </c>
      <c r="D53" s="21" t="s">
        <v>31</v>
      </c>
      <c r="E53" s="23" t="s">
        <v>31</v>
      </c>
      <c r="F53" s="22" t="s">
        <v>31</v>
      </c>
      <c r="G53" s="9" t="s">
        <v>31</v>
      </c>
    </row>
    <row r="54" spans="1:7" s="10" customFormat="1" ht="36" customHeight="1">
      <c r="A54" s="7" t="s">
        <v>152</v>
      </c>
      <c r="B54" s="20"/>
      <c r="C54" s="8" t="s">
        <v>120</v>
      </c>
      <c r="D54" s="21" t="s">
        <v>36</v>
      </c>
      <c r="E54" s="23">
        <v>595.20000000000005</v>
      </c>
      <c r="F54" s="22"/>
      <c r="G54" s="9">
        <f>ROUND(E54*F54,2)</f>
        <v>0</v>
      </c>
    </row>
    <row r="55" spans="1:7" s="10" customFormat="1" ht="36" customHeight="1">
      <c r="A55" s="40"/>
      <c r="B55" s="41"/>
      <c r="C55" s="42" t="s">
        <v>121</v>
      </c>
      <c r="D55" s="43" t="s">
        <v>31</v>
      </c>
      <c r="E55" s="44" t="s">
        <v>31</v>
      </c>
      <c r="F55" s="45" t="s">
        <v>31</v>
      </c>
      <c r="G55" s="46" t="s">
        <v>31</v>
      </c>
    </row>
    <row r="56" spans="1:7" s="10" customFormat="1" ht="36" customHeight="1">
      <c r="A56" s="7"/>
      <c r="B56" s="20" t="s">
        <v>98</v>
      </c>
      <c r="C56" s="8" t="s">
        <v>99</v>
      </c>
      <c r="D56" s="21" t="s">
        <v>31</v>
      </c>
      <c r="E56" s="23" t="s">
        <v>31</v>
      </c>
      <c r="F56" s="22" t="s">
        <v>31</v>
      </c>
      <c r="G56" s="9" t="s">
        <v>31</v>
      </c>
    </row>
    <row r="57" spans="1:7" s="10" customFormat="1" ht="36" customHeight="1">
      <c r="A57" s="7" t="s">
        <v>153</v>
      </c>
      <c r="B57" s="20"/>
      <c r="C57" s="8" t="s">
        <v>100</v>
      </c>
      <c r="D57" s="21" t="s">
        <v>101</v>
      </c>
      <c r="E57" s="23">
        <v>233</v>
      </c>
      <c r="F57" s="22"/>
      <c r="G57" s="9">
        <f>ROUND(E57*F57,2)</f>
        <v>0</v>
      </c>
    </row>
    <row r="58" spans="1:7" s="10" customFormat="1" ht="36" customHeight="1">
      <c r="A58" s="7"/>
      <c r="B58" s="20" t="s">
        <v>102</v>
      </c>
      <c r="C58" s="8" t="s">
        <v>103</v>
      </c>
      <c r="D58" s="21" t="s">
        <v>31</v>
      </c>
      <c r="E58" s="23" t="s">
        <v>31</v>
      </c>
      <c r="F58" s="22" t="s">
        <v>31</v>
      </c>
      <c r="G58" s="9" t="s">
        <v>31</v>
      </c>
    </row>
    <row r="59" spans="1:7" s="10" customFormat="1" ht="36" customHeight="1">
      <c r="A59" s="7" t="s">
        <v>154</v>
      </c>
      <c r="B59" s="20"/>
      <c r="C59" s="8" t="s">
        <v>104</v>
      </c>
      <c r="D59" s="21" t="s">
        <v>42</v>
      </c>
      <c r="E59" s="23">
        <v>160</v>
      </c>
      <c r="F59" s="22"/>
      <c r="G59" s="9">
        <f>ROUND(E59*F59,2)</f>
        <v>0</v>
      </c>
    </row>
    <row r="60" spans="1:7" s="10" customFormat="1" ht="36" customHeight="1">
      <c r="A60" s="40"/>
      <c r="B60" s="41" t="s">
        <v>105</v>
      </c>
      <c r="C60" s="42" t="s">
        <v>106</v>
      </c>
      <c r="D60" s="43" t="s">
        <v>31</v>
      </c>
      <c r="E60" s="44" t="s">
        <v>31</v>
      </c>
      <c r="F60" s="45" t="s">
        <v>31</v>
      </c>
      <c r="G60" s="46" t="s">
        <v>31</v>
      </c>
    </row>
    <row r="61" spans="1:7" s="10" customFormat="1" ht="36" customHeight="1">
      <c r="A61" s="48"/>
      <c r="B61" s="34" t="s">
        <v>123</v>
      </c>
      <c r="C61" s="35" t="s">
        <v>107</v>
      </c>
      <c r="D61" s="36" t="s">
        <v>31</v>
      </c>
      <c r="E61" s="37" t="s">
        <v>31</v>
      </c>
      <c r="F61" s="38" t="s">
        <v>31</v>
      </c>
      <c r="G61" s="39" t="s">
        <v>31</v>
      </c>
    </row>
    <row r="62" spans="1:7" s="10" customFormat="1" ht="36" customHeight="1">
      <c r="A62" s="48" t="s">
        <v>155</v>
      </c>
      <c r="B62" s="34"/>
      <c r="C62" s="35" t="s">
        <v>108</v>
      </c>
      <c r="D62" s="36" t="s">
        <v>42</v>
      </c>
      <c r="E62" s="37">
        <v>309</v>
      </c>
      <c r="F62" s="38"/>
      <c r="G62" s="9">
        <f>ROUND(E62*F62,2)</f>
        <v>0</v>
      </c>
    </row>
    <row r="63" spans="1:7" s="10" customFormat="1" ht="36" customHeight="1">
      <c r="A63" s="48" t="s">
        <v>156</v>
      </c>
      <c r="B63" s="34"/>
      <c r="C63" s="35" t="s">
        <v>727</v>
      </c>
      <c r="D63" s="36" t="s">
        <v>42</v>
      </c>
      <c r="E63" s="37">
        <v>21</v>
      </c>
      <c r="F63" s="38"/>
      <c r="G63" s="9">
        <f>ROUND(E63*F63,2)</f>
        <v>0</v>
      </c>
    </row>
    <row r="64" spans="1:7" s="10" customFormat="1" ht="36" customHeight="1" thickBot="1">
      <c r="A64" s="48" t="s">
        <v>196</v>
      </c>
      <c r="B64" s="34" t="s">
        <v>109</v>
      </c>
      <c r="C64" s="35" t="s">
        <v>110</v>
      </c>
      <c r="D64" s="36" t="s">
        <v>42</v>
      </c>
      <c r="E64" s="37">
        <v>416</v>
      </c>
      <c r="F64" s="38"/>
      <c r="G64" s="9">
        <f>ROUND(E64*F64,2)</f>
        <v>0</v>
      </c>
    </row>
    <row r="65" spans="1:7" s="10" customFormat="1" ht="36" customHeight="1" thickBot="1">
      <c r="A65" s="26"/>
      <c r="B65" s="27" t="s">
        <v>111</v>
      </c>
      <c r="C65" s="28"/>
      <c r="D65" s="29"/>
      <c r="E65" s="29"/>
      <c r="F65" s="30"/>
      <c r="G65" s="13">
        <f>SUBTOTAL(9,G6:G64)</f>
        <v>0</v>
      </c>
    </row>
    <row r="67" spans="1:7">
      <c r="C67" s="15"/>
      <c r="E67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Zeros="0" zoomScaleNormal="100" workbookViewId="0">
      <selection activeCell="E11" sqref="E11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9.140625" style="32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199" t="s">
        <v>219</v>
      </c>
      <c r="C1" s="208"/>
      <c r="D1" s="208"/>
      <c r="E1" s="208"/>
      <c r="F1" s="208"/>
      <c r="G1" s="200"/>
    </row>
    <row r="2" spans="1:7" ht="104.45" customHeight="1">
      <c r="A2" s="2" t="s">
        <v>1</v>
      </c>
      <c r="B2" s="201" t="s">
        <v>2</v>
      </c>
      <c r="C2" s="209"/>
      <c r="D2" s="209"/>
      <c r="E2" s="209"/>
      <c r="F2" s="209"/>
      <c r="G2" s="202"/>
    </row>
    <row r="3" spans="1:7" ht="90" customHeight="1" thickBot="1">
      <c r="A3" s="3" t="s">
        <v>3</v>
      </c>
      <c r="B3" s="203" t="s">
        <v>4</v>
      </c>
      <c r="C3" s="210"/>
      <c r="D3" s="210"/>
      <c r="E3" s="210"/>
      <c r="F3" s="210"/>
      <c r="G3" s="211"/>
    </row>
    <row r="4" spans="1:7" ht="30" customHeight="1" thickBot="1">
      <c r="A4" s="205" t="s">
        <v>12</v>
      </c>
      <c r="B4" s="206"/>
      <c r="C4" s="206"/>
      <c r="D4" s="206"/>
      <c r="E4" s="206"/>
      <c r="F4" s="206"/>
      <c r="G4" s="207"/>
    </row>
    <row r="5" spans="1:7" ht="26.25" thickBot="1">
      <c r="A5" s="4" t="s">
        <v>6</v>
      </c>
      <c r="B5" s="18" t="s">
        <v>25</v>
      </c>
      <c r="C5" s="5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7" s="10" customFormat="1" ht="36" customHeight="1">
      <c r="A6" s="40"/>
      <c r="B6" s="41"/>
      <c r="C6" s="42" t="s">
        <v>121</v>
      </c>
      <c r="D6" s="43" t="s">
        <v>31</v>
      </c>
      <c r="E6" s="44" t="s">
        <v>31</v>
      </c>
      <c r="F6" s="45" t="s">
        <v>31</v>
      </c>
      <c r="G6" s="46" t="s">
        <v>31</v>
      </c>
    </row>
    <row r="7" spans="1:7" s="10" customFormat="1" ht="36" customHeight="1">
      <c r="A7" s="7"/>
      <c r="B7" s="20" t="s">
        <v>220</v>
      </c>
      <c r="C7" s="8" t="s">
        <v>221</v>
      </c>
      <c r="D7" s="21" t="s">
        <v>31</v>
      </c>
      <c r="E7" s="23" t="s">
        <v>31</v>
      </c>
      <c r="F7" s="22" t="s">
        <v>31</v>
      </c>
      <c r="G7" s="9" t="s">
        <v>31</v>
      </c>
    </row>
    <row r="8" spans="1:7" s="10" customFormat="1" ht="36" customHeight="1">
      <c r="A8" s="7" t="s">
        <v>9</v>
      </c>
      <c r="B8" s="20"/>
      <c r="C8" s="8" t="s">
        <v>222</v>
      </c>
      <c r="D8" s="21" t="s">
        <v>36</v>
      </c>
      <c r="E8" s="23">
        <v>133.91999999999999</v>
      </c>
      <c r="F8" s="22"/>
      <c r="G8" s="9">
        <f>ROUND(E8*F8,2)</f>
        <v>0</v>
      </c>
    </row>
    <row r="9" spans="1:7" s="10" customFormat="1" ht="36" customHeight="1">
      <c r="A9" s="7" t="s">
        <v>11</v>
      </c>
      <c r="B9" s="20"/>
      <c r="C9" s="8" t="s">
        <v>223</v>
      </c>
      <c r="D9" s="21" t="s">
        <v>36</v>
      </c>
      <c r="E9" s="23">
        <v>2.76</v>
      </c>
      <c r="F9" s="22"/>
      <c r="G9" s="9">
        <f>ROUND(E9*F9,2)</f>
        <v>0</v>
      </c>
    </row>
    <row r="10" spans="1:7" s="10" customFormat="1" ht="36" customHeight="1">
      <c r="A10" s="7" t="s">
        <v>13</v>
      </c>
      <c r="B10" s="20"/>
      <c r="C10" s="8" t="s">
        <v>224</v>
      </c>
      <c r="D10" s="21" t="s">
        <v>36</v>
      </c>
      <c r="E10" s="23">
        <v>37.29</v>
      </c>
      <c r="F10" s="22"/>
      <c r="G10" s="9">
        <f>ROUND(E10*F10,2)</f>
        <v>0</v>
      </c>
    </row>
    <row r="11" spans="1:7" s="10" customFormat="1" ht="36" customHeight="1">
      <c r="A11" s="7"/>
      <c r="B11" s="20" t="s">
        <v>225</v>
      </c>
      <c r="C11" s="8" t="s">
        <v>226</v>
      </c>
      <c r="D11" s="21" t="s">
        <v>31</v>
      </c>
      <c r="E11" s="23" t="s">
        <v>31</v>
      </c>
      <c r="F11" s="22" t="s">
        <v>31</v>
      </c>
      <c r="G11" s="9" t="s">
        <v>31</v>
      </c>
    </row>
    <row r="12" spans="1:7" s="10" customFormat="1" ht="36" customHeight="1">
      <c r="A12" s="7" t="s">
        <v>15</v>
      </c>
      <c r="B12" s="20"/>
      <c r="C12" s="8" t="s">
        <v>227</v>
      </c>
      <c r="D12" s="21" t="s">
        <v>162</v>
      </c>
      <c r="E12" s="23">
        <v>10</v>
      </c>
      <c r="F12" s="22"/>
      <c r="G12" s="9">
        <f t="shared" ref="G12:G16" si="0">ROUND(E12*F12,2)</f>
        <v>0</v>
      </c>
    </row>
    <row r="13" spans="1:7" s="10" customFormat="1" ht="36" customHeight="1">
      <c r="A13" s="7" t="s">
        <v>17</v>
      </c>
      <c r="B13" s="20"/>
      <c r="C13" s="8" t="s">
        <v>228</v>
      </c>
      <c r="D13" s="21" t="s">
        <v>162</v>
      </c>
      <c r="E13" s="23">
        <v>1</v>
      </c>
      <c r="F13" s="22"/>
      <c r="G13" s="9">
        <f t="shared" si="0"/>
        <v>0</v>
      </c>
    </row>
    <row r="14" spans="1:7" s="10" customFormat="1" ht="36" customHeight="1">
      <c r="A14" s="7" t="s">
        <v>18</v>
      </c>
      <c r="B14" s="20"/>
      <c r="C14" s="8" t="s">
        <v>229</v>
      </c>
      <c r="D14" s="21" t="s">
        <v>162</v>
      </c>
      <c r="E14" s="23">
        <v>3</v>
      </c>
      <c r="F14" s="22"/>
      <c r="G14" s="9">
        <f t="shared" si="0"/>
        <v>0</v>
      </c>
    </row>
    <row r="15" spans="1:7" s="10" customFormat="1" ht="36" customHeight="1">
      <c r="A15" s="7" t="s">
        <v>19</v>
      </c>
      <c r="B15" s="20"/>
      <c r="C15" s="8" t="s">
        <v>230</v>
      </c>
      <c r="D15" s="21" t="s">
        <v>162</v>
      </c>
      <c r="E15" s="23">
        <v>3</v>
      </c>
      <c r="F15" s="22"/>
      <c r="G15" s="9">
        <f t="shared" si="0"/>
        <v>0</v>
      </c>
    </row>
    <row r="16" spans="1:7" s="10" customFormat="1" ht="36" customHeight="1" thickBot="1">
      <c r="A16" s="7" t="s">
        <v>20</v>
      </c>
      <c r="B16" s="20"/>
      <c r="C16" s="8" t="s">
        <v>231</v>
      </c>
      <c r="D16" s="21" t="s">
        <v>162</v>
      </c>
      <c r="E16" s="23">
        <v>1</v>
      </c>
      <c r="F16" s="22"/>
      <c r="G16" s="9">
        <f t="shared" si="0"/>
        <v>0</v>
      </c>
    </row>
    <row r="17" spans="1:7" s="10" customFormat="1" ht="36" customHeight="1" thickBot="1">
      <c r="A17" s="26"/>
      <c r="B17" s="27" t="s">
        <v>111</v>
      </c>
      <c r="C17" s="28"/>
      <c r="D17" s="29"/>
      <c r="E17" s="29"/>
      <c r="F17" s="30"/>
      <c r="G17" s="13">
        <f>SUBTOTAL(9,G6:G16)</f>
        <v>0</v>
      </c>
    </row>
    <row r="19" spans="1:7" s="16" customFormat="1">
      <c r="A19" s="14"/>
      <c r="B19" s="31"/>
      <c r="C19" s="15"/>
      <c r="D19" s="32"/>
      <c r="E19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topLeftCell="B14" workbookViewId="0">
      <selection activeCell="G12" sqref="G12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9.140625" style="32"/>
    <col min="5" max="5" width="12.7109375" style="32" customWidth="1"/>
    <col min="6" max="7" width="12.7109375" style="16" customWidth="1"/>
  </cols>
  <sheetData>
    <row r="1" spans="1:8" ht="60" customHeight="1">
      <c r="A1" s="1" t="s">
        <v>0</v>
      </c>
      <c r="B1" s="199" t="s">
        <v>219</v>
      </c>
      <c r="C1" s="208"/>
      <c r="D1" s="208"/>
      <c r="E1" s="208"/>
      <c r="F1" s="208"/>
      <c r="G1" s="200"/>
    </row>
    <row r="2" spans="1:8" ht="104.45" customHeight="1">
      <c r="A2" s="2" t="s">
        <v>1</v>
      </c>
      <c r="B2" s="201" t="s">
        <v>2</v>
      </c>
      <c r="C2" s="209"/>
      <c r="D2" s="209"/>
      <c r="E2" s="209"/>
      <c r="F2" s="209"/>
      <c r="G2" s="202"/>
    </row>
    <row r="3" spans="1:8" ht="90" customHeight="1" thickBot="1">
      <c r="A3" s="3" t="s">
        <v>3</v>
      </c>
      <c r="B3" s="203" t="s">
        <v>4</v>
      </c>
      <c r="C3" s="210"/>
      <c r="D3" s="210"/>
      <c r="E3" s="210"/>
      <c r="F3" s="210"/>
      <c r="G3" s="211"/>
    </row>
    <row r="4" spans="1:8" ht="30" customHeight="1" thickBot="1">
      <c r="A4" s="205" t="s">
        <v>14</v>
      </c>
      <c r="B4" s="206"/>
      <c r="C4" s="206"/>
      <c r="D4" s="206"/>
      <c r="E4" s="206"/>
      <c r="F4" s="206"/>
      <c r="G4" s="207"/>
    </row>
    <row r="5" spans="1:8" ht="26.25" thickBot="1">
      <c r="A5" s="4" t="s">
        <v>6</v>
      </c>
      <c r="B5" s="18" t="s">
        <v>25</v>
      </c>
      <c r="C5" s="5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8" s="10" customFormat="1" ht="36" customHeight="1">
      <c r="A6" s="40"/>
      <c r="B6" s="41" t="s">
        <v>63</v>
      </c>
      <c r="C6" s="42" t="s">
        <v>232</v>
      </c>
      <c r="D6" s="43" t="s">
        <v>31</v>
      </c>
      <c r="E6" s="44" t="s">
        <v>31</v>
      </c>
      <c r="F6" s="45" t="s">
        <v>31</v>
      </c>
      <c r="G6" s="46" t="s">
        <v>31</v>
      </c>
    </row>
    <row r="7" spans="1:8" s="10" customFormat="1" ht="36" customHeight="1">
      <c r="A7" s="7"/>
      <c r="B7" s="20" t="s">
        <v>233</v>
      </c>
      <c r="C7" s="8" t="s">
        <v>234</v>
      </c>
      <c r="D7" s="21" t="s">
        <v>31</v>
      </c>
      <c r="E7" s="23" t="s">
        <v>31</v>
      </c>
      <c r="F7" s="22" t="s">
        <v>31</v>
      </c>
      <c r="G7" s="9" t="s">
        <v>31</v>
      </c>
    </row>
    <row r="8" spans="1:8" s="10" customFormat="1" ht="36" customHeight="1">
      <c r="A8" s="7" t="s">
        <v>9</v>
      </c>
      <c r="B8" s="20"/>
      <c r="C8" s="8" t="s">
        <v>235</v>
      </c>
      <c r="D8" s="21" t="s">
        <v>57</v>
      </c>
      <c r="E8" s="23">
        <v>304.19</v>
      </c>
      <c r="F8" s="22"/>
      <c r="G8" s="9">
        <f>ROUND(E8*F8,2)</f>
        <v>0</v>
      </c>
      <c r="H8" s="85"/>
    </row>
    <row r="9" spans="1:8" s="10" customFormat="1" ht="36" customHeight="1">
      <c r="A9" s="7" t="s">
        <v>11</v>
      </c>
      <c r="B9" s="20"/>
      <c r="C9" s="8" t="s">
        <v>236</v>
      </c>
      <c r="D9" s="21" t="s">
        <v>36</v>
      </c>
      <c r="E9" s="23">
        <v>146.22</v>
      </c>
      <c r="F9" s="22"/>
      <c r="G9" s="9">
        <f t="shared" ref="G9:G21" si="0">ROUND(E9*F9,2)</f>
        <v>0</v>
      </c>
      <c r="H9" s="85"/>
    </row>
    <row r="10" spans="1:8" s="10" customFormat="1" ht="36" customHeight="1">
      <c r="A10" s="7" t="s">
        <v>13</v>
      </c>
      <c r="B10" s="20"/>
      <c r="C10" s="8" t="s">
        <v>237</v>
      </c>
      <c r="D10" s="21" t="s">
        <v>57</v>
      </c>
      <c r="E10" s="23">
        <v>64.89</v>
      </c>
      <c r="F10" s="22"/>
      <c r="G10" s="9">
        <f t="shared" si="0"/>
        <v>0</v>
      </c>
      <c r="H10" s="85"/>
    </row>
    <row r="11" spans="1:8" s="10" customFormat="1" ht="36" customHeight="1">
      <c r="A11" s="7" t="s">
        <v>15</v>
      </c>
      <c r="B11" s="20"/>
      <c r="C11" s="8" t="s">
        <v>238</v>
      </c>
      <c r="D11" s="21" t="s">
        <v>101</v>
      </c>
      <c r="E11" s="23">
        <v>63.15</v>
      </c>
      <c r="F11" s="22"/>
      <c r="G11" s="9">
        <f t="shared" si="0"/>
        <v>0</v>
      </c>
      <c r="H11" s="85"/>
    </row>
    <row r="12" spans="1:8" s="10" customFormat="1" ht="36" customHeight="1">
      <c r="A12" s="7" t="s">
        <v>17</v>
      </c>
      <c r="B12" s="20"/>
      <c r="C12" s="8" t="s">
        <v>239</v>
      </c>
      <c r="D12" s="21" t="s">
        <v>101</v>
      </c>
      <c r="E12" s="23">
        <v>265.60000000000002</v>
      </c>
      <c r="F12" s="22"/>
      <c r="G12" s="9">
        <f t="shared" si="0"/>
        <v>0</v>
      </c>
      <c r="H12" s="85"/>
    </row>
    <row r="13" spans="1:8" s="10" customFormat="1" ht="36" customHeight="1">
      <c r="A13" s="7" t="s">
        <v>18</v>
      </c>
      <c r="B13" s="20"/>
      <c r="C13" s="8" t="s">
        <v>240</v>
      </c>
      <c r="D13" s="21" t="s">
        <v>101</v>
      </c>
      <c r="E13" s="23">
        <v>112.8</v>
      </c>
      <c r="F13" s="22"/>
      <c r="G13" s="9">
        <f t="shared" si="0"/>
        <v>0</v>
      </c>
      <c r="H13" s="85"/>
    </row>
    <row r="14" spans="1:8" s="10" customFormat="1" ht="36" customHeight="1">
      <c r="A14" s="7" t="s">
        <v>19</v>
      </c>
      <c r="B14" s="20"/>
      <c r="C14" s="8" t="s">
        <v>241</v>
      </c>
      <c r="D14" s="21" t="s">
        <v>150</v>
      </c>
      <c r="E14" s="23">
        <v>10</v>
      </c>
      <c r="F14" s="22"/>
      <c r="G14" s="9">
        <f t="shared" si="0"/>
        <v>0</v>
      </c>
      <c r="H14" s="85"/>
    </row>
    <row r="15" spans="1:8" s="10" customFormat="1" ht="36" customHeight="1">
      <c r="A15" s="7" t="s">
        <v>20</v>
      </c>
      <c r="B15" s="20"/>
      <c r="C15" s="8" t="s">
        <v>242</v>
      </c>
      <c r="D15" s="21" t="s">
        <v>150</v>
      </c>
      <c r="E15" s="23">
        <v>12</v>
      </c>
      <c r="F15" s="22"/>
      <c r="G15" s="9">
        <f t="shared" si="0"/>
        <v>0</v>
      </c>
      <c r="H15" s="85"/>
    </row>
    <row r="16" spans="1:8" s="10" customFormat="1" ht="36" customHeight="1">
      <c r="A16" s="7" t="s">
        <v>39</v>
      </c>
      <c r="B16" s="20"/>
      <c r="C16" s="8" t="s">
        <v>243</v>
      </c>
      <c r="D16" s="21" t="s">
        <v>150</v>
      </c>
      <c r="E16" s="23">
        <v>1</v>
      </c>
      <c r="F16" s="22"/>
      <c r="G16" s="9">
        <f t="shared" si="0"/>
        <v>0</v>
      </c>
      <c r="H16" s="85"/>
    </row>
    <row r="17" spans="1:8" s="10" customFormat="1" ht="36" customHeight="1">
      <c r="A17" s="7" t="s">
        <v>40</v>
      </c>
      <c r="B17" s="20"/>
      <c r="C17" s="8" t="s">
        <v>244</v>
      </c>
      <c r="D17" s="21" t="s">
        <v>135</v>
      </c>
      <c r="E17" s="23">
        <v>3</v>
      </c>
      <c r="F17" s="22"/>
      <c r="G17" s="9">
        <f t="shared" si="0"/>
        <v>0</v>
      </c>
      <c r="H17" s="85"/>
    </row>
    <row r="18" spans="1:8" s="10" customFormat="1" ht="36" customHeight="1">
      <c r="A18" s="7" t="s">
        <v>41</v>
      </c>
      <c r="B18" s="20"/>
      <c r="C18" s="8" t="s">
        <v>603</v>
      </c>
      <c r="D18" s="21" t="s">
        <v>150</v>
      </c>
      <c r="E18" s="23">
        <v>1</v>
      </c>
      <c r="F18" s="22"/>
      <c r="G18" s="9">
        <f t="shared" si="0"/>
        <v>0</v>
      </c>
      <c r="H18" s="85"/>
    </row>
    <row r="19" spans="1:8" s="10" customFormat="1" ht="36" customHeight="1">
      <c r="A19" s="7" t="s">
        <v>43</v>
      </c>
      <c r="B19" s="20"/>
      <c r="C19" s="8" t="s">
        <v>245</v>
      </c>
      <c r="D19" s="21" t="s">
        <v>57</v>
      </c>
      <c r="E19" s="23">
        <v>168.11</v>
      </c>
      <c r="F19" s="22"/>
      <c r="G19" s="9">
        <f t="shared" si="0"/>
        <v>0</v>
      </c>
      <c r="H19" s="85"/>
    </row>
    <row r="20" spans="1:8" s="10" customFormat="1" ht="36" customHeight="1">
      <c r="A20" s="7" t="s">
        <v>44</v>
      </c>
      <c r="B20" s="20"/>
      <c r="C20" s="8" t="s">
        <v>246</v>
      </c>
      <c r="D20" s="21" t="s">
        <v>57</v>
      </c>
      <c r="E20" s="23">
        <v>60.42</v>
      </c>
      <c r="F20" s="22"/>
      <c r="G20" s="9">
        <f t="shared" si="0"/>
        <v>0</v>
      </c>
      <c r="H20" s="85"/>
    </row>
    <row r="21" spans="1:8" s="10" customFormat="1" ht="36" customHeight="1" thickBot="1">
      <c r="A21" s="7" t="s">
        <v>45</v>
      </c>
      <c r="B21" s="20"/>
      <c r="C21" s="8" t="s">
        <v>247</v>
      </c>
      <c r="D21" s="21" t="s">
        <v>57</v>
      </c>
      <c r="E21" s="23">
        <v>243.77</v>
      </c>
      <c r="F21" s="22"/>
      <c r="G21" s="9">
        <f t="shared" si="0"/>
        <v>0</v>
      </c>
      <c r="H21" s="85"/>
    </row>
    <row r="22" spans="1:8" s="10" customFormat="1" ht="36" customHeight="1" thickBot="1">
      <c r="A22" s="26"/>
      <c r="B22" s="27" t="s">
        <v>111</v>
      </c>
      <c r="C22" s="28"/>
      <c r="D22" s="29"/>
      <c r="E22" s="29"/>
      <c r="F22" s="30"/>
      <c r="G22" s="13">
        <f>SUBTOTAL(9,G6:G21)</f>
        <v>0</v>
      </c>
    </row>
    <row r="24" spans="1:8" s="16" customFormat="1">
      <c r="A24" s="14"/>
      <c r="B24" s="31"/>
      <c r="C24" s="15"/>
      <c r="D24" s="32"/>
      <c r="E24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pane xSplit="2" ySplit="1" topLeftCell="O2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RowHeight="10.5"/>
  <cols>
    <col min="1" max="1" width="11" style="97" customWidth="1"/>
    <col min="2" max="2" width="11.140625" style="97" customWidth="1"/>
    <col min="3" max="11" width="12.140625" style="108" customWidth="1"/>
    <col min="12" max="12" width="12.140625" style="109" customWidth="1"/>
    <col min="13" max="15" width="12.140625" style="108" customWidth="1"/>
    <col min="16" max="16" width="13.140625" style="108" customWidth="1"/>
    <col min="17" max="20" width="12.140625" style="108" customWidth="1"/>
    <col min="21" max="21" width="12.140625" style="97" customWidth="1"/>
    <col min="22" max="22" width="11.42578125" style="97" hidden="1" customWidth="1"/>
    <col min="23" max="23" width="0" style="97" hidden="1" customWidth="1"/>
    <col min="24" max="16384" width="9.140625" style="97"/>
  </cols>
  <sheetData>
    <row r="1" spans="1:23" s="89" customFormat="1" ht="32.25" thickBot="1">
      <c r="A1" s="212" t="s">
        <v>248</v>
      </c>
      <c r="B1" s="213"/>
      <c r="C1" s="86" t="s">
        <v>249</v>
      </c>
      <c r="D1" s="86" t="s">
        <v>250</v>
      </c>
      <c r="E1" s="86" t="s">
        <v>251</v>
      </c>
      <c r="F1" s="86" t="s">
        <v>249</v>
      </c>
      <c r="G1" s="86" t="s">
        <v>250</v>
      </c>
      <c r="H1" s="86" t="s">
        <v>252</v>
      </c>
      <c r="I1" s="86" t="s">
        <v>253</v>
      </c>
      <c r="J1" s="86" t="s">
        <v>254</v>
      </c>
      <c r="K1" s="86" t="s">
        <v>255</v>
      </c>
      <c r="L1" s="87" t="s">
        <v>256</v>
      </c>
      <c r="M1" s="86" t="s">
        <v>257</v>
      </c>
      <c r="N1" s="86" t="s">
        <v>258</v>
      </c>
      <c r="O1" s="86" t="s">
        <v>259</v>
      </c>
      <c r="P1" s="86" t="s">
        <v>260</v>
      </c>
      <c r="Q1" s="86" t="s">
        <v>261</v>
      </c>
      <c r="R1" s="86" t="s">
        <v>262</v>
      </c>
      <c r="S1" s="86" t="s">
        <v>263</v>
      </c>
      <c r="T1" s="86" t="s">
        <v>264</v>
      </c>
      <c r="U1" s="88" t="s">
        <v>265</v>
      </c>
      <c r="V1" s="89" t="s">
        <v>266</v>
      </c>
      <c r="W1" s="89" t="s">
        <v>267</v>
      </c>
    </row>
    <row r="2" spans="1:23">
      <c r="A2" s="90" t="s">
        <v>604</v>
      </c>
      <c r="B2" s="91" t="s">
        <v>268</v>
      </c>
      <c r="C2" s="92">
        <v>9.67</v>
      </c>
      <c r="D2" s="92">
        <v>8.11</v>
      </c>
      <c r="E2" s="92">
        <v>1.76</v>
      </c>
      <c r="F2" s="92">
        <v>9.5</v>
      </c>
      <c r="G2" s="92">
        <v>8.15</v>
      </c>
      <c r="H2" s="92">
        <v>1.55</v>
      </c>
      <c r="I2" s="92">
        <v>1.66</v>
      </c>
      <c r="J2" s="92">
        <v>1.1000000000000001</v>
      </c>
      <c r="K2" s="92">
        <v>8.9</v>
      </c>
      <c r="L2" s="93">
        <v>1200</v>
      </c>
      <c r="M2" s="92">
        <v>7.1000000000000005</v>
      </c>
      <c r="N2" s="92">
        <v>12.96</v>
      </c>
      <c r="O2" s="92">
        <v>7.7</v>
      </c>
      <c r="P2" s="92">
        <v>23.57</v>
      </c>
      <c r="Q2" s="92">
        <v>8.4700000000000006</v>
      </c>
      <c r="R2" s="92">
        <v>30</v>
      </c>
      <c r="S2" s="92">
        <v>4.54</v>
      </c>
      <c r="T2" s="92">
        <v>6.7119999999999997</v>
      </c>
      <c r="U2" s="94">
        <v>300</v>
      </c>
      <c r="V2" s="95"/>
      <c r="W2" s="96"/>
    </row>
    <row r="3" spans="1:23">
      <c r="A3" s="98" t="s">
        <v>268</v>
      </c>
      <c r="B3" s="99" t="s">
        <v>272</v>
      </c>
      <c r="C3" s="100">
        <v>9.5</v>
      </c>
      <c r="D3" s="100">
        <v>8.15</v>
      </c>
      <c r="E3" s="100">
        <v>1.55</v>
      </c>
      <c r="F3" s="100">
        <v>3.59</v>
      </c>
      <c r="G3" s="100">
        <v>8.3000000000000007</v>
      </c>
      <c r="H3" s="100">
        <v>-4.51</v>
      </c>
      <c r="I3" s="100">
        <v>0.8</v>
      </c>
      <c r="J3" s="100">
        <v>1</v>
      </c>
      <c r="K3" s="100">
        <v>30.1</v>
      </c>
      <c r="L3" s="101">
        <v>1200</v>
      </c>
      <c r="M3" s="100">
        <v>27.700000000000003</v>
      </c>
      <c r="N3" s="100">
        <v>22.16</v>
      </c>
      <c r="O3" s="100">
        <v>28.900000000000002</v>
      </c>
      <c r="P3" s="100">
        <v>0</v>
      </c>
      <c r="Q3" s="100">
        <v>28.9</v>
      </c>
      <c r="R3" s="100">
        <v>30</v>
      </c>
      <c r="S3" s="100">
        <v>15.3</v>
      </c>
      <c r="T3" s="100">
        <v>0</v>
      </c>
      <c r="U3" s="102">
        <v>300</v>
      </c>
      <c r="V3" s="95"/>
      <c r="W3" s="96"/>
    </row>
    <row r="4" spans="1:23">
      <c r="A4" s="98" t="s">
        <v>272</v>
      </c>
      <c r="B4" s="99" t="s">
        <v>271</v>
      </c>
      <c r="C4" s="100">
        <v>3.59</v>
      </c>
      <c r="D4" s="100">
        <v>8.3000000000000007</v>
      </c>
      <c r="E4" s="100">
        <v>-4.51</v>
      </c>
      <c r="F4" s="100">
        <v>3.57</v>
      </c>
      <c r="G4" s="100">
        <v>8.3699999999999992</v>
      </c>
      <c r="H4" s="100">
        <v>-4.5999999999999996</v>
      </c>
      <c r="I4" s="100">
        <v>0.8</v>
      </c>
      <c r="J4" s="100">
        <v>1</v>
      </c>
      <c r="K4" s="100">
        <v>12</v>
      </c>
      <c r="L4" s="101">
        <v>1200</v>
      </c>
      <c r="M4" s="100">
        <v>9.6000000000000014</v>
      </c>
      <c r="N4" s="100">
        <v>7.68</v>
      </c>
      <c r="O4" s="100">
        <v>10.8</v>
      </c>
      <c r="P4" s="100">
        <v>0</v>
      </c>
      <c r="Q4" s="100">
        <v>10.8</v>
      </c>
      <c r="R4" s="100">
        <v>30</v>
      </c>
      <c r="S4" s="100">
        <v>5.72</v>
      </c>
      <c r="T4" s="100">
        <v>0</v>
      </c>
      <c r="U4" s="102">
        <v>300</v>
      </c>
      <c r="V4" s="95"/>
      <c r="W4" s="96"/>
    </row>
    <row r="5" spans="1:23">
      <c r="A5" s="98" t="s">
        <v>604</v>
      </c>
      <c r="B5" s="99" t="s">
        <v>269</v>
      </c>
      <c r="C5" s="100">
        <v>9.67</v>
      </c>
      <c r="D5" s="100">
        <v>8.2100000000000009</v>
      </c>
      <c r="E5" s="100">
        <v>1.66</v>
      </c>
      <c r="F5" s="100">
        <v>9.67</v>
      </c>
      <c r="G5" s="100">
        <v>8.27</v>
      </c>
      <c r="H5" s="100">
        <v>1.6</v>
      </c>
      <c r="I5" s="100">
        <v>1.63</v>
      </c>
      <c r="J5" s="100">
        <v>1</v>
      </c>
      <c r="K5" s="100">
        <v>7.1</v>
      </c>
      <c r="L5" s="101">
        <v>825</v>
      </c>
      <c r="M5" s="100">
        <v>5.6749999999999998</v>
      </c>
      <c r="N5" s="100">
        <v>9.25</v>
      </c>
      <c r="O5" s="100">
        <v>6.2749999999999995</v>
      </c>
      <c r="P5" s="100">
        <v>18.5</v>
      </c>
      <c r="Q5" s="100">
        <v>6.28</v>
      </c>
      <c r="R5" s="100">
        <v>30</v>
      </c>
      <c r="S5" s="100">
        <v>2.94</v>
      </c>
      <c r="T5" s="100">
        <v>5.2774999999999999</v>
      </c>
      <c r="U5" s="102">
        <v>200</v>
      </c>
      <c r="V5" s="95"/>
      <c r="W5" s="96"/>
    </row>
    <row r="6" spans="1:23">
      <c r="A6" s="98" t="s">
        <v>604</v>
      </c>
      <c r="B6" s="99" t="s">
        <v>270</v>
      </c>
      <c r="C6" s="100">
        <v>9.67</v>
      </c>
      <c r="D6" s="100">
        <v>8.2100000000000009</v>
      </c>
      <c r="E6" s="100">
        <v>1.66</v>
      </c>
      <c r="F6" s="100">
        <v>9.67</v>
      </c>
      <c r="G6" s="100">
        <v>8.36</v>
      </c>
      <c r="H6" s="100">
        <v>1.51</v>
      </c>
      <c r="I6" s="100">
        <v>1.59</v>
      </c>
      <c r="J6" s="100">
        <v>1</v>
      </c>
      <c r="K6" s="100">
        <v>6.5</v>
      </c>
      <c r="L6" s="101">
        <v>825</v>
      </c>
      <c r="M6" s="100">
        <v>5.0750000000000002</v>
      </c>
      <c r="N6" s="100">
        <v>8.07</v>
      </c>
      <c r="O6" s="100">
        <v>5.6749999999999998</v>
      </c>
      <c r="P6" s="100">
        <v>16.14</v>
      </c>
      <c r="Q6" s="100">
        <v>5.68</v>
      </c>
      <c r="R6" s="100">
        <v>30</v>
      </c>
      <c r="S6" s="100">
        <v>2.66</v>
      </c>
      <c r="T6" s="100">
        <v>4.5175000000000001</v>
      </c>
      <c r="U6" s="102">
        <v>200</v>
      </c>
      <c r="V6" s="95"/>
      <c r="W6" s="96"/>
    </row>
    <row r="7" spans="1:23">
      <c r="A7" s="98" t="s">
        <v>273</v>
      </c>
      <c r="B7" s="99" t="s">
        <v>274</v>
      </c>
      <c r="C7" s="100">
        <v>2.3199999999999998</v>
      </c>
      <c r="D7" s="100">
        <v>2.5</v>
      </c>
      <c r="E7" s="100">
        <v>0.02</v>
      </c>
      <c r="F7" s="100">
        <v>2.5</v>
      </c>
      <c r="G7" s="100">
        <v>2.61</v>
      </c>
      <c r="H7" s="100">
        <v>0.09</v>
      </c>
      <c r="I7" s="100">
        <v>0.8</v>
      </c>
      <c r="J7" s="100">
        <v>1</v>
      </c>
      <c r="K7" s="100">
        <v>10.7</v>
      </c>
      <c r="L7" s="101">
        <v>750</v>
      </c>
      <c r="M7" s="100">
        <v>9.35</v>
      </c>
      <c r="N7" s="100">
        <v>7.48</v>
      </c>
      <c r="O7" s="100">
        <v>9.9499999999999993</v>
      </c>
      <c r="P7" s="100">
        <v>0</v>
      </c>
      <c r="Q7" s="100">
        <v>9.9499999999999993</v>
      </c>
      <c r="R7" s="100">
        <v>30</v>
      </c>
      <c r="S7" s="100">
        <v>5.27</v>
      </c>
      <c r="T7" s="100">
        <v>0</v>
      </c>
      <c r="U7" s="102">
        <v>300</v>
      </c>
      <c r="V7" s="95"/>
    </row>
    <row r="8" spans="1:23">
      <c r="A8" s="98" t="s">
        <v>274</v>
      </c>
      <c r="B8" s="99" t="s">
        <v>275</v>
      </c>
      <c r="C8" s="100">
        <v>2.5</v>
      </c>
      <c r="D8" s="100">
        <v>5.81</v>
      </c>
      <c r="E8" s="100">
        <v>-3.11</v>
      </c>
      <c r="F8" s="100">
        <v>2.62</v>
      </c>
      <c r="G8" s="100">
        <v>5.98</v>
      </c>
      <c r="H8" s="100">
        <v>-3.16</v>
      </c>
      <c r="I8" s="100">
        <v>0.8</v>
      </c>
      <c r="J8" s="100">
        <v>1</v>
      </c>
      <c r="K8" s="100">
        <v>6.9</v>
      </c>
      <c r="L8" s="101">
        <v>1350</v>
      </c>
      <c r="M8" s="100">
        <v>4.3500000000000005</v>
      </c>
      <c r="N8" s="100">
        <v>3.48</v>
      </c>
      <c r="O8" s="100">
        <v>5.5500000000000007</v>
      </c>
      <c r="P8" s="100">
        <v>0</v>
      </c>
      <c r="Q8" s="100">
        <v>5.55</v>
      </c>
      <c r="R8" s="100">
        <v>30</v>
      </c>
      <c r="S8" s="100">
        <v>2.94</v>
      </c>
      <c r="T8" s="100">
        <v>0</v>
      </c>
      <c r="U8" s="102">
        <v>300</v>
      </c>
      <c r="V8" s="95"/>
    </row>
    <row r="9" spans="1:23">
      <c r="A9" s="98" t="s">
        <v>275</v>
      </c>
      <c r="B9" s="99" t="s">
        <v>276</v>
      </c>
      <c r="C9" s="100">
        <v>2.62</v>
      </c>
      <c r="D9" s="100">
        <v>6.94</v>
      </c>
      <c r="E9" s="100">
        <v>-4.12</v>
      </c>
      <c r="F9" s="100">
        <v>2.79</v>
      </c>
      <c r="G9" s="100">
        <v>7.68</v>
      </c>
      <c r="H9" s="100">
        <v>-4.6900000000000004</v>
      </c>
      <c r="I9" s="100">
        <v>0.95</v>
      </c>
      <c r="J9" s="100">
        <v>0</v>
      </c>
      <c r="K9" s="100">
        <v>31.3</v>
      </c>
      <c r="L9" s="101">
        <v>1200</v>
      </c>
      <c r="M9" s="100">
        <v>0</v>
      </c>
      <c r="N9" s="100">
        <v>0</v>
      </c>
      <c r="O9" s="100">
        <v>30.1</v>
      </c>
      <c r="P9" s="100">
        <v>0</v>
      </c>
      <c r="Q9" s="100">
        <v>0</v>
      </c>
      <c r="R9" s="100">
        <v>30</v>
      </c>
      <c r="S9" s="100">
        <v>0</v>
      </c>
      <c r="T9" s="100">
        <v>0</v>
      </c>
      <c r="U9" s="102">
        <v>450</v>
      </c>
      <c r="V9" s="95"/>
    </row>
    <row r="10" spans="1:23">
      <c r="A10" s="98" t="s">
        <v>276</v>
      </c>
      <c r="B10" s="99" t="s">
        <v>277</v>
      </c>
      <c r="C10" s="100">
        <v>2.79</v>
      </c>
      <c r="D10" s="100">
        <v>7.68</v>
      </c>
      <c r="E10" s="100">
        <v>-4.6900000000000004</v>
      </c>
      <c r="F10" s="100">
        <v>2.5</v>
      </c>
      <c r="G10" s="100">
        <v>8.06</v>
      </c>
      <c r="H10" s="100">
        <v>-5.36</v>
      </c>
      <c r="I10" s="100">
        <v>0.8</v>
      </c>
      <c r="J10" s="100">
        <v>1</v>
      </c>
      <c r="K10" s="100">
        <v>34.1</v>
      </c>
      <c r="L10" s="101">
        <v>1200</v>
      </c>
      <c r="M10" s="100">
        <v>31.7</v>
      </c>
      <c r="N10" s="100">
        <v>25.36</v>
      </c>
      <c r="O10" s="100">
        <v>32.9</v>
      </c>
      <c r="P10" s="100">
        <v>0</v>
      </c>
      <c r="Q10" s="100">
        <v>32.9</v>
      </c>
      <c r="R10" s="100">
        <v>30</v>
      </c>
      <c r="S10" s="100">
        <v>17.420000000000002</v>
      </c>
      <c r="T10" s="100">
        <v>0</v>
      </c>
      <c r="U10" s="102">
        <v>300</v>
      </c>
      <c r="V10" s="95"/>
    </row>
    <row r="11" spans="1:23">
      <c r="A11" s="98" t="s">
        <v>277</v>
      </c>
      <c r="B11" s="99" t="s">
        <v>278</v>
      </c>
      <c r="C11" s="100">
        <v>2.5</v>
      </c>
      <c r="D11" s="100">
        <v>8.83</v>
      </c>
      <c r="E11" s="100">
        <v>-6.13</v>
      </c>
      <c r="F11" s="100">
        <v>1.58</v>
      </c>
      <c r="G11" s="100">
        <v>12.06</v>
      </c>
      <c r="H11" s="100">
        <v>-10.28</v>
      </c>
      <c r="I11" s="100">
        <v>0.95</v>
      </c>
      <c r="J11" s="100">
        <v>0</v>
      </c>
      <c r="K11" s="100">
        <v>83.9</v>
      </c>
      <c r="L11" s="101">
        <v>1200</v>
      </c>
      <c r="M11" s="100">
        <v>0</v>
      </c>
      <c r="N11" s="100">
        <v>0</v>
      </c>
      <c r="O11" s="100">
        <v>82.7</v>
      </c>
      <c r="P11" s="100">
        <v>0</v>
      </c>
      <c r="Q11" s="100">
        <v>0</v>
      </c>
      <c r="R11" s="100">
        <v>30</v>
      </c>
      <c r="S11" s="100">
        <v>0</v>
      </c>
      <c r="T11" s="100">
        <v>0</v>
      </c>
      <c r="U11" s="102">
        <v>450</v>
      </c>
      <c r="V11" s="95"/>
    </row>
    <row r="12" spans="1:23">
      <c r="A12" s="98" t="s">
        <v>278</v>
      </c>
      <c r="B12" s="99" t="s">
        <v>279</v>
      </c>
      <c r="C12" s="100">
        <v>1.58</v>
      </c>
      <c r="D12" s="100">
        <v>12.06</v>
      </c>
      <c r="E12" s="100">
        <v>-10.28</v>
      </c>
      <c r="F12" s="100">
        <v>3.13</v>
      </c>
      <c r="G12" s="100">
        <v>12.31</v>
      </c>
      <c r="H12" s="100">
        <v>-8.98</v>
      </c>
      <c r="I12" s="100">
        <v>0.8</v>
      </c>
      <c r="J12" s="100">
        <v>1</v>
      </c>
      <c r="K12" s="100">
        <v>50</v>
      </c>
      <c r="L12" s="101">
        <v>1200</v>
      </c>
      <c r="M12" s="100">
        <v>47.599999999999994</v>
      </c>
      <c r="N12" s="100">
        <v>38.08</v>
      </c>
      <c r="O12" s="100">
        <v>48.8</v>
      </c>
      <c r="P12" s="100">
        <v>0</v>
      </c>
      <c r="Q12" s="100">
        <v>48.8</v>
      </c>
      <c r="R12" s="100">
        <v>30</v>
      </c>
      <c r="S12" s="100">
        <v>25.83</v>
      </c>
      <c r="T12" s="100">
        <v>0</v>
      </c>
      <c r="U12" s="102">
        <v>300</v>
      </c>
      <c r="V12" s="95"/>
    </row>
    <row r="13" spans="1:23">
      <c r="A13" s="98" t="s">
        <v>279</v>
      </c>
      <c r="B13" s="99" t="s">
        <v>280</v>
      </c>
      <c r="C13" s="100">
        <v>3.13</v>
      </c>
      <c r="D13" s="100">
        <v>12.31</v>
      </c>
      <c r="E13" s="100">
        <v>-8.98</v>
      </c>
      <c r="F13" s="100">
        <v>2.95</v>
      </c>
      <c r="G13" s="100">
        <v>12.56</v>
      </c>
      <c r="H13" s="100">
        <v>-9.41</v>
      </c>
      <c r="I13" s="100">
        <v>0.8</v>
      </c>
      <c r="J13" s="100">
        <v>1</v>
      </c>
      <c r="K13" s="100">
        <v>50</v>
      </c>
      <c r="L13" s="101">
        <v>1200</v>
      </c>
      <c r="M13" s="100">
        <v>47.599999999999994</v>
      </c>
      <c r="N13" s="100">
        <v>38.08</v>
      </c>
      <c r="O13" s="100">
        <v>48.8</v>
      </c>
      <c r="P13" s="100">
        <v>0</v>
      </c>
      <c r="Q13" s="100">
        <v>48.8</v>
      </c>
      <c r="R13" s="100">
        <v>30</v>
      </c>
      <c r="S13" s="100">
        <v>25.83</v>
      </c>
      <c r="T13" s="100">
        <v>0</v>
      </c>
      <c r="U13" s="102">
        <v>300</v>
      </c>
      <c r="V13" s="95"/>
    </row>
    <row r="14" spans="1:23">
      <c r="A14" s="98" t="s">
        <v>280</v>
      </c>
      <c r="B14" s="99" t="s">
        <v>605</v>
      </c>
      <c r="C14" s="100">
        <v>2.95</v>
      </c>
      <c r="D14" s="100">
        <v>12.56</v>
      </c>
      <c r="E14" s="100">
        <v>-9.41</v>
      </c>
      <c r="F14" s="100">
        <v>3.47</v>
      </c>
      <c r="G14" s="100">
        <v>12.82</v>
      </c>
      <c r="H14" s="100">
        <v>-9.15</v>
      </c>
      <c r="I14" s="100">
        <v>0.8</v>
      </c>
      <c r="J14" s="100">
        <v>1</v>
      </c>
      <c r="K14" s="100">
        <v>52.9</v>
      </c>
      <c r="L14" s="101">
        <v>1200</v>
      </c>
      <c r="M14" s="100">
        <v>50.499999999999993</v>
      </c>
      <c r="N14" s="100">
        <v>40.4</v>
      </c>
      <c r="O14" s="100">
        <v>51.699999999999996</v>
      </c>
      <c r="P14" s="100">
        <v>0</v>
      </c>
      <c r="Q14" s="100">
        <v>51.7</v>
      </c>
      <c r="R14" s="100">
        <v>30</v>
      </c>
      <c r="S14" s="100">
        <v>27.37</v>
      </c>
      <c r="T14" s="100">
        <v>0</v>
      </c>
      <c r="U14" s="102">
        <v>300</v>
      </c>
      <c r="V14" s="95"/>
    </row>
    <row r="15" spans="1:23">
      <c r="A15" s="98" t="s">
        <v>275</v>
      </c>
      <c r="B15" s="99" t="s">
        <v>281</v>
      </c>
      <c r="C15" s="100">
        <v>2.62</v>
      </c>
      <c r="D15" s="100">
        <v>5.98</v>
      </c>
      <c r="E15" s="100">
        <v>-3.16</v>
      </c>
      <c r="F15" s="100">
        <v>2.62</v>
      </c>
      <c r="G15" s="100">
        <v>6.18</v>
      </c>
      <c r="H15" s="100">
        <v>-3.36</v>
      </c>
      <c r="I15" s="100">
        <v>0.8</v>
      </c>
      <c r="J15" s="100">
        <v>1</v>
      </c>
      <c r="K15" s="100">
        <v>11.8</v>
      </c>
      <c r="L15" s="101">
        <v>1200</v>
      </c>
      <c r="M15" s="100">
        <v>9.4000000000000021</v>
      </c>
      <c r="N15" s="100">
        <v>7.52</v>
      </c>
      <c r="O15" s="100">
        <v>10.600000000000001</v>
      </c>
      <c r="P15" s="100">
        <v>0</v>
      </c>
      <c r="Q15" s="100">
        <v>10.6</v>
      </c>
      <c r="R15" s="100">
        <v>30</v>
      </c>
      <c r="S15" s="100">
        <v>5.61</v>
      </c>
      <c r="T15" s="100">
        <v>0</v>
      </c>
      <c r="U15" s="102">
        <v>300</v>
      </c>
      <c r="V15" s="95"/>
    </row>
    <row r="16" spans="1:23">
      <c r="A16" s="98" t="s">
        <v>276</v>
      </c>
      <c r="B16" s="99" t="s">
        <v>284</v>
      </c>
      <c r="C16" s="100">
        <v>2.79</v>
      </c>
      <c r="D16" s="100">
        <v>7.68</v>
      </c>
      <c r="E16" s="100">
        <v>-4.6900000000000004</v>
      </c>
      <c r="F16" s="100">
        <v>2.79</v>
      </c>
      <c r="G16" s="100">
        <v>7.71</v>
      </c>
      <c r="H16" s="100">
        <v>-4.72</v>
      </c>
      <c r="I16" s="100">
        <v>0.7</v>
      </c>
      <c r="J16" s="100">
        <v>0.9</v>
      </c>
      <c r="K16" s="100">
        <v>3.1</v>
      </c>
      <c r="L16" s="101">
        <v>825</v>
      </c>
      <c r="M16" s="100">
        <v>1.0750000000000004</v>
      </c>
      <c r="N16" s="100">
        <v>0.68</v>
      </c>
      <c r="O16" s="100">
        <v>2.2750000000000004</v>
      </c>
      <c r="P16" s="100">
        <v>0</v>
      </c>
      <c r="Q16" s="100">
        <v>2.0499999999999998</v>
      </c>
      <c r="R16" s="100">
        <v>30</v>
      </c>
      <c r="S16" s="100">
        <v>0.95</v>
      </c>
      <c r="T16" s="100">
        <v>2.7499999999998082E-3</v>
      </c>
      <c r="U16" s="102">
        <v>200</v>
      </c>
      <c r="V16" s="95"/>
    </row>
    <row r="17" spans="1:22">
      <c r="A17" s="98" t="s">
        <v>276</v>
      </c>
      <c r="B17" s="99" t="s">
        <v>283</v>
      </c>
      <c r="C17" s="100">
        <v>2.79</v>
      </c>
      <c r="D17" s="100">
        <v>7.68</v>
      </c>
      <c r="E17" s="100">
        <v>-4.6900000000000004</v>
      </c>
      <c r="F17" s="100">
        <v>2.79</v>
      </c>
      <c r="G17" s="100">
        <v>7.79</v>
      </c>
      <c r="H17" s="100">
        <v>-4.8</v>
      </c>
      <c r="I17" s="100">
        <v>0.7</v>
      </c>
      <c r="J17" s="100">
        <v>0.9</v>
      </c>
      <c r="K17" s="100">
        <v>11</v>
      </c>
      <c r="L17" s="101">
        <v>825</v>
      </c>
      <c r="M17" s="100">
        <v>8.9750000000000014</v>
      </c>
      <c r="N17" s="100">
        <v>5.65</v>
      </c>
      <c r="O17" s="100">
        <v>10.175000000000001</v>
      </c>
      <c r="P17" s="100">
        <v>0</v>
      </c>
      <c r="Q17" s="100">
        <v>9.16</v>
      </c>
      <c r="R17" s="100">
        <v>30</v>
      </c>
      <c r="S17" s="100">
        <v>4.26</v>
      </c>
      <c r="T17" s="100">
        <v>-4.2500000000007532E-3</v>
      </c>
      <c r="U17" s="102">
        <v>200</v>
      </c>
      <c r="V17" s="95"/>
    </row>
    <row r="18" spans="1:22">
      <c r="A18" s="98" t="s">
        <v>277</v>
      </c>
      <c r="B18" s="99" t="s">
        <v>282</v>
      </c>
      <c r="C18" s="100">
        <v>2.5</v>
      </c>
      <c r="D18" s="100">
        <v>8.06</v>
      </c>
      <c r="E18" s="100">
        <v>-5.36</v>
      </c>
      <c r="F18" s="100">
        <v>2.5</v>
      </c>
      <c r="G18" s="100">
        <v>8.17</v>
      </c>
      <c r="H18" s="100">
        <v>-5.47</v>
      </c>
      <c r="I18" s="100">
        <v>0.8</v>
      </c>
      <c r="J18" s="100">
        <v>1</v>
      </c>
      <c r="K18" s="100">
        <v>11.1</v>
      </c>
      <c r="L18" s="101">
        <v>1200</v>
      </c>
      <c r="M18" s="100">
        <v>8.7000000000000011</v>
      </c>
      <c r="N18" s="100">
        <v>6.96</v>
      </c>
      <c r="O18" s="100">
        <v>9.9</v>
      </c>
      <c r="P18" s="100">
        <v>0</v>
      </c>
      <c r="Q18" s="100">
        <v>9.9</v>
      </c>
      <c r="R18" s="100">
        <v>30</v>
      </c>
      <c r="S18" s="100">
        <v>5.24</v>
      </c>
      <c r="T18" s="100">
        <v>0</v>
      </c>
      <c r="U18" s="102">
        <v>300</v>
      </c>
      <c r="V18" s="95"/>
    </row>
    <row r="19" spans="1:22">
      <c r="A19" s="98" t="s">
        <v>278</v>
      </c>
      <c r="B19" s="99" t="s">
        <v>285</v>
      </c>
      <c r="C19" s="100">
        <v>1.58</v>
      </c>
      <c r="D19" s="100">
        <v>12.06</v>
      </c>
      <c r="E19" s="100">
        <v>-10.28</v>
      </c>
      <c r="F19" s="100">
        <v>1.58</v>
      </c>
      <c r="G19" s="100">
        <v>12.11</v>
      </c>
      <c r="H19" s="100">
        <v>-10.33</v>
      </c>
      <c r="I19" s="100">
        <v>0.7</v>
      </c>
      <c r="J19" s="100">
        <v>0.9</v>
      </c>
      <c r="K19" s="100">
        <v>10.6</v>
      </c>
      <c r="L19" s="101">
        <v>825</v>
      </c>
      <c r="M19" s="100">
        <v>8.5750000000000011</v>
      </c>
      <c r="N19" s="100">
        <v>5.4</v>
      </c>
      <c r="O19" s="100">
        <v>9.7750000000000004</v>
      </c>
      <c r="P19" s="100">
        <v>0</v>
      </c>
      <c r="Q19" s="100">
        <v>8.8000000000000007</v>
      </c>
      <c r="R19" s="100">
        <v>30</v>
      </c>
      <c r="S19" s="100">
        <v>4.09</v>
      </c>
      <c r="T19" s="100">
        <v>-2.2500000000000853E-3</v>
      </c>
      <c r="U19" s="102">
        <v>200</v>
      </c>
      <c r="V19" s="95"/>
    </row>
    <row r="20" spans="1:22">
      <c r="A20" s="98" t="s">
        <v>278</v>
      </c>
      <c r="B20" s="99" t="s">
        <v>286</v>
      </c>
      <c r="C20" s="100">
        <v>1.58</v>
      </c>
      <c r="D20" s="100">
        <v>12.06</v>
      </c>
      <c r="E20" s="100">
        <v>-10.28</v>
      </c>
      <c r="F20" s="100">
        <v>1.58</v>
      </c>
      <c r="G20" s="100">
        <v>12.08</v>
      </c>
      <c r="H20" s="100">
        <v>-10.3</v>
      </c>
      <c r="I20" s="100">
        <v>0.7</v>
      </c>
      <c r="J20" s="100">
        <v>0.9</v>
      </c>
      <c r="K20" s="100">
        <v>4.5999999999999996</v>
      </c>
      <c r="L20" s="101">
        <v>825</v>
      </c>
      <c r="M20" s="100">
        <v>2.5749999999999993</v>
      </c>
      <c r="N20" s="100">
        <v>1.62</v>
      </c>
      <c r="O20" s="100">
        <v>3.7749999999999995</v>
      </c>
      <c r="P20" s="100">
        <v>0</v>
      </c>
      <c r="Q20" s="100">
        <v>3.4</v>
      </c>
      <c r="R20" s="100">
        <v>30</v>
      </c>
      <c r="S20" s="100">
        <v>1.58</v>
      </c>
      <c r="T20" s="100">
        <v>-2.2499999999994191E-3</v>
      </c>
      <c r="U20" s="102">
        <v>200</v>
      </c>
      <c r="V20" s="95"/>
    </row>
    <row r="21" spans="1:22">
      <c r="A21" s="98" t="s">
        <v>279</v>
      </c>
      <c r="B21" s="99" t="s">
        <v>287</v>
      </c>
      <c r="C21" s="100">
        <v>3.13</v>
      </c>
      <c r="D21" s="100">
        <v>12.77</v>
      </c>
      <c r="E21" s="100">
        <v>-9.44</v>
      </c>
      <c r="F21" s="100">
        <v>3.13</v>
      </c>
      <c r="G21" s="100">
        <v>12.98</v>
      </c>
      <c r="H21" s="100">
        <v>-9.65</v>
      </c>
      <c r="I21" s="100">
        <v>0.7</v>
      </c>
      <c r="J21" s="100">
        <v>0.9</v>
      </c>
      <c r="K21" s="100">
        <v>10.3</v>
      </c>
      <c r="L21" s="101">
        <v>825</v>
      </c>
      <c r="M21" s="100">
        <v>8.2750000000000021</v>
      </c>
      <c r="N21" s="100">
        <v>5.21</v>
      </c>
      <c r="O21" s="100">
        <v>9.4750000000000014</v>
      </c>
      <c r="P21" s="100">
        <v>0</v>
      </c>
      <c r="Q21" s="100">
        <v>8.5299999999999994</v>
      </c>
      <c r="R21" s="100">
        <v>30</v>
      </c>
      <c r="S21" s="100">
        <v>3.97</v>
      </c>
      <c r="T21" s="100">
        <v>-3.2500000000013074E-3</v>
      </c>
      <c r="U21" s="102">
        <v>200</v>
      </c>
      <c r="V21" s="95"/>
    </row>
    <row r="22" spans="1:22">
      <c r="A22" s="98" t="s">
        <v>279</v>
      </c>
      <c r="B22" s="99" t="s">
        <v>288</v>
      </c>
      <c r="C22" s="100">
        <v>3.13</v>
      </c>
      <c r="D22" s="100">
        <v>12.89</v>
      </c>
      <c r="E22" s="100">
        <v>-9.56</v>
      </c>
      <c r="F22" s="100">
        <v>3.13</v>
      </c>
      <c r="G22" s="100">
        <v>12.98</v>
      </c>
      <c r="H22" s="100">
        <v>-9.65</v>
      </c>
      <c r="I22" s="100">
        <v>0.7</v>
      </c>
      <c r="J22" s="100">
        <v>0.9</v>
      </c>
      <c r="K22" s="100">
        <v>4.5</v>
      </c>
      <c r="L22" s="101">
        <v>825</v>
      </c>
      <c r="M22" s="100">
        <v>2.4749999999999996</v>
      </c>
      <c r="N22" s="100">
        <v>1.56</v>
      </c>
      <c r="O22" s="100">
        <v>3.6749999999999998</v>
      </c>
      <c r="P22" s="100">
        <v>0</v>
      </c>
      <c r="Q22" s="100">
        <v>3.31</v>
      </c>
      <c r="R22" s="100">
        <v>30</v>
      </c>
      <c r="S22" s="100">
        <v>1.54</v>
      </c>
      <c r="T22" s="100">
        <v>7.5000000000047251E-4</v>
      </c>
      <c r="U22" s="102">
        <v>200</v>
      </c>
      <c r="V22" s="95"/>
    </row>
    <row r="23" spans="1:22">
      <c r="A23" s="98" t="s">
        <v>605</v>
      </c>
      <c r="B23" s="99" t="s">
        <v>606</v>
      </c>
      <c r="C23" s="100">
        <v>3.47</v>
      </c>
      <c r="D23" s="100">
        <v>12.92</v>
      </c>
      <c r="E23" s="100">
        <v>-9.25</v>
      </c>
      <c r="F23" s="100">
        <v>3.47</v>
      </c>
      <c r="G23" s="100">
        <v>13.03</v>
      </c>
      <c r="H23" s="100">
        <v>-9.36</v>
      </c>
      <c r="I23" s="100">
        <v>0.7</v>
      </c>
      <c r="J23" s="100">
        <v>0.9</v>
      </c>
      <c r="K23" s="100">
        <v>10.8</v>
      </c>
      <c r="L23" s="101">
        <v>825</v>
      </c>
      <c r="M23" s="100">
        <v>8.7750000000000021</v>
      </c>
      <c r="N23" s="100">
        <v>5.53</v>
      </c>
      <c r="O23" s="100">
        <v>9.9750000000000014</v>
      </c>
      <c r="P23" s="100">
        <v>0</v>
      </c>
      <c r="Q23" s="100">
        <v>8.98</v>
      </c>
      <c r="R23" s="100">
        <v>30</v>
      </c>
      <c r="S23" s="100">
        <v>4.18</v>
      </c>
      <c r="T23" s="100">
        <v>1.7499999999994742E-3</v>
      </c>
      <c r="U23" s="102">
        <v>200</v>
      </c>
      <c r="V23" s="95"/>
    </row>
    <row r="24" spans="1:22" ht="11.25" thickBot="1">
      <c r="A24" s="103" t="s">
        <v>605</v>
      </c>
      <c r="B24" s="104" t="s">
        <v>607</v>
      </c>
      <c r="C24" s="105">
        <v>3.47</v>
      </c>
      <c r="D24" s="105">
        <v>12.92</v>
      </c>
      <c r="E24" s="105">
        <v>-9.25</v>
      </c>
      <c r="F24" s="105">
        <v>3.47</v>
      </c>
      <c r="G24" s="105">
        <v>13.04</v>
      </c>
      <c r="H24" s="105">
        <v>-9.3699999999999992</v>
      </c>
      <c r="I24" s="105">
        <v>0.7</v>
      </c>
      <c r="J24" s="105">
        <v>0.9</v>
      </c>
      <c r="K24" s="105">
        <v>2.9</v>
      </c>
      <c r="L24" s="106">
        <v>825</v>
      </c>
      <c r="M24" s="105">
        <v>0.87500000000000022</v>
      </c>
      <c r="N24" s="105">
        <v>0.55000000000000004</v>
      </c>
      <c r="O24" s="105">
        <v>2.0750000000000002</v>
      </c>
      <c r="P24" s="105">
        <v>0</v>
      </c>
      <c r="Q24" s="105">
        <v>1.87</v>
      </c>
      <c r="R24" s="105">
        <v>30</v>
      </c>
      <c r="S24" s="105">
        <v>0.87</v>
      </c>
      <c r="T24" s="105">
        <v>-1.2500000000000844E-3</v>
      </c>
      <c r="U24" s="107">
        <v>200</v>
      </c>
      <c r="V24" s="95"/>
    </row>
    <row r="25" spans="1:22">
      <c r="N25" s="110">
        <f>SUBTOTAL(9,N2:N24)</f>
        <v>253.68000000000009</v>
      </c>
      <c r="O25" s="110">
        <f>SUBTOTAL(9,O2:O24)</f>
        <v>441.55</v>
      </c>
      <c r="P25" s="110">
        <f>SUBTOTAL(9,P2:P24)</f>
        <v>58.21</v>
      </c>
      <c r="Q25" s="110">
        <f>SUBTOTAL(9,Q2:Q24)</f>
        <v>324.43</v>
      </c>
      <c r="R25" s="111"/>
      <c r="S25" s="110">
        <f>SUBTOTAL(9,S2:S24)</f>
        <v>168.11</v>
      </c>
      <c r="T25" s="110">
        <f>SUBTOTAL(9,T2:T24)</f>
        <v>16.498999999999995</v>
      </c>
    </row>
    <row r="26" spans="1:22">
      <c r="U26" s="108"/>
    </row>
  </sheetData>
  <autoFilter ref="U1:U30"/>
  <mergeCells count="1">
    <mergeCell ref="A1:B1"/>
  </mergeCells>
  <printOptions horizontalCentered="1"/>
  <pageMargins left="0.70866141732283472" right="0.70866141732283472" top="1.3385826771653544" bottom="0.74803149606299213" header="0.9055118110236221" footer="0.31496062992125984"/>
  <pageSetup paperSize="8" scale="70" orientation="landscape" r:id="rId1"/>
  <headerFooter alignWithMargins="0">
    <oddHeader>&amp;C&amp;"Czcionka tekstu podstawowego,Pogrubiony"&amp;12Kanalizacja deszczowa - wykopy liniowe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23" sqref="G23"/>
    </sheetView>
  </sheetViews>
  <sheetFormatPr defaultRowHeight="12.75"/>
  <cols>
    <col min="1" max="1" width="14.42578125" style="120" customWidth="1"/>
    <col min="2" max="3" width="14.42578125" style="121" customWidth="1"/>
    <col min="4" max="4" width="14.42578125" style="121" hidden="1" customWidth="1"/>
    <col min="5" max="5" width="12" style="122" customWidth="1"/>
    <col min="6" max="11" width="14.42578125" style="121" customWidth="1"/>
    <col min="12" max="16384" width="9.140625" style="119"/>
  </cols>
  <sheetData>
    <row r="1" spans="1:11" s="115" customFormat="1" ht="47.25" customHeight="1">
      <c r="A1" s="112" t="s">
        <v>289</v>
      </c>
      <c r="B1" s="113" t="s">
        <v>249</v>
      </c>
      <c r="C1" s="113" t="s">
        <v>608</v>
      </c>
      <c r="D1" s="113" t="s">
        <v>290</v>
      </c>
      <c r="E1" s="114" t="s">
        <v>291</v>
      </c>
      <c r="F1" s="113" t="s">
        <v>292</v>
      </c>
      <c r="G1" s="113" t="s">
        <v>293</v>
      </c>
      <c r="H1" s="113" t="s">
        <v>294</v>
      </c>
      <c r="I1" s="113" t="s">
        <v>295</v>
      </c>
      <c r="J1" s="113" t="s">
        <v>296</v>
      </c>
      <c r="K1" s="113" t="s">
        <v>297</v>
      </c>
    </row>
    <row r="2" spans="1:11">
      <c r="A2" s="116" t="s">
        <v>268</v>
      </c>
      <c r="B2" s="117">
        <v>9.5</v>
      </c>
      <c r="C2" s="117">
        <v>7.65</v>
      </c>
      <c r="D2" s="117">
        <v>10</v>
      </c>
      <c r="E2" s="118">
        <v>1200</v>
      </c>
      <c r="F2" s="117">
        <v>2.6</v>
      </c>
      <c r="G2" s="117">
        <v>2.6</v>
      </c>
      <c r="H2" s="117">
        <v>2.85</v>
      </c>
      <c r="I2" s="117">
        <v>29.64</v>
      </c>
      <c r="J2" s="117">
        <v>19.27</v>
      </c>
      <c r="K2" s="117">
        <v>16.05</v>
      </c>
    </row>
    <row r="3" spans="1:11">
      <c r="A3" s="116" t="s">
        <v>272</v>
      </c>
      <c r="B3" s="117">
        <v>3.59</v>
      </c>
      <c r="C3" s="117">
        <v>7.8</v>
      </c>
      <c r="D3" s="117">
        <v>10.98</v>
      </c>
      <c r="E3" s="118">
        <v>1200</v>
      </c>
      <c r="F3" s="117">
        <v>2.6</v>
      </c>
      <c r="G3" s="117">
        <v>2.6</v>
      </c>
      <c r="H3" s="117">
        <v>-3.21</v>
      </c>
      <c r="I3" s="117">
        <v>0</v>
      </c>
      <c r="J3" s="117">
        <v>0</v>
      </c>
      <c r="K3" s="117">
        <v>0</v>
      </c>
    </row>
    <row r="4" spans="1:11">
      <c r="A4" s="116" t="s">
        <v>271</v>
      </c>
      <c r="B4" s="117">
        <v>3.57</v>
      </c>
      <c r="C4" s="117">
        <v>7.87</v>
      </c>
      <c r="D4" s="117">
        <v>10.99</v>
      </c>
      <c r="E4" s="118">
        <v>1200</v>
      </c>
      <c r="F4" s="117">
        <v>2.6</v>
      </c>
      <c r="G4" s="117">
        <v>2.6</v>
      </c>
      <c r="H4" s="117">
        <v>-3.3</v>
      </c>
      <c r="I4" s="117">
        <v>0</v>
      </c>
      <c r="J4" s="117">
        <v>0</v>
      </c>
      <c r="K4" s="117">
        <v>0</v>
      </c>
    </row>
    <row r="5" spans="1:11">
      <c r="A5" s="116" t="s">
        <v>269</v>
      </c>
      <c r="B5" s="117">
        <v>9.67</v>
      </c>
      <c r="C5" s="117">
        <v>7.77</v>
      </c>
      <c r="D5" s="117">
        <v>9.67</v>
      </c>
      <c r="E5" s="118">
        <v>450</v>
      </c>
      <c r="F5" s="117">
        <v>1.85</v>
      </c>
      <c r="G5" s="117">
        <v>1.85</v>
      </c>
      <c r="H5" s="117">
        <v>2.9</v>
      </c>
      <c r="I5" s="117">
        <v>21.46</v>
      </c>
      <c r="J5" s="117">
        <v>9.93</v>
      </c>
      <c r="K5" s="117">
        <v>9.4700000000000006</v>
      </c>
    </row>
    <row r="6" spans="1:11">
      <c r="A6" s="116" t="s">
        <v>270</v>
      </c>
      <c r="B6" s="117">
        <v>9.67</v>
      </c>
      <c r="C6" s="117">
        <v>7.86</v>
      </c>
      <c r="D6" s="117">
        <v>9.76</v>
      </c>
      <c r="E6" s="118">
        <v>450</v>
      </c>
      <c r="F6" s="117">
        <v>1.85</v>
      </c>
      <c r="G6" s="117">
        <v>1.85</v>
      </c>
      <c r="H6" s="117">
        <v>2.81</v>
      </c>
      <c r="I6" s="117">
        <v>20.79</v>
      </c>
      <c r="J6" s="117">
        <v>9.6199999999999992</v>
      </c>
      <c r="K6" s="117">
        <v>9.17</v>
      </c>
    </row>
    <row r="7" spans="1:11">
      <c r="A7" s="116" t="s">
        <v>274</v>
      </c>
      <c r="B7" s="117">
        <v>2.5</v>
      </c>
      <c r="C7" s="117">
        <v>2.11</v>
      </c>
      <c r="D7" s="117">
        <v>8.31</v>
      </c>
      <c r="E7" s="118">
        <v>1500</v>
      </c>
      <c r="F7" s="117">
        <v>2.9</v>
      </c>
      <c r="G7" s="117">
        <v>2.9</v>
      </c>
      <c r="H7" s="117">
        <v>1.39</v>
      </c>
      <c r="I7" s="117">
        <v>16.12</v>
      </c>
      <c r="J7" s="117">
        <v>11.69</v>
      </c>
      <c r="K7" s="117">
        <v>9.23</v>
      </c>
    </row>
    <row r="8" spans="1:11">
      <c r="A8" s="116" t="s">
        <v>275</v>
      </c>
      <c r="B8" s="117">
        <v>2.62</v>
      </c>
      <c r="C8" s="117">
        <v>5.48</v>
      </c>
      <c r="D8" s="117">
        <v>8.44</v>
      </c>
      <c r="E8" s="118">
        <v>1200</v>
      </c>
      <c r="F8" s="117">
        <v>2.6</v>
      </c>
      <c r="G8" s="117">
        <v>2.6</v>
      </c>
      <c r="H8" s="117">
        <v>-1.86</v>
      </c>
      <c r="I8" s="117">
        <v>0</v>
      </c>
      <c r="J8" s="117">
        <v>0</v>
      </c>
      <c r="K8" s="117">
        <v>0</v>
      </c>
    </row>
    <row r="9" spans="1:11">
      <c r="A9" s="116" t="s">
        <v>276</v>
      </c>
      <c r="B9" s="117">
        <v>2.79</v>
      </c>
      <c r="C9" s="117">
        <v>7.18</v>
      </c>
      <c r="D9" s="117">
        <v>9.18</v>
      </c>
      <c r="E9" s="118">
        <v>1200</v>
      </c>
      <c r="F9" s="117">
        <v>2.6</v>
      </c>
      <c r="G9" s="117">
        <v>2.6</v>
      </c>
      <c r="H9" s="117">
        <v>-3.39</v>
      </c>
      <c r="I9" s="117">
        <v>0</v>
      </c>
      <c r="J9" s="117">
        <v>0</v>
      </c>
      <c r="K9" s="117">
        <v>0</v>
      </c>
    </row>
    <row r="10" spans="1:11">
      <c r="A10" s="116" t="s">
        <v>277</v>
      </c>
      <c r="B10" s="117">
        <v>2.5</v>
      </c>
      <c r="C10" s="117">
        <v>7.56</v>
      </c>
      <c r="D10" s="117">
        <v>10.25</v>
      </c>
      <c r="E10" s="118">
        <v>1200</v>
      </c>
      <c r="F10" s="117">
        <v>2.6</v>
      </c>
      <c r="G10" s="117">
        <v>2.6</v>
      </c>
      <c r="H10" s="117">
        <v>-4.0599999999999996</v>
      </c>
      <c r="I10" s="117">
        <v>0</v>
      </c>
      <c r="J10" s="117">
        <v>0</v>
      </c>
      <c r="K10" s="117">
        <v>0</v>
      </c>
    </row>
    <row r="11" spans="1:11">
      <c r="A11" s="116" t="s">
        <v>278</v>
      </c>
      <c r="B11" s="117">
        <v>1.58</v>
      </c>
      <c r="C11" s="117">
        <v>11.56</v>
      </c>
      <c r="D11" s="117">
        <v>13.48</v>
      </c>
      <c r="E11" s="118">
        <v>1200</v>
      </c>
      <c r="F11" s="117">
        <v>2.6</v>
      </c>
      <c r="G11" s="117">
        <v>2.6</v>
      </c>
      <c r="H11" s="117">
        <v>-8.98</v>
      </c>
      <c r="I11" s="117">
        <v>0</v>
      </c>
      <c r="J11" s="117">
        <v>0</v>
      </c>
      <c r="K11" s="117">
        <v>0</v>
      </c>
    </row>
    <row r="12" spans="1:11">
      <c r="A12" s="116" t="s">
        <v>279</v>
      </c>
      <c r="B12" s="117">
        <v>3.13</v>
      </c>
      <c r="C12" s="117">
        <v>11.81</v>
      </c>
      <c r="D12" s="117">
        <v>14.53</v>
      </c>
      <c r="E12" s="118">
        <v>1200</v>
      </c>
      <c r="F12" s="117">
        <v>2.6</v>
      </c>
      <c r="G12" s="117">
        <v>2.6</v>
      </c>
      <c r="H12" s="117">
        <v>-7.68</v>
      </c>
      <c r="I12" s="117">
        <v>0</v>
      </c>
      <c r="J12" s="117">
        <v>0</v>
      </c>
      <c r="K12" s="117">
        <v>0</v>
      </c>
    </row>
    <row r="13" spans="1:11">
      <c r="A13" s="116" t="s">
        <v>280</v>
      </c>
      <c r="B13" s="117">
        <v>2.95</v>
      </c>
      <c r="C13" s="117">
        <v>12.06</v>
      </c>
      <c r="D13" s="117">
        <v>14.93</v>
      </c>
      <c r="E13" s="118">
        <v>1200</v>
      </c>
      <c r="F13" s="117">
        <v>2.6</v>
      </c>
      <c r="G13" s="117">
        <v>2.6</v>
      </c>
      <c r="H13" s="117">
        <v>-8.11</v>
      </c>
      <c r="I13" s="117">
        <v>0</v>
      </c>
      <c r="J13" s="117">
        <v>0</v>
      </c>
      <c r="K13" s="117">
        <v>0</v>
      </c>
    </row>
    <row r="14" spans="1:11">
      <c r="A14" s="116" t="s">
        <v>605</v>
      </c>
      <c r="B14" s="117">
        <v>3.47</v>
      </c>
      <c r="C14" s="117">
        <v>12.32</v>
      </c>
      <c r="D14" s="117">
        <v>14.58</v>
      </c>
      <c r="E14" s="118">
        <v>1200</v>
      </c>
      <c r="F14" s="117">
        <v>2.6</v>
      </c>
      <c r="G14" s="117">
        <v>2.6</v>
      </c>
      <c r="H14" s="117">
        <v>-7.85</v>
      </c>
      <c r="I14" s="117">
        <v>0</v>
      </c>
      <c r="J14" s="117">
        <v>0</v>
      </c>
      <c r="K14" s="117">
        <v>0</v>
      </c>
    </row>
    <row r="15" spans="1:11">
      <c r="A15" s="116" t="s">
        <v>281</v>
      </c>
      <c r="B15" s="117">
        <v>2.62</v>
      </c>
      <c r="C15" s="117">
        <v>5.68</v>
      </c>
      <c r="D15" s="117">
        <v>8.43</v>
      </c>
      <c r="E15" s="118">
        <v>1200</v>
      </c>
      <c r="F15" s="117">
        <v>2.6</v>
      </c>
      <c r="G15" s="117">
        <v>2.6</v>
      </c>
      <c r="H15" s="117">
        <v>-2.06</v>
      </c>
      <c r="I15" s="117">
        <v>0</v>
      </c>
      <c r="J15" s="117">
        <v>0</v>
      </c>
      <c r="K15" s="117">
        <v>0</v>
      </c>
    </row>
    <row r="16" spans="1:11">
      <c r="A16" s="116" t="s">
        <v>284</v>
      </c>
      <c r="B16" s="117">
        <v>2.79</v>
      </c>
      <c r="C16" s="117">
        <v>7.21</v>
      </c>
      <c r="D16" s="117">
        <v>9.08</v>
      </c>
      <c r="E16" s="118">
        <v>450</v>
      </c>
      <c r="F16" s="117">
        <v>1.85</v>
      </c>
      <c r="G16" s="117">
        <v>1.85</v>
      </c>
      <c r="H16" s="117">
        <v>-3.42</v>
      </c>
      <c r="I16" s="117">
        <v>0</v>
      </c>
      <c r="J16" s="117">
        <v>0</v>
      </c>
      <c r="K16" s="117">
        <v>0</v>
      </c>
    </row>
    <row r="17" spans="1:11">
      <c r="A17" s="116" t="s">
        <v>283</v>
      </c>
      <c r="B17" s="117">
        <v>2.79</v>
      </c>
      <c r="C17" s="117">
        <v>7.29</v>
      </c>
      <c r="D17" s="117">
        <v>9.07</v>
      </c>
      <c r="E17" s="118">
        <v>450</v>
      </c>
      <c r="F17" s="117">
        <v>1.85</v>
      </c>
      <c r="G17" s="117">
        <v>1.85</v>
      </c>
      <c r="H17" s="117">
        <v>-3.5</v>
      </c>
      <c r="I17" s="117">
        <v>0</v>
      </c>
      <c r="J17" s="117">
        <v>0</v>
      </c>
      <c r="K17" s="117">
        <v>0</v>
      </c>
    </row>
    <row r="18" spans="1:11">
      <c r="A18" s="116" t="s">
        <v>282</v>
      </c>
      <c r="B18" s="117">
        <v>2.5</v>
      </c>
      <c r="C18" s="117">
        <v>7.67</v>
      </c>
      <c r="D18" s="117">
        <v>10.33</v>
      </c>
      <c r="E18" s="118">
        <v>1200</v>
      </c>
      <c r="F18" s="117">
        <v>2.6</v>
      </c>
      <c r="G18" s="117">
        <v>2.6</v>
      </c>
      <c r="H18" s="117">
        <v>-4.17</v>
      </c>
      <c r="I18" s="117">
        <v>0</v>
      </c>
      <c r="J18" s="117">
        <v>0</v>
      </c>
      <c r="K18" s="117">
        <v>0</v>
      </c>
    </row>
    <row r="19" spans="1:11">
      <c r="A19" s="116" t="s">
        <v>285</v>
      </c>
      <c r="B19" s="117">
        <v>1.58</v>
      </c>
      <c r="C19" s="117">
        <v>11.61</v>
      </c>
      <c r="D19" s="117">
        <v>13.36</v>
      </c>
      <c r="E19" s="118">
        <v>450</v>
      </c>
      <c r="F19" s="117">
        <v>1.85</v>
      </c>
      <c r="G19" s="117">
        <v>1.85</v>
      </c>
      <c r="H19" s="117">
        <v>-9.0299999999999994</v>
      </c>
      <c r="I19" s="117">
        <v>0</v>
      </c>
      <c r="J19" s="117">
        <v>0</v>
      </c>
      <c r="K19" s="117">
        <v>0</v>
      </c>
    </row>
    <row r="20" spans="1:11">
      <c r="A20" s="116" t="s">
        <v>286</v>
      </c>
      <c r="B20" s="117">
        <v>1.58</v>
      </c>
      <c r="C20" s="117">
        <v>11.58</v>
      </c>
      <c r="D20" s="117">
        <v>13.2</v>
      </c>
      <c r="E20" s="118">
        <v>450</v>
      </c>
      <c r="F20" s="117">
        <v>1.85</v>
      </c>
      <c r="G20" s="117">
        <v>1.85</v>
      </c>
      <c r="H20" s="117">
        <v>-9</v>
      </c>
      <c r="I20" s="117">
        <v>0</v>
      </c>
      <c r="J20" s="117">
        <v>0</v>
      </c>
      <c r="K20" s="117">
        <v>0</v>
      </c>
    </row>
    <row r="21" spans="1:11">
      <c r="A21" s="116" t="s">
        <v>287</v>
      </c>
      <c r="B21" s="117">
        <v>3.13</v>
      </c>
      <c r="C21" s="117">
        <v>12.48</v>
      </c>
      <c r="D21" s="117">
        <v>14.41</v>
      </c>
      <c r="E21" s="118">
        <v>450</v>
      </c>
      <c r="F21" s="117">
        <v>1.85</v>
      </c>
      <c r="G21" s="117">
        <v>1.85</v>
      </c>
      <c r="H21" s="117">
        <v>-8.35</v>
      </c>
      <c r="I21" s="117">
        <v>0</v>
      </c>
      <c r="J21" s="117">
        <v>0</v>
      </c>
      <c r="K21" s="117">
        <v>0</v>
      </c>
    </row>
    <row r="22" spans="1:11">
      <c r="A22" s="116" t="s">
        <v>288</v>
      </c>
      <c r="B22" s="117">
        <v>3.13</v>
      </c>
      <c r="C22" s="117">
        <v>12.48</v>
      </c>
      <c r="D22" s="117">
        <v>14.41</v>
      </c>
      <c r="E22" s="118">
        <v>450</v>
      </c>
      <c r="F22" s="117">
        <v>1.85</v>
      </c>
      <c r="G22" s="117">
        <v>1.85</v>
      </c>
      <c r="H22" s="117">
        <v>-8.35</v>
      </c>
      <c r="I22" s="117">
        <v>0</v>
      </c>
      <c r="J22" s="117">
        <v>0</v>
      </c>
      <c r="K22" s="117">
        <v>0</v>
      </c>
    </row>
    <row r="23" spans="1:11">
      <c r="A23" s="116" t="s">
        <v>606</v>
      </c>
      <c r="B23" s="117">
        <v>3.47</v>
      </c>
      <c r="C23" s="117">
        <v>12.53</v>
      </c>
      <c r="D23" s="117">
        <v>14.4</v>
      </c>
      <c r="E23" s="118">
        <v>450</v>
      </c>
      <c r="F23" s="117">
        <v>1.85</v>
      </c>
      <c r="G23" s="117">
        <v>1.85</v>
      </c>
      <c r="H23" s="117">
        <v>-8.06</v>
      </c>
      <c r="I23" s="117">
        <v>0</v>
      </c>
      <c r="J23" s="117">
        <v>0</v>
      </c>
      <c r="K23" s="117">
        <v>0</v>
      </c>
    </row>
    <row r="24" spans="1:11">
      <c r="A24" s="116" t="s">
        <v>607</v>
      </c>
      <c r="B24" s="117">
        <v>3.47</v>
      </c>
      <c r="C24" s="117">
        <v>12.54</v>
      </c>
      <c r="D24" s="117">
        <v>14.44</v>
      </c>
      <c r="E24" s="118">
        <v>450</v>
      </c>
      <c r="F24" s="117">
        <v>1.85</v>
      </c>
      <c r="G24" s="117">
        <v>1.85</v>
      </c>
      <c r="H24" s="117">
        <v>-8.07</v>
      </c>
      <c r="I24" s="117">
        <v>0</v>
      </c>
      <c r="J24" s="117">
        <v>0</v>
      </c>
      <c r="K24" s="117">
        <v>0</v>
      </c>
    </row>
    <row r="25" spans="1:11">
      <c r="I25" s="123">
        <f>SUM(I2:I24)</f>
        <v>88.01</v>
      </c>
      <c r="J25" s="123">
        <f>SUM(J2:J24)</f>
        <v>50.51</v>
      </c>
      <c r="K25" s="123">
        <f>SUM(K2:K24)</f>
        <v>43.92</v>
      </c>
    </row>
    <row r="28" spans="1:11">
      <c r="H28" s="119"/>
      <c r="I28" s="119"/>
      <c r="J28" s="119"/>
      <c r="K28" s="119"/>
    </row>
    <row r="29" spans="1:11">
      <c r="H29" s="119"/>
      <c r="I29" s="119"/>
      <c r="J29" s="119"/>
      <c r="K29" s="119"/>
    </row>
    <row r="30" spans="1:11">
      <c r="H30" s="124"/>
      <c r="I30" s="124"/>
      <c r="J30" s="124"/>
      <c r="K30" s="124"/>
    </row>
  </sheetData>
  <autoFilter ref="E1:E30"/>
  <pageMargins left="0.70866141732283472" right="0.70866141732283472" top="0.86614173228346458" bottom="0.55118110236220474" header="0.55118110236220474" footer="0.31496062992125984"/>
  <pageSetup paperSize="9" scale="85" orientation="landscape" r:id="rId1"/>
  <headerFooter>
    <oddHeader>&amp;C&amp;"Czcionka tekstu podstawowego,Pogrubiony"Kanalizacja deszczowa - wykopy obiektowe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Zeros="0" topLeftCell="A7" workbookViewId="0">
      <selection activeCell="G16" sqref="G16"/>
    </sheetView>
  </sheetViews>
  <sheetFormatPr defaultRowHeight="15"/>
  <cols>
    <col min="1" max="1" width="11.140625" style="14" customWidth="1"/>
    <col min="2" max="2" width="11.5703125" style="31" customWidth="1"/>
    <col min="3" max="3" width="48.7109375" style="17" customWidth="1"/>
    <col min="4" max="4" width="9.140625" style="32"/>
    <col min="5" max="5" width="12.7109375" style="32" customWidth="1"/>
    <col min="6" max="7" width="12.7109375" style="16" customWidth="1"/>
  </cols>
  <sheetData>
    <row r="1" spans="1:7" ht="60" customHeight="1">
      <c r="A1" s="1" t="s">
        <v>0</v>
      </c>
      <c r="B1" s="199" t="s">
        <v>157</v>
      </c>
      <c r="C1" s="208"/>
      <c r="D1" s="208"/>
      <c r="E1" s="208"/>
      <c r="F1" s="208"/>
      <c r="G1" s="200"/>
    </row>
    <row r="2" spans="1:7" ht="104.45" customHeight="1">
      <c r="A2" s="2" t="s">
        <v>1</v>
      </c>
      <c r="B2" s="201" t="s">
        <v>2</v>
      </c>
      <c r="C2" s="209"/>
      <c r="D2" s="209"/>
      <c r="E2" s="209"/>
      <c r="F2" s="209"/>
      <c r="G2" s="202"/>
    </row>
    <row r="3" spans="1:7" ht="90" customHeight="1" thickBot="1">
      <c r="A3" s="3" t="s">
        <v>3</v>
      </c>
      <c r="B3" s="203" t="s">
        <v>4</v>
      </c>
      <c r="C3" s="210"/>
      <c r="D3" s="210"/>
      <c r="E3" s="210"/>
      <c r="F3" s="210"/>
      <c r="G3" s="211"/>
    </row>
    <row r="4" spans="1:7" ht="30" customHeight="1" thickBot="1">
      <c r="A4" s="205" t="s">
        <v>16</v>
      </c>
      <c r="B4" s="206"/>
      <c r="C4" s="206"/>
      <c r="D4" s="206"/>
      <c r="E4" s="206"/>
      <c r="F4" s="206"/>
      <c r="G4" s="207"/>
    </row>
    <row r="5" spans="1:7" ht="26.25" thickBot="1">
      <c r="A5" s="4" t="s">
        <v>6</v>
      </c>
      <c r="B5" s="18" t="s">
        <v>25</v>
      </c>
      <c r="C5" s="5" t="s">
        <v>7</v>
      </c>
      <c r="D5" s="18" t="s">
        <v>26</v>
      </c>
      <c r="E5" s="18" t="s">
        <v>27</v>
      </c>
      <c r="F5" s="19" t="s">
        <v>28</v>
      </c>
      <c r="G5" s="6" t="s">
        <v>8</v>
      </c>
    </row>
    <row r="6" spans="1:7" s="10" customFormat="1" ht="36" customHeight="1">
      <c r="A6" s="40"/>
      <c r="B6" s="41" t="s">
        <v>29</v>
      </c>
      <c r="C6" s="42" t="s">
        <v>30</v>
      </c>
      <c r="D6" s="43" t="s">
        <v>31</v>
      </c>
      <c r="E6" s="44" t="s">
        <v>31</v>
      </c>
      <c r="F6" s="45" t="s">
        <v>31</v>
      </c>
      <c r="G6" s="46" t="s">
        <v>31</v>
      </c>
    </row>
    <row r="7" spans="1:7" s="10" customFormat="1" ht="36" customHeight="1">
      <c r="A7" s="7"/>
      <c r="B7" s="20" t="s">
        <v>132</v>
      </c>
      <c r="C7" s="8" t="s">
        <v>133</v>
      </c>
      <c r="D7" s="21" t="s">
        <v>31</v>
      </c>
      <c r="E7" s="23" t="s">
        <v>31</v>
      </c>
      <c r="F7" s="22" t="s">
        <v>31</v>
      </c>
      <c r="G7" s="9" t="s">
        <v>31</v>
      </c>
    </row>
    <row r="8" spans="1:7" s="10" customFormat="1" ht="36" customHeight="1">
      <c r="A8" s="7" t="s">
        <v>9</v>
      </c>
      <c r="B8" s="20"/>
      <c r="C8" s="8" t="s">
        <v>134</v>
      </c>
      <c r="D8" s="21" t="s">
        <v>135</v>
      </c>
      <c r="E8" s="23">
        <v>377</v>
      </c>
      <c r="F8" s="22"/>
      <c r="G8" s="9">
        <f>ROUND(E8*F8,2)</f>
        <v>0</v>
      </c>
    </row>
    <row r="9" spans="1:7" s="10" customFormat="1" ht="36" customHeight="1">
      <c r="A9" s="7" t="s">
        <v>11</v>
      </c>
      <c r="B9" s="20"/>
      <c r="C9" s="8" t="s">
        <v>136</v>
      </c>
      <c r="D9" s="21" t="s">
        <v>135</v>
      </c>
      <c r="E9" s="23">
        <v>367</v>
      </c>
      <c r="F9" s="22"/>
      <c r="G9" s="9">
        <f t="shared" ref="G9:G15" si="0">ROUND(E9*F9,2)</f>
        <v>0</v>
      </c>
    </row>
    <row r="10" spans="1:7" s="10" customFormat="1" ht="36" customHeight="1">
      <c r="A10" s="7" t="s">
        <v>13</v>
      </c>
      <c r="B10" s="20"/>
      <c r="C10" s="8" t="s">
        <v>137</v>
      </c>
      <c r="D10" s="21" t="s">
        <v>135</v>
      </c>
      <c r="E10" s="23">
        <v>155</v>
      </c>
      <c r="F10" s="22"/>
      <c r="G10" s="9">
        <f t="shared" si="0"/>
        <v>0</v>
      </c>
    </row>
    <row r="11" spans="1:7" s="10" customFormat="1" ht="36" customHeight="1">
      <c r="A11" s="7" t="s">
        <v>15</v>
      </c>
      <c r="B11" s="20"/>
      <c r="C11" s="8" t="s">
        <v>138</v>
      </c>
      <c r="D11" s="21" t="s">
        <v>135</v>
      </c>
      <c r="E11" s="23">
        <v>83</v>
      </c>
      <c r="F11" s="22"/>
      <c r="G11" s="9">
        <f t="shared" si="0"/>
        <v>0</v>
      </c>
    </row>
    <row r="12" spans="1:7" s="10" customFormat="1" ht="36" customHeight="1">
      <c r="A12" s="7" t="s">
        <v>17</v>
      </c>
      <c r="B12" s="20"/>
      <c r="C12" s="8" t="s">
        <v>139</v>
      </c>
      <c r="D12" s="21" t="s">
        <v>135</v>
      </c>
      <c r="E12" s="23">
        <v>39</v>
      </c>
      <c r="F12" s="22"/>
      <c r="G12" s="9">
        <f t="shared" si="0"/>
        <v>0</v>
      </c>
    </row>
    <row r="13" spans="1:7" s="10" customFormat="1" ht="36" customHeight="1">
      <c r="A13" s="7" t="s">
        <v>18</v>
      </c>
      <c r="B13" s="20"/>
      <c r="C13" s="8" t="s">
        <v>140</v>
      </c>
      <c r="D13" s="21" t="s">
        <v>135</v>
      </c>
      <c r="E13" s="23">
        <v>2</v>
      </c>
      <c r="F13" s="22"/>
      <c r="G13" s="9">
        <f t="shared" si="0"/>
        <v>0</v>
      </c>
    </row>
    <row r="14" spans="1:7" s="10" customFormat="1" ht="36" customHeight="1">
      <c r="A14" s="7" t="s">
        <v>19</v>
      </c>
      <c r="B14" s="20"/>
      <c r="C14" s="8" t="s">
        <v>141</v>
      </c>
      <c r="D14" s="21" t="s">
        <v>135</v>
      </c>
      <c r="E14" s="23">
        <v>6</v>
      </c>
      <c r="F14" s="22"/>
      <c r="G14" s="9">
        <f t="shared" si="0"/>
        <v>0</v>
      </c>
    </row>
    <row r="15" spans="1:7" s="10" customFormat="1" ht="36" customHeight="1" thickBot="1">
      <c r="A15" s="7" t="s">
        <v>20</v>
      </c>
      <c r="B15" s="20"/>
      <c r="C15" s="8" t="s">
        <v>142</v>
      </c>
      <c r="D15" s="21" t="s">
        <v>143</v>
      </c>
      <c r="E15" s="47">
        <v>8.14E-2</v>
      </c>
      <c r="F15" s="22"/>
      <c r="G15" s="9">
        <f t="shared" si="0"/>
        <v>0</v>
      </c>
    </row>
    <row r="16" spans="1:7" s="10" customFormat="1" ht="36" customHeight="1" thickBot="1">
      <c r="A16" s="26"/>
      <c r="B16" s="27" t="s">
        <v>111</v>
      </c>
      <c r="C16" s="28"/>
      <c r="D16" s="29"/>
      <c r="E16" s="29"/>
      <c r="F16" s="30"/>
      <c r="G16" s="13">
        <f>SUBTOTAL(9,G6:G15)</f>
        <v>0</v>
      </c>
    </row>
    <row r="18" spans="3:5">
      <c r="C18" s="15"/>
      <c r="E18" s="33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Zeros="0" topLeftCell="A41" workbookViewId="0">
      <selection activeCell="G40" sqref="G40"/>
    </sheetView>
  </sheetViews>
  <sheetFormatPr defaultColWidth="9.140625" defaultRowHeight="15"/>
  <cols>
    <col min="1" max="1" width="11.140625" style="78" customWidth="1"/>
    <col min="2" max="2" width="11.5703125" style="79" customWidth="1"/>
    <col min="3" max="3" width="48.7109375" style="84" customWidth="1"/>
    <col min="4" max="4" width="9.140625" style="81"/>
    <col min="5" max="5" width="12.7109375" style="81" customWidth="1"/>
    <col min="6" max="7" width="12.7109375" style="83" customWidth="1"/>
    <col min="8" max="16384" width="9.140625" style="50"/>
  </cols>
  <sheetData>
    <row r="1" spans="1:7" ht="60" customHeight="1">
      <c r="A1" s="49" t="s">
        <v>0</v>
      </c>
      <c r="B1" s="214" t="s">
        <v>157</v>
      </c>
      <c r="C1" s="215"/>
      <c r="D1" s="215"/>
      <c r="E1" s="215"/>
      <c r="F1" s="215"/>
      <c r="G1" s="216"/>
    </row>
    <row r="2" spans="1:7" ht="104.45" customHeight="1">
      <c r="A2" s="51" t="s">
        <v>1</v>
      </c>
      <c r="B2" s="217" t="s">
        <v>2</v>
      </c>
      <c r="C2" s="218"/>
      <c r="D2" s="218"/>
      <c r="E2" s="218"/>
      <c r="F2" s="218"/>
      <c r="G2" s="219"/>
    </row>
    <row r="3" spans="1:7" ht="90" customHeight="1" thickBot="1">
      <c r="A3" s="52" t="s">
        <v>3</v>
      </c>
      <c r="B3" s="220" t="s">
        <v>4</v>
      </c>
      <c r="C3" s="221"/>
      <c r="D3" s="221"/>
      <c r="E3" s="221"/>
      <c r="F3" s="221"/>
      <c r="G3" s="222"/>
    </row>
    <row r="4" spans="1:7" ht="30" customHeight="1" thickBot="1">
      <c r="A4" s="223" t="s">
        <v>158</v>
      </c>
      <c r="B4" s="224"/>
      <c r="C4" s="224"/>
      <c r="D4" s="224"/>
      <c r="E4" s="224"/>
      <c r="F4" s="224"/>
      <c r="G4" s="225"/>
    </row>
    <row r="5" spans="1:7" ht="26.25" thickBot="1">
      <c r="A5" s="53" t="s">
        <v>6</v>
      </c>
      <c r="B5" s="54" t="s">
        <v>25</v>
      </c>
      <c r="C5" s="55" t="s">
        <v>7</v>
      </c>
      <c r="D5" s="54" t="s">
        <v>26</v>
      </c>
      <c r="E5" s="54" t="s">
        <v>27</v>
      </c>
      <c r="F5" s="56" t="s">
        <v>28</v>
      </c>
      <c r="G5" s="57" t="s">
        <v>8</v>
      </c>
    </row>
    <row r="6" spans="1:7" s="65" customFormat="1" ht="36" customHeight="1">
      <c r="A6" s="58"/>
      <c r="B6" s="59" t="s">
        <v>159</v>
      </c>
      <c r="C6" s="60" t="s">
        <v>160</v>
      </c>
      <c r="D6" s="61" t="s">
        <v>31</v>
      </c>
      <c r="E6" s="62" t="s">
        <v>31</v>
      </c>
      <c r="F6" s="63" t="s">
        <v>31</v>
      </c>
      <c r="G6" s="64" t="s">
        <v>31</v>
      </c>
    </row>
    <row r="7" spans="1:7" s="65" customFormat="1" ht="36" customHeight="1">
      <c r="A7" s="66" t="s">
        <v>9</v>
      </c>
      <c r="B7" s="67"/>
      <c r="C7" s="159" t="s">
        <v>161</v>
      </c>
      <c r="D7" s="68" t="s">
        <v>162</v>
      </c>
      <c r="E7" s="69">
        <v>4</v>
      </c>
      <c r="F7" s="70"/>
      <c r="G7" s="71">
        <f>ROUND(E7*F7,2)</f>
        <v>0</v>
      </c>
    </row>
    <row r="8" spans="1:7" s="65" customFormat="1" ht="36">
      <c r="A8" s="66" t="s">
        <v>11</v>
      </c>
      <c r="B8" s="67"/>
      <c r="C8" s="159" t="s">
        <v>163</v>
      </c>
      <c r="D8" s="68" t="s">
        <v>162</v>
      </c>
      <c r="E8" s="69">
        <v>1</v>
      </c>
      <c r="F8" s="70"/>
      <c r="G8" s="71">
        <f t="shared" ref="G8:G51" si="0">ROUND(E8*F8,2)</f>
        <v>0</v>
      </c>
    </row>
    <row r="9" spans="1:7" s="65" customFormat="1" ht="36" customHeight="1">
      <c r="A9" s="66" t="s">
        <v>13</v>
      </c>
      <c r="B9" s="67"/>
      <c r="C9" s="159" t="s">
        <v>164</v>
      </c>
      <c r="D9" s="68" t="s">
        <v>162</v>
      </c>
      <c r="E9" s="69">
        <v>1</v>
      </c>
      <c r="F9" s="70"/>
      <c r="G9" s="71">
        <f t="shared" si="0"/>
        <v>0</v>
      </c>
    </row>
    <row r="10" spans="1:7" s="65" customFormat="1" ht="36" customHeight="1">
      <c r="A10" s="66" t="s">
        <v>15</v>
      </c>
      <c r="B10" s="67"/>
      <c r="C10" s="159" t="s">
        <v>165</v>
      </c>
      <c r="D10" s="68" t="s">
        <v>162</v>
      </c>
      <c r="E10" s="69">
        <v>1</v>
      </c>
      <c r="F10" s="70"/>
      <c r="G10" s="71">
        <f t="shared" si="0"/>
        <v>0</v>
      </c>
    </row>
    <row r="11" spans="1:7" s="65" customFormat="1" ht="36" customHeight="1">
      <c r="A11" s="66" t="s">
        <v>17</v>
      </c>
      <c r="B11" s="67"/>
      <c r="C11" s="159" t="s">
        <v>166</v>
      </c>
      <c r="D11" s="68" t="s">
        <v>162</v>
      </c>
      <c r="E11" s="69">
        <v>3</v>
      </c>
      <c r="F11" s="70"/>
      <c r="G11" s="71">
        <f t="shared" si="0"/>
        <v>0</v>
      </c>
    </row>
    <row r="12" spans="1:7" s="65" customFormat="1" ht="36" customHeight="1">
      <c r="A12" s="66" t="s">
        <v>18</v>
      </c>
      <c r="B12" s="67"/>
      <c r="C12" s="159" t="s">
        <v>167</v>
      </c>
      <c r="D12" s="68" t="s">
        <v>162</v>
      </c>
      <c r="E12" s="69">
        <v>6</v>
      </c>
      <c r="F12" s="70"/>
      <c r="G12" s="71">
        <f t="shared" si="0"/>
        <v>0</v>
      </c>
    </row>
    <row r="13" spans="1:7" s="65" customFormat="1" ht="36" customHeight="1">
      <c r="A13" s="66" t="s">
        <v>19</v>
      </c>
      <c r="B13" s="67"/>
      <c r="C13" s="159" t="s">
        <v>168</v>
      </c>
      <c r="D13" s="68" t="s">
        <v>162</v>
      </c>
      <c r="E13" s="69">
        <v>3</v>
      </c>
      <c r="F13" s="70"/>
      <c r="G13" s="71">
        <f t="shared" si="0"/>
        <v>0</v>
      </c>
    </row>
    <row r="14" spans="1:7" s="65" customFormat="1" ht="36" customHeight="1">
      <c r="A14" s="66" t="s">
        <v>20</v>
      </c>
      <c r="B14" s="67"/>
      <c r="C14" s="159" t="s">
        <v>169</v>
      </c>
      <c r="D14" s="68" t="s">
        <v>162</v>
      </c>
      <c r="E14" s="69">
        <v>7</v>
      </c>
      <c r="F14" s="70"/>
      <c r="G14" s="71">
        <f t="shared" si="0"/>
        <v>0</v>
      </c>
    </row>
    <row r="15" spans="1:7" s="65" customFormat="1" ht="36" customHeight="1">
      <c r="A15" s="66" t="s">
        <v>39</v>
      </c>
      <c r="B15" s="67"/>
      <c r="C15" s="159" t="s">
        <v>170</v>
      </c>
      <c r="D15" s="68" t="s">
        <v>162</v>
      </c>
      <c r="E15" s="69">
        <v>2</v>
      </c>
      <c r="F15" s="70"/>
      <c r="G15" s="71">
        <f t="shared" si="0"/>
        <v>0</v>
      </c>
    </row>
    <row r="16" spans="1:7" s="65" customFormat="1" ht="36" customHeight="1">
      <c r="A16" s="66" t="s">
        <v>40</v>
      </c>
      <c r="B16" s="67"/>
      <c r="C16" s="159" t="s">
        <v>171</v>
      </c>
      <c r="D16" s="68" t="s">
        <v>162</v>
      </c>
      <c r="E16" s="69">
        <v>1</v>
      </c>
      <c r="F16" s="70"/>
      <c r="G16" s="71">
        <f t="shared" si="0"/>
        <v>0</v>
      </c>
    </row>
    <row r="17" spans="1:7" s="65" customFormat="1" ht="36" customHeight="1">
      <c r="A17" s="66" t="s">
        <v>41</v>
      </c>
      <c r="B17" s="67"/>
      <c r="C17" s="159" t="s">
        <v>172</v>
      </c>
      <c r="D17" s="68" t="s">
        <v>162</v>
      </c>
      <c r="E17" s="69">
        <v>1</v>
      </c>
      <c r="F17" s="70"/>
      <c r="G17" s="71">
        <f t="shared" si="0"/>
        <v>0</v>
      </c>
    </row>
    <row r="18" spans="1:7" s="65" customFormat="1" ht="36" customHeight="1">
      <c r="A18" s="66" t="s">
        <v>43</v>
      </c>
      <c r="B18" s="67"/>
      <c r="C18" s="159" t="s">
        <v>173</v>
      </c>
      <c r="D18" s="68" t="s">
        <v>162</v>
      </c>
      <c r="E18" s="69">
        <v>1</v>
      </c>
      <c r="F18" s="70"/>
      <c r="G18" s="71">
        <f t="shared" si="0"/>
        <v>0</v>
      </c>
    </row>
    <row r="19" spans="1:7" s="65" customFormat="1" ht="36" customHeight="1">
      <c r="A19" s="66" t="s">
        <v>44</v>
      </c>
      <c r="B19" s="67"/>
      <c r="C19" s="159" t="s">
        <v>174</v>
      </c>
      <c r="D19" s="68" t="s">
        <v>162</v>
      </c>
      <c r="E19" s="69">
        <v>3</v>
      </c>
      <c r="F19" s="70"/>
      <c r="G19" s="71">
        <f t="shared" si="0"/>
        <v>0</v>
      </c>
    </row>
    <row r="20" spans="1:7" s="65" customFormat="1" ht="36" customHeight="1">
      <c r="A20" s="66" t="s">
        <v>45</v>
      </c>
      <c r="B20" s="67"/>
      <c r="C20" s="159" t="s">
        <v>175</v>
      </c>
      <c r="D20" s="68" t="s">
        <v>162</v>
      </c>
      <c r="E20" s="69">
        <v>2.1</v>
      </c>
      <c r="F20" s="70"/>
      <c r="G20" s="71">
        <f t="shared" si="0"/>
        <v>0</v>
      </c>
    </row>
    <row r="21" spans="1:7" s="65" customFormat="1" ht="36" customHeight="1">
      <c r="A21" s="66" t="s">
        <v>46</v>
      </c>
      <c r="B21" s="67"/>
      <c r="C21" s="159" t="s">
        <v>176</v>
      </c>
      <c r="D21" s="68" t="s">
        <v>162</v>
      </c>
      <c r="E21" s="69">
        <v>2.8</v>
      </c>
      <c r="F21" s="70"/>
      <c r="G21" s="71">
        <f t="shared" si="0"/>
        <v>0</v>
      </c>
    </row>
    <row r="22" spans="1:7" s="65" customFormat="1" ht="36" customHeight="1">
      <c r="A22" s="66" t="s">
        <v>47</v>
      </c>
      <c r="B22" s="67"/>
      <c r="C22" s="159" t="s">
        <v>177</v>
      </c>
      <c r="D22" s="68" t="s">
        <v>162</v>
      </c>
      <c r="E22" s="69">
        <v>1</v>
      </c>
      <c r="F22" s="70"/>
      <c r="G22" s="71">
        <f t="shared" si="0"/>
        <v>0</v>
      </c>
    </row>
    <row r="23" spans="1:7" s="65" customFormat="1" ht="36" customHeight="1">
      <c r="A23" s="66" t="s">
        <v>48</v>
      </c>
      <c r="B23" s="67"/>
      <c r="C23" s="159" t="s">
        <v>178</v>
      </c>
      <c r="D23" s="68" t="s">
        <v>162</v>
      </c>
      <c r="E23" s="69">
        <v>1</v>
      </c>
      <c r="F23" s="70"/>
      <c r="G23" s="71">
        <f t="shared" si="0"/>
        <v>0</v>
      </c>
    </row>
    <row r="24" spans="1:7" s="65" customFormat="1" ht="36" customHeight="1">
      <c r="A24" s="66" t="s">
        <v>49</v>
      </c>
      <c r="B24" s="67"/>
      <c r="C24" s="159" t="s">
        <v>179</v>
      </c>
      <c r="D24" s="68" t="s">
        <v>162</v>
      </c>
      <c r="E24" s="69">
        <v>6</v>
      </c>
      <c r="F24" s="70"/>
      <c r="G24" s="71">
        <f t="shared" si="0"/>
        <v>0</v>
      </c>
    </row>
    <row r="25" spans="1:7" s="65" customFormat="1" ht="36" customHeight="1">
      <c r="A25" s="66" t="s">
        <v>50</v>
      </c>
      <c r="B25" s="67"/>
      <c r="C25" s="159" t="s">
        <v>180</v>
      </c>
      <c r="D25" s="68" t="s">
        <v>162</v>
      </c>
      <c r="E25" s="69">
        <v>12</v>
      </c>
      <c r="F25" s="70"/>
      <c r="G25" s="71">
        <f t="shared" si="0"/>
        <v>0</v>
      </c>
    </row>
    <row r="26" spans="1:7" s="65" customFormat="1" ht="36" customHeight="1">
      <c r="A26" s="66" t="s">
        <v>51</v>
      </c>
      <c r="B26" s="67"/>
      <c r="C26" s="159" t="s">
        <v>181</v>
      </c>
      <c r="D26" s="68" t="s">
        <v>162</v>
      </c>
      <c r="E26" s="69">
        <v>6</v>
      </c>
      <c r="F26" s="70"/>
      <c r="G26" s="71">
        <f t="shared" si="0"/>
        <v>0</v>
      </c>
    </row>
    <row r="27" spans="1:7" s="65" customFormat="1" ht="36" customHeight="1">
      <c r="A27" s="66" t="s">
        <v>21</v>
      </c>
      <c r="B27" s="67"/>
      <c r="C27" s="159" t="s">
        <v>182</v>
      </c>
      <c r="D27" s="68" t="s">
        <v>162</v>
      </c>
      <c r="E27" s="69">
        <v>180</v>
      </c>
      <c r="F27" s="70"/>
      <c r="G27" s="71">
        <f t="shared" si="0"/>
        <v>0</v>
      </c>
    </row>
    <row r="28" spans="1:7" s="65" customFormat="1" ht="36" customHeight="1">
      <c r="A28" s="66" t="s">
        <v>22</v>
      </c>
      <c r="B28" s="67"/>
      <c r="C28" s="159" t="s">
        <v>183</v>
      </c>
      <c r="D28" s="68" t="s">
        <v>162</v>
      </c>
      <c r="E28" s="69">
        <v>10</v>
      </c>
      <c r="F28" s="70"/>
      <c r="G28" s="71">
        <f t="shared" si="0"/>
        <v>0</v>
      </c>
    </row>
    <row r="29" spans="1:7" s="65" customFormat="1" ht="36" customHeight="1">
      <c r="A29" s="66" t="s">
        <v>56</v>
      </c>
      <c r="B29" s="67"/>
      <c r="C29" s="159" t="s">
        <v>184</v>
      </c>
      <c r="D29" s="68" t="s">
        <v>185</v>
      </c>
      <c r="E29" s="69">
        <v>1</v>
      </c>
      <c r="F29" s="70"/>
      <c r="G29" s="71">
        <f t="shared" si="0"/>
        <v>0</v>
      </c>
    </row>
    <row r="30" spans="1:7" s="65" customFormat="1" ht="36" customHeight="1">
      <c r="A30" s="66" t="s">
        <v>58</v>
      </c>
      <c r="B30" s="67"/>
      <c r="C30" s="159" t="s">
        <v>186</v>
      </c>
      <c r="D30" s="68" t="s">
        <v>185</v>
      </c>
      <c r="E30" s="69">
        <v>1</v>
      </c>
      <c r="F30" s="70"/>
      <c r="G30" s="71">
        <f t="shared" si="0"/>
        <v>0</v>
      </c>
    </row>
    <row r="31" spans="1:7" s="65" customFormat="1" ht="36" customHeight="1">
      <c r="A31" s="66" t="s">
        <v>61</v>
      </c>
      <c r="B31" s="67"/>
      <c r="C31" s="159" t="s">
        <v>187</v>
      </c>
      <c r="D31" s="68" t="s">
        <v>162</v>
      </c>
      <c r="E31" s="69">
        <v>1</v>
      </c>
      <c r="F31" s="70"/>
      <c r="G31" s="71">
        <f t="shared" si="0"/>
        <v>0</v>
      </c>
    </row>
    <row r="32" spans="1:7" s="65" customFormat="1" ht="36" customHeight="1">
      <c r="A32" s="66" t="s">
        <v>64</v>
      </c>
      <c r="B32" s="67"/>
      <c r="C32" s="159" t="s">
        <v>188</v>
      </c>
      <c r="D32" s="68" t="s">
        <v>162</v>
      </c>
      <c r="E32" s="69">
        <v>1</v>
      </c>
      <c r="F32" s="70"/>
      <c r="G32" s="71">
        <f t="shared" si="0"/>
        <v>0</v>
      </c>
    </row>
    <row r="33" spans="1:7" s="65" customFormat="1" ht="36">
      <c r="A33" s="66" t="s">
        <v>69</v>
      </c>
      <c r="B33" s="67"/>
      <c r="C33" s="159" t="s">
        <v>189</v>
      </c>
      <c r="D33" s="68" t="s">
        <v>162</v>
      </c>
      <c r="E33" s="69">
        <v>4</v>
      </c>
      <c r="F33" s="70"/>
      <c r="G33" s="71">
        <f t="shared" si="0"/>
        <v>0</v>
      </c>
    </row>
    <row r="34" spans="1:7" s="65" customFormat="1" ht="36" customHeight="1">
      <c r="A34" s="66" t="s">
        <v>70</v>
      </c>
      <c r="B34" s="67"/>
      <c r="C34" s="159" t="s">
        <v>190</v>
      </c>
      <c r="D34" s="68" t="s">
        <v>162</v>
      </c>
      <c r="E34" s="69">
        <v>4</v>
      </c>
      <c r="F34" s="70"/>
      <c r="G34" s="71">
        <f t="shared" si="0"/>
        <v>0</v>
      </c>
    </row>
    <row r="35" spans="1:7" s="65" customFormat="1" ht="36" customHeight="1">
      <c r="A35" s="66" t="s">
        <v>151</v>
      </c>
      <c r="B35" s="67"/>
      <c r="C35" s="159" t="s">
        <v>191</v>
      </c>
      <c r="D35" s="68" t="s">
        <v>162</v>
      </c>
      <c r="E35" s="69">
        <v>4</v>
      </c>
      <c r="F35" s="70"/>
      <c r="G35" s="71">
        <f t="shared" si="0"/>
        <v>0</v>
      </c>
    </row>
    <row r="36" spans="1:7" s="65" customFormat="1" ht="36" customHeight="1">
      <c r="A36" s="66" t="s">
        <v>152</v>
      </c>
      <c r="B36" s="67"/>
      <c r="C36" s="159" t="s">
        <v>192</v>
      </c>
      <c r="D36" s="68" t="s">
        <v>162</v>
      </c>
      <c r="E36" s="69">
        <v>180</v>
      </c>
      <c r="F36" s="70"/>
      <c r="G36" s="71">
        <f t="shared" si="0"/>
        <v>0</v>
      </c>
    </row>
    <row r="37" spans="1:7" s="65" customFormat="1" ht="36" customHeight="1">
      <c r="A37" s="66" t="s">
        <v>153</v>
      </c>
      <c r="B37" s="67"/>
      <c r="C37" s="159" t="s">
        <v>183</v>
      </c>
      <c r="D37" s="68" t="s">
        <v>162</v>
      </c>
      <c r="E37" s="69">
        <v>6</v>
      </c>
      <c r="F37" s="70"/>
      <c r="G37" s="71">
        <f t="shared" si="0"/>
        <v>0</v>
      </c>
    </row>
    <row r="38" spans="1:7" s="65" customFormat="1" ht="36" customHeight="1">
      <c r="A38" s="66" t="s">
        <v>154</v>
      </c>
      <c r="B38" s="67"/>
      <c r="C38" s="159" t="s">
        <v>193</v>
      </c>
      <c r="D38" s="68" t="s">
        <v>162</v>
      </c>
      <c r="E38" s="69">
        <v>1</v>
      </c>
      <c r="F38" s="70"/>
      <c r="G38" s="71">
        <f t="shared" si="0"/>
        <v>0</v>
      </c>
    </row>
    <row r="39" spans="1:7" s="65" customFormat="1" ht="48">
      <c r="A39" s="66" t="s">
        <v>155</v>
      </c>
      <c r="B39" s="67"/>
      <c r="C39" s="159" t="s">
        <v>194</v>
      </c>
      <c r="D39" s="68" t="s">
        <v>162</v>
      </c>
      <c r="E39" s="69">
        <v>4</v>
      </c>
      <c r="F39" s="70"/>
      <c r="G39" s="71">
        <f t="shared" si="0"/>
        <v>0</v>
      </c>
    </row>
    <row r="40" spans="1:7" s="65" customFormat="1" ht="36" customHeight="1">
      <c r="A40" s="66" t="s">
        <v>156</v>
      </c>
      <c r="B40" s="67"/>
      <c r="C40" s="159" t="s">
        <v>195</v>
      </c>
      <c r="D40" s="68" t="s">
        <v>162</v>
      </c>
      <c r="E40" s="69">
        <v>5</v>
      </c>
      <c r="F40" s="70"/>
      <c r="G40" s="71">
        <f t="shared" si="0"/>
        <v>0</v>
      </c>
    </row>
    <row r="41" spans="1:7" s="65" customFormat="1" ht="36" customHeight="1">
      <c r="A41" s="66" t="s">
        <v>196</v>
      </c>
      <c r="B41" s="67"/>
      <c r="C41" s="159" t="s">
        <v>197</v>
      </c>
      <c r="D41" s="68" t="s">
        <v>162</v>
      </c>
      <c r="E41" s="69">
        <v>5</v>
      </c>
      <c r="F41" s="70"/>
      <c r="G41" s="71">
        <f t="shared" si="0"/>
        <v>0</v>
      </c>
    </row>
    <row r="42" spans="1:7" s="65" customFormat="1" ht="36" customHeight="1">
      <c r="A42" s="66" t="s">
        <v>198</v>
      </c>
      <c r="B42" s="67"/>
      <c r="C42" s="159" t="s">
        <v>199</v>
      </c>
      <c r="D42" s="68" t="s">
        <v>34</v>
      </c>
      <c r="E42" s="69">
        <v>0.03</v>
      </c>
      <c r="F42" s="70"/>
      <c r="G42" s="71">
        <f t="shared" si="0"/>
        <v>0</v>
      </c>
    </row>
    <row r="43" spans="1:7" s="65" customFormat="1" ht="36" customHeight="1">
      <c r="A43" s="66" t="s">
        <v>200</v>
      </c>
      <c r="B43" s="67"/>
      <c r="C43" s="159" t="s">
        <v>201</v>
      </c>
      <c r="D43" s="68" t="s">
        <v>162</v>
      </c>
      <c r="E43" s="69">
        <v>1</v>
      </c>
      <c r="F43" s="70"/>
      <c r="G43" s="71">
        <f t="shared" si="0"/>
        <v>0</v>
      </c>
    </row>
    <row r="44" spans="1:7" s="65" customFormat="1" ht="36" customHeight="1">
      <c r="A44" s="66" t="s">
        <v>202</v>
      </c>
      <c r="B44" s="67"/>
      <c r="C44" s="159" t="s">
        <v>203</v>
      </c>
      <c r="D44" s="68" t="s">
        <v>162</v>
      </c>
      <c r="E44" s="69">
        <v>27</v>
      </c>
      <c r="F44" s="70"/>
      <c r="G44" s="71">
        <f t="shared" si="0"/>
        <v>0</v>
      </c>
    </row>
    <row r="45" spans="1:7" s="65" customFormat="1" ht="36" customHeight="1">
      <c r="A45" s="66" t="s">
        <v>204</v>
      </c>
      <c r="B45" s="67"/>
      <c r="C45" s="159" t="s">
        <v>205</v>
      </c>
      <c r="D45" s="68" t="s">
        <v>162</v>
      </c>
      <c r="E45" s="69">
        <v>16</v>
      </c>
      <c r="F45" s="70"/>
      <c r="G45" s="71">
        <f t="shared" si="0"/>
        <v>0</v>
      </c>
    </row>
    <row r="46" spans="1:7" s="65" customFormat="1" ht="36" customHeight="1">
      <c r="A46" s="66" t="s">
        <v>206</v>
      </c>
      <c r="B46" s="67"/>
      <c r="C46" s="159" t="s">
        <v>207</v>
      </c>
      <c r="D46" s="68" t="s">
        <v>42</v>
      </c>
      <c r="E46" s="69">
        <v>10</v>
      </c>
      <c r="F46" s="70"/>
      <c r="G46" s="71">
        <f t="shared" si="0"/>
        <v>0</v>
      </c>
    </row>
    <row r="47" spans="1:7" s="65" customFormat="1" ht="36" customHeight="1">
      <c r="A47" s="66" t="s">
        <v>208</v>
      </c>
      <c r="B47" s="67"/>
      <c r="C47" s="159" t="s">
        <v>209</v>
      </c>
      <c r="D47" s="68" t="s">
        <v>162</v>
      </c>
      <c r="E47" s="69">
        <v>1</v>
      </c>
      <c r="F47" s="70"/>
      <c r="G47" s="71">
        <f t="shared" si="0"/>
        <v>0</v>
      </c>
    </row>
    <row r="48" spans="1:7" s="65" customFormat="1" ht="36" customHeight="1">
      <c r="A48" s="66" t="s">
        <v>210</v>
      </c>
      <c r="B48" s="67"/>
      <c r="C48" s="159" t="s">
        <v>211</v>
      </c>
      <c r="D48" s="68" t="s">
        <v>162</v>
      </c>
      <c r="E48" s="69">
        <v>2</v>
      </c>
      <c r="F48" s="70"/>
      <c r="G48" s="71">
        <f t="shared" si="0"/>
        <v>0</v>
      </c>
    </row>
    <row r="49" spans="1:7" s="65" customFormat="1" ht="36" customHeight="1">
      <c r="A49" s="66" t="s">
        <v>212</v>
      </c>
      <c r="B49" s="67"/>
      <c r="C49" s="159" t="s">
        <v>213</v>
      </c>
      <c r="D49" s="68" t="s">
        <v>162</v>
      </c>
      <c r="E49" s="69">
        <v>3</v>
      </c>
      <c r="F49" s="70"/>
      <c r="G49" s="71">
        <f t="shared" si="0"/>
        <v>0</v>
      </c>
    </row>
    <row r="50" spans="1:7" s="65" customFormat="1" ht="36" customHeight="1">
      <c r="A50" s="66" t="s">
        <v>214</v>
      </c>
      <c r="B50" s="67"/>
      <c r="C50" s="159" t="s">
        <v>215</v>
      </c>
      <c r="D50" s="68" t="s">
        <v>162</v>
      </c>
      <c r="E50" s="69">
        <v>3</v>
      </c>
      <c r="F50" s="70"/>
      <c r="G50" s="71">
        <f t="shared" si="0"/>
        <v>0</v>
      </c>
    </row>
    <row r="51" spans="1:7" s="65" customFormat="1" ht="36" customHeight="1" thickBot="1">
      <c r="A51" s="66" t="s">
        <v>216</v>
      </c>
      <c r="B51" s="67"/>
      <c r="C51" s="159" t="s">
        <v>217</v>
      </c>
      <c r="D51" s="68" t="s">
        <v>42</v>
      </c>
      <c r="E51" s="69">
        <v>27</v>
      </c>
      <c r="F51" s="70"/>
      <c r="G51" s="71">
        <f t="shared" si="0"/>
        <v>0</v>
      </c>
    </row>
    <row r="52" spans="1:7" s="65" customFormat="1" ht="36" customHeight="1" thickBot="1">
      <c r="A52" s="72"/>
      <c r="B52" s="73" t="s">
        <v>111</v>
      </c>
      <c r="C52" s="74"/>
      <c r="D52" s="75"/>
      <c r="E52" s="75"/>
      <c r="F52" s="76"/>
      <c r="G52" s="77">
        <f>SUBTOTAL(9,G6:G51)</f>
        <v>0</v>
      </c>
    </row>
    <row r="54" spans="1:7" s="83" customFormat="1">
      <c r="A54" s="78"/>
      <c r="B54" s="79"/>
      <c r="C54" s="80"/>
      <c r="D54" s="81"/>
      <c r="E54" s="82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14</vt:i4>
      </vt:variant>
    </vt:vector>
  </HeadingPairs>
  <TitlesOfParts>
    <vt:vector size="31" baseType="lpstr">
      <vt:lpstr>ZZK</vt:lpstr>
      <vt:lpstr>WO Kontraktu</vt:lpstr>
      <vt:lpstr>Roboty drogowe</vt:lpstr>
      <vt:lpstr>Docelowa Organizacja Ruchu</vt:lpstr>
      <vt:lpstr>Kanalizacja deszczowa</vt:lpstr>
      <vt:lpstr>KD-wykopy liniowe</vt:lpstr>
      <vt:lpstr>KD - wykopy obiektowe</vt:lpstr>
      <vt:lpstr>Zieleń</vt:lpstr>
      <vt:lpstr>sieć trakcyjna</vt:lpstr>
      <vt:lpstr>OBIEKTY</vt:lpstr>
      <vt:lpstr>Kananał Technologiczny</vt:lpstr>
      <vt:lpstr>Budowa oświetlenia</vt:lpstr>
      <vt:lpstr>likwidacja kolizji elektrenerg.</vt:lpstr>
      <vt:lpstr>SRK</vt:lpstr>
      <vt:lpstr>Przebudowa sieci telekom.</vt:lpstr>
      <vt:lpstr>Energetyka PKP</vt:lpstr>
      <vt:lpstr>Przebudowa WN</vt:lpstr>
      <vt:lpstr>OBIEKTY!Obszar_wydruku</vt:lpstr>
      <vt:lpstr>'Budowa oświetlenia'!Tytuły_wydruku</vt:lpstr>
      <vt:lpstr>'Docelowa Organizacja Ruchu'!Tytuły_wydruku</vt:lpstr>
      <vt:lpstr>'Energetyka PKP'!Tytuły_wydruku</vt:lpstr>
      <vt:lpstr>'Kanalizacja deszczowa'!Tytuły_wydruku</vt:lpstr>
      <vt:lpstr>'KD - wykopy obiektowe'!Tytuły_wydruku</vt:lpstr>
      <vt:lpstr>'KD-wykopy liniowe'!Tytuły_wydruku</vt:lpstr>
      <vt:lpstr>'likwidacja kolizji elektrenerg.'!Tytuły_wydruku</vt:lpstr>
      <vt:lpstr>'Przebudowa WN'!Tytuły_wydruku</vt:lpstr>
      <vt:lpstr>'Roboty drogowe'!Tytuły_wydruku</vt:lpstr>
      <vt:lpstr>'sieć trakcyjna'!Tytuły_wydruku</vt:lpstr>
      <vt:lpstr>SRK!Tytuły_wydruku</vt:lpstr>
      <vt:lpstr>Zieleń!Tytuły_wydruku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LMadetko</dc:creator>
  <cp:lastModifiedBy>Śmigielska Anna</cp:lastModifiedBy>
  <dcterms:created xsi:type="dcterms:W3CDTF">2021-08-09T15:29:49Z</dcterms:created>
  <dcterms:modified xsi:type="dcterms:W3CDTF">2022-02-04T14:13:30Z</dcterms:modified>
</cp:coreProperties>
</file>