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X:\2023\2356 Świlcza droga gminna 2173\100_PRZEKAZANIE\04_PR i Koszty\"/>
    </mc:Choice>
  </mc:AlternateContent>
  <xr:revisionPtr revIDLastSave="0" documentId="13_ncr:1_{5E2B0379-C1EF-4DE8-890C-2F042FBB61B5}" xr6:coauthVersionLast="47" xr6:coauthVersionMax="47" xr10:uidLastSave="{00000000-0000-0000-0000-000000000000}"/>
  <bookViews>
    <workbookView xWindow="28680" yWindow="-1305" windowWidth="29040" windowHeight="15840" firstSheet="1" activeTab="1" xr2:uid="{5A2C22AF-6248-422A-A655-8B3461333F4C}"/>
    <workbookView xWindow="28680" yWindow="-1305" windowWidth="29040" windowHeight="15840" firstSheet="1" activeTab="3" xr2:uid="{FDBAE370-545C-4AE3-8B99-BFC0942F27E6}"/>
  </bookViews>
  <sheets>
    <sheet name="strona tyt KI" sheetId="60" state="hidden" r:id="rId1"/>
    <sheet name="01.0_ST KO" sheetId="65" r:id="rId2"/>
    <sheet name="02.2_ZZK" sheetId="68" r:id="rId3"/>
    <sheet name="02.3_KI" sheetId="70" r:id="rId4"/>
    <sheet name="5.1. Brzeziny - Dół Płn." sheetId="56" state="hidden" r:id="rId5"/>
    <sheet name="5.2. Brzeziny - Dół Płn." sheetId="55" state="hidden" r:id="rId6"/>
    <sheet name="4.Zdjęcie humusu" sheetId="28" state="hidden" r:id="rId7"/>
    <sheet name="5. Humusowanie" sheetId="29" state="hidden" r:id="rId8"/>
    <sheet name="6.Wykopy-Nasypy" sheetId="30" state="hidden" r:id="rId9"/>
    <sheet name="7.Koryto" sheetId="31" state="hidden" r:id="rId10"/>
    <sheet name="8.odcinająca" sheetId="32" state="hidden" r:id="rId11"/>
    <sheet name="9.wiążąca" sheetId="33" state="hidden" r:id="rId12"/>
    <sheet name="10.ścieralna" sheetId="34" state="hidden" r:id="rId13"/>
  </sheets>
  <externalReferences>
    <externalReference r:id="rId14"/>
    <externalReference r:id="rId15"/>
    <externalReference r:id="rId16"/>
  </externalReferences>
  <definedNames>
    <definedName name="_xlnm.Print_Area" localSheetId="1">'01.0_ST KO'!$A$1:$J$36</definedName>
    <definedName name="_xlnm.Print_Area" localSheetId="2">'02.2_ZZK'!$A$1:$J$32</definedName>
    <definedName name="_xlnm.Print_Area" localSheetId="3">'02.3_KI'!$A$1:$J$84</definedName>
    <definedName name="_xlnm.Print_Area" localSheetId="12">'10.ścieralna'!$A$1:$G$46</definedName>
    <definedName name="_xlnm.Print_Area" localSheetId="6">'4.Zdjęcie humusu'!$A$1:$F$58</definedName>
    <definedName name="_xlnm.Print_Area" localSheetId="7">'5. Humusowanie'!$A$1:$F$61</definedName>
    <definedName name="_xlnm.Print_Area" localSheetId="4">'5.1. Brzeziny - Dół Płn.'!$A$1:$I$35</definedName>
    <definedName name="_xlnm.Print_Area" localSheetId="5">'5.2. Brzeziny - Dół Płn.'!$A$1:$E$28</definedName>
    <definedName name="_xlnm.Print_Area" localSheetId="8">'6.Wykopy-Nasypy'!$A$1:$N$77</definedName>
    <definedName name="_xlnm.Print_Area" localSheetId="9">'7.Koryto'!$A$1:$G$55</definedName>
    <definedName name="_xlnm.Print_Area" localSheetId="10">'8.odcinająca'!$A$1:$G$54</definedName>
    <definedName name="_xlnm.Print_Area" localSheetId="11">'9.wiążąca'!$A$1:$G$46</definedName>
    <definedName name="_xlnm.Print_Area" localSheetId="0">'strona tyt KI'!$A$1:$J$32</definedName>
    <definedName name="Print_Area" localSheetId="3">'02.3_KI'!#REF!</definedName>
  </definedNames>
  <calcPr calcId="191029" fullPrecision="0"/>
</workbook>
</file>

<file path=xl/calcChain.xml><?xml version="1.0" encoding="utf-8"?>
<calcChain xmlns="http://schemas.openxmlformats.org/spreadsheetml/2006/main">
  <c r="J68" i="70" l="1"/>
  <c r="E22" i="68" l="1"/>
  <c r="J8" i="70"/>
  <c r="J9" i="70"/>
  <c r="J10" i="70"/>
  <c r="J15" i="70"/>
  <c r="J17" i="70"/>
  <c r="J18" i="70"/>
  <c r="J20" i="70"/>
  <c r="J22" i="70"/>
  <c r="J23" i="70"/>
  <c r="J24" i="70"/>
  <c r="J25" i="70"/>
  <c r="J26" i="70"/>
  <c r="J27" i="70"/>
  <c r="J28" i="70"/>
  <c r="J32" i="70"/>
  <c r="J33" i="70"/>
  <c r="J34" i="70"/>
  <c r="J38" i="70"/>
  <c r="J39" i="70"/>
  <c r="J40" i="70"/>
  <c r="J41" i="70"/>
  <c r="J45" i="70"/>
  <c r="J46" i="70"/>
  <c r="J48" i="70"/>
  <c r="J49" i="70"/>
  <c r="J51" i="70"/>
  <c r="J52" i="70"/>
  <c r="J56" i="70"/>
  <c r="J58" i="70"/>
  <c r="J59" i="70"/>
  <c r="J63" i="70"/>
  <c r="J64" i="70"/>
  <c r="J70" i="70"/>
  <c r="J80" i="70"/>
  <c r="J78" i="70"/>
  <c r="J76" i="70"/>
  <c r="J74" i="70"/>
  <c r="J71" i="70" l="1"/>
  <c r="E17" i="68" s="1"/>
  <c r="J81" i="70"/>
  <c r="E18" i="68" s="1"/>
  <c r="J65" i="70"/>
  <c r="E16" i="68" s="1"/>
  <c r="J60" i="70"/>
  <c r="E15" i="68" s="1"/>
  <c r="J53" i="70"/>
  <c r="E14" i="68" s="1"/>
  <c r="J42" i="70"/>
  <c r="E13" i="68" s="1"/>
  <c r="J35" i="70"/>
  <c r="E12" i="68" s="1"/>
  <c r="J29" i="70"/>
  <c r="E11" i="68" s="1"/>
  <c r="J11" i="70"/>
  <c r="E8" i="68" s="1"/>
  <c r="E19" i="68" l="1"/>
  <c r="J82" i="70"/>
  <c r="J19" i="68" l="1"/>
  <c r="L19" i="68" s="1"/>
  <c r="J22" i="68" l="1"/>
  <c r="L22" i="68" s="1"/>
  <c r="J84" i="70" l="1"/>
  <c r="J83" i="70" s="1"/>
  <c r="B61" i="65" l="1"/>
  <c r="B60" i="65"/>
  <c r="B59" i="65"/>
  <c r="B57" i="65"/>
  <c r="B56" i="65"/>
  <c r="B55" i="65"/>
  <c r="B54" i="65"/>
  <c r="B52" i="65"/>
  <c r="I13" i="68"/>
  <c r="A2" i="70" l="1"/>
  <c r="C5" i="68"/>
  <c r="I15" i="68" l="1"/>
  <c r="I14" i="68"/>
  <c r="I12" i="68"/>
  <c r="E9" i="68"/>
  <c r="E23" i="68" s="1"/>
  <c r="C8" i="68"/>
  <c r="C7" i="68"/>
  <c r="E24" i="68" l="1"/>
  <c r="E25" i="68" s="1"/>
  <c r="J9" i="68"/>
  <c r="L9" i="68" s="1"/>
  <c r="M77" i="68" l="1"/>
  <c r="F69" i="68" l="1"/>
  <c r="M69" i="68"/>
  <c r="F70" i="68" l="1"/>
  <c r="K70" i="68"/>
  <c r="J61" i="68"/>
  <c r="M70" i="68" l="1"/>
  <c r="F71" i="68"/>
  <c r="M71" i="68" l="1"/>
  <c r="F72" i="68"/>
  <c r="M72" i="68" l="1"/>
  <c r="K73" i="68"/>
  <c r="J64" i="68"/>
  <c r="F73" i="68"/>
  <c r="M73" i="68" l="1"/>
  <c r="F75" i="68"/>
  <c r="F74" i="68"/>
  <c r="M74" i="68" l="1"/>
  <c r="M75" i="68"/>
  <c r="F76" i="68"/>
  <c r="K76" i="68"/>
  <c r="J67" i="68"/>
  <c r="M76" i="68" l="1"/>
  <c r="D17" i="60"/>
  <c r="E17" i="55" l="1"/>
  <c r="B5" i="56" l="1"/>
  <c r="A53" i="56"/>
  <c r="A65" i="56" s="1"/>
  <c r="D22" i="56"/>
  <c r="E25" i="55"/>
  <c r="E22" i="55"/>
  <c r="E12" i="55"/>
  <c r="E9" i="55"/>
  <c r="E26" i="55" l="1"/>
  <c r="G26" i="55" s="1"/>
  <c r="H26" i="55" s="1"/>
  <c r="A63" i="56"/>
  <c r="J63" i="56" s="1"/>
  <c r="E27" i="55" l="1"/>
  <c r="E28" i="55" s="1"/>
  <c r="A66" i="56"/>
  <c r="E19" i="56" l="1"/>
  <c r="A55" i="56"/>
  <c r="A78" i="56"/>
  <c r="A76" i="56"/>
  <c r="J76" i="56" s="1"/>
  <c r="A68" i="56"/>
  <c r="A69" i="56" s="1"/>
  <c r="A70" i="55"/>
  <c r="E22" i="56"/>
  <c r="F69" i="56" l="1"/>
  <c r="E69" i="56"/>
  <c r="D69" i="56"/>
  <c r="C69" i="56"/>
  <c r="H69" i="56"/>
  <c r="G69" i="56"/>
  <c r="A70" i="56"/>
  <c r="F68" i="56"/>
  <c r="D68" i="56"/>
  <c r="E68" i="56"/>
  <c r="C68" i="56"/>
  <c r="A56" i="56"/>
  <c r="C55" i="56"/>
  <c r="E55" i="56"/>
  <c r="D55" i="56"/>
  <c r="F55" i="56"/>
  <c r="A82" i="55"/>
  <c r="A80" i="55"/>
  <c r="J81" i="55" s="1"/>
  <c r="A72" i="55"/>
  <c r="J68" i="56" l="1"/>
  <c r="J55" i="56"/>
  <c r="A73" i="55"/>
  <c r="E72" i="55"/>
  <c r="C72" i="55"/>
  <c r="F73" i="55"/>
  <c r="D72" i="55"/>
  <c r="D56" i="56"/>
  <c r="G56" i="56"/>
  <c r="H56" i="56"/>
  <c r="E56" i="56"/>
  <c r="F56" i="56"/>
  <c r="C56" i="56"/>
  <c r="A57" i="56"/>
  <c r="F70" i="56"/>
  <c r="E70" i="56"/>
  <c r="D70" i="56"/>
  <c r="A71" i="56"/>
  <c r="C70" i="56"/>
  <c r="J69" i="56"/>
  <c r="F50" i="32"/>
  <c r="F30" i="32"/>
  <c r="F51" i="31"/>
  <c r="F30" i="31"/>
  <c r="F50" i="29"/>
  <c r="F29" i="29"/>
  <c r="F49" i="28"/>
  <c r="F29" i="28"/>
  <c r="E41" i="34"/>
  <c r="C41" i="34"/>
  <c r="E39" i="34"/>
  <c r="C39" i="34"/>
  <c r="E37" i="34"/>
  <c r="C37" i="34"/>
  <c r="F37" i="34" s="1"/>
  <c r="E25" i="34"/>
  <c r="C25" i="34"/>
  <c r="F25" i="34" s="1"/>
  <c r="E23" i="34"/>
  <c r="C23" i="34"/>
  <c r="E21" i="34"/>
  <c r="C21" i="34"/>
  <c r="E19" i="34"/>
  <c r="C19" i="34"/>
  <c r="E17" i="34"/>
  <c r="C17" i="34"/>
  <c r="F17" i="34" s="1"/>
  <c r="E15" i="34"/>
  <c r="C15" i="34"/>
  <c r="F15" i="34" s="1"/>
  <c r="E13" i="34"/>
  <c r="C13" i="34"/>
  <c r="F13" i="34" s="1"/>
  <c r="E41" i="33"/>
  <c r="C41" i="33"/>
  <c r="E39" i="33"/>
  <c r="C39" i="33"/>
  <c r="F39" i="33" s="1"/>
  <c r="E37" i="33"/>
  <c r="C37" i="33"/>
  <c r="E25" i="33"/>
  <c r="C25" i="33"/>
  <c r="E23" i="33"/>
  <c r="C23" i="33"/>
  <c r="F23" i="33" s="1"/>
  <c r="E21" i="33"/>
  <c r="C21" i="33"/>
  <c r="E19" i="33"/>
  <c r="C19" i="33"/>
  <c r="E17" i="33"/>
  <c r="C17" i="33"/>
  <c r="E15" i="33"/>
  <c r="C15" i="33"/>
  <c r="F15" i="33" s="1"/>
  <c r="E13" i="33"/>
  <c r="C13" i="33"/>
  <c r="E45" i="32"/>
  <c r="C45" i="32"/>
  <c r="E43" i="32"/>
  <c r="C43" i="32"/>
  <c r="E41" i="32"/>
  <c r="C41" i="32"/>
  <c r="E25" i="32"/>
  <c r="C25" i="32"/>
  <c r="E23" i="32"/>
  <c r="C23" i="32"/>
  <c r="F23" i="32" s="1"/>
  <c r="E21" i="32"/>
  <c r="C21" i="32"/>
  <c r="F21" i="32" s="1"/>
  <c r="E19" i="32"/>
  <c r="C19" i="32"/>
  <c r="E17" i="32"/>
  <c r="C17" i="32"/>
  <c r="E15" i="32"/>
  <c r="C15" i="32"/>
  <c r="E13" i="32"/>
  <c r="C13" i="32"/>
  <c r="E46" i="31"/>
  <c r="C46" i="31"/>
  <c r="E44" i="31"/>
  <c r="C44" i="31"/>
  <c r="E42" i="31"/>
  <c r="C42" i="31"/>
  <c r="E25" i="31"/>
  <c r="C25" i="31"/>
  <c r="E23" i="31"/>
  <c r="C23" i="31"/>
  <c r="F23" i="31" s="1"/>
  <c r="E21" i="31"/>
  <c r="C21" i="31"/>
  <c r="E19" i="31"/>
  <c r="C19" i="31"/>
  <c r="F19" i="31" s="1"/>
  <c r="E17" i="31"/>
  <c r="C17" i="31"/>
  <c r="E15" i="31"/>
  <c r="C15" i="31"/>
  <c r="E13" i="31"/>
  <c r="C13" i="31"/>
  <c r="H55" i="30"/>
  <c r="I53" i="30"/>
  <c r="H53" i="30"/>
  <c r="H51" i="30"/>
  <c r="I51" i="30" s="1"/>
  <c r="K51" i="30" s="1"/>
  <c r="H49" i="30"/>
  <c r="G41" i="30"/>
  <c r="F41" i="30"/>
  <c r="E41" i="30"/>
  <c r="G39" i="30"/>
  <c r="F39" i="30"/>
  <c r="E39" i="30"/>
  <c r="G37" i="30"/>
  <c r="F37" i="30"/>
  <c r="E37" i="30"/>
  <c r="G25" i="30"/>
  <c r="F25" i="30"/>
  <c r="E25" i="30"/>
  <c r="G23" i="30"/>
  <c r="F23" i="30"/>
  <c r="E23" i="30"/>
  <c r="G21" i="30"/>
  <c r="F21" i="30"/>
  <c r="E21" i="30"/>
  <c r="G19" i="30"/>
  <c r="F19" i="30"/>
  <c r="E19" i="30"/>
  <c r="G17" i="30"/>
  <c r="F17" i="30"/>
  <c r="E17" i="30"/>
  <c r="G15" i="30"/>
  <c r="F15" i="30"/>
  <c r="E15" i="30"/>
  <c r="G13" i="30"/>
  <c r="F13" i="30"/>
  <c r="E13" i="30"/>
  <c r="A4" i="30"/>
  <c r="E45" i="29"/>
  <c r="C45" i="29"/>
  <c r="F45" i="29" s="1"/>
  <c r="E43" i="29"/>
  <c r="C43" i="29"/>
  <c r="E41" i="29"/>
  <c r="C41" i="29"/>
  <c r="E24" i="29"/>
  <c r="C24" i="29"/>
  <c r="E22" i="29"/>
  <c r="C22" i="29"/>
  <c r="E20" i="29"/>
  <c r="C20" i="29"/>
  <c r="F20" i="29" s="1"/>
  <c r="E18" i="29"/>
  <c r="C18" i="29"/>
  <c r="E16" i="29"/>
  <c r="C16" i="29"/>
  <c r="E14" i="29"/>
  <c r="C14" i="29"/>
  <c r="E12" i="29"/>
  <c r="C12" i="29"/>
  <c r="E44" i="28"/>
  <c r="C44" i="28"/>
  <c r="E42" i="28"/>
  <c r="C42" i="28"/>
  <c r="E40" i="28"/>
  <c r="C40" i="28"/>
  <c r="E24" i="28"/>
  <c r="C24" i="28"/>
  <c r="E22" i="28"/>
  <c r="C22" i="28"/>
  <c r="E20" i="28"/>
  <c r="C20" i="28"/>
  <c r="E18" i="28"/>
  <c r="C18" i="28"/>
  <c r="E16" i="28"/>
  <c r="C16" i="28"/>
  <c r="F16" i="28" s="1"/>
  <c r="E14" i="28"/>
  <c r="C14" i="28"/>
  <c r="F14" i="28" s="1"/>
  <c r="E12" i="28"/>
  <c r="C12" i="28"/>
  <c r="F12" i="28" s="1"/>
  <c r="F13" i="33"/>
  <c r="F19" i="33"/>
  <c r="H23" i="30" l="1"/>
  <c r="F19" i="34"/>
  <c r="F21" i="33"/>
  <c r="H17" i="30"/>
  <c r="H25" i="30"/>
  <c r="I41" i="30"/>
  <c r="K41" i="30" s="1"/>
  <c r="I39" i="30"/>
  <c r="F41" i="33"/>
  <c r="H19" i="30"/>
  <c r="F25" i="31"/>
  <c r="F25" i="33"/>
  <c r="I17" i="30"/>
  <c r="L17" i="30" s="1"/>
  <c r="J53" i="30"/>
  <c r="F17" i="33"/>
  <c r="I19" i="30"/>
  <c r="F18" i="28"/>
  <c r="I21" i="30"/>
  <c r="F45" i="32"/>
  <c r="I49" i="30"/>
  <c r="J49" i="30" s="1"/>
  <c r="F24" i="28"/>
  <c r="I55" i="30"/>
  <c r="J55" i="30" s="1"/>
  <c r="F40" i="28"/>
  <c r="F22" i="29"/>
  <c r="I37" i="30"/>
  <c r="F15" i="31"/>
  <c r="H41" i="30"/>
  <c r="J41" i="30" s="1"/>
  <c r="H21" i="30"/>
  <c r="F21" i="31"/>
  <c r="F18" i="29"/>
  <c r="K53" i="30"/>
  <c r="J17" i="30"/>
  <c r="H37" i="30"/>
  <c r="J51" i="30"/>
  <c r="F44" i="28"/>
  <c r="F14" i="29"/>
  <c r="I23" i="30"/>
  <c r="H39" i="30"/>
  <c r="K39" i="30" s="1"/>
  <c r="H15" i="30"/>
  <c r="F43" i="32"/>
  <c r="F37" i="33"/>
  <c r="F44" i="33" s="1"/>
  <c r="F12" i="29"/>
  <c r="F16" i="29"/>
  <c r="H13" i="30"/>
  <c r="I15" i="30"/>
  <c r="L15" i="30" s="1"/>
  <c r="F17" i="31"/>
  <c r="F22" i="28"/>
  <c r="F41" i="29"/>
  <c r="F43" i="29"/>
  <c r="I13" i="30"/>
  <c r="F44" i="31"/>
  <c r="F46" i="31"/>
  <c r="F13" i="32"/>
  <c r="F15" i="32"/>
  <c r="F17" i="32"/>
  <c r="F19" i="32"/>
  <c r="F23" i="34"/>
  <c r="F39" i="34"/>
  <c r="F41" i="34"/>
  <c r="F20" i="28"/>
  <c r="F42" i="28"/>
  <c r="F24" i="29"/>
  <c r="I25" i="30"/>
  <c r="K25" i="30" s="1"/>
  <c r="F42" i="31"/>
  <c r="F25" i="32"/>
  <c r="F41" i="32"/>
  <c r="F21" i="34"/>
  <c r="J56" i="56"/>
  <c r="J73" i="55"/>
  <c r="J70" i="56"/>
  <c r="A72" i="56"/>
  <c r="C71" i="56"/>
  <c r="F71" i="56"/>
  <c r="D71" i="56"/>
  <c r="A58" i="56"/>
  <c r="D57" i="56"/>
  <c r="E57" i="56"/>
  <c r="C57" i="56"/>
  <c r="F57" i="56"/>
  <c r="A74" i="55"/>
  <c r="G65" i="55"/>
  <c r="H74" i="55"/>
  <c r="F74" i="55"/>
  <c r="E73" i="55"/>
  <c r="D73" i="55"/>
  <c r="C73" i="55"/>
  <c r="J21" i="30"/>
  <c r="K21" i="30"/>
  <c r="L21" i="30"/>
  <c r="J23" i="30"/>
  <c r="K23" i="30"/>
  <c r="L23" i="30"/>
  <c r="L25" i="30"/>
  <c r="F13" i="31"/>
  <c r="K19" i="30" l="1"/>
  <c r="F28" i="33"/>
  <c r="F48" i="29"/>
  <c r="F52" i="29" s="1"/>
  <c r="H28" i="30"/>
  <c r="F48" i="32"/>
  <c r="F52" i="32" s="1"/>
  <c r="I44" i="30"/>
  <c r="H72" i="30" s="1"/>
  <c r="J19" i="30"/>
  <c r="H44" i="30"/>
  <c r="H70" i="30" s="1"/>
  <c r="K17" i="30"/>
  <c r="L39" i="30"/>
  <c r="J39" i="30"/>
  <c r="F28" i="34"/>
  <c r="F27" i="29"/>
  <c r="F31" i="29" s="1"/>
  <c r="G57" i="29" s="1"/>
  <c r="L13" i="30"/>
  <c r="F47" i="28"/>
  <c r="F51" i="28" s="1"/>
  <c r="L19" i="30"/>
  <c r="F49" i="31"/>
  <c r="F53" i="31" s="1"/>
  <c r="F27" i="28"/>
  <c r="F31" i="28" s="1"/>
  <c r="F44" i="34"/>
  <c r="K13" i="30"/>
  <c r="J57" i="30"/>
  <c r="L41" i="30"/>
  <c r="F28" i="31"/>
  <c r="F32" i="31" s="1"/>
  <c r="J13" i="30"/>
  <c r="J25" i="30"/>
  <c r="K55" i="30"/>
  <c r="K49" i="30"/>
  <c r="J15" i="30"/>
  <c r="J37" i="30"/>
  <c r="L37" i="30"/>
  <c r="K37" i="30"/>
  <c r="K15" i="30"/>
  <c r="I28" i="30"/>
  <c r="H64" i="30" s="1"/>
  <c r="F28" i="32"/>
  <c r="F32" i="32" s="1"/>
  <c r="E57" i="29"/>
  <c r="E54" i="28" s="1"/>
  <c r="J74" i="55"/>
  <c r="J57" i="56"/>
  <c r="E74" i="55"/>
  <c r="A75" i="55"/>
  <c r="C74" i="55"/>
  <c r="F75" i="55"/>
  <c r="D74" i="55"/>
  <c r="C58" i="56"/>
  <c r="A59" i="56"/>
  <c r="F58" i="56"/>
  <c r="D58" i="56"/>
  <c r="E71" i="56"/>
  <c r="J71" i="56" s="1"/>
  <c r="C72" i="56"/>
  <c r="A73" i="56"/>
  <c r="H72" i="56"/>
  <c r="G72" i="56"/>
  <c r="F72" i="56"/>
  <c r="E72" i="56"/>
  <c r="D72" i="56"/>
  <c r="G59" i="29"/>
  <c r="E59" i="29"/>
  <c r="E55" i="28" s="1"/>
  <c r="H35" i="29"/>
  <c r="E57" i="28"/>
  <c r="N15" i="30"/>
  <c r="L28" i="30"/>
  <c r="M13" i="30"/>
  <c r="N13" i="30"/>
  <c r="M15" i="30" l="1"/>
  <c r="M17" i="30" s="1"/>
  <c r="N19" i="30" s="1"/>
  <c r="N21" i="30" s="1"/>
  <c r="N23" i="30" s="1"/>
  <c r="N25" i="30" s="1"/>
  <c r="N27" i="30" s="1"/>
  <c r="H56" i="28"/>
  <c r="H62" i="30"/>
  <c r="H74" i="30"/>
  <c r="G54" i="28"/>
  <c r="H54" i="28" s="1"/>
  <c r="E61" i="29"/>
  <c r="E56" i="28"/>
  <c r="K28" i="30"/>
  <c r="K44" i="30" s="1"/>
  <c r="E55" i="29"/>
  <c r="H59" i="29" s="1"/>
  <c r="I60" i="29" s="1"/>
  <c r="G55" i="29"/>
  <c r="G61" i="29" s="1"/>
  <c r="J28" i="30"/>
  <c r="J44" i="30" s="1"/>
  <c r="K57" i="30"/>
  <c r="L44" i="30"/>
  <c r="H66" i="30"/>
  <c r="D75" i="55"/>
  <c r="A76" i="55"/>
  <c r="E75" i="55" s="1"/>
  <c r="C75" i="55"/>
  <c r="F76" i="55"/>
  <c r="E73" i="56"/>
  <c r="A74" i="56"/>
  <c r="C73" i="56"/>
  <c r="F73" i="56"/>
  <c r="D73" i="56"/>
  <c r="J72" i="56"/>
  <c r="E58" i="56"/>
  <c r="J58" i="56" s="1"/>
  <c r="D59" i="56"/>
  <c r="A60" i="56"/>
  <c r="G59" i="56"/>
  <c r="C59" i="56"/>
  <c r="H59" i="56"/>
  <c r="E59" i="56"/>
  <c r="F59" i="56"/>
  <c r="J75" i="55"/>
  <c r="N28" i="30"/>
  <c r="N37" i="30"/>
  <c r="N39" i="30" s="1"/>
  <c r="M41" i="30" s="1"/>
  <c r="M43" i="30" s="1"/>
  <c r="M44" i="30" s="1"/>
  <c r="J76" i="55" l="1"/>
  <c r="J59" i="56"/>
  <c r="J73" i="56"/>
  <c r="F74" i="56"/>
  <c r="D74" i="56"/>
  <c r="E74" i="56"/>
  <c r="A75" i="56"/>
  <c r="C74" i="56"/>
  <c r="E60" i="56"/>
  <c r="A61" i="56"/>
  <c r="C60" i="56"/>
  <c r="F60" i="56"/>
  <c r="D60" i="56"/>
  <c r="C76" i="55"/>
  <c r="A77" i="55"/>
  <c r="G68" i="55"/>
  <c r="H77" i="55"/>
  <c r="F77" i="55"/>
  <c r="E76" i="55"/>
  <c r="D76" i="55"/>
  <c r="J74" i="56" l="1"/>
  <c r="C77" i="55"/>
  <c r="F78" i="55"/>
  <c r="A78" i="55"/>
  <c r="D77" i="55"/>
  <c r="E77" i="55"/>
  <c r="J60" i="56"/>
  <c r="E75" i="56"/>
  <c r="D75" i="56"/>
  <c r="C75" i="56"/>
  <c r="H75" i="56"/>
  <c r="G75" i="56"/>
  <c r="F75" i="56"/>
  <c r="J77" i="55"/>
  <c r="E61" i="56"/>
  <c r="A62" i="56"/>
  <c r="C61" i="56"/>
  <c r="F61" i="56"/>
  <c r="D61" i="56"/>
  <c r="J75" i="56" l="1"/>
  <c r="E78" i="56" s="1"/>
  <c r="B20" i="56" s="1"/>
  <c r="J61" i="56"/>
  <c r="F62" i="56"/>
  <c r="C62" i="56"/>
  <c r="D62" i="56"/>
  <c r="G62" i="56"/>
  <c r="H62" i="56"/>
  <c r="E62" i="56"/>
  <c r="C78" i="55"/>
  <c r="A79" i="55"/>
  <c r="F79" i="55"/>
  <c r="D78" i="55"/>
  <c r="J78" i="55"/>
  <c r="J62" i="56" l="1"/>
  <c r="E65" i="56" s="1"/>
  <c r="E78" i="55"/>
  <c r="J79" i="55" s="1"/>
  <c r="F80" i="55"/>
  <c r="C79" i="55"/>
  <c r="D79" i="55"/>
  <c r="G71" i="55"/>
  <c r="H80" i="55"/>
  <c r="E79" i="55"/>
  <c r="J80" i="55" l="1"/>
  <c r="E82" i="55" s="1"/>
  <c r="B24" i="56" s="1"/>
</calcChain>
</file>

<file path=xl/sharedStrings.xml><?xml version="1.0" encoding="utf-8"?>
<sst xmlns="http://schemas.openxmlformats.org/spreadsheetml/2006/main" count="839" uniqueCount="422">
  <si>
    <t>Razem</t>
  </si>
  <si>
    <t>I</t>
  </si>
  <si>
    <t>x</t>
  </si>
  <si>
    <t>II</t>
  </si>
  <si>
    <t>Inwestor:</t>
  </si>
  <si>
    <t>Słownie:</t>
  </si>
  <si>
    <t>Oznaczenie elementu</t>
  </si>
  <si>
    <t>Wyszczególnienie</t>
  </si>
  <si>
    <t xml:space="preserve">Wartość netto 
(PLN) </t>
  </si>
  <si>
    <t>KOSZT DOSTOSOWANIA SIĘ DO WYMAGAŃ WARUNKÓW KONTRAKTU</t>
  </si>
  <si>
    <t>D</t>
  </si>
  <si>
    <t>E</t>
  </si>
  <si>
    <t>A</t>
  </si>
  <si>
    <t>B</t>
  </si>
  <si>
    <t>C</t>
  </si>
  <si>
    <t>F</t>
  </si>
  <si>
    <t>G</t>
  </si>
  <si>
    <t>PODATEK VAT 23%</t>
  </si>
  <si>
    <t>Lp</t>
  </si>
  <si>
    <t>2.</t>
  </si>
  <si>
    <t>3.</t>
  </si>
  <si>
    <t>H</t>
  </si>
  <si>
    <t>WYMAGANIA OGÓLNE (DZIAŁ OGÓLNY)</t>
  </si>
  <si>
    <t>DROGOWA</t>
  </si>
  <si>
    <t>RAZEM [I]</t>
  </si>
  <si>
    <t>RAZEM [II]</t>
  </si>
  <si>
    <t>Tabela Nr 4</t>
  </si>
  <si>
    <t xml:space="preserve">TABELA ZDJĘCIA HUMUSU </t>
  </si>
  <si>
    <t>CHODNIK W CIĄGU DW NR 987</t>
  </si>
  <si>
    <t>Km</t>
  </si>
  <si>
    <t>Hm</t>
  </si>
  <si>
    <t>Odległości</t>
  </si>
  <si>
    <t>Zdjęcie humusu gr. 15 cm i darniny gr. 10 cm</t>
  </si>
  <si>
    <t>Szerokość [m]</t>
  </si>
  <si>
    <t>Szerokość średnia    
[m]</t>
  </si>
  <si>
    <t>Powierzchnia                 [m2]</t>
  </si>
  <si>
    <t>CHODNIK W CIĄGU DP NR 1333R</t>
  </si>
  <si>
    <t>RAZEM:</t>
  </si>
  <si>
    <t>ZJAZDY:</t>
  </si>
  <si>
    <t>ZW0</t>
  </si>
  <si>
    <t>ZW1</t>
  </si>
  <si>
    <t>ZW2</t>
  </si>
  <si>
    <t>ZP1</t>
  </si>
  <si>
    <t>ZP2</t>
  </si>
  <si>
    <r>
      <t>m</t>
    </r>
    <r>
      <rPr>
        <vertAlign val="superscript"/>
        <sz val="9"/>
        <rFont val="Arial CE"/>
        <charset val="238"/>
      </rPr>
      <t>2</t>
    </r>
  </si>
  <si>
    <t>Tabela Nr 5</t>
  </si>
  <si>
    <t>TABELA HUMUSOWANIA</t>
  </si>
  <si>
    <t>humusowanie gr. warstwy  proj. humusu 10cm</t>
  </si>
  <si>
    <t>Objętość zdjętego humusu wg tabeli nr 4 warstwa gr. 15cm.</t>
  </si>
  <si>
    <r>
      <t>m</t>
    </r>
    <r>
      <rPr>
        <vertAlign val="superscript"/>
        <sz val="9"/>
        <rFont val="Arial CE"/>
        <charset val="238"/>
      </rPr>
      <t>3</t>
    </r>
  </si>
  <si>
    <t>Powierzchnia humusu przeznacozna do usunięcia i wywiezienia na odkład przez Wykonawcę</t>
  </si>
  <si>
    <t xml:space="preserve">TABELA ROBÓT ZIEMNYCH                         </t>
  </si>
  <si>
    <t>Powierzchnia</t>
  </si>
  <si>
    <t>Średnia powierzchnia</t>
  </si>
  <si>
    <t>Odległość (m)</t>
  </si>
  <si>
    <t>Objętość</t>
  </si>
  <si>
    <t>Zyżycie na miejscu [m3]</t>
  </si>
  <si>
    <t>Nadmiar objętości</t>
  </si>
  <si>
    <t>Suma alg.</t>
  </si>
  <si>
    <t>Wykop</t>
  </si>
  <si>
    <t>Nasyp</t>
  </si>
  <si>
    <t>+</t>
  </si>
  <si>
    <t>-</t>
  </si>
  <si>
    <t>[m2]</t>
  </si>
  <si>
    <t>[m3]</t>
  </si>
  <si>
    <t>a</t>
  </si>
  <si>
    <t>b</t>
  </si>
  <si>
    <t>c</t>
  </si>
  <si>
    <t>d</t>
  </si>
  <si>
    <t>e</t>
  </si>
  <si>
    <t>f</t>
  </si>
  <si>
    <t>g</t>
  </si>
  <si>
    <t>Razem:</t>
  </si>
  <si>
    <t>Wykop
[m3]</t>
  </si>
  <si>
    <t>Nasyp
[m3]</t>
  </si>
  <si>
    <t>Bilans [m3]</t>
  </si>
  <si>
    <t>Wykonanie studni kanalizacyjnych przelotowych betonowych ø120 cm - 4,0 sztuk (wykopy i nasypy niezbedne dla wykonania kanału deszcozwego ujęto w ilościach wykazanych w tabeli robót ziemnych)</t>
  </si>
  <si>
    <t>Wykonanie studni kanalizacyjnej połączeniowej o średnicy ø150 cm w gotowym wykopie - 1,0 sztuka</t>
  </si>
  <si>
    <t>Wykonanie przykanalików deszczowych - 11mb</t>
  </si>
  <si>
    <t>Wykonanie studzienek ściekowych ø50cm - 4,0 sztuk</t>
  </si>
  <si>
    <t>WYKOPY OGÓŁEM [m3]</t>
  </si>
  <si>
    <t>NASYPY OGÓŁEM [m3]</t>
  </si>
  <si>
    <t>NADMIAR GRUNTU PRZEZNACOZNY NA ODKŁAD [m3]</t>
  </si>
  <si>
    <t>Tabela nr 7</t>
  </si>
  <si>
    <t>WYKONANIE KORYTA</t>
  </si>
  <si>
    <t>Wykonanie koryta o gł. śr. 55cm</t>
  </si>
  <si>
    <t>Tabela nr 8</t>
  </si>
  <si>
    <t>WYKONANIE WARSTWY ODCINAJĄCEJ</t>
  </si>
  <si>
    <t>Warstwa odcinająca z pospółki gr. 10cm</t>
  </si>
  <si>
    <t>Tabela nr 9</t>
  </si>
  <si>
    <t>WYKONANIE WARSTWY WIĄŻĄCEJ 
Z BETONU ASFALTOWEGO AC 16W</t>
  </si>
  <si>
    <t>Warstwa wiążaca z betonu asfaltowego gr. 7cm</t>
  </si>
  <si>
    <t>Tabela nr 10</t>
  </si>
  <si>
    <t>WYKONANIE WARSTWY ŚCIERALNEJ
Z BETONU ASFALTOWEGO AC 11S</t>
  </si>
  <si>
    <t>Warstwa ścieralna z betonu asfaltowego gr. 5cm</t>
  </si>
  <si>
    <t>Tabela Nr 6</t>
  </si>
  <si>
    <t>PRZEBUDOWA DROGI WOJEWÓDZKIEJ NR 987 KOLBUSZOWA – SĘDZISZÓW MAŁOPOLSKI POLEGAJĄCA NA BUDOWIE CHODNIKA DLA PIESZYCH W KM 13+788 ÷ 13+940 STRONA LEWA W MIEJSCOWOŚCI CZARNA SĘDZISZOWSKA</t>
  </si>
  <si>
    <t>OGÓŁEM DW:</t>
  </si>
  <si>
    <t>OGÓŁEM DP:</t>
  </si>
  <si>
    <t>Humus do ponownego wykorzystnia na miejscu  warstwa gr. 10 cm w ciągu DP.</t>
  </si>
  <si>
    <t>Wykorzystanie humusu na miejscu wg. tabeli nr 5 warstwa gr. 10 cm - DP</t>
  </si>
  <si>
    <t>Wykorzystanie humusu na miejscu wg. tabeli nr 5 warstwa gr. 10 cm - DW</t>
  </si>
  <si>
    <t>Humus do ponownego wykorzystnia na miejscu  warstwa gr. 10 cm w ciagu DW.</t>
  </si>
  <si>
    <t>Powierzchnia humusu do zdjęcia i wywiezienia na odkład warstwa gr. 15 cm - DW</t>
  </si>
  <si>
    <t>Powierzchnia humusu do zdjęcia i wywiezienia na odkład warstwa gr. 15 cm - DP</t>
  </si>
  <si>
    <t xml:space="preserve">Roboty ziemne związane z wykonaniem kanału deszczowego i studzieniek ściekowych w ciągu DW </t>
  </si>
  <si>
    <t>BILANS MAS ZIEMNYCH W CIĄGU DW NR 987</t>
  </si>
  <si>
    <t>BILANS MAS ZIEMNYCH W CIĄGU DP NR 1333R</t>
  </si>
  <si>
    <t>jeżeli "naście"</t>
  </si>
  <si>
    <t>0-5</t>
  </si>
  <si>
    <t>6-9</t>
  </si>
  <si>
    <t>dodatek</t>
  </si>
  <si>
    <t>sumuj te ciągi</t>
  </si>
  <si>
    <t>mgr inż.Tomasz Mroczek
mgr inż. Roman Charchut</t>
  </si>
  <si>
    <t>Branża:</t>
  </si>
  <si>
    <t>Kalkulację sporządził:</t>
  </si>
  <si>
    <t>Data opracowania kalkulacji:</t>
  </si>
  <si>
    <t>.............................</t>
  </si>
  <si>
    <t>Sporządził:</t>
  </si>
  <si>
    <t>Aktualizacje Kosztorysu Inwestorskiego</t>
  </si>
  <si>
    <t>1. styczeń 2015 r.</t>
  </si>
  <si>
    <t xml:space="preserve">SZACUNKOWA KALKULACJA KOSZTÓW </t>
  </si>
  <si>
    <t>X</t>
  </si>
  <si>
    <t>DOKUMENTY WYKONAWCY</t>
  </si>
  <si>
    <t>PRZEBUDOWA / ROZBUDOWA DROGI GMINNEJ (ROBOTY DROGOWE)</t>
  </si>
  <si>
    <t>ROBOTY ZIEMNE
- Wykonanie wykopów i nasypów,</t>
  </si>
  <si>
    <t xml:space="preserve">
ROBOTY  PRZYGOTOWAWCZE
- Wyznaczenei trasy i punktów wysokościowych w terenie,
- Wycinka i karczowanie drzew i krzewów,
- Zdjęcie warstwy humusu,
- Rozbiórki elementów dróg, przepustów, ogrodzeń i furtek, demontaż istn. oznakowania,
</t>
  </si>
  <si>
    <t>OZNAKOWANIE DRÓG I URZĄDZENIA BEZPIECZEŃSTWA RUCHU
- Montaż oznakowania pionowego
- Montaż barier ochronnych
- Wykonanie oznakowania poziomego</t>
  </si>
  <si>
    <t>PRZEBUDOWA I ZABEZPIECZENIE ISTNIEJĄCYCH SIECI UZBROJENIA TERENU
(ROBOTY BRANŻOWE)</t>
  </si>
  <si>
    <t xml:space="preserve">ROBOTY BUDOWLANE W ZAKRESIE ISTNIEJĄCYCH SIECI </t>
  </si>
  <si>
    <r>
      <t xml:space="preserve">
Dokumentacja Projektowa opracowywana przez Wykonawcę:
</t>
    </r>
    <r>
      <rPr>
        <i/>
        <sz val="10"/>
        <rFont val="Arial"/>
        <family val="2"/>
        <charset val="238"/>
      </rPr>
      <t>- Materiały geodezyjne - mapa do celów projektowych, wypisy i wyrysy z ewidencji gruntów, projekty podziału gruntów
  w zalezności od potrzeb,
- Dokumentacja Geotechniczna/Geologiczno - Inzynierska w zależności od potrzeb,
- Projekt Budowlany dla wszystkich branż wraz z kompletem niezbędnych decyzji opinii i uzgodnień
- Wniosek o wydanie pozwolenie na budowę wraz z uzyskaniem decyzji o pozwoleniu na budowę (w zależności od potrzeb) 
- Materiały do wniosku o ZRID wraz ze złożeniem wniosku i uzyskaniem decyzji ZRID (w zależności od potrzeb)
- Projekt Wykonawczy, Projekty stałej i tymczasowej organizacji ruchu, STWiORB, projekty branżowe, projekty technologiczne
  i inne w zalezności od potrzeb</t>
    </r>
    <r>
      <rPr>
        <i/>
        <sz val="12"/>
        <rFont val="Arial"/>
        <family val="2"/>
        <charset val="238"/>
      </rPr>
      <t xml:space="preserve">
</t>
    </r>
  </si>
  <si>
    <t>RAZEM [III]</t>
  </si>
  <si>
    <t>IV</t>
  </si>
  <si>
    <t>RAZEM [IV]</t>
  </si>
  <si>
    <t>GMINA WIELOPOLE SKRZYŃSKIE
POWIAT ROPCZYCKO - SĘDZISZOWSKI
WOJ. PODKARPACKIE</t>
  </si>
  <si>
    <t>SZACUNKOWA KALKULACJA KOSZTÓW</t>
  </si>
  <si>
    <t>J</t>
  </si>
  <si>
    <t>GMINA WIELOPOLE SKRZYŃSKIE
WIELOPOLE SKRZYŃSKIE 200
39-110 WIELOPOLE SKRZYŃSKIE</t>
  </si>
  <si>
    <t>OGÓŁEM SZACUNKOWA WARTOŚĆ ROBÓT BRUTTO</t>
  </si>
  <si>
    <t>Wartość szacunkowa robót  (netto):</t>
  </si>
  <si>
    <t>Ogółem szacunkowa wartość robót (brutto):</t>
  </si>
  <si>
    <t>K</t>
  </si>
  <si>
    <t>Numer i relacja drogi gminnej oraz planowany zakres robót:</t>
  </si>
  <si>
    <t>Nazwa obiektu:</t>
  </si>
  <si>
    <t>Adres obiektu:</t>
  </si>
  <si>
    <t>grudzień 2015 r.</t>
  </si>
  <si>
    <t xml:space="preserve">
Droga gminna nr 107718 R Brzeziny – Dół Północny
km od 0+000 do km 4+927
</t>
  </si>
  <si>
    <t xml:space="preserve">
NAWIERZCHNIE
- Wykonanie poszerzenia jezdni, wykonanie warstwy profilowej i warstwy ścieralnej lokalne naprawy istniejącej
   nawierzchni odcinek od km 0+000 do km 1+000
- Wykonanie nowych warstw nawierzchni bitumicznej, warstwa wiążąca i warstwa ścieralna na całej szerokości 
   jezdni od km 1+000 do km 4+927
</t>
  </si>
  <si>
    <t xml:space="preserve">ODWODNIENIE KORPUSU DROGOWEGO
- Odtworzenie rowów przydrożnych, umocnienie skarp i dna rowów elementami prefabrykowanymi,
- Sprawdzenie stanu technicznego, oczyszczenie i udrożnienie, przebudowa istniejących lub budowa 
  nowych przepustów (w zależności od potrzeb),
- Roboty konserwacyjne na istniejących rowach - odmulenie regulacja skarp na całej długości odcinka,
</t>
  </si>
  <si>
    <t>ROBOTY  WYKOŃCZENIOWE
- Plantowanie terenu, humusowanie,
- Scinanie i uzpełnianie poboczy,
- Odtworzenie zjazdów i zapewnienie dostepu do sąsiednich działek i pól uprawnych</t>
  </si>
  <si>
    <t xml:space="preserve">PODBUDOWY
- Wykonanie koryta i warstw konstrukcyjnych na poszerzeniach jezdni dcinek od km 0+000 do km 0+1+000
- Wykonanie koryta i warstw konstrukcyjnych na całej szerokości jedni odcinek od km 1+000 do km 4+927
  </t>
  </si>
  <si>
    <t xml:space="preserve">
ZATOKI POSTOJOWE
- Wykonanie 2 zatok postojowych wraz z peronem w lokalizacjach uzgodnionych z Zamawiającym
</t>
  </si>
  <si>
    <t xml:space="preserve">SZACUNKOWA WARTOŚĆ ROBÓT NETTO [I+II+III+IV] </t>
  </si>
  <si>
    <t>koszty ogólne</t>
  </si>
  <si>
    <t>koszty inwestycyjne</t>
  </si>
  <si>
    <t xml:space="preserve">ZBIORCZE ZESTAWIENIE KOSZTÓW </t>
  </si>
  <si>
    <t>Drogowa</t>
  </si>
  <si>
    <t>01.2018 r.</t>
  </si>
  <si>
    <t>mgr inż. Barbara Kawalec</t>
  </si>
  <si>
    <t>Opracował</t>
  </si>
  <si>
    <t>1.</t>
  </si>
  <si>
    <t>Nr uprawnień</t>
  </si>
  <si>
    <t>Podpis</t>
  </si>
  <si>
    <t>Data</t>
  </si>
  <si>
    <t>Imię i Nazwisko</t>
  </si>
  <si>
    <t>Lp.</t>
  </si>
  <si>
    <t>AUTORZY OPRACOWANIA:</t>
  </si>
  <si>
    <t>INWESTOR:</t>
  </si>
  <si>
    <t>CZĘŚĆ</t>
  </si>
  <si>
    <t>DZIAŁKI NR EWID.:</t>
  </si>
  <si>
    <t>WOJEWÓDZTWO PODKARPACKIE</t>
  </si>
  <si>
    <t>POWIAT ROPCZYCKO - SĘDZISZOWSKI</t>
  </si>
  <si>
    <t>ADRES OBIEKTÓW:</t>
  </si>
  <si>
    <t>OBIEKTY:</t>
  </si>
  <si>
    <t>NAZWA ZADANIA:</t>
  </si>
  <si>
    <r>
      <t>RODZAJ OPRACOWANIA</t>
    </r>
    <r>
      <rPr>
        <i/>
        <sz val="12"/>
        <rFont val="Arial"/>
        <family val="2"/>
        <charset val="238"/>
      </rPr>
      <t>:</t>
    </r>
  </si>
  <si>
    <t xml:space="preserve">
PROGRAM
 FUNKCJONALNO-UŻYTKOWY
</t>
  </si>
  <si>
    <t>ZAPROJEKTOWANIE I BUDOWA DROGI GMINNEJ – PRZEDŁUŻENIE UL. PRZEMYSŁOWEJ – ODCINEK „A” 
O DŁUGOŚCI OK 1220 M, ODCINEK „B” 
O DŁUGOŚCI OKOŁO 100 M ORAZ ZAPROJEKTOWANIE 
I PRZEBUDOWA ODCINKA UL. PRZEMYSŁOWEJ OD KM 0+555,00 DO KM 0+788,00 WRAZ Z NIEZBĘDNĄ INFRASTRUKTURĄ I PRZEBUDOWĄ SIECI UZBROJENIA TERENU W MIEŚCIE ROPCZYCE</t>
  </si>
  <si>
    <t>GMINA ROPCZYCE, POWIAT ROPCZYCKO - SĘDZISZOWSKI
WOJEWÓDZTWO PODKARPACKIE</t>
  </si>
  <si>
    <t>GMINA ROPCZYCE
WOJEWÓDZTWO PODKARPACKIE</t>
  </si>
  <si>
    <t>ZBIORCZE ZESTAWIENIE KOSZTÓW</t>
  </si>
  <si>
    <t xml:space="preserve">UL. KRISEGO 1 </t>
  </si>
  <si>
    <t>39 – 100 ROPCZYCE</t>
  </si>
  <si>
    <t>Funkcja</t>
  </si>
  <si>
    <t>ISTNIEJĄCA DROGA GMINNA NR 107558R UL. PRZEMYSŁOWA ORAZ NOWOPROJEKTOWANY ODCINEK DROGI GMINNEJ STANOWIĄCY PRZEDŁUŻENIE UL. PRZEMYSŁOWEJ</t>
  </si>
  <si>
    <t>ilości wykopów nasypów x średnia cena</t>
  </si>
  <si>
    <t>powierzchnie utwardzoen ogółem</t>
  </si>
  <si>
    <t>Magnezyty konstr na KR6 80 ok 9 800 m2 jezdnia, 
ścieżka rowerowa 30cm, chodnik 25 cm</t>
  </si>
  <si>
    <t>należy przyjąć realnie ok 0,5% wartosci netto robót zasadniczych maksymalnei 1%</t>
  </si>
  <si>
    <t>należy przyjać maks 0,5% wartości rboót budowlanych</t>
  </si>
  <si>
    <t>Rzeszów, maj 2020 r.</t>
  </si>
  <si>
    <t>05.2020 r.</t>
  </si>
  <si>
    <t>mgr inż. Roman Charchut
PDK/0061/PWOD/18</t>
  </si>
  <si>
    <t>Poz.</t>
  </si>
  <si>
    <t>Nazwa jednostki</t>
  </si>
  <si>
    <t>Ilość jednostek</t>
  </si>
  <si>
    <t>SST 00.00.00</t>
  </si>
  <si>
    <t>00.00.00</t>
  </si>
  <si>
    <t xml:space="preserve">Koszt dostosowania się do warunków kontraktowych </t>
  </si>
  <si>
    <t>1.1</t>
  </si>
  <si>
    <t>ryczałt</t>
  </si>
  <si>
    <t>SST 01.00.00
CPV 45111000-8</t>
  </si>
  <si>
    <r>
      <t xml:space="preserve">ROBOTY PRZYGOTOWAWCZE
</t>
    </r>
    <r>
      <rPr>
        <sz val="10"/>
        <rFont val="Times New Roman"/>
        <family val="1"/>
        <charset val="238"/>
      </rPr>
      <t>Roboty w zakresie burzenia, roboty ziemne</t>
    </r>
  </si>
  <si>
    <r>
      <t>m</t>
    </r>
    <r>
      <rPr>
        <b/>
        <vertAlign val="superscript"/>
        <sz val="10"/>
        <rFont val="Times New Roman"/>
        <family val="1"/>
        <charset val="238"/>
      </rPr>
      <t>2</t>
    </r>
  </si>
  <si>
    <t>01.02.04</t>
  </si>
  <si>
    <t>m</t>
  </si>
  <si>
    <t>szt.</t>
  </si>
  <si>
    <r>
      <t>m</t>
    </r>
    <r>
      <rPr>
        <b/>
        <vertAlign val="superscript"/>
        <sz val="10"/>
        <rFont val="Times New Roman"/>
        <family val="1"/>
        <charset val="238"/>
      </rPr>
      <t>3</t>
    </r>
  </si>
  <si>
    <t>SST 02.00.00
CPV 45112000-5</t>
  </si>
  <si>
    <r>
      <t xml:space="preserve">ROBOTY ZIEMNE
</t>
    </r>
    <r>
      <rPr>
        <sz val="10"/>
        <rFont val="Times New Roman"/>
        <family val="1"/>
        <charset val="238"/>
      </rPr>
      <t>Roboty w zakresie usuwania gleby</t>
    </r>
  </si>
  <si>
    <t>02.01.01</t>
  </si>
  <si>
    <t>SST 03.00.00
CPV 45231000-5</t>
  </si>
  <si>
    <r>
      <t xml:space="preserve">ODWODNIENIE KORPUSU DROGOWEGO
</t>
    </r>
    <r>
      <rPr>
        <sz val="10"/>
        <rFont val="Times New Roman"/>
        <family val="1"/>
        <charset val="238"/>
      </rPr>
      <t>Roboty budowlane w zakresie budowy rurociągów</t>
    </r>
  </si>
  <si>
    <t>SST 04.00.00
CPV 45233000-9</t>
  </si>
  <si>
    <t>SST 05.00.00
CPV 45233000-9</t>
  </si>
  <si>
    <r>
      <t xml:space="preserve">NAWIERZCHNIE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</si>
  <si>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05.03.05</t>
  </si>
  <si>
    <t>Nawierzchnia z betonu asfaltowego</t>
  </si>
  <si>
    <t>SST 06.00.00
CPV 45233000-9</t>
  </si>
  <si>
    <r>
      <t xml:space="preserve">ROBOTY WYKOŃCZENIOWE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</si>
  <si>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Umocnienie skarp, rowów i ścieków</t>
  </si>
  <si>
    <t>Wytyczenie proj. robót w terenie oczyszczenie i przygotowanie pasa drogowego</t>
  </si>
  <si>
    <t>Wykonanie wykopów / nasypów w gruntach I-V kat.</t>
  </si>
  <si>
    <t>Ulepszone podłoże z gruntu stabilizowanego cemenetem</t>
  </si>
  <si>
    <t>00.00.00
01.01.01</t>
  </si>
  <si>
    <t>ROBOTY  PRZYGOTOWAWCZE</t>
  </si>
  <si>
    <t>ROBOTY ZIEMNE</t>
  </si>
  <si>
    <t>PODBUDOWY</t>
  </si>
  <si>
    <t xml:space="preserve">NAWIERZCHNIE </t>
  </si>
  <si>
    <t>ODWODNIENIE KORPUSU DROGOWEGO</t>
  </si>
  <si>
    <t>ROBOTY  WYKOŃCZENIOWE</t>
  </si>
  <si>
    <t>01.02.02</t>
  </si>
  <si>
    <t>02.00.00</t>
  </si>
  <si>
    <t>PROJEKT WYKONAWCZY</t>
  </si>
  <si>
    <t>Oczyszcznie i skropienie emulsją asfaltową warstw konstrukcyjnych ulepszonych mechanicznie</t>
  </si>
  <si>
    <t>04.04.02</t>
  </si>
  <si>
    <t>Podbudowy z kruszywa łamanego stabilizowanego mechanicznie</t>
  </si>
  <si>
    <t>04.05.01</t>
  </si>
  <si>
    <t>Zdjęcie humusu darniny</t>
  </si>
  <si>
    <t>Rozbiórki elementów dróg, ogrodzeń i przepustów</t>
  </si>
  <si>
    <t>2.1</t>
  </si>
  <si>
    <t>3.1</t>
  </si>
  <si>
    <t>02.02.03</t>
  </si>
  <si>
    <t>4.1</t>
  </si>
  <si>
    <t>5.1</t>
  </si>
  <si>
    <t>5.2</t>
  </si>
  <si>
    <t>5.3</t>
  </si>
  <si>
    <t>6.1</t>
  </si>
  <si>
    <t>6.2</t>
  </si>
  <si>
    <t>7.1</t>
  </si>
  <si>
    <t>8.1</t>
  </si>
  <si>
    <t>9.1</t>
  </si>
  <si>
    <t>10.1</t>
  </si>
  <si>
    <t>Wyszczególnienie elementów rozliczeniowych
(Opis robót i obliczenei ich ilości)</t>
  </si>
  <si>
    <t>12.1</t>
  </si>
  <si>
    <t>Podstawy
[Nr STWIORB/CPV]</t>
  </si>
  <si>
    <t>Rozebranie podbudowy z kruszywa, gr. w-wy do 20 cm</t>
  </si>
  <si>
    <r>
      <t xml:space="preserve">PODBUDOWY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</si>
  <si>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Wykonanie podbudowy z kruszywa łamanego 0-31,5 mm stabilizowanego mechanicznie, gr. w-wy 15cm</t>
  </si>
  <si>
    <t>13.1</t>
  </si>
  <si>
    <t>1</t>
  </si>
  <si>
    <t>15.1</t>
  </si>
  <si>
    <t>Oczyszcznie i skropienie emulsją asfaltową warstw konstrukcyjnych (bitumicznych) mechanicznie</t>
  </si>
  <si>
    <t>14.1</t>
  </si>
  <si>
    <t>KOSZTORYS INWESTORSKI</t>
  </si>
  <si>
    <t>MIEJSCOWOŚĆ:</t>
  </si>
  <si>
    <t>GMINA:</t>
  </si>
  <si>
    <t>POWIAT:</t>
  </si>
  <si>
    <t>PODKARPACKIE</t>
  </si>
  <si>
    <t>WOJEWÓDZTWO:</t>
  </si>
  <si>
    <t xml:space="preserve">
Wykonanie i zatwierdzenie projektu oznakowania i zabezpieczenia robót oraz organizacji ruchu na czas prowadzenia robót (4 egz.) wraz z zakupem, ustawieniem, rozbiórką (po zakończeniu robót) oraz utrzymaniem oznakowania w trakcie realizacji robót
</t>
  </si>
  <si>
    <t>Koszt dostosowania się do pozostałych wymagań Warunków Kontraktu,Wymagań Ogólnych zawartych w Specyfikacji Technicznej Wykonania i Odbioru Robót Budowlanych DM.00.00.00 oraz szczegółowych STWiORB. Koszty spełnienia wymagań zarządców/właścicieli istniejących sieci i innych organów zgodnie z załączonymi do dokumentacji technicznej uzgodnieniami, decyzjami i warunkami technicznymi.</t>
  </si>
  <si>
    <t>RODZAJ OPRACOWANIA:</t>
  </si>
  <si>
    <t>OZNACZENIE I CZĘŚĆ OPRACOWANIA:</t>
  </si>
  <si>
    <t>NAZWA 
ZAMIERZENIA BUDOWLANEGO:</t>
  </si>
  <si>
    <t>OBIEKT BUDOWLANY:</t>
  </si>
  <si>
    <t>ADRES OBIEKTU:</t>
  </si>
  <si>
    <t>Egzemplarz nr …...</t>
  </si>
  <si>
    <t>04.03.01</t>
  </si>
  <si>
    <t>Oczyszczenie i skropienie warstw konstrukcyjnych</t>
  </si>
  <si>
    <t>SST 08.00.00
CPV 45233000-9</t>
  </si>
  <si>
    <r>
      <t xml:space="preserve">ELEMENTY ULIC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</si>
  <si>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01.01.01</t>
  </si>
  <si>
    <t>06.01.01</t>
  </si>
  <si>
    <t>11.1</t>
  </si>
  <si>
    <t>PODATEK VAT 23%:</t>
  </si>
  <si>
    <t>OGÓŁEM WARTOŚĆ KOSZTORYSOWA ROBÓT BRUTTO:</t>
  </si>
  <si>
    <t>ELEMENTY ULIC</t>
  </si>
  <si>
    <t>Wykonanie podbudowy z kruszywa łamanego 0-31,5 mm stabilizowanego mechanicznie, gr. w-wy 20cm</t>
  </si>
  <si>
    <t>ROBOTY DROGOWE</t>
  </si>
  <si>
    <t xml:space="preserve">Wyznaczenie proj. trasy i punktów wysokościowych w terenie.  
Wykonanie geodezyjnej inwentaryzacji powykonawczej. </t>
  </si>
  <si>
    <t>Nawierzchnia z kruszywa łamanego</t>
  </si>
  <si>
    <t>Wykonanie nawierzchni z kruszywa łamanego, gr w-wy 15cm</t>
  </si>
  <si>
    <t>Plantowanie i humusowanie z obsianiem przy grubości humusu 10 cm</t>
  </si>
  <si>
    <t>01.02.01</t>
  </si>
  <si>
    <t>Usunięcie drzew i krzewów</t>
  </si>
  <si>
    <t>Karczowanie zagajników i krzaków</t>
  </si>
  <si>
    <t>Cena jednostkowa</t>
  </si>
  <si>
    <t>Wartość robót netto</t>
  </si>
  <si>
    <t>RAZEM [B]</t>
  </si>
  <si>
    <t>RAZEM [C]</t>
  </si>
  <si>
    <t>RAZEM [D]</t>
  </si>
  <si>
    <t>RAZEM [G]</t>
  </si>
  <si>
    <t>RAZEM [F]</t>
  </si>
  <si>
    <t>RAZEM [E]</t>
  </si>
  <si>
    <t>RAZEM [H]</t>
  </si>
  <si>
    <t>Wykonanie nawierzchni z betonu asfaltowego AC 16W, warstwa wiążąca, gr. w-wy 5 cm</t>
  </si>
  <si>
    <t>Wykonanie nasypów mechanicznie z gruntu kat. I-V uzyskanego z wykopu</t>
  </si>
  <si>
    <t>Wykonanie wykopów mechanicznie w gr. kat. I-V z przerzutem w nasyp</t>
  </si>
  <si>
    <t>9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</si>
  <si>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</si>
  <si>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</si>
  <si>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</si>
  <si>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</si>
  <si>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</si>
  <si>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</si>
  <si>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</si>
  <si>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</si>
  <si>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</si>
  <si>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</si>
  <si>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</si>
  <si>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DROGA PUBLICZNA</t>
  </si>
  <si>
    <t>6.3</t>
  </si>
  <si>
    <t>9.2</t>
  </si>
  <si>
    <t>13.2</t>
  </si>
  <si>
    <t>05.02.01</t>
  </si>
  <si>
    <t>RZESZOWSKI</t>
  </si>
  <si>
    <t>ŚWILCZA</t>
  </si>
  <si>
    <t>WÓJT GMINY ŚWILCZA</t>
  </si>
  <si>
    <t>Świlcza 168</t>
  </si>
  <si>
    <t>36-072 ŚWILCZA</t>
  </si>
  <si>
    <t>[1]</t>
  </si>
  <si>
    <t>[2]</t>
  </si>
  <si>
    <t>[3]</t>
  </si>
  <si>
    <t>[4]</t>
  </si>
  <si>
    <t>[5]</t>
  </si>
  <si>
    <t>[6]</t>
  </si>
  <si>
    <t>1.3</t>
  </si>
  <si>
    <t>1.4</t>
  </si>
  <si>
    <t>Rozebranie - frezowanie nawierzchni z betonu asfaltowego, gr. w-wy średnio ok. 8 cm</t>
  </si>
  <si>
    <t>5.4</t>
  </si>
  <si>
    <t>5.5</t>
  </si>
  <si>
    <t>Rozebranie obrzeży betonowych</t>
  </si>
  <si>
    <t>Rozebranie krawężników betonowych</t>
  </si>
  <si>
    <r>
      <t>Wykonanie ulepszonego podłoża z gruntu stabilizowanego spoiwem hydraulicznym C</t>
    </r>
    <r>
      <rPr>
        <b/>
        <vertAlign val="subscript"/>
        <sz val="10"/>
        <rFont val="Times New Roman"/>
        <family val="1"/>
        <charset val="238"/>
      </rPr>
      <t>0,4/0,5</t>
    </r>
    <r>
      <rPr>
        <b/>
        <sz val="10"/>
        <rFont val="Times New Roman"/>
        <family val="1"/>
        <charset val="238"/>
      </rPr>
      <t xml:space="preserve">, gr. w-wy 15 cm </t>
    </r>
  </si>
  <si>
    <t>17.1</t>
  </si>
  <si>
    <t>08.01.01</t>
  </si>
  <si>
    <t>Krawężniki betonowe</t>
  </si>
  <si>
    <t>18.1</t>
  </si>
  <si>
    <t xml:space="preserve">Ustawienie krawężników betonowych o wymiarach 15x30 cm na ławie betonowej z oporem </t>
  </si>
  <si>
    <t>08.03.01</t>
  </si>
  <si>
    <t>Obrzeża betonowe</t>
  </si>
  <si>
    <t>Ustawienie obrzeży betonowych o wymiarach 30x8 cm</t>
  </si>
  <si>
    <t>08.02.02</t>
  </si>
  <si>
    <t>Chodniki z brukowej kostki betonowej</t>
  </si>
  <si>
    <t>Wykonanie chodnika z kostki brukowej brukowej betonowej gr. 8 cm</t>
  </si>
  <si>
    <t>SST 07.00.00
CPV 45233000-9</t>
  </si>
  <si>
    <r>
      <t xml:space="preserve">OZNAKOWANIE DRÓG I URZĄDZENIA BEZPIECZEŃSTWA RUCHU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</si>
  <si>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07.02.01</t>
  </si>
  <si>
    <t>Oznakowanie pionowe</t>
  </si>
  <si>
    <t xml:space="preserve">Ustawienie słupków wraz z przymocowaniem tarcz </t>
  </si>
  <si>
    <t>5.7</t>
  </si>
  <si>
    <t>03.02.01</t>
  </si>
  <si>
    <t>7.2</t>
  </si>
  <si>
    <t>Wykonanie przykanalików rur polipropylenowych (PP) DN 200mm</t>
  </si>
  <si>
    <t>7.3</t>
  </si>
  <si>
    <t>7.4</t>
  </si>
  <si>
    <t>Wykonanie studzienek ściekowych z kregów betonowych o średnicy DN 500mm, z wpustem żeliwnym klasy D400</t>
  </si>
  <si>
    <t xml:space="preserve">Wykonanie kanalizacji deszczowej z rur PEHD o średnicy DN 300mm </t>
  </si>
  <si>
    <t>Kanalizacja deszczowa (Rów kryty)</t>
  </si>
  <si>
    <t>5.6</t>
  </si>
  <si>
    <t>12.2</t>
  </si>
  <si>
    <t>16.1</t>
  </si>
  <si>
    <t>18</t>
  </si>
  <si>
    <t>19</t>
  </si>
  <si>
    <t>04.03.01
04.03.01</t>
  </si>
  <si>
    <t>[7]</t>
  </si>
  <si>
    <t>RAZEM [A]</t>
  </si>
  <si>
    <t xml:space="preserve">Rozebranie nawierzchni z kostki </t>
  </si>
  <si>
    <t>2-5</t>
  </si>
  <si>
    <t>OZNAKOWANIE DRÓG I URZĄDZENIA BEZPIECZEŃSTWA RUCHU</t>
  </si>
  <si>
    <t>7-8</t>
  </si>
  <si>
    <t>9-14</t>
  </si>
  <si>
    <t>15-18</t>
  </si>
  <si>
    <t>20-22</t>
  </si>
  <si>
    <t>23-25</t>
  </si>
  <si>
    <t>OGÓŁEM WARTOŚĆ ROBÓT BRUTTO</t>
  </si>
  <si>
    <t>ROBOTY SANITARNE</t>
  </si>
  <si>
    <t>ROBOTY SANITARNE: PRZEBUDOWA I ZABEZPIECZENIE SIECI WODOCIĄGOWYCH</t>
  </si>
  <si>
    <t>M</t>
  </si>
  <si>
    <t xml:space="preserve">RAZEM </t>
  </si>
  <si>
    <t>RAZEM</t>
  </si>
  <si>
    <t>WARTOŚĆ ROBÓT NETTO</t>
  </si>
  <si>
    <t>"BUDOWA DROGI GMINNEJ W KM 0+000 - 0+162 WRAZ Z NIEZBĘDNĄ INFRASTRUKTURĄ TECHNICZNĄ W MIEJSCOWOŚCI ŚWILCZA"</t>
  </si>
  <si>
    <t>Mechaniczne usunięcie warstwy ziemi urodzajnej (humusu) o średniej gr. w-wy 15 cm z darniną - część do późniejszego wykorzystania</t>
  </si>
  <si>
    <t>Wykonanie nawierzchni z betonu asfaltowego AC 11S warstwa ścieralna, gr. w-wy 4 cm</t>
  </si>
  <si>
    <r>
      <t>Wykonanie ulepszonego podłoża z gruntu stabilizowanego spoiwem hydraulicznym C</t>
    </r>
    <r>
      <rPr>
        <b/>
        <vertAlign val="subscript"/>
        <sz val="10"/>
        <rFont val="Times New Roman"/>
        <family val="1"/>
        <charset val="238"/>
      </rPr>
      <t>1,5/2,0</t>
    </r>
    <r>
      <rPr>
        <b/>
        <sz val="10"/>
        <rFont val="Times New Roman"/>
        <family val="1"/>
        <charset val="238"/>
      </rPr>
      <t>, gr. w-wy 25 cm o R</t>
    </r>
    <r>
      <rPr>
        <b/>
        <vertAlign val="subscript"/>
        <sz val="10"/>
        <rFont val="Times New Roman"/>
        <family val="1"/>
        <charset val="238"/>
      </rPr>
      <t>m</t>
    </r>
    <r>
      <rPr>
        <b/>
        <sz val="10"/>
        <rFont val="Times New Roman"/>
        <family val="1"/>
        <charset val="238"/>
      </rPr>
      <t>= min. 2,5 MPa</t>
    </r>
  </si>
  <si>
    <t>08.05.01</t>
  </si>
  <si>
    <t>Ścieki z elementów prefabrykowanych</t>
  </si>
  <si>
    <t>Wykonanaie ścieku korytkowego (KPED 01.03)</t>
  </si>
  <si>
    <t>Wykonanie wykopów mechanicznie w gr. kat. I-V z transportem urobku na odkład</t>
  </si>
  <si>
    <t xml:space="preserve">Umocnienie skarp prefabrykatami ażurowymi typu krata </t>
  </si>
  <si>
    <t>06.01.03</t>
  </si>
  <si>
    <t>Usunięcie drzew kolidujących z inwestycją o średnicy do 50cm w obrębie pasa drogowego</t>
  </si>
  <si>
    <t>01.02.01.</t>
  </si>
  <si>
    <t>Rozebranie kanałów z rur żelbetowych lub z tworzyw sztucznych o średnicy DN160-600mm</t>
  </si>
  <si>
    <t>Rozebranie elementów sieci kanalizacyjnej deszczowej</t>
  </si>
  <si>
    <t>Ceny jednostkowe wykorzystane w niniejszej kalkulacji szacunkowej ustalono na podstawie średnich cen rynkowych oferowanych przez Wykonawców w I kwartale 2024 r. i IV kwartale 2023 r. w postępowaniach przetarogwych o udzielenie zamówienia publicznego na budowę bądź rozbudowę dróg gminnych i powiatowych na terenie województwa podkarpackiego oraz elektroniczną baze cen robót w budownictwie - katalogi cen jednostowych i robót eBistyp oraz Sekocenbud</t>
  </si>
  <si>
    <t>3.2</t>
  </si>
  <si>
    <t>8.2</t>
  </si>
  <si>
    <t>10.2</t>
  </si>
  <si>
    <t>Wykonanie planu bezpieczeństwa i ochrony zdrowia (BIOZ) i programu zapwenienia jakości (PZJ) oraz harmonogramu rzeczowo-finansowego wraz aktualizacją w czasie robót</t>
  </si>
  <si>
    <t>WARTOŚĆ KOSZTORYSOWA ROBÓT BEZ PODATKU VAT [I-II]:</t>
  </si>
  <si>
    <t>Wykonanie studni kanalizacyjnej betonowej o średnicy wewnętrznej DN 1000mm. Studnie rewizyjne z kręgów betonowych</t>
  </si>
  <si>
    <t>Oznakowanie poziome</t>
  </si>
  <si>
    <t>07.01.01</t>
  </si>
  <si>
    <t>Wykonanie malowania oznakowania poziomego</t>
  </si>
  <si>
    <t>16</t>
  </si>
  <si>
    <t>19.1</t>
  </si>
  <si>
    <t>06.01.00</t>
  </si>
  <si>
    <t>KOSZTORYS OFERTOWY</t>
  </si>
  <si>
    <t>Nazwa, Imię i Nazwisko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</si>
</sst>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#,##0.00\ &quot;zł&quot;;\-#,##0.00\ &quot;zł&quot;"/>
    <numFmt numFmtId="164" formatCode="_-* #,##0.00\ _z_ł_-;\-* #,##0.00\ _z_ł_-;_-* &quot;-&quot;??\ _z_ł_-;_-@_-"/>
    <numFmt numFmtId="165" formatCode="00\-000"/>
    <numFmt numFmtId="166" formatCode="0.000%"/>
    <numFmt numFmtId="167" formatCode="0#\.##\.##\.##\."/>
    <numFmt numFmtId="168" formatCode="##\.##\.##\.00\."/>
    <numFmt numFmtId="169" formatCode="_-* #,##0.00\ _z_ł_-;\-* #,##0.00\ _z_ł_-;_-* \-??\ _z_ł_-;_-@_-"/>
    <numFmt numFmtId="170" formatCode="#,##0.00\ &quot;zł&quot;"/>
  </numFmts>
  <fonts count="8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Arial CE"/>
      <charset val="238"/>
    </font>
    <font>
      <sz val="9"/>
      <color indexed="48"/>
      <name val="Times New Roman"/>
      <family val="1"/>
      <charset val="238"/>
    </font>
    <font>
      <sz val="8"/>
      <color indexed="48"/>
      <name val="Times New Roman"/>
      <family val="1"/>
      <charset val="238"/>
    </font>
    <font>
      <b/>
      <i/>
      <sz val="28"/>
      <name val="Arial"/>
      <family val="2"/>
      <charset val="238"/>
    </font>
    <font>
      <i/>
      <sz val="10"/>
      <name val="Arial"/>
      <family val="2"/>
      <charset val="238"/>
    </font>
    <font>
      <i/>
      <sz val="14"/>
      <name val="Arial"/>
      <family val="2"/>
      <charset val="238"/>
    </font>
    <font>
      <b/>
      <i/>
      <sz val="16"/>
      <name val="Arial"/>
      <family val="2"/>
      <charset val="238"/>
    </font>
    <font>
      <sz val="10"/>
      <name val="Arial CE"/>
      <family val="2"/>
      <charset val="238"/>
    </font>
    <font>
      <b/>
      <i/>
      <sz val="12"/>
      <name val="Arial"/>
      <family val="2"/>
      <charset val="238"/>
    </font>
    <font>
      <b/>
      <i/>
      <sz val="14"/>
      <name val="Arial"/>
      <family val="2"/>
      <charset val="238"/>
    </font>
    <font>
      <i/>
      <sz val="12"/>
      <name val="Arial"/>
      <family val="2"/>
      <charset val="238"/>
    </font>
    <font>
      <b/>
      <i/>
      <sz val="24"/>
      <name val="Arial"/>
      <family val="2"/>
      <charset val="238"/>
    </font>
    <font>
      <b/>
      <i/>
      <u/>
      <sz val="12"/>
      <name val="Arial"/>
      <family val="2"/>
      <charset val="238"/>
    </font>
    <font>
      <b/>
      <i/>
      <u/>
      <sz val="11"/>
      <name val="Arial"/>
      <family val="2"/>
      <charset val="238"/>
    </font>
    <font>
      <b/>
      <u/>
      <sz val="10"/>
      <name val="Arial CE"/>
      <charset val="238"/>
    </font>
    <font>
      <b/>
      <sz val="14"/>
      <name val="Arial CE"/>
      <family val="2"/>
      <charset val="238"/>
    </font>
    <font>
      <b/>
      <sz val="16"/>
      <name val="Arial CE"/>
      <family val="2"/>
      <charset val="238"/>
    </font>
    <font>
      <b/>
      <sz val="11"/>
      <name val="Arial CE"/>
      <charset val="238"/>
    </font>
    <font>
      <sz val="8"/>
      <name val="Arial CE"/>
      <family val="2"/>
      <charset val="238"/>
    </font>
    <font>
      <u/>
      <sz val="10"/>
      <name val="Arial CE"/>
      <charset val="238"/>
    </font>
    <font>
      <sz val="9"/>
      <name val="Arial CE"/>
      <charset val="238"/>
    </font>
    <font>
      <vertAlign val="superscript"/>
      <sz val="9"/>
      <name val="Arial CE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charset val="238"/>
    </font>
    <font>
      <i/>
      <u/>
      <sz val="10"/>
      <name val="Arial CE"/>
      <charset val="238"/>
    </font>
    <font>
      <sz val="16"/>
      <name val="Arial CE"/>
      <family val="2"/>
      <charset val="238"/>
    </font>
    <font>
      <sz val="10"/>
      <color theme="0" tint="-0.249977111117893"/>
      <name val="Arial CE"/>
      <charset val="238"/>
    </font>
    <font>
      <b/>
      <sz val="10"/>
      <color theme="0" tint="-0.249977111117893"/>
      <name val="Arial CE"/>
      <charset val="238"/>
    </font>
    <font>
      <b/>
      <i/>
      <sz val="18"/>
      <name val="Arial"/>
      <family val="2"/>
      <charset val="238"/>
    </font>
    <font>
      <i/>
      <sz val="12"/>
      <color rgb="FF222222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6"/>
      <color rgb="FF0070C0"/>
      <name val="Arial CE"/>
      <charset val="238"/>
    </font>
    <font>
      <b/>
      <i/>
      <sz val="18"/>
      <color rgb="FF0070C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16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11"/>
      <name val="Times New Roman CE"/>
      <charset val="238"/>
    </font>
    <font>
      <sz val="11"/>
      <color rgb="FF000000"/>
      <name val="Calibri"/>
      <family val="2"/>
      <charset val="238"/>
    </font>
    <font>
      <b/>
      <sz val="12"/>
      <name val="Arial Narrow"/>
      <family val="2"/>
      <charset val="238"/>
    </font>
    <font>
      <sz val="8"/>
      <name val="Arial Narrow"/>
      <family val="2"/>
      <charset val="238"/>
    </font>
    <font>
      <b/>
      <i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4"/>
      <color theme="4" tint="-0.249977111117893"/>
      <name val="Arial Narrow"/>
      <family val="2"/>
      <charset val="238"/>
    </font>
    <font>
      <b/>
      <sz val="10"/>
      <name val="Arial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12"/>
      <color rgb="FF222222"/>
      <name val="Arial Narrow"/>
      <family val="2"/>
      <charset val="238"/>
    </font>
    <font>
      <b/>
      <sz val="12"/>
      <name val="Times New Roman"/>
      <family val="1"/>
      <charset val="238"/>
    </font>
    <font>
      <sz val="10"/>
      <name val="Arial Narrow"/>
      <family val="2"/>
      <charset val="238"/>
    </font>
    <font>
      <b/>
      <sz val="18"/>
      <color rgb="FFC00000"/>
      <name val="Arial Narrow"/>
      <family val="2"/>
      <charset val="238"/>
    </font>
    <font>
      <i/>
      <sz val="9"/>
      <name val="Arial Narrow"/>
      <family val="2"/>
      <charset val="238"/>
    </font>
    <font>
      <i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"/>
      <family val="2"/>
      <charset val="1"/>
    </font>
    <font>
      <sz val="10"/>
      <color rgb="FF0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1"/>
      <name val="Arial Narrow"/>
      <family val="2"/>
      <charset val="238"/>
    </font>
    <font>
      <i/>
      <sz val="10"/>
      <name val="Arial Narrow"/>
      <family val="2"/>
      <charset val="238"/>
    </font>
    <font>
      <b/>
      <vertAlign val="subscript"/>
      <sz val="10"/>
      <name val="Times New Roman"/>
      <family val="1"/>
      <charset val="238"/>
    </font>
    <font>
      <b/>
      <sz val="14"/>
      <name val="Arial Narrow"/>
      <family val="2"/>
      <charset val="238"/>
    </font>
    <font>
      <b/>
      <sz val="8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22"/>
      </patternFill>
    </fill>
    <fill>
      <patternFill patternType="solid">
        <fgColor indexed="47"/>
        <bgColor indexed="9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41"/>
      </patternFill>
    </fill>
    <fill>
      <patternFill patternType="solid">
        <fgColor rgb="FFFFFF00"/>
        <bgColor indexed="9"/>
      </patternFill>
    </fill>
    <fill>
      <patternFill patternType="solid">
        <fgColor rgb="FFCCCC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41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BFBFBF"/>
        <bgColor rgb="FFCCCC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9"/>
      </patternFill>
    </fill>
    <fill>
      <patternFill patternType="solid">
        <fgColor theme="6" tint="0.59999389629810485"/>
        <bgColor indexed="22"/>
      </patternFill>
    </fill>
    <fill>
      <patternFill patternType="solid">
        <fgColor rgb="FFDBEEF4"/>
        <bgColor rgb="FFE4EDF8"/>
      </patternFill>
    </fill>
    <fill>
      <patternFill patternType="solid">
        <fgColor rgb="FFA6A6A6"/>
        <bgColor rgb="FFC4BD97"/>
      </patternFill>
    </fill>
    <fill>
      <patternFill patternType="solid">
        <fgColor theme="6" tint="0.59999389629810485"/>
        <bgColor rgb="FFD9D9D9"/>
      </patternFill>
    </fill>
    <fill>
      <patternFill patternType="solid">
        <fgColor theme="6" tint="0.59999389629810485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374">
    <xf numFmtId="0" fontId="0" fillId="0" borderId="0"/>
    <xf numFmtId="164" fontId="18" fillId="0" borderId="0" applyFont="0" applyFill="0" applyBorder="0" applyAlignment="0" applyProtection="0"/>
    <xf numFmtId="0" fontId="25" fillId="0" borderId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53" fillId="0" borderId="0"/>
    <xf numFmtId="0" fontId="16" fillId="0" borderId="0"/>
    <xf numFmtId="0" fontId="16" fillId="0" borderId="0"/>
    <xf numFmtId="0" fontId="18" fillId="0" borderId="0"/>
    <xf numFmtId="0" fontId="54" fillId="0" borderId="0"/>
    <xf numFmtId="164" fontId="18" fillId="0" borderId="0" applyFont="0" applyFill="0" applyBorder="0" applyAlignment="0" applyProtection="0"/>
    <xf numFmtId="0" fontId="15" fillId="0" borderId="0"/>
    <xf numFmtId="0" fontId="53" fillId="0" borderId="0"/>
    <xf numFmtId="164" fontId="15" fillId="0" borderId="0" applyFont="0" applyFill="0" applyBorder="0" applyAlignment="0" applyProtection="0"/>
    <xf numFmtId="0" fontId="53" fillId="0" borderId="0"/>
    <xf numFmtId="0" fontId="53" fillId="0" borderId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54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60" fillId="0" borderId="2">
      <alignment horizontal="center"/>
    </xf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9" fontId="61" fillId="0" borderId="0" applyBorder="0" applyProtection="0"/>
    <xf numFmtId="169" fontId="61" fillId="0" borderId="0" applyBorder="0" applyProtection="0"/>
    <xf numFmtId="164" fontId="10" fillId="0" borderId="0" applyFont="0" applyFill="0" applyBorder="0" applyAlignment="0" applyProtection="0"/>
    <xf numFmtId="0" fontId="61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54" fillId="0" borderId="0"/>
    <xf numFmtId="164" fontId="18" fillId="0" borderId="0" applyFont="0" applyFill="0" applyBorder="0" applyAlignment="0" applyProtection="0"/>
    <xf numFmtId="0" fontId="10" fillId="0" borderId="0"/>
    <xf numFmtId="0" fontId="10" fillId="0" borderId="0"/>
    <xf numFmtId="0" fontId="54" fillId="0" borderId="0"/>
    <xf numFmtId="9" fontId="18" fillId="0" borderId="0" applyFont="0" applyFill="0" applyBorder="0" applyAlignment="0" applyProtection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9" fontId="61" fillId="0" borderId="0" applyBorder="0" applyProtection="0"/>
    <xf numFmtId="169" fontId="61" fillId="0" borderId="0" applyBorder="0" applyProtection="0"/>
    <xf numFmtId="169" fontId="61" fillId="0" borderId="0" applyBorder="0" applyProtection="0"/>
    <xf numFmtId="169" fontId="61" fillId="0" borderId="0" applyBorder="0" applyProtection="0"/>
    <xf numFmtId="0" fontId="77" fillId="0" borderId="0"/>
    <xf numFmtId="0" fontId="77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77" fillId="0" borderId="0"/>
    <xf numFmtId="0" fontId="61" fillId="0" borderId="0" applyBorder="0" applyProtection="0"/>
    <xf numFmtId="0" fontId="61" fillId="0" borderId="0"/>
    <xf numFmtId="0" fontId="78" fillId="0" borderId="0"/>
    <xf numFmtId="0" fontId="5" fillId="0" borderId="0"/>
    <xf numFmtId="164" fontId="5" fillId="0" borderId="0" applyFont="0" applyFill="0" applyBorder="0" applyAlignment="0" applyProtection="0"/>
    <xf numFmtId="0" fontId="54" fillId="0" borderId="0"/>
    <xf numFmtId="164" fontId="1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4" fillId="0" borderId="0"/>
    <xf numFmtId="0" fontId="60" fillId="0" borderId="2">
      <alignment horizontal="center"/>
    </xf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97">
    <xf numFmtId="0" fontId="0" fillId="0" borderId="0" xfId="0"/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vertical="top" wrapText="1"/>
    </xf>
    <xf numFmtId="0" fontId="26" fillId="2" borderId="2" xfId="2" applyFont="1" applyFill="1" applyBorder="1" applyAlignment="1">
      <alignment horizontal="center" vertical="center"/>
    </xf>
    <xf numFmtId="0" fontId="28" fillId="0" borderId="2" xfId="2" applyFont="1" applyBorder="1" applyAlignment="1">
      <alignment horizontal="center" vertical="center"/>
    </xf>
    <xf numFmtId="0" fontId="30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top" wrapText="1"/>
    </xf>
    <xf numFmtId="0" fontId="26" fillId="3" borderId="4" xfId="2" applyFont="1" applyFill="1" applyBorder="1" applyAlignment="1">
      <alignment horizontal="center" vertical="center" wrapText="1"/>
    </xf>
    <xf numFmtId="0" fontId="26" fillId="3" borderId="5" xfId="2" applyFont="1" applyFill="1" applyBorder="1" applyAlignment="1">
      <alignment horizontal="center" vertical="center" wrapText="1"/>
    </xf>
    <xf numFmtId="0" fontId="26" fillId="2" borderId="3" xfId="2" applyFont="1" applyFill="1" applyBorder="1" applyAlignment="1">
      <alignment horizontal="center" vertical="center"/>
    </xf>
    <xf numFmtId="0" fontId="28" fillId="0" borderId="3" xfId="2" applyFont="1" applyBorder="1" applyAlignment="1">
      <alignment horizontal="center" vertical="center"/>
    </xf>
    <xf numFmtId="0" fontId="26" fillId="2" borderId="6" xfId="2" applyFont="1" applyFill="1" applyBorder="1" applyAlignment="1">
      <alignment horizontal="center" vertical="center"/>
    </xf>
    <xf numFmtId="0" fontId="26" fillId="2" borderId="7" xfId="2" applyFont="1" applyFill="1" applyBorder="1" applyAlignment="1">
      <alignment horizontal="center" vertical="center"/>
    </xf>
    <xf numFmtId="0" fontId="26" fillId="3" borderId="8" xfId="2" applyFont="1" applyFill="1" applyBorder="1" applyAlignment="1">
      <alignment horizontal="center" vertical="center" wrapText="1"/>
    </xf>
    <xf numFmtId="4" fontId="26" fillId="2" borderId="9" xfId="2" applyNumberFormat="1" applyFont="1" applyFill="1" applyBorder="1" applyAlignment="1">
      <alignment horizontal="center" vertical="center"/>
    </xf>
    <xf numFmtId="4" fontId="28" fillId="0" borderId="9" xfId="2" applyNumberFormat="1" applyFont="1" applyBorder="1" applyAlignment="1">
      <alignment horizontal="center" vertical="center"/>
    </xf>
    <xf numFmtId="4" fontId="26" fillId="2" borderId="10" xfId="2" applyNumberFormat="1" applyFont="1" applyFill="1" applyBorder="1" applyAlignment="1">
      <alignment horizontal="center" vertical="center"/>
    </xf>
    <xf numFmtId="4" fontId="26" fillId="0" borderId="9" xfId="2" applyNumberFormat="1" applyFont="1" applyBorder="1" applyAlignment="1">
      <alignment horizontal="center" vertical="center"/>
    </xf>
    <xf numFmtId="4" fontId="26" fillId="0" borderId="11" xfId="2" applyNumberFormat="1" applyFont="1" applyBorder="1" applyAlignment="1">
      <alignment horizontal="center" vertical="center"/>
    </xf>
    <xf numFmtId="0" fontId="17" fillId="0" borderId="0" xfId="0" applyFont="1"/>
    <xf numFmtId="0" fontId="0" fillId="0" borderId="0" xfId="0" applyAlignment="1">
      <alignment horizontal="center"/>
    </xf>
    <xf numFmtId="0" fontId="34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36" fillId="4" borderId="2" xfId="0" applyFont="1" applyFill="1" applyBorder="1" applyAlignment="1">
      <alignment horizontal="center" vertical="center" wrapText="1"/>
    </xf>
    <xf numFmtId="2" fontId="25" fillId="0" borderId="2" xfId="0" applyNumberFormat="1" applyFont="1" applyBorder="1" applyAlignment="1">
      <alignment horizontal="center" vertical="center"/>
    </xf>
    <xf numFmtId="2" fontId="25" fillId="0" borderId="2" xfId="1" applyNumberFormat="1" applyFont="1" applyBorder="1" applyAlignment="1">
      <alignment horizontal="center" vertical="center"/>
    </xf>
    <xf numFmtId="2" fontId="25" fillId="0" borderId="7" xfId="0" applyNumberFormat="1" applyFont="1" applyBorder="1" applyAlignment="1">
      <alignment horizontal="center" vertical="center"/>
    </xf>
    <xf numFmtId="2" fontId="25" fillId="0" borderId="7" xfId="1" applyNumberFormat="1" applyFont="1" applyBorder="1" applyAlignment="1">
      <alignment horizontal="center" vertical="center"/>
    </xf>
    <xf numFmtId="2" fontId="25" fillId="0" borderId="13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/>
    </xf>
    <xf numFmtId="2" fontId="0" fillId="0" borderId="0" xfId="0" applyNumberFormat="1"/>
    <xf numFmtId="2" fontId="38" fillId="0" borderId="0" xfId="0" applyNumberFormat="1" applyFont="1" applyAlignment="1">
      <alignment vertical="center"/>
    </xf>
    <xf numFmtId="0" fontId="38" fillId="0" borderId="0" xfId="0" applyFont="1" applyAlignment="1">
      <alignment vertic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2" fontId="0" fillId="0" borderId="0" xfId="0" applyNumberFormat="1" applyAlignment="1">
      <alignment horizontal="center"/>
    </xf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0" fontId="0" fillId="0" borderId="0" xfId="0" applyAlignment="1">
      <alignment vertical="center"/>
    </xf>
    <xf numFmtId="0" fontId="32" fillId="0" borderId="0" xfId="0" applyFont="1" applyAlignment="1">
      <alignment horizontal="right"/>
    </xf>
    <xf numFmtId="165" fontId="36" fillId="4" borderId="2" xfId="0" applyNumberFormat="1" applyFont="1" applyFill="1" applyBorder="1" applyAlignment="1">
      <alignment horizontal="center" vertical="center" wrapText="1"/>
    </xf>
    <xf numFmtId="2" fontId="40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25" fillId="0" borderId="13" xfId="0" applyNumberFormat="1" applyFont="1" applyBorder="1" applyAlignment="1">
      <alignment vertical="center"/>
    </xf>
    <xf numFmtId="2" fontId="25" fillId="0" borderId="7" xfId="0" applyNumberFormat="1" applyFont="1" applyBorder="1" applyAlignment="1">
      <alignment vertical="center"/>
    </xf>
    <xf numFmtId="0" fontId="17" fillId="0" borderId="2" xfId="0" applyFont="1" applyBorder="1" applyAlignment="1">
      <alignment horizontal="right" vertical="center"/>
    </xf>
    <xf numFmtId="2" fontId="0" fillId="0" borderId="2" xfId="0" applyNumberFormat="1" applyBorder="1" applyAlignment="1">
      <alignment horizontal="center" vertical="center"/>
    </xf>
    <xf numFmtId="0" fontId="44" fillId="0" borderId="0" xfId="0" applyFont="1" applyAlignment="1">
      <alignment vertical="center" wrapText="1"/>
    </xf>
    <xf numFmtId="2" fontId="25" fillId="0" borderId="13" xfId="1" applyNumberFormat="1" applyFont="1" applyBorder="1" applyAlignment="1">
      <alignment horizontal="center" vertical="center"/>
    </xf>
    <xf numFmtId="0" fontId="35" fillId="0" borderId="20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2" fontId="0" fillId="0" borderId="23" xfId="0" applyNumberFormat="1" applyBorder="1" applyAlignment="1">
      <alignment horizontal="center"/>
    </xf>
    <xf numFmtId="2" fontId="25" fillId="0" borderId="2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2" fontId="25" fillId="0" borderId="0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2" fontId="35" fillId="0" borderId="0" xfId="0" applyNumberFormat="1" applyFont="1" applyAlignment="1">
      <alignment horizontal="center" vertical="center"/>
    </xf>
    <xf numFmtId="2" fontId="25" fillId="0" borderId="23" xfId="0" applyNumberFormat="1" applyFont="1" applyBorder="1" applyAlignment="1">
      <alignment vertical="center"/>
    </xf>
    <xf numFmtId="0" fontId="0" fillId="0" borderId="23" xfId="0" applyBorder="1"/>
    <xf numFmtId="0" fontId="25" fillId="0" borderId="24" xfId="0" applyFont="1" applyBorder="1" applyAlignment="1">
      <alignment horizontal="center" vertical="center"/>
    </xf>
    <xf numFmtId="2" fontId="25" fillId="0" borderId="24" xfId="0" applyNumberFormat="1" applyFont="1" applyBorder="1" applyAlignment="1">
      <alignment horizontal="center" vertical="center"/>
    </xf>
    <xf numFmtId="2" fontId="25" fillId="0" borderId="24" xfId="1" applyNumberFormat="1" applyFont="1" applyBorder="1" applyAlignment="1">
      <alignment horizontal="center" vertical="center"/>
    </xf>
    <xf numFmtId="2" fontId="38" fillId="0" borderId="24" xfId="0" applyNumberFormat="1" applyFont="1" applyBorder="1" applyAlignment="1">
      <alignment vertical="center"/>
    </xf>
    <xf numFmtId="0" fontId="38" fillId="0" borderId="25" xfId="0" applyFont="1" applyBorder="1" applyAlignment="1">
      <alignment vertical="center"/>
    </xf>
    <xf numFmtId="0" fontId="25" fillId="0" borderId="26" xfId="0" applyFont="1" applyBorder="1" applyAlignment="1">
      <alignment horizontal="center" vertical="center"/>
    </xf>
    <xf numFmtId="4" fontId="45" fillId="0" borderId="0" xfId="0" applyNumberFormat="1" applyFont="1"/>
    <xf numFmtId="0" fontId="45" fillId="0" borderId="0" xfId="0" applyFont="1"/>
    <xf numFmtId="0" fontId="45" fillId="0" borderId="24" xfId="0" applyFont="1" applyBorder="1"/>
    <xf numFmtId="0" fontId="46" fillId="0" borderId="0" xfId="0" quotePrefix="1" applyFont="1" applyAlignment="1">
      <alignment horizontal="center"/>
    </xf>
    <xf numFmtId="16" fontId="46" fillId="0" borderId="0" xfId="0" quotePrefix="1" applyNumberFormat="1" applyFont="1" applyAlignment="1">
      <alignment horizontal="center"/>
    </xf>
    <xf numFmtId="0" fontId="46" fillId="0" borderId="0" xfId="0" applyFont="1"/>
    <xf numFmtId="0" fontId="45" fillId="0" borderId="0" xfId="0" applyFont="1" applyAlignment="1">
      <alignment horizontal="center"/>
    </xf>
    <xf numFmtId="0" fontId="45" fillId="5" borderId="0" xfId="0" applyFont="1" applyFill="1"/>
    <xf numFmtId="0" fontId="45" fillId="0" borderId="0" xfId="0" applyFont="1" applyAlignment="1">
      <alignment horizontal="right"/>
    </xf>
    <xf numFmtId="4" fontId="0" fillId="0" borderId="0" xfId="0" applyNumberFormat="1"/>
    <xf numFmtId="9" fontId="0" fillId="0" borderId="0" xfId="0" applyNumberFormat="1"/>
    <xf numFmtId="0" fontId="46" fillId="0" borderId="0" xfId="0" applyFont="1" applyAlignment="1">
      <alignment horizontal="center"/>
    </xf>
    <xf numFmtId="0" fontId="30" fillId="0" borderId="22" xfId="0" applyFont="1" applyBorder="1" applyAlignment="1">
      <alignment vertical="center" wrapText="1"/>
    </xf>
    <xf numFmtId="4" fontId="26" fillId="0" borderId="0" xfId="0" applyNumberFormat="1" applyFont="1"/>
    <xf numFmtId="0" fontId="26" fillId="0" borderId="6" xfId="2" applyFont="1" applyBorder="1" applyAlignment="1">
      <alignment horizontal="center" vertical="center" wrapText="1"/>
    </xf>
    <xf numFmtId="0" fontId="26" fillId="0" borderId="7" xfId="2" applyFont="1" applyBorder="1" applyAlignment="1">
      <alignment horizontal="center" vertical="center" wrapText="1"/>
    </xf>
    <xf numFmtId="0" fontId="26" fillId="7" borderId="6" xfId="2" applyFont="1" applyFill="1" applyBorder="1" applyAlignment="1">
      <alignment horizontal="center" vertical="center" wrapText="1"/>
    </xf>
    <xf numFmtId="0" fontId="26" fillId="7" borderId="7" xfId="2" applyFont="1" applyFill="1" applyBorder="1" applyAlignment="1">
      <alignment horizontal="center" vertical="center" wrapText="1"/>
    </xf>
    <xf numFmtId="0" fontId="26" fillId="7" borderId="10" xfId="2" applyFont="1" applyFill="1" applyBorder="1" applyAlignment="1">
      <alignment horizontal="center" vertical="center" wrapText="1"/>
    </xf>
    <xf numFmtId="0" fontId="26" fillId="0" borderId="0" xfId="2" applyFont="1" applyAlignment="1">
      <alignment vertical="center"/>
    </xf>
    <xf numFmtId="0" fontId="28" fillId="0" borderId="6" xfId="2" applyFont="1" applyBorder="1" applyAlignment="1">
      <alignment horizontal="center" vertical="center" wrapText="1"/>
    </xf>
    <xf numFmtId="0" fontId="28" fillId="0" borderId="7" xfId="2" applyFont="1" applyBorder="1" applyAlignment="1">
      <alignment horizontal="center" vertical="center" wrapText="1"/>
    </xf>
    <xf numFmtId="4" fontId="26" fillId="0" borderId="21" xfId="2" applyNumberFormat="1" applyFont="1" applyBorder="1" applyAlignment="1">
      <alignment horizontal="center" vertical="center"/>
    </xf>
    <xf numFmtId="0" fontId="28" fillId="0" borderId="12" xfId="2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4" fontId="17" fillId="0" borderId="0" xfId="0" applyNumberFormat="1" applyFont="1" applyAlignment="1">
      <alignment horizontal="center" vertical="center"/>
    </xf>
    <xf numFmtId="166" fontId="0" fillId="0" borderId="0" xfId="3" applyNumberFormat="1" applyFont="1"/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justify" vertical="center"/>
    </xf>
    <xf numFmtId="0" fontId="0" fillId="0" borderId="25" xfId="0" applyBorder="1"/>
    <xf numFmtId="0" fontId="0" fillId="0" borderId="24" xfId="0" applyBorder="1"/>
    <xf numFmtId="0" fontId="0" fillId="0" borderId="26" xfId="0" applyBorder="1"/>
    <xf numFmtId="0" fontId="0" fillId="0" borderId="1" xfId="0" applyBorder="1"/>
    <xf numFmtId="0" fontId="0" fillId="0" borderId="42" xfId="0" applyBorder="1"/>
    <xf numFmtId="0" fontId="49" fillId="0" borderId="2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49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0" fillId="0" borderId="40" xfId="0" applyBorder="1"/>
    <xf numFmtId="4" fontId="57" fillId="0" borderId="2" xfId="0" applyNumberFormat="1" applyFont="1" applyBorder="1" applyAlignment="1">
      <alignment horizontal="center" vertical="center"/>
    </xf>
    <xf numFmtId="164" fontId="0" fillId="0" borderId="0" xfId="11" applyFont="1" applyAlignment="1">
      <alignment vertical="center"/>
    </xf>
    <xf numFmtId="0" fontId="56" fillId="0" borderId="0" xfId="28" applyFont="1" applyAlignment="1">
      <alignment horizontal="center" vertical="center"/>
    </xf>
    <xf numFmtId="0" fontId="57" fillId="0" borderId="2" xfId="28" applyFont="1" applyBorder="1" applyAlignment="1">
      <alignment horizontal="center" vertical="center" wrapText="1"/>
    </xf>
    <xf numFmtId="0" fontId="12" fillId="0" borderId="0" xfId="28" applyAlignment="1">
      <alignment vertical="center"/>
    </xf>
    <xf numFmtId="0" fontId="57" fillId="0" borderId="0" xfId="28" applyFont="1" applyAlignment="1">
      <alignment vertical="center"/>
    </xf>
    <xf numFmtId="4" fontId="57" fillId="0" borderId="2" xfId="28" applyNumberFormat="1" applyFont="1" applyBorder="1" applyAlignment="1">
      <alignment horizontal="center" vertical="center"/>
    </xf>
    <xf numFmtId="0" fontId="56" fillId="13" borderId="0" xfId="15" applyFont="1" applyFill="1" applyAlignment="1">
      <alignment horizontal="left" vertical="center"/>
    </xf>
    <xf numFmtId="0" fontId="56" fillId="14" borderId="0" xfId="15" applyFont="1" applyFill="1" applyAlignment="1">
      <alignment horizontal="left" vertical="center"/>
    </xf>
    <xf numFmtId="0" fontId="56" fillId="0" borderId="0" xfId="28" applyFont="1" applyAlignment="1">
      <alignment vertical="center"/>
    </xf>
    <xf numFmtId="0" fontId="56" fillId="0" borderId="0" xfId="15" applyFont="1" applyAlignment="1">
      <alignment horizontal="left" vertical="center"/>
    </xf>
    <xf numFmtId="0" fontId="57" fillId="0" borderId="0" xfId="15" applyFont="1" applyAlignment="1">
      <alignment horizontal="left" vertical="center"/>
    </xf>
    <xf numFmtId="164" fontId="0" fillId="0" borderId="0" xfId="29" applyFont="1" applyAlignment="1">
      <alignment vertical="center"/>
    </xf>
    <xf numFmtId="49" fontId="17" fillId="0" borderId="0" xfId="28" applyNumberFormat="1" applyFont="1" applyAlignment="1">
      <alignment horizontal="center" vertical="center"/>
    </xf>
    <xf numFmtId="49" fontId="12" fillId="0" borderId="0" xfId="28" applyNumberFormat="1" applyAlignment="1">
      <alignment vertical="center"/>
    </xf>
    <xf numFmtId="0" fontId="12" fillId="0" borderId="0" xfId="28" applyAlignment="1">
      <alignment vertical="center" wrapText="1"/>
    </xf>
    <xf numFmtId="0" fontId="12" fillId="0" borderId="0" xfId="28" applyAlignment="1">
      <alignment horizontal="center" vertical="center"/>
    </xf>
    <xf numFmtId="4" fontId="17" fillId="0" borderId="0" xfId="28" applyNumberFormat="1" applyFont="1" applyAlignment="1">
      <alignment horizontal="center" vertical="center"/>
    </xf>
    <xf numFmtId="4" fontId="17" fillId="0" borderId="1" xfId="28" applyNumberFormat="1" applyFont="1" applyBorder="1" applyAlignment="1">
      <alignment horizontal="center" vertical="center"/>
    </xf>
    <xf numFmtId="49" fontId="57" fillId="11" borderId="2" xfId="28" applyNumberFormat="1" applyFont="1" applyFill="1" applyBorder="1" applyAlignment="1">
      <alignment horizontal="center" vertical="center" wrapText="1"/>
    </xf>
    <xf numFmtId="0" fontId="10" fillId="0" borderId="0" xfId="110" applyAlignment="1">
      <alignment vertical="center"/>
    </xf>
    <xf numFmtId="4" fontId="57" fillId="0" borderId="2" xfId="13" applyNumberFormat="1" applyFont="1" applyBorder="1" applyAlignment="1">
      <alignment horizontal="center" vertical="center"/>
    </xf>
    <xf numFmtId="164" fontId="0" fillId="0" borderId="0" xfId="29" applyFont="1" applyBorder="1" applyAlignment="1">
      <alignment vertical="center"/>
    </xf>
    <xf numFmtId="49" fontId="57" fillId="0" borderId="2" xfId="28" applyNumberFormat="1" applyFont="1" applyBorder="1" applyAlignment="1">
      <alignment horizontal="center" vertical="center" wrapText="1"/>
    </xf>
    <xf numFmtId="49" fontId="57" fillId="12" borderId="2" xfId="13" applyNumberFormat="1" applyFont="1" applyFill="1" applyBorder="1" applyAlignment="1">
      <alignment horizontal="center" vertical="center" wrapText="1"/>
    </xf>
    <xf numFmtId="49" fontId="57" fillId="11" borderId="2" xfId="0" applyNumberFormat="1" applyFont="1" applyFill="1" applyBorder="1" applyAlignment="1">
      <alignment horizontal="center" vertical="center" wrapText="1"/>
    </xf>
    <xf numFmtId="0" fontId="57" fillId="0" borderId="2" xfId="15" applyFont="1" applyBorder="1" applyAlignment="1">
      <alignment horizontal="center" vertical="center" wrapText="1"/>
    </xf>
    <xf numFmtId="4" fontId="57" fillId="0" borderId="2" xfId="15" applyNumberFormat="1" applyFont="1" applyBorder="1" applyAlignment="1">
      <alignment horizontal="center" vertical="center"/>
    </xf>
    <xf numFmtId="0" fontId="57" fillId="0" borderId="2" xfId="16" applyFont="1" applyBorder="1" applyAlignment="1">
      <alignment horizontal="center" vertical="center" wrapText="1"/>
    </xf>
    <xf numFmtId="4" fontId="57" fillId="0" borderId="2" xfId="16" applyNumberFormat="1" applyFont="1" applyBorder="1" applyAlignment="1">
      <alignment horizontal="center" vertical="center"/>
    </xf>
    <xf numFmtId="2" fontId="57" fillId="0" borderId="2" xfId="13" applyNumberFormat="1" applyFont="1" applyBorder="1" applyAlignment="1">
      <alignment horizontal="center" vertical="center" wrapText="1"/>
    </xf>
    <xf numFmtId="49" fontId="57" fillId="0" borderId="2" xfId="16" applyNumberFormat="1" applyFont="1" applyBorder="1" applyAlignment="1">
      <alignment horizontal="center" vertical="center" wrapText="1"/>
    </xf>
    <xf numFmtId="49" fontId="57" fillId="0" borderId="2" xfId="13" applyNumberFormat="1" applyFont="1" applyBorder="1" applyAlignment="1">
      <alignment horizontal="center" vertical="center" wrapText="1"/>
    </xf>
    <xf numFmtId="49" fontId="57" fillId="0" borderId="2" xfId="15" applyNumberFormat="1" applyFont="1" applyBorder="1" applyAlignment="1">
      <alignment horizontal="center" vertical="center" wrapText="1"/>
    </xf>
    <xf numFmtId="49" fontId="57" fillId="0" borderId="2" xfId="15" quotePrefix="1" applyNumberFormat="1" applyFont="1" applyBorder="1" applyAlignment="1">
      <alignment horizontal="center" vertical="center" wrapText="1"/>
    </xf>
    <xf numFmtId="49" fontId="57" fillId="0" borderId="2" xfId="13" quotePrefix="1" applyNumberFormat="1" applyFont="1" applyBorder="1" applyAlignment="1">
      <alignment horizontal="center" vertical="center" wrapText="1"/>
    </xf>
    <xf numFmtId="49" fontId="57" fillId="12" borderId="2" xfId="13" quotePrefix="1" applyNumberFormat="1" applyFont="1" applyFill="1" applyBorder="1" applyAlignment="1">
      <alignment horizontal="center" vertical="center" wrapText="1"/>
    </xf>
    <xf numFmtId="0" fontId="57" fillId="11" borderId="2" xfId="0" applyFont="1" applyFill="1" applyBorder="1" applyAlignment="1">
      <alignment horizontal="center" vertical="center" wrapText="1"/>
    </xf>
    <xf numFmtId="0" fontId="57" fillId="0" borderId="2" xfId="13" applyFont="1" applyBorder="1" applyAlignment="1">
      <alignment horizontal="center" vertical="center" wrapText="1"/>
    </xf>
    <xf numFmtId="49" fontId="57" fillId="9" borderId="2" xfId="13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52" fillId="0" borderId="0" xfId="0" applyFont="1" applyAlignment="1">
      <alignment vertical="center" wrapText="1"/>
    </xf>
    <xf numFmtId="0" fontId="64" fillId="0" borderId="0" xfId="0" applyFont="1" applyAlignment="1">
      <alignment vertical="center" wrapText="1"/>
    </xf>
    <xf numFmtId="0" fontId="65" fillId="0" borderId="0" xfId="0" applyFont="1" applyAlignment="1">
      <alignment vertical="center"/>
    </xf>
    <xf numFmtId="0" fontId="68" fillId="0" borderId="2" xfId="0" applyFont="1" applyBorder="1" applyAlignment="1">
      <alignment horizontal="center" vertical="center" wrapText="1"/>
    </xf>
    <xf numFmtId="0" fontId="68" fillId="8" borderId="2" xfId="0" applyFont="1" applyFill="1" applyBorder="1" applyAlignment="1">
      <alignment horizontal="center" vertical="center" wrapText="1"/>
    </xf>
    <xf numFmtId="0" fontId="70" fillId="0" borderId="2" xfId="0" applyFont="1" applyBorder="1" applyAlignment="1">
      <alignment vertical="center" wrapText="1"/>
    </xf>
    <xf numFmtId="0" fontId="65" fillId="0" borderId="23" xfId="0" applyFont="1" applyBorder="1" applyAlignment="1">
      <alignment vertical="center"/>
    </xf>
    <xf numFmtId="0" fontId="65" fillId="0" borderId="41" xfId="0" applyFont="1" applyBorder="1" applyAlignment="1">
      <alignment vertical="center"/>
    </xf>
    <xf numFmtId="0" fontId="65" fillId="0" borderId="1" xfId="0" applyFont="1" applyBorder="1" applyAlignment="1">
      <alignment vertical="center"/>
    </xf>
    <xf numFmtId="0" fontId="65" fillId="0" borderId="24" xfId="0" applyFont="1" applyBorder="1" applyAlignment="1">
      <alignment vertical="center"/>
    </xf>
    <xf numFmtId="0" fontId="65" fillId="0" borderId="25" xfId="0" applyFont="1" applyBorder="1" applyAlignment="1">
      <alignment vertical="center"/>
    </xf>
    <xf numFmtId="0" fontId="65" fillId="0" borderId="40" xfId="0" applyFont="1" applyBorder="1" applyAlignment="1">
      <alignment vertical="center"/>
    </xf>
    <xf numFmtId="0" fontId="7" fillId="0" borderId="0" xfId="175" applyAlignment="1">
      <alignment vertical="center"/>
    </xf>
    <xf numFmtId="49" fontId="57" fillId="11" borderId="2" xfId="175" applyNumberFormat="1" applyFont="1" applyFill="1" applyBorder="1" applyAlignment="1">
      <alignment horizontal="center" vertical="center" wrapText="1"/>
    </xf>
    <xf numFmtId="49" fontId="57" fillId="0" borderId="2" xfId="16" quotePrefix="1" applyNumberFormat="1" applyFont="1" applyBorder="1" applyAlignment="1">
      <alignment horizontal="center" vertical="center" wrapText="1"/>
    </xf>
    <xf numFmtId="168" fontId="57" fillId="0" borderId="2" xfId="15" quotePrefix="1" applyNumberFormat="1" applyFont="1" applyBorder="1" applyAlignment="1">
      <alignment horizontal="center" vertical="center" wrapText="1"/>
    </xf>
    <xf numFmtId="167" fontId="57" fillId="0" borderId="2" xfId="13" quotePrefix="1" applyNumberFormat="1" applyFont="1" applyBorder="1" applyAlignment="1">
      <alignment horizontal="center" vertical="center" wrapText="1"/>
    </xf>
    <xf numFmtId="2" fontId="68" fillId="0" borderId="2" xfId="0" applyNumberFormat="1" applyFont="1" applyBorder="1" applyAlignment="1">
      <alignment horizontal="center" vertical="center" wrapText="1"/>
    </xf>
    <xf numFmtId="0" fontId="72" fillId="0" borderId="0" xfId="0" applyFont="1"/>
    <xf numFmtId="0" fontId="74" fillId="0" borderId="0" xfId="0" applyFont="1" applyAlignment="1">
      <alignment vertical="center" wrapText="1"/>
    </xf>
    <xf numFmtId="0" fontId="75" fillId="0" borderId="0" xfId="0" applyFont="1" applyAlignment="1">
      <alignment vertical="center" wrapText="1"/>
    </xf>
    <xf numFmtId="49" fontId="57" fillId="0" borderId="3" xfId="13" applyNumberFormat="1" applyFont="1" applyBorder="1" applyAlignment="1">
      <alignment horizontal="center" vertical="center" wrapText="1"/>
    </xf>
    <xf numFmtId="0" fontId="57" fillId="0" borderId="2" xfId="0" applyFont="1" applyBorder="1" applyAlignment="1">
      <alignment horizontal="center" vertical="center" wrapText="1"/>
    </xf>
    <xf numFmtId="0" fontId="64" fillId="3" borderId="3" xfId="2" applyFont="1" applyFill="1" applyBorder="1" applyAlignment="1">
      <alignment horizontal="center" vertical="center" wrapText="1"/>
    </xf>
    <xf numFmtId="0" fontId="64" fillId="3" borderId="2" xfId="2" applyFont="1" applyFill="1" applyBorder="1" applyAlignment="1">
      <alignment horizontal="center" vertical="center" wrapText="1"/>
    </xf>
    <xf numFmtId="0" fontId="64" fillId="3" borderId="29" xfId="2" applyFont="1" applyFill="1" applyBorder="1" applyAlignment="1">
      <alignment horizontal="center" vertical="center" wrapText="1"/>
    </xf>
    <xf numFmtId="0" fontId="75" fillId="0" borderId="3" xfId="2" applyFont="1" applyBorder="1" applyAlignment="1">
      <alignment horizontal="center" vertical="center" wrapText="1"/>
    </xf>
    <xf numFmtId="0" fontId="75" fillId="0" borderId="2" xfId="2" applyFont="1" applyBorder="1" applyAlignment="1">
      <alignment horizontal="center" vertical="center" wrapText="1"/>
    </xf>
    <xf numFmtId="4" fontId="75" fillId="0" borderId="29" xfId="2" applyNumberFormat="1" applyFont="1" applyBorder="1" applyAlignment="1">
      <alignment horizontal="center" vertical="center"/>
    </xf>
    <xf numFmtId="0" fontId="72" fillId="0" borderId="0" xfId="0" applyFont="1" applyAlignment="1">
      <alignment wrapText="1"/>
    </xf>
    <xf numFmtId="0" fontId="76" fillId="0" borderId="0" xfId="0" applyFont="1"/>
    <xf numFmtId="0" fontId="64" fillId="0" borderId="0" xfId="2" applyFont="1" applyAlignment="1">
      <alignment vertical="center"/>
    </xf>
    <xf numFmtId="0" fontId="75" fillId="0" borderId="2" xfId="2" applyFont="1" applyBorder="1" applyAlignment="1">
      <alignment horizontal="center" vertical="center"/>
    </xf>
    <xf numFmtId="0" fontId="72" fillId="0" borderId="0" xfId="0" applyFont="1" applyAlignment="1">
      <alignment horizontal="center" vertical="center"/>
    </xf>
    <xf numFmtId="4" fontId="81" fillId="0" borderId="0" xfId="0" applyNumberFormat="1" applyFont="1" applyAlignment="1">
      <alignment vertical="center" wrapText="1"/>
    </xf>
    <xf numFmtId="164" fontId="72" fillId="0" borderId="0" xfId="11" applyFont="1"/>
    <xf numFmtId="0" fontId="72" fillId="0" borderId="0" xfId="0" applyFont="1" applyAlignment="1">
      <alignment horizontal="left" vertical="center" wrapText="1"/>
    </xf>
    <xf numFmtId="0" fontId="72" fillId="0" borderId="0" xfId="0" applyFont="1" applyAlignment="1">
      <alignment vertical="center" wrapText="1"/>
    </xf>
    <xf numFmtId="4" fontId="64" fillId="15" borderId="43" xfId="2" applyNumberFormat="1" applyFont="1" applyFill="1" applyBorder="1" applyAlignment="1">
      <alignment horizontal="center" vertical="center"/>
    </xf>
    <xf numFmtId="4" fontId="72" fillId="0" borderId="0" xfId="0" applyNumberFormat="1" applyFont="1"/>
    <xf numFmtId="4" fontId="64" fillId="15" borderId="29" xfId="2" applyNumberFormat="1" applyFont="1" applyFill="1" applyBorder="1" applyAlignment="1">
      <alignment horizontal="center" vertical="center"/>
    </xf>
    <xf numFmtId="4" fontId="64" fillId="15" borderId="30" xfId="2" applyNumberFormat="1" applyFont="1" applyFill="1" applyBorder="1" applyAlignment="1">
      <alignment horizontal="center" vertical="center"/>
    </xf>
    <xf numFmtId="4" fontId="64" fillId="19" borderId="29" xfId="2" applyNumberFormat="1" applyFont="1" applyFill="1" applyBorder="1" applyAlignment="1">
      <alignment horizontal="center" vertical="center"/>
    </xf>
    <xf numFmtId="0" fontId="64" fillId="20" borderId="3" xfId="2" applyFont="1" applyFill="1" applyBorder="1" applyAlignment="1">
      <alignment horizontal="center" vertical="center" wrapText="1"/>
    </xf>
    <xf numFmtId="0" fontId="64" fillId="20" borderId="2" xfId="2" applyFont="1" applyFill="1" applyBorder="1" applyAlignment="1">
      <alignment horizontal="center" vertical="center" wrapText="1"/>
    </xf>
    <xf numFmtId="0" fontId="64" fillId="20" borderId="29" xfId="2" applyFont="1" applyFill="1" applyBorder="1" applyAlignment="1">
      <alignment horizontal="center" vertical="center" wrapText="1"/>
    </xf>
    <xf numFmtId="0" fontId="64" fillId="21" borderId="2" xfId="2" applyFont="1" applyFill="1" applyBorder="1" applyAlignment="1">
      <alignment horizontal="center" vertical="center"/>
    </xf>
    <xf numFmtId="4" fontId="64" fillId="21" borderId="29" xfId="2" applyNumberFormat="1" applyFont="1" applyFill="1" applyBorder="1" applyAlignment="1">
      <alignment horizontal="center" vertical="center"/>
    </xf>
    <xf numFmtId="0" fontId="65" fillId="0" borderId="26" xfId="0" applyFont="1" applyBorder="1" applyAlignment="1">
      <alignment vertical="center"/>
    </xf>
    <xf numFmtId="49" fontId="84" fillId="17" borderId="2" xfId="13" applyNumberFormat="1" applyFont="1" applyFill="1" applyBorder="1" applyAlignment="1">
      <alignment horizontal="center" vertical="center" wrapText="1"/>
    </xf>
    <xf numFmtId="49" fontId="84" fillId="17" borderId="2" xfId="13" quotePrefix="1" applyNumberFormat="1" applyFont="1" applyFill="1" applyBorder="1" applyAlignment="1">
      <alignment horizontal="center" vertical="center" wrapText="1"/>
    </xf>
    <xf numFmtId="0" fontId="84" fillId="17" borderId="2" xfId="13" applyFont="1" applyFill="1" applyBorder="1" applyAlignment="1">
      <alignment horizontal="center" vertical="center" wrapText="1"/>
    </xf>
    <xf numFmtId="0" fontId="84" fillId="17" borderId="2" xfId="28" applyFont="1" applyFill="1" applyBorder="1" applyAlignment="1">
      <alignment horizontal="center" vertical="center" wrapText="1"/>
    </xf>
    <xf numFmtId="0" fontId="57" fillId="22" borderId="3" xfId="13" applyFont="1" applyFill="1" applyBorder="1" applyAlignment="1">
      <alignment horizontal="center" vertical="center" wrapText="1"/>
    </xf>
    <xf numFmtId="49" fontId="57" fillId="22" borderId="2" xfId="13" applyNumberFormat="1" applyFont="1" applyFill="1" applyBorder="1" applyAlignment="1">
      <alignment horizontal="center" vertical="center" wrapText="1"/>
    </xf>
    <xf numFmtId="0" fontId="79" fillId="0" borderId="0" xfId="15" applyFont="1" applyAlignment="1">
      <alignment horizontal="left" vertical="center"/>
    </xf>
    <xf numFmtId="0" fontId="57" fillId="22" borderId="2" xfId="13" applyFont="1" applyFill="1" applyBorder="1" applyAlignment="1">
      <alignment horizontal="center" vertical="center" wrapText="1"/>
    </xf>
    <xf numFmtId="0" fontId="57" fillId="23" borderId="2" xfId="0" applyFont="1" applyFill="1" applyBorder="1" applyAlignment="1">
      <alignment horizontal="center" vertical="center" wrapText="1"/>
    </xf>
    <xf numFmtId="0" fontId="57" fillId="0" borderId="0" xfId="623" applyFont="1" applyAlignment="1">
      <alignment vertical="center"/>
    </xf>
    <xf numFmtId="49" fontId="75" fillId="0" borderId="3" xfId="2" applyNumberFormat="1" applyFont="1" applyBorder="1" applyAlignment="1">
      <alignment horizontal="center" vertical="center"/>
    </xf>
    <xf numFmtId="170" fontId="57" fillId="0" borderId="2" xfId="13" applyNumberFormat="1" applyFont="1" applyBorder="1" applyAlignment="1">
      <alignment horizontal="center" vertical="center" wrapText="1"/>
    </xf>
    <xf numFmtId="4" fontId="71" fillId="10" borderId="46" xfId="13" applyNumberFormat="1" applyFont="1" applyFill="1" applyBorder="1" applyAlignment="1">
      <alignment horizontal="center" vertical="center" wrapText="1"/>
    </xf>
    <xf numFmtId="4" fontId="71" fillId="25" borderId="2" xfId="13" applyNumberFormat="1" applyFont="1" applyFill="1" applyBorder="1" applyAlignment="1">
      <alignment horizontal="center" vertical="center" wrapText="1"/>
    </xf>
    <xf numFmtId="49" fontId="57" fillId="0" borderId="2" xfId="0" applyNumberFormat="1" applyFont="1" applyBorder="1" applyAlignment="1">
      <alignment horizontal="center" vertical="center"/>
    </xf>
    <xf numFmtId="0" fontId="57" fillId="0" borderId="0" xfId="1199" applyFont="1" applyAlignment="1">
      <alignment vertical="center"/>
    </xf>
    <xf numFmtId="4" fontId="57" fillId="0" borderId="2" xfId="1199" applyNumberFormat="1" applyFont="1" applyBorder="1" applyAlignment="1">
      <alignment horizontal="center" vertical="center"/>
    </xf>
    <xf numFmtId="0" fontId="57" fillId="0" borderId="2" xfId="1199" applyFont="1" applyBorder="1" applyAlignment="1">
      <alignment horizontal="center" vertical="center"/>
    </xf>
    <xf numFmtId="0" fontId="1" fillId="0" borderId="0" xfId="1245" applyAlignment="1">
      <alignment vertical="center"/>
    </xf>
    <xf numFmtId="0" fontId="1" fillId="0" borderId="0" xfId="1005" applyAlignment="1">
      <alignment vertical="center"/>
    </xf>
    <xf numFmtId="4" fontId="57" fillId="0" borderId="2" xfId="13" applyNumberFormat="1" applyFont="1" applyBorder="1" applyAlignment="1">
      <alignment horizontal="center" vertical="center" wrapText="1"/>
    </xf>
    <xf numFmtId="49" fontId="57" fillId="13" borderId="2" xfId="13" applyNumberFormat="1" applyFont="1" applyFill="1" applyBorder="1" applyAlignment="1">
      <alignment horizontal="center" vertical="center" wrapText="1"/>
    </xf>
    <xf numFmtId="170" fontId="71" fillId="25" borderId="2" xfId="13" applyNumberFormat="1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51" fillId="0" borderId="1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9" fillId="0" borderId="0" xfId="0" applyFont="1" applyAlignment="1">
      <alignment vertical="center" wrapText="1"/>
    </xf>
    <xf numFmtId="0" fontId="49" fillId="0" borderId="13" xfId="0" applyFont="1" applyBorder="1" applyAlignment="1">
      <alignment horizontal="center" vertical="center" wrapText="1"/>
    </xf>
    <xf numFmtId="0" fontId="49" fillId="0" borderId="7" xfId="0" applyFont="1" applyBorder="1" applyAlignment="1">
      <alignment horizontal="center" vertical="center" wrapText="1"/>
    </xf>
    <xf numFmtId="0" fontId="49" fillId="0" borderId="40" xfId="0" applyFont="1" applyBorder="1" applyAlignment="1">
      <alignment horizontal="center" vertical="center" wrapText="1"/>
    </xf>
    <xf numFmtId="0" fontId="49" fillId="0" borderId="23" xfId="0" applyFont="1" applyBorder="1" applyAlignment="1">
      <alignment horizontal="center" vertical="center" wrapText="1"/>
    </xf>
    <xf numFmtId="0" fontId="49" fillId="0" borderId="41" xfId="0" applyFont="1" applyBorder="1" applyAlignment="1">
      <alignment horizontal="center" vertical="center" wrapText="1"/>
    </xf>
    <xf numFmtId="0" fontId="49" fillId="0" borderId="26" xfId="0" applyFont="1" applyBorder="1" applyAlignment="1">
      <alignment horizontal="center" vertical="center" wrapText="1"/>
    </xf>
    <xf numFmtId="0" fontId="49" fillId="0" borderId="24" xfId="0" applyFont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 wrapText="1"/>
    </xf>
    <xf numFmtId="0" fontId="48" fillId="0" borderId="13" xfId="0" applyFont="1" applyBorder="1" applyAlignment="1">
      <alignment horizontal="center" vertical="center" wrapText="1"/>
    </xf>
    <xf numFmtId="0" fontId="48" fillId="0" borderId="7" xfId="0" applyFont="1" applyBorder="1" applyAlignment="1">
      <alignment horizontal="center" vertical="center" wrapText="1"/>
    </xf>
    <xf numFmtId="0" fontId="26" fillId="0" borderId="0" xfId="0" applyFont="1" applyAlignment="1">
      <alignment horizontal="justify" vertical="center" wrapText="1"/>
    </xf>
    <xf numFmtId="0" fontId="22" fillId="0" borderId="0" xfId="0" applyFont="1" applyAlignment="1">
      <alignment horizontal="center"/>
    </xf>
    <xf numFmtId="0" fontId="49" fillId="0" borderId="23" xfId="0" applyFont="1" applyBorder="1" applyAlignment="1">
      <alignment vertical="center" wrapText="1"/>
    </xf>
    <xf numFmtId="0" fontId="52" fillId="0" borderId="23" xfId="0" applyFont="1" applyBorder="1" applyAlignment="1">
      <alignment horizontal="center" vertical="center" wrapText="1"/>
    </xf>
    <xf numFmtId="0" fontId="52" fillId="0" borderId="41" xfId="0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52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48" fillId="0" borderId="2" xfId="0" applyFont="1" applyBorder="1" applyAlignment="1">
      <alignment horizontal="center" vertical="center" wrapText="1"/>
    </xf>
    <xf numFmtId="0" fontId="50" fillId="8" borderId="2" xfId="0" applyFont="1" applyFill="1" applyBorder="1" applyAlignment="1">
      <alignment horizontal="center" vertical="center" wrapText="1"/>
    </xf>
    <xf numFmtId="0" fontId="50" fillId="8" borderId="7" xfId="0" applyFont="1" applyFill="1" applyBorder="1" applyAlignment="1">
      <alignment horizontal="center" vertical="top" wrapText="1"/>
    </xf>
    <xf numFmtId="0" fontId="49" fillId="8" borderId="2" xfId="0" applyFont="1" applyFill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50" fillId="8" borderId="13" xfId="0" applyFont="1" applyFill="1" applyBorder="1" applyAlignment="1">
      <alignment horizontal="center" vertical="center" wrapText="1"/>
    </xf>
    <xf numFmtId="0" fontId="50" fillId="8" borderId="7" xfId="0" applyFont="1" applyFill="1" applyBorder="1" applyAlignment="1">
      <alignment horizontal="center" vertical="center" wrapText="1"/>
    </xf>
    <xf numFmtId="0" fontId="69" fillId="0" borderId="0" xfId="0" applyFont="1" applyAlignment="1">
      <alignment horizontal="right"/>
    </xf>
    <xf numFmtId="0" fontId="72" fillId="0" borderId="0" xfId="0" applyFont="1" applyAlignment="1">
      <alignment horizontal="right"/>
    </xf>
    <xf numFmtId="0" fontId="65" fillId="0" borderId="42" xfId="0" applyFont="1" applyBorder="1" applyAlignment="1">
      <alignment horizontal="left" vertical="center"/>
    </xf>
    <xf numFmtId="0" fontId="65" fillId="0" borderId="0" xfId="0" applyFont="1" applyAlignment="1">
      <alignment horizontal="left" vertical="center"/>
    </xf>
    <xf numFmtId="0" fontId="65" fillId="0" borderId="22" xfId="0" applyFont="1" applyBorder="1" applyAlignment="1">
      <alignment horizontal="left" vertical="center" wrapText="1"/>
    </xf>
    <xf numFmtId="0" fontId="65" fillId="0" borderId="21" xfId="0" applyFont="1" applyBorder="1" applyAlignment="1">
      <alignment horizontal="left" vertical="center" wrapText="1"/>
    </xf>
    <xf numFmtId="0" fontId="65" fillId="0" borderId="20" xfId="0" applyFont="1" applyBorder="1" applyAlignment="1">
      <alignment horizontal="left" vertical="center"/>
    </xf>
    <xf numFmtId="0" fontId="65" fillId="0" borderId="22" xfId="0" applyFont="1" applyBorder="1" applyAlignment="1">
      <alignment horizontal="left" vertical="center"/>
    </xf>
    <xf numFmtId="0" fontId="65" fillId="0" borderId="20" xfId="0" applyFont="1" applyBorder="1" applyAlignment="1">
      <alignment horizontal="left" vertical="center" wrapText="1"/>
    </xf>
    <xf numFmtId="0" fontId="63" fillId="0" borderId="40" xfId="0" applyFont="1" applyBorder="1" applyAlignment="1">
      <alignment horizontal="center" vertical="center" wrapText="1"/>
    </xf>
    <xf numFmtId="0" fontId="63" fillId="0" borderId="23" xfId="0" applyFont="1" applyBorder="1" applyAlignment="1">
      <alignment horizontal="center" vertical="center" wrapText="1"/>
    </xf>
    <xf numFmtId="0" fontId="63" fillId="0" borderId="41" xfId="0" applyFont="1" applyBorder="1" applyAlignment="1">
      <alignment horizontal="center" vertical="center" wrapText="1"/>
    </xf>
    <xf numFmtId="0" fontId="63" fillId="0" borderId="42" xfId="0" applyFont="1" applyBorder="1" applyAlignment="1">
      <alignment horizontal="center" vertical="center" wrapText="1"/>
    </xf>
    <xf numFmtId="0" fontId="63" fillId="0" borderId="0" xfId="0" applyFont="1" applyAlignment="1">
      <alignment horizontal="center" vertical="center" wrapText="1"/>
    </xf>
    <xf numFmtId="0" fontId="63" fillId="0" borderId="1" xfId="0" applyFont="1" applyBorder="1" applyAlignment="1">
      <alignment horizontal="center" vertical="center" wrapText="1"/>
    </xf>
    <xf numFmtId="0" fontId="63" fillId="0" borderId="26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0" fontId="63" fillId="0" borderId="25" xfId="0" applyFont="1" applyBorder="1" applyAlignment="1">
      <alignment horizontal="center" vertical="center" wrapText="1"/>
    </xf>
    <xf numFmtId="0" fontId="63" fillId="0" borderId="20" xfId="0" applyFont="1" applyBorder="1" applyAlignment="1">
      <alignment vertical="center" wrapText="1"/>
    </xf>
    <xf numFmtId="0" fontId="63" fillId="0" borderId="21" xfId="0" applyFont="1" applyBorder="1" applyAlignment="1">
      <alignment vertical="center" wrapText="1"/>
    </xf>
    <xf numFmtId="0" fontId="73" fillId="0" borderId="22" xfId="0" applyFont="1" applyBorder="1" applyAlignment="1">
      <alignment horizontal="center" vertical="center" wrapText="1"/>
    </xf>
    <xf numFmtId="0" fontId="73" fillId="0" borderId="21" xfId="0" applyFont="1" applyBorder="1" applyAlignment="1">
      <alignment horizontal="center" vertical="center" wrapText="1"/>
    </xf>
    <xf numFmtId="0" fontId="63" fillId="0" borderId="20" xfId="0" applyFont="1" applyBorder="1" applyAlignment="1">
      <alignment horizontal="left" vertical="center" wrapText="1"/>
    </xf>
    <xf numFmtId="0" fontId="63" fillId="0" borderId="21" xfId="0" applyFont="1" applyBorder="1" applyAlignment="1">
      <alignment horizontal="left" vertical="center" wrapText="1"/>
    </xf>
    <xf numFmtId="0" fontId="66" fillId="0" borderId="20" xfId="0" applyFont="1" applyBorder="1" applyAlignment="1">
      <alignment horizontal="center" vertical="center" wrapText="1"/>
    </xf>
    <xf numFmtId="0" fontId="66" fillId="0" borderId="22" xfId="0" applyFont="1" applyBorder="1" applyAlignment="1">
      <alignment horizontal="center" vertical="center" wrapText="1"/>
    </xf>
    <xf numFmtId="0" fontId="66" fillId="0" borderId="21" xfId="0" applyFont="1" applyBorder="1" applyAlignment="1">
      <alignment horizontal="center" vertical="center" wrapText="1"/>
    </xf>
    <xf numFmtId="0" fontId="67" fillId="0" borderId="0" xfId="0" applyFont="1" applyAlignment="1">
      <alignment horizontal="center"/>
    </xf>
    <xf numFmtId="0" fontId="62" fillId="0" borderId="20" xfId="0" applyFont="1" applyBorder="1" applyAlignment="1">
      <alignment horizontal="center" vertical="center" wrapText="1"/>
    </xf>
    <xf numFmtId="0" fontId="62" fillId="0" borderId="22" xfId="0" applyFont="1" applyBorder="1" applyAlignment="1">
      <alignment horizontal="center" vertical="center" wrapText="1"/>
    </xf>
    <xf numFmtId="0" fontId="62" fillId="0" borderId="21" xfId="0" applyFont="1" applyBorder="1" applyAlignment="1">
      <alignment horizontal="center" vertical="center" wrapText="1"/>
    </xf>
    <xf numFmtId="0" fontId="63" fillId="0" borderId="40" xfId="0" applyFont="1" applyBorder="1" applyAlignment="1">
      <alignment horizontal="left" vertical="center" wrapText="1"/>
    </xf>
    <xf numFmtId="0" fontId="63" fillId="0" borderId="41" xfId="0" applyFont="1" applyBorder="1" applyAlignment="1">
      <alignment horizontal="left" vertical="center" wrapText="1"/>
    </xf>
    <xf numFmtId="0" fontId="63" fillId="0" borderId="42" xfId="0" applyFont="1" applyBorder="1" applyAlignment="1">
      <alignment horizontal="left" vertical="center" wrapText="1"/>
    </xf>
    <xf numFmtId="0" fontId="63" fillId="0" borderId="1" xfId="0" applyFont="1" applyBorder="1" applyAlignment="1">
      <alignment horizontal="left" vertical="center" wrapText="1"/>
    </xf>
    <xf numFmtId="0" fontId="63" fillId="0" borderId="26" xfId="0" applyFont="1" applyBorder="1" applyAlignment="1">
      <alignment horizontal="left" vertical="center" wrapText="1"/>
    </xf>
    <xf numFmtId="0" fontId="63" fillId="0" borderId="25" xfId="0" applyFont="1" applyBorder="1" applyAlignment="1">
      <alignment horizontal="left" vertical="center" wrapText="1"/>
    </xf>
    <xf numFmtId="0" fontId="69" fillId="0" borderId="2" xfId="0" applyFont="1" applyBorder="1" applyAlignment="1">
      <alignment horizontal="center" vertical="center" wrapText="1"/>
    </xf>
    <xf numFmtId="0" fontId="69" fillId="8" borderId="2" xfId="0" applyFont="1" applyFill="1" applyBorder="1" applyAlignment="1">
      <alignment horizontal="center" vertical="center" wrapText="1"/>
    </xf>
    <xf numFmtId="0" fontId="69" fillId="8" borderId="13" xfId="0" applyFont="1" applyFill="1" applyBorder="1" applyAlignment="1">
      <alignment horizontal="center" vertical="center" wrapText="1"/>
    </xf>
    <xf numFmtId="0" fontId="69" fillId="8" borderId="7" xfId="0" applyFont="1" applyFill="1" applyBorder="1" applyAlignment="1">
      <alignment horizontal="center" vertical="center" wrapText="1"/>
    </xf>
    <xf numFmtId="0" fontId="63" fillId="0" borderId="23" xfId="0" applyFont="1" applyBorder="1" applyAlignment="1">
      <alignment horizontal="left" vertical="center" wrapText="1"/>
    </xf>
    <xf numFmtId="0" fontId="65" fillId="0" borderId="24" xfId="0" applyFont="1" applyBorder="1" applyAlignment="1">
      <alignment horizontal="left" vertical="center" wrapText="1"/>
    </xf>
    <xf numFmtId="0" fontId="65" fillId="0" borderId="25" xfId="0" applyFont="1" applyBorder="1" applyAlignment="1">
      <alignment horizontal="left" vertical="center" wrapText="1"/>
    </xf>
    <xf numFmtId="0" fontId="69" fillId="8" borderId="40" xfId="0" applyFont="1" applyFill="1" applyBorder="1" applyAlignment="1">
      <alignment horizontal="center" vertical="center" wrapText="1"/>
    </xf>
    <xf numFmtId="0" fontId="69" fillId="8" borderId="23" xfId="0" applyFont="1" applyFill="1" applyBorder="1" applyAlignment="1">
      <alignment horizontal="center" vertical="center" wrapText="1"/>
    </xf>
    <xf numFmtId="0" fontId="69" fillId="8" borderId="41" xfId="0" applyFont="1" applyFill="1" applyBorder="1" applyAlignment="1">
      <alignment horizontal="center" vertical="center" wrapText="1"/>
    </xf>
    <xf numFmtId="0" fontId="69" fillId="8" borderId="26" xfId="0" applyFont="1" applyFill="1" applyBorder="1" applyAlignment="1">
      <alignment horizontal="center" vertical="center" wrapText="1"/>
    </xf>
    <xf numFmtId="0" fontId="69" fillId="8" borderId="24" xfId="0" applyFont="1" applyFill="1" applyBorder="1" applyAlignment="1">
      <alignment horizontal="center" vertical="center" wrapText="1"/>
    </xf>
    <xf numFmtId="0" fontId="69" fillId="8" borderId="25" xfId="0" applyFont="1" applyFill="1" applyBorder="1" applyAlignment="1">
      <alignment horizontal="center" vertical="center" wrapText="1"/>
    </xf>
    <xf numFmtId="2" fontId="75" fillId="0" borderId="22" xfId="2" applyNumberFormat="1" applyFont="1" applyBorder="1" applyAlignment="1">
      <alignment horizontal="left" vertical="center" wrapText="1"/>
    </xf>
    <xf numFmtId="2" fontId="75" fillId="0" borderId="21" xfId="2" applyNumberFormat="1" applyFont="1" applyBorder="1" applyAlignment="1">
      <alignment horizontal="left" vertical="center" wrapText="1"/>
    </xf>
    <xf numFmtId="0" fontId="64" fillId="19" borderId="34" xfId="2" applyFont="1" applyFill="1" applyBorder="1" applyAlignment="1">
      <alignment horizontal="right" vertical="center"/>
    </xf>
    <xf numFmtId="0" fontId="64" fillId="19" borderId="22" xfId="2" applyFont="1" applyFill="1" applyBorder="1" applyAlignment="1">
      <alignment horizontal="right" vertical="center"/>
    </xf>
    <xf numFmtId="0" fontId="64" fillId="19" borderId="21" xfId="2" applyFont="1" applyFill="1" applyBorder="1" applyAlignment="1">
      <alignment horizontal="right" vertical="center"/>
    </xf>
    <xf numFmtId="0" fontId="7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4" fillId="15" borderId="4" xfId="2" applyFont="1" applyFill="1" applyBorder="1" applyAlignment="1">
      <alignment horizontal="right" vertical="center"/>
    </xf>
    <xf numFmtId="0" fontId="64" fillId="15" borderId="5" xfId="2" applyFont="1" applyFill="1" applyBorder="1" applyAlignment="1">
      <alignment horizontal="right" vertical="center"/>
    </xf>
    <xf numFmtId="0" fontId="64" fillId="15" borderId="3" xfId="2" applyFont="1" applyFill="1" applyBorder="1" applyAlignment="1">
      <alignment horizontal="right" vertical="center"/>
    </xf>
    <xf numFmtId="0" fontId="64" fillId="15" borderId="2" xfId="2" applyFont="1" applyFill="1" applyBorder="1" applyAlignment="1">
      <alignment horizontal="right" vertical="center"/>
    </xf>
    <xf numFmtId="0" fontId="64" fillId="15" borderId="31" xfId="2" applyFont="1" applyFill="1" applyBorder="1" applyAlignment="1">
      <alignment horizontal="right" vertical="center"/>
    </xf>
    <xf numFmtId="0" fontId="64" fillId="15" borderId="32" xfId="2" applyFont="1" applyFill="1" applyBorder="1" applyAlignment="1">
      <alignment horizontal="right" vertical="center"/>
    </xf>
    <xf numFmtId="49" fontId="64" fillId="21" borderId="2" xfId="2" applyNumberFormat="1" applyFont="1" applyFill="1" applyBorder="1" applyAlignment="1">
      <alignment horizontal="left" vertical="center" wrapText="1"/>
    </xf>
    <xf numFmtId="0" fontId="64" fillId="21" borderId="2" xfId="2" applyFont="1" applyFill="1" applyBorder="1" applyAlignment="1">
      <alignment horizontal="left" vertical="center" wrapText="1"/>
    </xf>
    <xf numFmtId="0" fontId="75" fillId="0" borderId="2" xfId="2" applyFont="1" applyBorder="1" applyAlignment="1">
      <alignment horizontal="left" vertical="center" wrapText="1"/>
    </xf>
    <xf numFmtId="2" fontId="75" fillId="0" borderId="2" xfId="2" applyNumberFormat="1" applyFont="1" applyBorder="1" applyAlignment="1">
      <alignment horizontal="left" vertical="center" wrapText="1"/>
    </xf>
    <xf numFmtId="0" fontId="64" fillId="20" borderId="2" xfId="2" applyFont="1" applyFill="1" applyBorder="1" applyAlignment="1">
      <alignment horizontal="left" vertical="center"/>
    </xf>
    <xf numFmtId="0" fontId="27" fillId="16" borderId="28" xfId="2" applyFont="1" applyFill="1" applyBorder="1" applyAlignment="1">
      <alignment horizontal="center" vertical="center" wrapText="1"/>
    </xf>
    <xf numFmtId="0" fontId="27" fillId="16" borderId="27" xfId="2" applyFont="1" applyFill="1" applyBorder="1" applyAlignment="1">
      <alignment horizontal="center" vertical="center" wrapText="1"/>
    </xf>
    <xf numFmtId="0" fontId="27" fillId="16" borderId="36" xfId="2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80" fillId="0" borderId="4" xfId="0" applyFont="1" applyBorder="1" applyAlignment="1">
      <alignment horizontal="left" vertical="center" wrapText="1"/>
    </xf>
    <xf numFmtId="0" fontId="80" fillId="0" borderId="5" xfId="0" applyFont="1" applyBorder="1" applyAlignment="1">
      <alignment horizontal="left" vertical="center" wrapText="1"/>
    </xf>
    <xf numFmtId="0" fontId="83" fillId="0" borderId="5" xfId="0" applyFont="1" applyBorder="1" applyAlignment="1">
      <alignment horizontal="center" vertical="center" wrapText="1"/>
    </xf>
    <xf numFmtId="0" fontId="83" fillId="0" borderId="43" xfId="0" applyFont="1" applyBorder="1" applyAlignment="1">
      <alignment horizontal="center" vertical="center" wrapText="1"/>
    </xf>
    <xf numFmtId="0" fontId="64" fillId="3" borderId="2" xfId="2" applyFont="1" applyFill="1" applyBorder="1" applyAlignment="1">
      <alignment horizontal="center" vertical="center"/>
    </xf>
    <xf numFmtId="0" fontId="75" fillId="0" borderId="2" xfId="2" applyFont="1" applyBorder="1" applyAlignment="1">
      <alignment horizontal="left" vertical="center"/>
    </xf>
    <xf numFmtId="169" fontId="71" fillId="24" borderId="2" xfId="203" applyFont="1" applyFill="1" applyBorder="1" applyAlignment="1" applyProtection="1">
      <alignment horizontal="right" vertical="center" wrapText="1"/>
    </xf>
    <xf numFmtId="0" fontId="57" fillId="12" borderId="20" xfId="13" applyFont="1" applyFill="1" applyBorder="1" applyAlignment="1">
      <alignment horizontal="left" vertical="center" wrapText="1"/>
    </xf>
    <xf numFmtId="0" fontId="57" fillId="12" borderId="22" xfId="13" applyFont="1" applyFill="1" applyBorder="1" applyAlignment="1">
      <alignment horizontal="left" vertical="center" wrapText="1"/>
    </xf>
    <xf numFmtId="0" fontId="57" fillId="12" borderId="21" xfId="13" applyFont="1" applyFill="1" applyBorder="1" applyAlignment="1">
      <alignment horizontal="left" vertical="center" wrapText="1"/>
    </xf>
    <xf numFmtId="4" fontId="57" fillId="0" borderId="2" xfId="13" applyNumberFormat="1" applyFont="1" applyBorder="1" applyAlignment="1">
      <alignment horizontal="left" vertical="center" wrapText="1"/>
    </xf>
    <xf numFmtId="0" fontId="57" fillId="0" borderId="2" xfId="1199" applyFont="1" applyBorder="1" applyAlignment="1">
      <alignment horizontal="left" vertical="center" wrapText="1"/>
    </xf>
    <xf numFmtId="0" fontId="57" fillId="0" borderId="2" xfId="13" applyFont="1" applyBorder="1" applyAlignment="1">
      <alignment horizontal="left" vertical="center" wrapText="1"/>
    </xf>
    <xf numFmtId="0" fontId="57" fillId="11" borderId="2" xfId="28" applyFont="1" applyFill="1" applyBorder="1" applyAlignment="1">
      <alignment horizontal="left" vertical="center" wrapText="1"/>
    </xf>
    <xf numFmtId="167" fontId="58" fillId="9" borderId="2" xfId="13" applyNumberFormat="1" applyFont="1" applyFill="1" applyBorder="1" applyAlignment="1">
      <alignment horizontal="center" vertical="center" wrapText="1"/>
    </xf>
    <xf numFmtId="0" fontId="57" fillId="11" borderId="2" xfId="0" applyFont="1" applyFill="1" applyBorder="1" applyAlignment="1">
      <alignment horizontal="left" vertical="center" wrapText="1"/>
    </xf>
    <xf numFmtId="0" fontId="57" fillId="0" borderId="2" xfId="13" quotePrefix="1" applyFont="1" applyBorder="1" applyAlignment="1">
      <alignment vertical="center" wrapText="1"/>
    </xf>
    <xf numFmtId="0" fontId="57" fillId="0" borderId="2" xfId="15" applyFont="1" applyBorder="1" applyAlignment="1">
      <alignment horizontal="left" vertical="center" wrapText="1"/>
    </xf>
    <xf numFmtId="0" fontId="57" fillId="0" borderId="2" xfId="16" quotePrefix="1" applyFont="1" applyBorder="1" applyAlignment="1">
      <alignment horizontal="left" vertical="center" wrapText="1"/>
    </xf>
    <xf numFmtId="0" fontId="57" fillId="0" borderId="2" xfId="15" quotePrefix="1" applyFont="1" applyBorder="1" applyAlignment="1">
      <alignment horizontal="left" vertical="center" wrapText="1"/>
    </xf>
    <xf numFmtId="0" fontId="57" fillId="0" borderId="20" xfId="15" applyFont="1" applyBorder="1" applyAlignment="1">
      <alignment horizontal="left" vertical="center" wrapText="1"/>
    </xf>
    <xf numFmtId="0" fontId="57" fillId="0" borderId="22" xfId="15" applyFont="1" applyBorder="1" applyAlignment="1">
      <alignment horizontal="left" vertical="center" wrapText="1"/>
    </xf>
    <xf numFmtId="0" fontId="57" fillId="0" borderId="21" xfId="15" applyFont="1" applyBorder="1" applyAlignment="1">
      <alignment horizontal="left" vertical="center" wrapText="1"/>
    </xf>
    <xf numFmtId="0" fontId="57" fillId="22" borderId="20" xfId="13" applyFont="1" applyFill="1" applyBorder="1" applyAlignment="1">
      <alignment horizontal="left" vertical="center" wrapText="1"/>
    </xf>
    <xf numFmtId="0" fontId="57" fillId="22" borderId="22" xfId="13" applyFont="1" applyFill="1" applyBorder="1" applyAlignment="1">
      <alignment horizontal="left" vertical="center" wrapText="1"/>
    </xf>
    <xf numFmtId="0" fontId="57" fillId="0" borderId="2" xfId="16" applyFont="1" applyBorder="1" applyAlignment="1">
      <alignment horizontal="left" vertical="center" wrapText="1"/>
    </xf>
    <xf numFmtId="0" fontId="57" fillId="22" borderId="21" xfId="13" applyFont="1" applyFill="1" applyBorder="1" applyAlignment="1">
      <alignment horizontal="left" vertical="center" wrapText="1"/>
    </xf>
    <xf numFmtId="0" fontId="57" fillId="11" borderId="2" xfId="175" applyFont="1" applyFill="1" applyBorder="1" applyAlignment="1">
      <alignment horizontal="left" vertical="center" wrapText="1"/>
    </xf>
    <xf numFmtId="0" fontId="57" fillId="23" borderId="2" xfId="0" applyFont="1" applyFill="1" applyBorder="1" applyAlignment="1">
      <alignment horizontal="left" vertical="center" wrapText="1"/>
    </xf>
    <xf numFmtId="0" fontId="55" fillId="9" borderId="2" xfId="28" applyFont="1" applyFill="1" applyBorder="1" applyAlignment="1">
      <alignment horizontal="center" vertical="center" wrapText="1"/>
    </xf>
    <xf numFmtId="0" fontId="71" fillId="18" borderId="46" xfId="0" applyFont="1" applyFill="1" applyBorder="1" applyAlignment="1">
      <alignment horizontal="right" vertical="center"/>
    </xf>
    <xf numFmtId="0" fontId="84" fillId="17" borderId="2" xfId="13" applyFont="1" applyFill="1" applyBorder="1" applyAlignment="1">
      <alignment horizontal="center" vertical="center" wrapText="1"/>
    </xf>
    <xf numFmtId="0" fontId="57" fillId="10" borderId="7" xfId="28" applyFont="1" applyFill="1" applyBorder="1" applyAlignment="1">
      <alignment horizontal="center" vertical="center" wrapText="1"/>
    </xf>
    <xf numFmtId="0" fontId="57" fillId="0" borderId="2" xfId="13" applyFont="1" applyBorder="1" applyAlignment="1">
      <alignment horizontal="center" vertical="center" wrapText="1"/>
    </xf>
    <xf numFmtId="0" fontId="46" fillId="0" borderId="0" xfId="0" applyFont="1" applyAlignment="1">
      <alignment horizontal="center"/>
    </xf>
    <xf numFmtId="0" fontId="30" fillId="0" borderId="22" xfId="0" applyFont="1" applyBorder="1" applyAlignment="1">
      <alignment horizontal="left" vertical="center" wrapText="1"/>
    </xf>
    <xf numFmtId="7" fontId="27" fillId="0" borderId="22" xfId="0" applyNumberFormat="1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top" wrapText="1"/>
    </xf>
    <xf numFmtId="0" fontId="29" fillId="0" borderId="22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top" wrapText="1"/>
    </xf>
    <xf numFmtId="0" fontId="28" fillId="0" borderId="2" xfId="2" applyFont="1" applyBorder="1" applyAlignment="1">
      <alignment horizontal="left" vertical="center" wrapText="1"/>
    </xf>
    <xf numFmtId="0" fontId="28" fillId="0" borderId="20" xfId="2" applyFont="1" applyBorder="1" applyAlignment="1">
      <alignment horizontal="left" vertical="center" wrapText="1"/>
    </xf>
    <xf numFmtId="0" fontId="26" fillId="0" borderId="34" xfId="2" applyFont="1" applyBorder="1" applyAlignment="1">
      <alignment horizontal="right" vertical="center"/>
    </xf>
    <xf numFmtId="0" fontId="26" fillId="0" borderId="22" xfId="2" applyFont="1" applyBorder="1" applyAlignment="1">
      <alignment horizontal="right" vertical="center"/>
    </xf>
    <xf numFmtId="0" fontId="26" fillId="0" borderId="37" xfId="2" applyFont="1" applyBorder="1" applyAlignment="1">
      <alignment horizontal="right" vertical="center"/>
    </xf>
    <xf numFmtId="0" fontId="26" fillId="0" borderId="38" xfId="2" applyFont="1" applyBorder="1" applyAlignment="1">
      <alignment horizontal="right" vertical="center"/>
    </xf>
    <xf numFmtId="0" fontId="28" fillId="0" borderId="22" xfId="2" applyFont="1" applyBorder="1" applyAlignment="1">
      <alignment horizontal="left" vertical="center" wrapText="1"/>
    </xf>
    <xf numFmtId="0" fontId="26" fillId="0" borderId="35" xfId="2" applyFont="1" applyBorder="1" applyAlignment="1">
      <alignment horizontal="right" vertical="center"/>
    </xf>
    <xf numFmtId="49" fontId="26" fillId="2" borderId="26" xfId="2" applyNumberFormat="1" applyFont="1" applyFill="1" applyBorder="1" applyAlignment="1">
      <alignment horizontal="center" vertical="center" wrapText="1"/>
    </xf>
    <xf numFmtId="0" fontId="26" fillId="2" borderId="24" xfId="2" applyFont="1" applyFill="1" applyBorder="1" applyAlignment="1">
      <alignment horizontal="center" vertical="center" wrapText="1"/>
    </xf>
    <xf numFmtId="2" fontId="28" fillId="0" borderId="2" xfId="2" applyNumberFormat="1" applyFont="1" applyBorder="1" applyAlignment="1">
      <alignment horizontal="left" vertical="center" wrapText="1"/>
    </xf>
    <xf numFmtId="2" fontId="28" fillId="0" borderId="20" xfId="2" applyNumberFormat="1" applyFont="1" applyBorder="1" applyAlignment="1">
      <alignment horizontal="left" vertical="center" wrapText="1"/>
    </xf>
    <xf numFmtId="0" fontId="28" fillId="0" borderId="20" xfId="2" applyFont="1" applyBorder="1" applyAlignment="1">
      <alignment horizontal="left" vertical="top" wrapText="1"/>
    </xf>
    <xf numFmtId="0" fontId="28" fillId="0" borderId="35" xfId="2" applyFont="1" applyBorder="1" applyAlignment="1">
      <alignment horizontal="left" vertical="top" wrapText="1"/>
    </xf>
    <xf numFmtId="49" fontId="26" fillId="2" borderId="20" xfId="2" applyNumberFormat="1" applyFont="1" applyFill="1" applyBorder="1" applyAlignment="1">
      <alignment horizontal="center" vertical="center" wrapText="1"/>
    </xf>
    <xf numFmtId="0" fontId="26" fillId="2" borderId="22" xfId="2" applyFont="1" applyFill="1" applyBorder="1" applyAlignment="1">
      <alignment horizontal="center" vertical="center" wrapText="1"/>
    </xf>
    <xf numFmtId="2" fontId="28" fillId="0" borderId="22" xfId="2" applyNumberFormat="1" applyFont="1" applyBorder="1" applyAlignment="1">
      <alignment horizontal="left" vertical="center" wrapText="1"/>
    </xf>
    <xf numFmtId="0" fontId="28" fillId="0" borderId="35" xfId="2" applyFont="1" applyBorder="1" applyAlignment="1">
      <alignment horizontal="left" vertical="center"/>
    </xf>
    <xf numFmtId="0" fontId="26" fillId="0" borderId="20" xfId="2" applyFont="1" applyBorder="1" applyAlignment="1">
      <alignment horizontal="right" vertical="center"/>
    </xf>
    <xf numFmtId="49" fontId="28" fillId="0" borderId="20" xfId="2" applyNumberFormat="1" applyFont="1" applyBorder="1" applyAlignment="1">
      <alignment horizontal="left" vertical="center" wrapText="1"/>
    </xf>
    <xf numFmtId="49" fontId="28" fillId="0" borderId="22" xfId="2" applyNumberFormat="1" applyFont="1" applyBorder="1" applyAlignment="1">
      <alignment horizontal="left" vertical="center" wrapText="1"/>
    </xf>
    <xf numFmtId="0" fontId="26" fillId="7" borderId="20" xfId="2" applyFont="1" applyFill="1" applyBorder="1" applyAlignment="1">
      <alignment horizontal="center" vertical="center"/>
    </xf>
    <xf numFmtId="0" fontId="26" fillId="7" borderId="35" xfId="2" applyFont="1" applyFill="1" applyBorder="1" applyAlignment="1">
      <alignment horizontal="center" vertical="center"/>
    </xf>
    <xf numFmtId="0" fontId="27" fillId="6" borderId="28" xfId="2" applyFont="1" applyFill="1" applyBorder="1" applyAlignment="1">
      <alignment horizontal="center" vertical="center" wrapText="1"/>
    </xf>
    <xf numFmtId="0" fontId="27" fillId="6" borderId="27" xfId="2" applyFont="1" applyFill="1" applyBorder="1" applyAlignment="1">
      <alignment horizontal="center" vertical="center" wrapText="1"/>
    </xf>
    <xf numFmtId="0" fontId="27" fillId="6" borderId="36" xfId="2" applyFont="1" applyFill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47" fillId="0" borderId="45" xfId="0" applyFont="1" applyBorder="1" applyAlignment="1">
      <alignment horizontal="center" vertical="top" wrapText="1"/>
    </xf>
    <xf numFmtId="0" fontId="26" fillId="3" borderId="5" xfId="2" applyFont="1" applyFill="1" applyBorder="1" applyAlignment="1">
      <alignment horizontal="center" vertical="center"/>
    </xf>
    <xf numFmtId="0" fontId="26" fillId="3" borderId="39" xfId="2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38" fillId="0" borderId="0" xfId="0" applyFont="1" applyAlignment="1">
      <alignment horizontal="left" wrapText="1"/>
    </xf>
    <xf numFmtId="2" fontId="25" fillId="0" borderId="13" xfId="0" applyNumberFormat="1" applyFont="1" applyBorder="1" applyAlignment="1">
      <alignment horizontal="center" vertical="center"/>
    </xf>
    <xf numFmtId="2" fontId="25" fillId="0" borderId="12" xfId="0" applyNumberFormat="1" applyFont="1" applyBorder="1" applyAlignment="1">
      <alignment horizontal="center" vertical="center"/>
    </xf>
    <xf numFmtId="2" fontId="25" fillId="0" borderId="2" xfId="1" applyNumberFormat="1" applyFont="1" applyBorder="1" applyAlignment="1">
      <alignment horizontal="center" vertical="center"/>
    </xf>
    <xf numFmtId="0" fontId="36" fillId="4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6" fillId="4" borderId="2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2" fontId="25" fillId="0" borderId="2" xfId="0" applyNumberFormat="1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2" fontId="35" fillId="0" borderId="2" xfId="0" applyNumberFormat="1" applyFont="1" applyBorder="1" applyAlignment="1">
      <alignment horizontal="center" vertical="center"/>
    </xf>
    <xf numFmtId="2" fontId="25" fillId="0" borderId="13" xfId="1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32" fillId="0" borderId="0" xfId="0" applyFont="1" applyAlignment="1">
      <alignment horizontal="right" vertical="top"/>
    </xf>
    <xf numFmtId="0" fontId="32" fillId="0" borderId="24" xfId="0" applyFont="1" applyBorder="1" applyAlignment="1">
      <alignment horizontal="right" vertical="top"/>
    </xf>
    <xf numFmtId="0" fontId="33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2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8" fillId="0" borderId="0" xfId="0" applyFont="1" applyAlignment="1">
      <alignment horizontal="left" vertical="center"/>
    </xf>
    <xf numFmtId="0" fontId="17" fillId="0" borderId="26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2" fontId="25" fillId="0" borderId="7" xfId="0" applyNumberFormat="1" applyFont="1" applyBorder="1" applyAlignment="1">
      <alignment horizontal="center" vertical="center"/>
    </xf>
    <xf numFmtId="2" fontId="25" fillId="0" borderId="7" xfId="1" applyNumberFormat="1" applyFont="1" applyBorder="1" applyAlignment="1">
      <alignment horizontal="center" vertical="center"/>
    </xf>
    <xf numFmtId="0" fontId="38" fillId="0" borderId="26" xfId="0" applyFont="1" applyBorder="1" applyAlignment="1">
      <alignment horizontal="left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40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41" xfId="0" applyFont="1" applyBorder="1" applyAlignment="1">
      <alignment horizontal="left" vertical="center" wrapText="1"/>
    </xf>
    <xf numFmtId="0" fontId="38" fillId="0" borderId="42" xfId="0" applyFont="1" applyBorder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2" fontId="38" fillId="0" borderId="23" xfId="0" applyNumberFormat="1" applyFont="1" applyBorder="1" applyAlignment="1">
      <alignment horizontal="right" vertical="center"/>
    </xf>
    <xf numFmtId="2" fontId="38" fillId="0" borderId="0" xfId="0" applyNumberFormat="1" applyFont="1" applyAlignment="1">
      <alignment horizontal="right" vertical="center"/>
    </xf>
    <xf numFmtId="0" fontId="38" fillId="0" borderId="4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2" fontId="38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2" fontId="0" fillId="0" borderId="2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2" fontId="41" fillId="0" borderId="2" xfId="0" applyNumberFormat="1" applyFont="1" applyBorder="1" applyAlignment="1">
      <alignment horizontal="center" vertical="center"/>
    </xf>
    <xf numFmtId="2" fontId="41" fillId="0" borderId="20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5" fillId="0" borderId="43" xfId="0" applyFont="1" applyBorder="1" applyAlignment="1">
      <alignment horizontal="center" vertical="center" wrapText="1"/>
    </xf>
    <xf numFmtId="2" fontId="25" fillId="0" borderId="2" xfId="0" applyNumberFormat="1" applyFont="1" applyBorder="1" applyAlignment="1">
      <alignment horizontal="left" vertical="center" wrapText="1"/>
    </xf>
    <xf numFmtId="2" fontId="42" fillId="0" borderId="2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42" fillId="0" borderId="2" xfId="0" applyFont="1" applyBorder="1" applyAlignment="1">
      <alignment horizontal="center" vertical="center"/>
    </xf>
    <xf numFmtId="2" fontId="41" fillId="0" borderId="40" xfId="0" applyNumberFormat="1" applyFont="1" applyBorder="1" applyAlignment="1">
      <alignment horizontal="left" vertical="center" wrapText="1"/>
    </xf>
    <xf numFmtId="2" fontId="41" fillId="0" borderId="23" xfId="0" applyNumberFormat="1" applyFont="1" applyBorder="1" applyAlignment="1">
      <alignment horizontal="left" vertical="center" wrapText="1"/>
    </xf>
    <xf numFmtId="2" fontId="41" fillId="0" borderId="41" xfId="0" applyNumberFormat="1" applyFont="1" applyBorder="1" applyAlignment="1">
      <alignment horizontal="left" vertical="center" wrapText="1"/>
    </xf>
    <xf numFmtId="2" fontId="41" fillId="0" borderId="26" xfId="0" applyNumberFormat="1" applyFont="1" applyBorder="1" applyAlignment="1">
      <alignment horizontal="left" vertical="center" wrapText="1"/>
    </xf>
    <xf numFmtId="2" fontId="41" fillId="0" borderId="24" xfId="0" applyNumberFormat="1" applyFont="1" applyBorder="1" applyAlignment="1">
      <alignment horizontal="left" vertical="center" wrapText="1"/>
    </xf>
    <xf numFmtId="2" fontId="41" fillId="0" borderId="25" xfId="0" applyNumberFormat="1" applyFont="1" applyBorder="1" applyAlignment="1">
      <alignment horizontal="left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35" fillId="0" borderId="20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5" fillId="0" borderId="2" xfId="0" applyFont="1" applyBorder="1" applyAlignment="1">
      <alignment horizontal="center" vertical="center" wrapText="1"/>
    </xf>
    <xf numFmtId="0" fontId="0" fillId="0" borderId="42" xfId="0" applyBorder="1" applyAlignment="1">
      <alignment horizontal="center"/>
    </xf>
    <xf numFmtId="0" fontId="32" fillId="0" borderId="0" xfId="0" applyFont="1" applyAlignment="1">
      <alignment horizontal="right" vertical="center"/>
    </xf>
    <xf numFmtId="0" fontId="43" fillId="0" borderId="0" xfId="0" applyFont="1" applyAlignment="1">
      <alignment horizontal="center"/>
    </xf>
    <xf numFmtId="0" fontId="34" fillId="0" borderId="2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44" xfId="0" applyNumberFormat="1" applyFont="1" applyBorder="1" applyAlignment="1">
      <alignment horizontal="center" vertical="center"/>
    </xf>
    <xf numFmtId="2" fontId="35" fillId="0" borderId="33" xfId="0" applyNumberFormat="1" applyFont="1" applyBorder="1" applyAlignment="1">
      <alignment horizontal="center" vertical="center"/>
    </xf>
  </cellXfs>
  <cellStyles count="1374">
    <cellStyle name="Dziesiętny" xfId="11" builtinId="3"/>
    <cellStyle name="Dziesiętny 2" xfId="1" xr:uid="{00000000-0005-0000-0000-000001000000}"/>
    <cellStyle name="Dziesiętny 2 2" xfId="4" xr:uid="{00000000-0005-0000-0000-000002000000}"/>
    <cellStyle name="Dziesiętny 2 2 2" xfId="226" xr:uid="{78868793-933F-447A-8AD7-4A01FD152041}"/>
    <cellStyle name="Dziesiętny 2 2 3" xfId="203" xr:uid="{E02D5A5D-7A09-4F57-ACAD-E48D69BA8231}"/>
    <cellStyle name="Dziesiętny 2 3" xfId="100" xr:uid="{154A4346-D6AA-4140-9E97-F5AB52A3952F}"/>
    <cellStyle name="Dziesiętny 2 4" xfId="79" xr:uid="{6CCA2E5D-A7EF-45C4-9526-4693921CBEA7}"/>
    <cellStyle name="Dziesiętny 3" xfId="5" xr:uid="{00000000-0005-0000-0000-000003000000}"/>
    <cellStyle name="Dziesiętny 3 10" xfId="190" xr:uid="{6AE5C939-2248-4952-AE63-7ABE5D6E461B}"/>
    <cellStyle name="Dziesiętny 3 10 2" xfId="419" xr:uid="{FF1305F7-6889-4AB5-8231-5AEAD07899D4}"/>
    <cellStyle name="Dziesiętny 3 10 2 2" xfId="979" xr:uid="{86F50D2D-67BB-46AC-A487-27014DA183B2}"/>
    <cellStyle name="Dziesiętny 3 10 2 3" xfId="1361" xr:uid="{8F361E72-9AD1-46F1-BD8E-F5F615649640}"/>
    <cellStyle name="Dziesiętny 3 10 3" xfId="597" xr:uid="{AF0DC25C-8B62-44B9-AF36-4E54D57170C8}"/>
    <cellStyle name="Dziesiętny 3 10 4" xfId="775" xr:uid="{2AE04BFA-9920-44D4-903F-C99B1250CEC2}"/>
    <cellStyle name="Dziesiętny 3 10 5" xfId="1157" xr:uid="{15D8747B-9CDD-475C-819B-8C5F491DA4CE}"/>
    <cellStyle name="Dziesiętny 3 11" xfId="204" xr:uid="{8E060AFA-131A-43BF-A43A-25E74229B99C}"/>
    <cellStyle name="Dziesiętny 3 12" xfId="254" xr:uid="{D6E5E680-9463-4D2E-A72B-3598954E26F3}"/>
    <cellStyle name="Dziesiętny 3 12 2" xfId="814" xr:uid="{899AB3CC-3AD4-4E5C-A2B0-3C071F824E3E}"/>
    <cellStyle name="Dziesiętny 3 12 3" xfId="1196" xr:uid="{BCA6E0A0-C343-4FEF-81A4-6856D5184C1E}"/>
    <cellStyle name="Dziesiętny 3 13" xfId="432" xr:uid="{47008204-4E4C-4B9A-8D59-D60558312D60}"/>
    <cellStyle name="Dziesiętny 3 14" xfId="610" xr:uid="{1EFCE249-E1D4-4B0B-8C13-742D4B7994AA}"/>
    <cellStyle name="Dziesiętny 3 15" xfId="992" xr:uid="{7CE5B0A6-3820-4D9C-BD7E-EF7A578F9668}"/>
    <cellStyle name="Dziesiętny 3 2" xfId="19" xr:uid="{00000000-0005-0000-0000-000004000000}"/>
    <cellStyle name="Dziesiętny 3 2 10" xfId="261" xr:uid="{21040F95-054E-40D0-9465-4C5320E9AD2C}"/>
    <cellStyle name="Dziesiętny 3 2 10 2" xfId="821" xr:uid="{31E91D3E-4D76-494D-9FE3-3C43285E309C}"/>
    <cellStyle name="Dziesiętny 3 2 10 3" xfId="1203" xr:uid="{325706BA-14B2-4728-9063-AAD64B7E5FF3}"/>
    <cellStyle name="Dziesiętny 3 2 11" xfId="439" xr:uid="{E619B0F7-EBB6-4C0A-B472-7FE883CC5A21}"/>
    <cellStyle name="Dziesiętny 3 2 12" xfId="617" xr:uid="{08681DF8-83ED-4C26-819D-05B05B59554B}"/>
    <cellStyle name="Dziesiętny 3 2 13" xfId="999" xr:uid="{EBED9A6F-2AC7-49C0-85E1-83DDD68B3815}"/>
    <cellStyle name="Dziesiętny 3 2 2" xfId="35" xr:uid="{8CD506A5-DE7B-40EB-8BCC-6FCE4822F885}"/>
    <cellStyle name="Dziesiętny 3 2 2 2" xfId="69" xr:uid="{20A8BDC9-1B2D-45B1-9AD1-CB871BD38CA7}"/>
    <cellStyle name="Dziesiętny 3 2 2 2 2" xfId="307" xr:uid="{6D42063D-86A6-4344-82E3-48090BB32E0B}"/>
    <cellStyle name="Dziesiętny 3 2 2 2 2 2" xfId="867" xr:uid="{1B2688A3-24A0-4886-84B1-F0002EEC591E}"/>
    <cellStyle name="Dziesiętny 3 2 2 2 2 3" xfId="1249" xr:uid="{0D935F99-6DB3-4594-A99F-ADE759E473C0}"/>
    <cellStyle name="Dziesiętny 3 2 2 2 3" xfId="485" xr:uid="{04E4ADD3-2DEA-49EE-B276-0436ED940D09}"/>
    <cellStyle name="Dziesiętny 3 2 2 2 4" xfId="663" xr:uid="{8ECA63B8-2E60-4B18-A8C9-D9CBECFF3B53}"/>
    <cellStyle name="Dziesiętny 3 2 2 2 5" xfId="1045" xr:uid="{4AB43E04-5A6C-4683-80D6-EE8ACCB27131}"/>
    <cellStyle name="Dziesiętny 3 2 2 3" xfId="114" xr:uid="{A8E86A7F-E1E6-471C-B451-89C97D1E9449}"/>
    <cellStyle name="Dziesiętny 3 2 2 3 2" xfId="343" xr:uid="{2668A6FB-B765-4078-92BF-664C3599C129}"/>
    <cellStyle name="Dziesiętny 3 2 2 3 2 2" xfId="903" xr:uid="{BF1A58A0-FDC8-4A9B-921C-E8F396E2422B}"/>
    <cellStyle name="Dziesiętny 3 2 2 3 2 3" xfId="1285" xr:uid="{30137190-758D-43EF-935B-6BDDC04A85C7}"/>
    <cellStyle name="Dziesiętny 3 2 2 3 3" xfId="521" xr:uid="{59BA922A-F3DA-4C6F-ACDC-C4D5FB80DDB4}"/>
    <cellStyle name="Dziesiętny 3 2 2 3 4" xfId="699" xr:uid="{CC77BBF3-F51F-4E67-8DAE-26961BBCFCD0}"/>
    <cellStyle name="Dziesiętny 3 2 2 3 5" xfId="1081" xr:uid="{613B1341-3E61-425A-BCD9-6320FE99B8EE}"/>
    <cellStyle name="Dziesiętny 3 2 2 4" xfId="161" xr:uid="{8209CBAF-CAF0-4A1B-B4CD-4C77B4D2C2E9}"/>
    <cellStyle name="Dziesiętny 3 2 2 4 2" xfId="390" xr:uid="{387380C9-6D42-4D43-8550-3F9BE63587B4}"/>
    <cellStyle name="Dziesiętny 3 2 2 4 2 2" xfId="950" xr:uid="{8301A0BD-7A24-428A-85D0-F017B8905068}"/>
    <cellStyle name="Dziesiętny 3 2 2 4 2 3" xfId="1332" xr:uid="{9E851D26-84C0-4664-9B02-9ACBC5EBDE4F}"/>
    <cellStyle name="Dziesiętny 3 2 2 4 3" xfId="568" xr:uid="{38EE9700-89BB-4685-8F3D-B780E923A68E}"/>
    <cellStyle name="Dziesiętny 3 2 2 4 4" xfId="746" xr:uid="{6A31517E-8AC8-488B-9706-D26233F08AFF}"/>
    <cellStyle name="Dziesiętny 3 2 2 4 5" xfId="1128" xr:uid="{EAC7D99D-F6F2-4E02-8F70-265319DAA6DF}"/>
    <cellStyle name="Dziesiętny 3 2 2 5" xfId="274" xr:uid="{BD12BABF-59E8-4B6F-846B-0460DD2986CA}"/>
    <cellStyle name="Dziesiętny 3 2 2 5 2" xfId="834" xr:uid="{82B0B810-1117-436B-90AD-437FAB38B71C}"/>
    <cellStyle name="Dziesiętny 3 2 2 5 3" xfId="1216" xr:uid="{E69152E5-3AE2-4D12-99E5-A0DEB084D622}"/>
    <cellStyle name="Dziesiętny 3 2 2 6" xfId="452" xr:uid="{B3373208-1B1C-4A5D-A91B-91D052569585}"/>
    <cellStyle name="Dziesiętny 3 2 2 7" xfId="630" xr:uid="{6E6D6F8C-017F-413E-BED4-7CCFB68C2223}"/>
    <cellStyle name="Dziesiętny 3 2 2 8" xfId="1012" xr:uid="{AC6B8645-267B-4B63-96A1-D05973B719F5}"/>
    <cellStyle name="Dziesiętny 3 2 3" xfId="54" xr:uid="{F5084BE8-CE73-4E7D-9B06-629B632D9CEA}"/>
    <cellStyle name="Dziesiętny 3 2 3 2" xfId="292" xr:uid="{CACE4F4F-3895-4E75-BC6E-B7368A4AF6DF}"/>
    <cellStyle name="Dziesiętny 3 2 3 2 2" xfId="852" xr:uid="{6C21A06F-408D-48CF-BBAE-45589E7C8094}"/>
    <cellStyle name="Dziesiętny 3 2 3 2 3" xfId="1234" xr:uid="{AA509C77-BAA1-49E4-944A-B2CFEC43FA1F}"/>
    <cellStyle name="Dziesiętny 3 2 3 3" xfId="470" xr:uid="{94DBF5BD-5574-4D8D-A129-8E8BBBD2BB53}"/>
    <cellStyle name="Dziesiętny 3 2 3 4" xfId="648" xr:uid="{27006116-8AF4-4D10-A0A1-A1ACE9067EE3}"/>
    <cellStyle name="Dziesiętny 3 2 3 5" xfId="1030" xr:uid="{70052C25-0699-4494-A466-64D906CFCFB8}"/>
    <cellStyle name="Dziesiętny 3 2 4" xfId="88" xr:uid="{943CB2E5-DC45-4DC1-8168-EEE9C26A92E5}"/>
    <cellStyle name="Dziesiętny 3 2 4 2" xfId="323" xr:uid="{59AD7D39-F7C7-4FD6-9DD3-A3B3CB4D8ACE}"/>
    <cellStyle name="Dziesiętny 3 2 4 2 2" xfId="883" xr:uid="{7D595D49-602C-4393-92D1-4CB8A240405F}"/>
    <cellStyle name="Dziesiętny 3 2 4 2 3" xfId="1265" xr:uid="{7BAEA2B6-0224-446D-8DFE-9C1A6F01AFB5}"/>
    <cellStyle name="Dziesiętny 3 2 4 3" xfId="501" xr:uid="{8F23F8E3-4468-4C06-8C67-95D5D50AD25C}"/>
    <cellStyle name="Dziesiętny 3 2 4 4" xfId="679" xr:uid="{D1F5478B-A469-449E-A369-8C61FD0F55A2}"/>
    <cellStyle name="Dziesiętny 3 2 4 5" xfId="1061" xr:uid="{CB59E379-4D40-47E5-9E45-D2EC791BD21A}"/>
    <cellStyle name="Dziesiętny 3 2 5" xfId="130" xr:uid="{D4693203-B265-4368-8BBE-7F27C2E49DF3}"/>
    <cellStyle name="Dziesiętny 3 2 5 2" xfId="359" xr:uid="{F397320E-94CF-4F4C-9948-074FB83E8853}"/>
    <cellStyle name="Dziesiętny 3 2 5 2 2" xfId="919" xr:uid="{947A2572-DA20-4C9A-B608-52608CE04709}"/>
    <cellStyle name="Dziesiętny 3 2 5 2 3" xfId="1301" xr:uid="{1354582F-8DBC-4BDD-B380-1A3DBEFF3DE5}"/>
    <cellStyle name="Dziesiętny 3 2 5 3" xfId="537" xr:uid="{9A1E9627-F8A9-4C21-87A6-541291AF7806}"/>
    <cellStyle name="Dziesiętny 3 2 5 4" xfId="715" xr:uid="{77231BFB-1B99-4811-92CB-DF615FFCC233}"/>
    <cellStyle name="Dziesiętny 3 2 5 5" xfId="1097" xr:uid="{AC53E1D4-8A40-4422-8FCF-3EC0AC43CE10}"/>
    <cellStyle name="Dziesiętny 3 2 6" xfId="148" xr:uid="{EA69533E-3EBE-4443-A5BE-A6260D1BAD6C}"/>
    <cellStyle name="Dziesiętny 3 2 6 2" xfId="377" xr:uid="{1FE35A95-B3DA-4F3A-97CB-C67A10BAA43D}"/>
    <cellStyle name="Dziesiętny 3 2 6 2 2" xfId="937" xr:uid="{75A5828B-DEB5-434E-A2A8-E0945424DD9A}"/>
    <cellStyle name="Dziesiętny 3 2 6 2 3" xfId="1319" xr:uid="{6C717462-995D-45E8-A7C7-E0FF23C8C1AA}"/>
    <cellStyle name="Dziesiętny 3 2 6 3" xfId="555" xr:uid="{9871DF4A-4771-4C78-AC78-3BD0E8CE8997}"/>
    <cellStyle name="Dziesiętny 3 2 6 4" xfId="733" xr:uid="{D317DC12-7F97-4B53-A29E-8AF0912A97ED}"/>
    <cellStyle name="Dziesiętny 3 2 6 5" xfId="1115" xr:uid="{F813F6C8-6EC5-4E67-B3EF-A2DAE2B474A5}"/>
    <cellStyle name="Dziesiętny 3 2 7" xfId="179" xr:uid="{5506EADC-AEA0-486E-B2C1-F4ABD0936B79}"/>
    <cellStyle name="Dziesiętny 3 2 7 2" xfId="408" xr:uid="{2580D9C1-82E2-40A7-ABD8-19BF2BA91ACF}"/>
    <cellStyle name="Dziesiętny 3 2 7 2 2" xfId="968" xr:uid="{3075892E-B327-42A5-9FC4-85352129D9E1}"/>
    <cellStyle name="Dziesiętny 3 2 7 2 3" xfId="1350" xr:uid="{46A138D2-414F-4907-AE29-7E0E5E0922DE}"/>
    <cellStyle name="Dziesiętny 3 2 7 3" xfId="586" xr:uid="{FF59A255-DB64-4EAA-B7C1-2669740094A6}"/>
    <cellStyle name="Dziesiętny 3 2 7 4" xfId="764" xr:uid="{D7F1EAA0-45A6-4947-82F3-7EC582933475}"/>
    <cellStyle name="Dziesiętny 3 2 7 5" xfId="1146" xr:uid="{47277AB4-376A-4006-9789-B03D609DD571}"/>
    <cellStyle name="Dziesiętny 3 2 8" xfId="197" xr:uid="{425B965B-171E-46D4-A82C-7864CB7BD434}"/>
    <cellStyle name="Dziesiętny 3 2 8 2" xfId="426" xr:uid="{B6289420-519F-44F3-99C8-000C511686EA}"/>
    <cellStyle name="Dziesiętny 3 2 8 2 2" xfId="986" xr:uid="{1C49231E-A215-402D-9CA0-C5B87D76181D}"/>
    <cellStyle name="Dziesiętny 3 2 8 2 3" xfId="1368" xr:uid="{DDDF621A-3E7F-4B53-8E4E-55312D49311E}"/>
    <cellStyle name="Dziesiętny 3 2 8 3" xfId="604" xr:uid="{72446305-B40D-447C-ADA1-953F93EF17FF}"/>
    <cellStyle name="Dziesiętny 3 2 8 4" xfId="782" xr:uid="{FD53C696-70F9-4E01-A74D-BE97A9B4379C}"/>
    <cellStyle name="Dziesiętny 3 2 8 5" xfId="1164" xr:uid="{7BFCC69E-FD5B-4DA3-AF3A-73E2177AFA52}"/>
    <cellStyle name="Dziesiętny 3 2 9" xfId="227" xr:uid="{A96AB1D6-100E-488D-9717-EED9609F24F3}"/>
    <cellStyle name="Dziesiętny 3 2 9 2" xfId="790" xr:uid="{BDFEED80-F9EA-4538-B3D1-94D56AB90165}"/>
    <cellStyle name="Dziesiętny 3 2 9 3" xfId="1172" xr:uid="{F83DFACB-D4C1-4CDE-BB34-809D45035506}"/>
    <cellStyle name="Dziesiętny 3 3" xfId="44" xr:uid="{3F3B1166-0FA7-45AF-8E77-00EED60BEFCC}"/>
    <cellStyle name="Dziesiętny 3 3 10" xfId="638" xr:uid="{D5A374BE-229B-4C20-BB56-9588DC5C8B6F}"/>
    <cellStyle name="Dziesiętny 3 3 11" xfId="1020" xr:uid="{5A30C1D7-4E45-4A48-8BB5-3DBCA35CD108}"/>
    <cellStyle name="Dziesiętny 3 3 2" xfId="62" xr:uid="{B17B91A1-08EB-402B-8ABD-60256AB71A11}"/>
    <cellStyle name="Dziesiętny 3 3 2 2" xfId="300" xr:uid="{C5505BBA-E9A9-4184-B678-F107AFE6AC5A}"/>
    <cellStyle name="Dziesiętny 3 3 2 2 2" xfId="860" xr:uid="{DC6E6840-ED99-4524-B662-B311C8757210}"/>
    <cellStyle name="Dziesiętny 3 3 2 2 3" xfId="1242" xr:uid="{B9AD986E-90D0-4233-B568-5769D8E9F1F4}"/>
    <cellStyle name="Dziesiętny 3 3 2 3" xfId="478" xr:uid="{73D3E200-AFDE-4A83-958E-CD896CF8DD07}"/>
    <cellStyle name="Dziesiętny 3 3 2 4" xfId="656" xr:uid="{B5207698-0BB2-409E-91A4-7D98431702BE}"/>
    <cellStyle name="Dziesiętny 3 3 2 5" xfId="1038" xr:uid="{D1701A72-AFD2-420B-8E13-8FE72CA3DADB}"/>
    <cellStyle name="Dziesiętny 3 3 3" xfId="96" xr:uid="{87BFC26E-AFA6-4EE6-9EAE-C22A5E1F1041}"/>
    <cellStyle name="Dziesiętny 3 3 3 2" xfId="331" xr:uid="{0B758791-88EB-4411-8AD8-7F83AE80351D}"/>
    <cellStyle name="Dziesiętny 3 3 3 2 2" xfId="891" xr:uid="{83292082-F0C7-4080-AFBE-51464C2F4B88}"/>
    <cellStyle name="Dziesiętny 3 3 3 2 3" xfId="1273" xr:uid="{FF577A3B-D493-47A9-90BD-E76CA615666A}"/>
    <cellStyle name="Dziesiętny 3 3 3 3" xfId="509" xr:uid="{CD7221D3-A61B-4A71-AC1E-A271EAFAB82C}"/>
    <cellStyle name="Dziesiętny 3 3 3 4" xfId="687" xr:uid="{66332196-6D91-4F27-8DE3-D46CEA9C8B5B}"/>
    <cellStyle name="Dziesiętny 3 3 3 5" xfId="1069" xr:uid="{ECB6659F-F014-4B7A-AB2B-6873032C651D}"/>
    <cellStyle name="Dziesiętny 3 3 4" xfId="138" xr:uid="{89A6991C-2019-4E23-9C1C-6B4FE4C5F081}"/>
    <cellStyle name="Dziesiętny 3 3 4 2" xfId="367" xr:uid="{FC809244-892B-42AE-8C97-B8737A05665B}"/>
    <cellStyle name="Dziesiętny 3 3 4 2 2" xfId="927" xr:uid="{CF4050C9-3F32-462B-AD6C-2504D9C12877}"/>
    <cellStyle name="Dziesiętny 3 3 4 2 3" xfId="1309" xr:uid="{6A5A41C2-17E9-48B1-9F94-EA9B2D4605A1}"/>
    <cellStyle name="Dziesiętny 3 3 4 3" xfId="545" xr:uid="{52ACD467-BBC6-4EE9-811C-8B90F90D69E6}"/>
    <cellStyle name="Dziesiętny 3 3 4 4" xfId="723" xr:uid="{4D5C3389-B6DE-4E0B-9180-30470D71DEEC}"/>
    <cellStyle name="Dziesiętny 3 3 4 5" xfId="1105" xr:uid="{6E067EE8-80C4-41AA-97F2-0D4995435002}"/>
    <cellStyle name="Dziesiętny 3 3 5" xfId="169" xr:uid="{76658AD5-0E2E-4B44-9FBA-8BCBC7873ABA}"/>
    <cellStyle name="Dziesiętny 3 3 5 2" xfId="398" xr:uid="{3D79E02B-1833-4FD1-8617-F8B224178AFB}"/>
    <cellStyle name="Dziesiętny 3 3 5 2 2" xfId="958" xr:uid="{C4F02628-2717-41F3-AB3E-E3E2D0F885E8}"/>
    <cellStyle name="Dziesiętny 3 3 5 2 3" xfId="1340" xr:uid="{C29800FC-4217-4AC8-BAF6-4DEB7E892F1F}"/>
    <cellStyle name="Dziesiętny 3 3 5 3" xfId="576" xr:uid="{22EF3A7F-56A1-425F-BAD3-704EA3BC01DB}"/>
    <cellStyle name="Dziesiętny 3 3 5 4" xfId="754" xr:uid="{195550B2-A416-44B1-8E73-16C972EED624}"/>
    <cellStyle name="Dziesiętny 3 3 5 5" xfId="1136" xr:uid="{3C7587AB-C7D9-4820-85DF-5465237DF008}"/>
    <cellStyle name="Dziesiętny 3 3 6" xfId="187" xr:uid="{A2452D26-1283-44D1-91AD-76F8D145FD3B}"/>
    <cellStyle name="Dziesiętny 3 3 6 2" xfId="416" xr:uid="{F40F2C29-2DA8-4763-B9E1-2C9C8BCAA9F5}"/>
    <cellStyle name="Dziesiętny 3 3 6 2 2" xfId="976" xr:uid="{4F8B32BA-B016-4CC6-8D9C-E17BAF86E4FA}"/>
    <cellStyle name="Dziesiętny 3 3 6 2 3" xfId="1358" xr:uid="{58FE172D-2541-4C39-B036-74C4DC8F597B}"/>
    <cellStyle name="Dziesiętny 3 3 6 3" xfId="594" xr:uid="{601FE6FD-E5FC-4283-BF0A-77E85C5CA41B}"/>
    <cellStyle name="Dziesiętny 3 3 6 4" xfId="772" xr:uid="{91B09C55-A4E3-4004-B738-6C5CF387E819}"/>
    <cellStyle name="Dziesiętny 3 3 6 5" xfId="1154" xr:uid="{88CDC041-888E-4A1C-9B73-3698FCFF8680}"/>
    <cellStyle name="Dziesiętny 3 3 7" xfId="243" xr:uid="{DA030A0F-2546-48FD-993B-FDC032841559}"/>
    <cellStyle name="Dziesiętny 3 3 7 2" xfId="803" xr:uid="{E6EBA186-BD05-49A3-8B90-ECD84FC5F92C}"/>
    <cellStyle name="Dziesiętny 3 3 7 3" xfId="1185" xr:uid="{7CCCCA84-5C8F-44A2-A035-D80B8B1B5151}"/>
    <cellStyle name="Dziesiętny 3 3 8" xfId="282" xr:uid="{53178908-6A24-49DE-B973-AB8957926677}"/>
    <cellStyle name="Dziesiętny 3 3 8 2" xfId="842" xr:uid="{5D464414-1276-4A54-A7CC-5241AC6328F0}"/>
    <cellStyle name="Dziesiętny 3 3 8 3" xfId="1224" xr:uid="{59DD312C-59C3-4A45-AC01-111BB5A82947}"/>
    <cellStyle name="Dziesiętny 3 3 9" xfId="460" xr:uid="{74745316-8F9F-4F10-A029-10970F5C7548}"/>
    <cellStyle name="Dziesiętny 3 4" xfId="30" xr:uid="{0A824E7F-E18D-474F-A28F-5D3C1EEC2258}"/>
    <cellStyle name="Dziesiętny 3 4 2" xfId="75" xr:uid="{39B27457-A7A0-4C1D-9FBF-B84FE3A32F89}"/>
    <cellStyle name="Dziesiętny 3 4 2 2" xfId="313" xr:uid="{F367BE4C-E8C6-401D-AC05-1BF735FDECA2}"/>
    <cellStyle name="Dziesiętny 3 4 2 2 2" xfId="873" xr:uid="{8AE53E94-1E79-426E-BBC2-D5C9BB7757F9}"/>
    <cellStyle name="Dziesiętny 3 4 2 2 3" xfId="1255" xr:uid="{E81B538F-16F8-4335-B5DD-C573E67DE2B4}"/>
    <cellStyle name="Dziesiętny 3 4 2 3" xfId="491" xr:uid="{A2457B74-F378-47D2-9197-E6FCB39858AB}"/>
    <cellStyle name="Dziesiętny 3 4 2 4" xfId="669" xr:uid="{CBDFEA87-E20B-4AE3-A7FE-5E15D5ED3731}"/>
    <cellStyle name="Dziesiętny 3 4 2 5" xfId="1051" xr:uid="{011E9FDF-9504-425A-BDF5-5A05421BDD75}"/>
    <cellStyle name="Dziesiętny 3 4 3" xfId="107" xr:uid="{E86F067E-5DDB-4D59-9D7B-773EB65D1647}"/>
    <cellStyle name="Dziesiętny 3 4 3 2" xfId="336" xr:uid="{1DD635FE-61F5-4834-B396-54E5F998B6A7}"/>
    <cellStyle name="Dziesiętny 3 4 3 2 2" xfId="896" xr:uid="{7B4B36EE-18B0-45D2-8808-703E26663E10}"/>
    <cellStyle name="Dziesiętny 3 4 3 2 3" xfId="1278" xr:uid="{4E3F3EDC-8343-44BB-BB88-1F2F0AA15325}"/>
    <cellStyle name="Dziesiętny 3 4 3 3" xfId="514" xr:uid="{CAD35C51-7BDA-4CEA-9E21-93CB0E124DD5}"/>
    <cellStyle name="Dziesiętny 3 4 3 4" xfId="692" xr:uid="{AB065562-B240-46F2-9379-4B12443596DB}"/>
    <cellStyle name="Dziesiętny 3 4 3 5" xfId="1074" xr:uid="{5CF21E85-9E9F-454F-944B-70D59EDFF93D}"/>
    <cellStyle name="Dziesiętny 3 4 4" xfId="156" xr:uid="{127220D8-6B67-46F3-A9D4-4AAF381F403D}"/>
    <cellStyle name="Dziesiętny 3 4 4 2" xfId="385" xr:uid="{0374364A-F2D7-4190-8469-0DB2E5A122FF}"/>
    <cellStyle name="Dziesiętny 3 4 4 2 2" xfId="945" xr:uid="{80522C8B-2490-47CB-BA52-5C7957BFFA5F}"/>
    <cellStyle name="Dziesiętny 3 4 4 2 3" xfId="1327" xr:uid="{F9A00E8E-CF19-492C-B2C3-D99E7715FF4E}"/>
    <cellStyle name="Dziesiętny 3 4 4 3" xfId="563" xr:uid="{39D98A76-60AD-4A48-B898-B56B316F81EC}"/>
    <cellStyle name="Dziesiętny 3 4 4 4" xfId="741" xr:uid="{97778455-649C-4698-9985-EECAC2AEE725}"/>
    <cellStyle name="Dziesiętny 3 4 4 5" xfId="1123" xr:uid="{CF87052A-CC1E-4771-BE0A-9C6FB531408A}"/>
    <cellStyle name="Dziesiętny 3 4 5" xfId="269" xr:uid="{5D2EBA45-A587-4443-B95E-BBACD178150A}"/>
    <cellStyle name="Dziesiętny 3 4 5 2" xfId="829" xr:uid="{9E52E00D-3002-4DF7-B307-2B785F10C884}"/>
    <cellStyle name="Dziesiętny 3 4 5 3" xfId="1211" xr:uid="{DE12D69A-7709-4933-9AE2-B8CDEB1F0AAA}"/>
    <cellStyle name="Dziesiętny 3 4 6" xfId="447" xr:uid="{CE8E22B4-D7F8-42FB-A3BF-B9FCB273991F}"/>
    <cellStyle name="Dziesiętny 3 4 7" xfId="625" xr:uid="{F96B66BA-1066-4001-A971-0D5F17227D67}"/>
    <cellStyle name="Dziesiętny 3 4 8" xfId="1007" xr:uid="{FC1193C1-FE1F-4396-9D78-D44959063E0E}"/>
    <cellStyle name="Dziesiętny 3 5" xfId="47" xr:uid="{D3E73290-3D80-4E36-A881-D7DB0EDA697C}"/>
    <cellStyle name="Dziesiętny 3 5 2" xfId="285" xr:uid="{88346320-18BE-45F1-9E50-280E01B3DD27}"/>
    <cellStyle name="Dziesiętny 3 5 2 2" xfId="845" xr:uid="{3B1E3CEA-6932-4197-B719-6ADF0576E738}"/>
    <cellStyle name="Dziesiętny 3 5 2 3" xfId="1227" xr:uid="{ADDF2927-8D37-45AF-A112-1D620376C899}"/>
    <cellStyle name="Dziesiętny 3 5 3" xfId="463" xr:uid="{6B51E120-7EAC-4B50-956E-D458EEE76619}"/>
    <cellStyle name="Dziesiętny 3 5 4" xfId="641" xr:uid="{CA00CD96-E8F9-493A-A1D5-51F3C8726BD2}"/>
    <cellStyle name="Dziesiętny 3 5 5" xfId="1023" xr:uid="{EA2A413E-2ECA-4AB0-99A1-ABACFF0822A5}"/>
    <cellStyle name="Dziesiętny 3 6" xfId="80" xr:uid="{A2798735-C1E2-472B-97EF-1A7090D37FC1}"/>
    <cellStyle name="Dziesiętny 3 6 2" xfId="316" xr:uid="{4EF9E8B4-ECBB-4F63-A0E5-B02359407AF4}"/>
    <cellStyle name="Dziesiętny 3 6 2 2" xfId="876" xr:uid="{E34EA176-5382-4112-B6E8-E18EF02BCD9B}"/>
    <cellStyle name="Dziesiętny 3 6 2 3" xfId="1258" xr:uid="{D4A0BBEB-EFAF-46A3-B69F-023A6C3286D4}"/>
    <cellStyle name="Dziesiętny 3 6 3" xfId="494" xr:uid="{DA8B7BE2-1A4E-4120-93CD-89C252374D61}"/>
    <cellStyle name="Dziesiętny 3 6 4" xfId="672" xr:uid="{DE75B2E0-57A6-4FF0-856F-08B9A5BC972F}"/>
    <cellStyle name="Dziesiętny 3 6 5" xfId="1054" xr:uid="{805A383A-FC71-4A0D-AB54-32A02D55BE7E}"/>
    <cellStyle name="Dziesiętny 3 7" xfId="123" xr:uid="{5081D623-676C-4540-BBBD-194BCA5CAF5F}"/>
    <cellStyle name="Dziesiętny 3 7 2" xfId="352" xr:uid="{CC3B0205-DE1F-4A26-95BD-84AC7B5622A4}"/>
    <cellStyle name="Dziesiętny 3 7 2 2" xfId="912" xr:uid="{9C432CCC-E6E6-4D0D-B273-B691AC6207AA}"/>
    <cellStyle name="Dziesiętny 3 7 2 3" xfId="1294" xr:uid="{B2BEC62A-D1A6-4576-8274-831F451C6ABE}"/>
    <cellStyle name="Dziesiętny 3 7 3" xfId="530" xr:uid="{73784AED-C612-4A8A-935D-0A5B8074DB6F}"/>
    <cellStyle name="Dziesiętny 3 7 4" xfId="708" xr:uid="{3753A398-CD4B-4295-9BDA-DCDCA54D3A67}"/>
    <cellStyle name="Dziesiętny 3 7 5" xfId="1090" xr:uid="{761682DE-1B01-464C-8804-EF7F85D51D2F}"/>
    <cellStyle name="Dziesiętny 3 8" xfId="141" xr:uid="{1FDFD8E9-326D-4D5F-8545-07DF8C911679}"/>
    <cellStyle name="Dziesiętny 3 8 2" xfId="370" xr:uid="{90BE3BED-D08B-498F-A6D7-6CAC3DA72FFA}"/>
    <cellStyle name="Dziesiętny 3 8 2 2" xfId="930" xr:uid="{D316C56C-6591-4856-8441-25F36A53C42B}"/>
    <cellStyle name="Dziesiętny 3 8 2 3" xfId="1312" xr:uid="{A6EE690C-A62D-47DB-B056-B4A6EF5B7562}"/>
    <cellStyle name="Dziesiętny 3 8 3" xfId="548" xr:uid="{D6CFFA65-0516-4788-A3DB-56B09BD2B8C5}"/>
    <cellStyle name="Dziesiętny 3 8 4" xfId="726" xr:uid="{34961019-FA45-44CF-8202-C75438CFEFB3}"/>
    <cellStyle name="Dziesiętny 3 8 5" xfId="1108" xr:uid="{104C5A18-4FA5-4014-A0F6-0040B38931DD}"/>
    <cellStyle name="Dziesiętny 3 9" xfId="172" xr:uid="{4B0F4698-0669-4748-8FBB-C3623A623782}"/>
    <cellStyle name="Dziesiętny 3 9 2" xfId="401" xr:uid="{53072022-436F-4565-81A8-DC73F4EEF84E}"/>
    <cellStyle name="Dziesiętny 3 9 2 2" xfId="961" xr:uid="{8B9DC307-1A4A-4BBF-A08A-7F9EB8E0A138}"/>
    <cellStyle name="Dziesiętny 3 9 2 3" xfId="1343" xr:uid="{54F6B346-253D-452F-8875-A78F1CCC2B17}"/>
    <cellStyle name="Dziesiętny 3 9 3" xfId="579" xr:uid="{F072DA20-3DDB-4DB0-93B9-7B49E4882A01}"/>
    <cellStyle name="Dziesiętny 3 9 4" xfId="757" xr:uid="{5C00A64B-561A-457A-831F-1F79C1205DBA}"/>
    <cellStyle name="Dziesiętny 3 9 5" xfId="1139" xr:uid="{861094E0-0238-48E8-9C69-D2B03A0B1EE3}"/>
    <cellStyle name="Dziesiętny 4" xfId="14" xr:uid="{00000000-0005-0000-0000-000005000000}"/>
    <cellStyle name="Dziesiętny 4 10" xfId="258" xr:uid="{0D3923CD-0EC1-4205-89B5-F84481F3BBA4}"/>
    <cellStyle name="Dziesiętny 4 10 2" xfId="818" xr:uid="{A314885C-618C-4BDF-9FAA-F2798A671B3D}"/>
    <cellStyle name="Dziesiętny 4 10 3" xfId="1200" xr:uid="{B214DEF6-372A-4E2A-9DD3-F92D90187271}"/>
    <cellStyle name="Dziesiętny 4 11" xfId="436" xr:uid="{9A3E3A57-89EF-4819-8A40-94726F6D7C59}"/>
    <cellStyle name="Dziesiętny 4 12" xfId="614" xr:uid="{BC786914-7A11-426D-9D3B-079CBA50BC5C}"/>
    <cellStyle name="Dziesiętny 4 13" xfId="996" xr:uid="{A1F2991A-2C1B-4669-BF52-C5FB46F9E2BB}"/>
    <cellStyle name="Dziesiętny 4 2" xfId="29" xr:uid="{BE7686F2-DD22-4153-863D-FAF0BE940E1F}"/>
    <cellStyle name="Dziesiętny 4 2 2" xfId="66" xr:uid="{3D59FE22-8EC8-4470-BE0F-26046AB4C801}"/>
    <cellStyle name="Dziesiętny 4 2 2 2" xfId="304" xr:uid="{7B36B678-1267-401B-8BEA-3BBAEE3D4126}"/>
    <cellStyle name="Dziesiętny 4 2 2 2 2" xfId="864" xr:uid="{7B6A97CA-D363-4E78-BA20-6C04D7E2C905}"/>
    <cellStyle name="Dziesiętny 4 2 2 2 3" xfId="1246" xr:uid="{D4B5DAD4-8088-453D-A101-5B2A9627EABF}"/>
    <cellStyle name="Dziesiętny 4 2 2 3" xfId="482" xr:uid="{D6AC7BEE-6E46-4AD3-86B4-0104BE54319B}"/>
    <cellStyle name="Dziesiętny 4 2 2 4" xfId="660" xr:uid="{A072FD48-CA21-45BC-BA3B-7F0D5BE6B067}"/>
    <cellStyle name="Dziesiętny 4 2 2 5" xfId="1042" xr:uid="{5A203BDF-F07A-46B0-9A98-DB71E9B4E94D}"/>
    <cellStyle name="Dziesiętny 4 2 3" xfId="111" xr:uid="{D96B36B3-3EF5-4CE8-A6EE-4FE692D4F334}"/>
    <cellStyle name="Dziesiętny 4 2 3 2" xfId="340" xr:uid="{ADBCBE7E-534B-4B1A-9FFE-266331F24A4A}"/>
    <cellStyle name="Dziesiętny 4 2 3 2 2" xfId="900" xr:uid="{BC422550-0B4E-4CB6-B6A6-926FFD84A9A1}"/>
    <cellStyle name="Dziesiętny 4 2 3 2 3" xfId="1282" xr:uid="{C528E245-8792-4666-8875-E7BE4E6A3178}"/>
    <cellStyle name="Dziesiętny 4 2 3 3" xfId="518" xr:uid="{7E6B1647-A04D-48C1-8C16-1205C93BFF78}"/>
    <cellStyle name="Dziesiętny 4 2 3 4" xfId="696" xr:uid="{1C3A592E-E23D-4A43-BBA4-0348F84099D1}"/>
    <cellStyle name="Dziesiętny 4 2 3 5" xfId="1078" xr:uid="{711E88F7-FFB5-4BC5-8123-7D1577F39E3E}"/>
    <cellStyle name="Dziesiętny 4 2 4" xfId="155" xr:uid="{40EC187C-D749-4AE7-ABA4-A36311AFFA19}"/>
    <cellStyle name="Dziesiętny 4 2 4 2" xfId="384" xr:uid="{9FBF4C3D-3831-4549-832C-14079B5E5C9E}"/>
    <cellStyle name="Dziesiętny 4 2 4 2 2" xfId="944" xr:uid="{92014EF7-10A1-437C-8A15-3FDFA6BB6069}"/>
    <cellStyle name="Dziesiętny 4 2 4 2 3" xfId="1326" xr:uid="{36AC35C4-7BAA-47B5-B402-C85ADB56F8E1}"/>
    <cellStyle name="Dziesiętny 4 2 4 3" xfId="562" xr:uid="{721CDB44-CD27-4637-9D8D-D4819E61D8F0}"/>
    <cellStyle name="Dziesiętny 4 2 4 4" xfId="740" xr:uid="{3593FF28-4396-492F-B77A-24FE813D80DB}"/>
    <cellStyle name="Dziesiętny 4 2 4 5" xfId="1122" xr:uid="{C675AEF5-41C6-418B-A4FD-5ADEF654D15A}"/>
    <cellStyle name="Dziesiętny 4 2 5" xfId="206" xr:uid="{E8F20A25-3E7F-4C7C-94F1-F254B3613D36}"/>
    <cellStyle name="Dziesiętny 4 2 6" xfId="268" xr:uid="{DAA992FB-96CD-4603-BDA1-73C4D5BE94B1}"/>
    <cellStyle name="Dziesiętny 4 2 6 2" xfId="828" xr:uid="{1D6D9EB3-C85F-4250-A426-B58B02F2B806}"/>
    <cellStyle name="Dziesiętny 4 2 6 3" xfId="1210" xr:uid="{7E7F9B0D-5B72-4D99-A64A-9860875050F8}"/>
    <cellStyle name="Dziesiętny 4 2 7" xfId="446" xr:uid="{FC4B444E-6138-4142-BB54-1232902C343C}"/>
    <cellStyle name="Dziesiętny 4 2 8" xfId="624" xr:uid="{C3620CB1-5AB8-431B-8E88-E9CE268562BE}"/>
    <cellStyle name="Dziesiętny 4 2 9" xfId="1006" xr:uid="{7C5624AA-DD57-4199-93EB-A6E2A6B5DE4E}"/>
    <cellStyle name="Dziesiętny 4 3" xfId="51" xr:uid="{23D13492-2A74-4783-A5DD-57ED46965DED}"/>
    <cellStyle name="Dziesiętny 4 3 2" xfId="289" xr:uid="{1F43355E-6AC8-4DD4-8F2E-6C44E72B0A24}"/>
    <cellStyle name="Dziesiętny 4 3 2 2" xfId="849" xr:uid="{1A64B4F3-8622-434A-AD90-66A8E071B236}"/>
    <cellStyle name="Dziesiętny 4 3 2 3" xfId="1231" xr:uid="{5BB0B0F7-AE93-417C-9EE3-E0D7014A1B8A}"/>
    <cellStyle name="Dziesiętny 4 3 3" xfId="467" xr:uid="{6B9ABE6D-5ABD-4D97-BB16-5A938EEA6077}"/>
    <cellStyle name="Dziesiętny 4 3 4" xfId="645" xr:uid="{7E758800-B365-4B6C-A12B-7B093ED24DB9}"/>
    <cellStyle name="Dziesiętny 4 3 5" xfId="1027" xr:uid="{58E9315E-6065-4FDC-AE00-B2228E5EE944}"/>
    <cellStyle name="Dziesiętny 4 4" xfId="85" xr:uid="{783BCBF9-CB1D-4DFF-853C-B9D50D64FC70}"/>
    <cellStyle name="Dziesiętny 4 4 2" xfId="320" xr:uid="{CAB5A5CA-2332-4E44-8051-715449E95083}"/>
    <cellStyle name="Dziesiętny 4 4 2 2" xfId="880" xr:uid="{8F3AB2E6-A861-4DF9-A5D4-2689AFEE4D41}"/>
    <cellStyle name="Dziesiętny 4 4 2 3" xfId="1262" xr:uid="{618745AA-2FAC-4E43-852A-36A2EE7BA5C6}"/>
    <cellStyle name="Dziesiętny 4 4 3" xfId="498" xr:uid="{A44BB17E-6159-404E-88D0-012866AEBE41}"/>
    <cellStyle name="Dziesiętny 4 4 4" xfId="676" xr:uid="{7D2E2A22-E49F-4D77-8C10-4299C15FF225}"/>
    <cellStyle name="Dziesiętny 4 4 5" xfId="1058" xr:uid="{B8CCABF8-D616-486F-8DBD-3F47DF4CAD9D}"/>
    <cellStyle name="Dziesiętny 4 5" xfId="127" xr:uid="{C763BAE4-12AD-4D9C-B039-2EFC43553E59}"/>
    <cellStyle name="Dziesiętny 4 5 2" xfId="356" xr:uid="{FBDCB712-558C-46EF-9439-724B1DB3F549}"/>
    <cellStyle name="Dziesiętny 4 5 2 2" xfId="916" xr:uid="{6C5DE77D-BBC4-48E3-BA59-46888874E159}"/>
    <cellStyle name="Dziesiętny 4 5 2 3" xfId="1298" xr:uid="{04EBF56F-790C-432C-BC95-B6CA6A526F34}"/>
    <cellStyle name="Dziesiętny 4 5 3" xfId="534" xr:uid="{01A318A4-E8A6-4C6E-B49D-EB85B6E7FE30}"/>
    <cellStyle name="Dziesiętny 4 5 4" xfId="712" xr:uid="{C974C359-61E9-4E95-8E41-7D54D9B6F10E}"/>
    <cellStyle name="Dziesiętny 4 5 5" xfId="1094" xr:uid="{C41C4E66-D2C5-4D58-BEA8-98AEC6BD2FEA}"/>
    <cellStyle name="Dziesiętny 4 6" xfId="145" xr:uid="{1EEE7B98-9E5A-444C-95CE-2E9E777A0A7D}"/>
    <cellStyle name="Dziesiętny 4 6 2" xfId="374" xr:uid="{507083BE-C987-4A11-AF7C-8082EC4E8882}"/>
    <cellStyle name="Dziesiętny 4 6 2 2" xfId="934" xr:uid="{4FFC90F0-23DA-42F3-BA4B-BBA72DC76888}"/>
    <cellStyle name="Dziesiętny 4 6 2 3" xfId="1316" xr:uid="{CAEB2F1B-4D34-4035-83ED-BD0DE5AAAFEA}"/>
    <cellStyle name="Dziesiętny 4 6 3" xfId="552" xr:uid="{0517BED7-BF91-4EBE-B57D-B8490E4BB637}"/>
    <cellStyle name="Dziesiętny 4 6 4" xfId="730" xr:uid="{9ABC6792-EE4E-4463-A921-9E5936FE17D0}"/>
    <cellStyle name="Dziesiętny 4 6 5" xfId="1112" xr:uid="{4C5594BC-69C2-413B-80C9-48B3EB39B43B}"/>
    <cellStyle name="Dziesiętny 4 7" xfId="176" xr:uid="{127113CE-7058-435C-9E69-C1A57E19DD1A}"/>
    <cellStyle name="Dziesiętny 4 7 2" xfId="405" xr:uid="{DD15A863-0347-497B-A5F5-C62BEA1AF1D6}"/>
    <cellStyle name="Dziesiętny 4 7 2 2" xfId="965" xr:uid="{B0AC45AF-EB9E-4B1A-82FA-79FE42549606}"/>
    <cellStyle name="Dziesiętny 4 7 2 3" xfId="1347" xr:uid="{D7B35B2D-3443-4A70-9E9D-5D27BA0BACD8}"/>
    <cellStyle name="Dziesiętny 4 7 3" xfId="583" xr:uid="{C8C18758-8965-48FA-A7B1-D9CED013FAB8}"/>
    <cellStyle name="Dziesiętny 4 7 4" xfId="761" xr:uid="{0A03B250-C49C-44E7-9B2C-034994E27D46}"/>
    <cellStyle name="Dziesiętny 4 7 5" xfId="1143" xr:uid="{8A864080-7BCE-4ED5-B703-B2AF258BD366}"/>
    <cellStyle name="Dziesiętny 4 8" xfId="194" xr:uid="{6239069A-2765-4965-A605-A00114383CAC}"/>
    <cellStyle name="Dziesiętny 4 8 2" xfId="423" xr:uid="{3D5DE21F-51BC-48DB-B04A-9121F61097CD}"/>
    <cellStyle name="Dziesiętny 4 8 2 2" xfId="983" xr:uid="{21919719-4CCB-4F05-B6AD-1009B3C29BFE}"/>
    <cellStyle name="Dziesiętny 4 8 2 3" xfId="1365" xr:uid="{A937AD7C-B48B-4263-B1FC-C1390858886B}"/>
    <cellStyle name="Dziesiętny 4 8 3" xfId="601" xr:uid="{16242362-CA06-41A0-9B4C-DB7DC9DB0ACF}"/>
    <cellStyle name="Dziesiętny 4 8 4" xfId="779" xr:uid="{AD50AFE3-DDC8-4773-8DFC-2F44320CF63E}"/>
    <cellStyle name="Dziesiętny 4 8 5" xfId="1161" xr:uid="{AA5E4332-E6ED-4D01-9B60-37D8979C503E}"/>
    <cellStyle name="Dziesiętny 4 9" xfId="205" xr:uid="{400A1D96-5E91-4BDB-B54C-63EFAED2E1AC}"/>
    <cellStyle name="Dziesiętny 5" xfId="42" xr:uid="{24521CC4-6010-4482-9972-362CA3DE84D3}"/>
    <cellStyle name="Dziesiętny 5 10" xfId="637" xr:uid="{603EEB59-3588-4E95-992C-7C7B7074A273}"/>
    <cellStyle name="Dziesiętny 5 11" xfId="1019" xr:uid="{530BF49F-3D4F-4387-9389-A2C7F353B6BB}"/>
    <cellStyle name="Dziesiętny 5 2" xfId="61" xr:uid="{479D5FF9-25D9-4661-A077-2DFE877CA303}"/>
    <cellStyle name="Dziesiętny 5 2 2" xfId="121" xr:uid="{0D092FF9-E9B5-449B-8B86-5522A39146BE}"/>
    <cellStyle name="Dziesiętny 5 2 2 2" xfId="350" xr:uid="{7DB38960-A00D-441A-AD3C-C5D5E9E37798}"/>
    <cellStyle name="Dziesiętny 5 2 2 2 2" xfId="910" xr:uid="{2A62B972-7EA9-4D68-ACD6-E00A0750061A}"/>
    <cellStyle name="Dziesiętny 5 2 2 2 3" xfId="1292" xr:uid="{8E7EB57B-3F27-4872-AD9B-78CF4F982DE7}"/>
    <cellStyle name="Dziesiętny 5 2 2 3" xfId="528" xr:uid="{EA8AFDA8-E286-4A84-B2C9-6C33F377FD3E}"/>
    <cellStyle name="Dziesiętny 5 2 2 4" xfId="706" xr:uid="{E1CE24D4-4199-4DA8-8E04-65F0116852FA}"/>
    <cellStyle name="Dziesiętny 5 2 2 5" xfId="1088" xr:uid="{D978FEC2-AB4D-419C-B7FE-FD9FC3773E2F}"/>
    <cellStyle name="Dziesiętny 5 2 3" xfId="299" xr:uid="{A11A8DA8-B443-40A8-B416-B2C83822D95E}"/>
    <cellStyle name="Dziesiętny 5 2 3 2" xfId="859" xr:uid="{E244433C-77BA-4E53-9A67-91141836E2DF}"/>
    <cellStyle name="Dziesiętny 5 2 3 3" xfId="1241" xr:uid="{A4D2D9E7-4082-4DC8-B033-7BB5C0C55356}"/>
    <cellStyle name="Dziesiętny 5 2 4" xfId="477" xr:uid="{CD99DE60-A70E-4148-A496-70C370EA07AC}"/>
    <cellStyle name="Dziesiętny 5 2 5" xfId="655" xr:uid="{3181E746-C89C-4A69-BA28-8F09CD4F355D}"/>
    <cellStyle name="Dziesiętny 5 2 6" xfId="1037" xr:uid="{0907D3D7-F8CA-4353-A258-7A37098C56BF}"/>
    <cellStyle name="Dziesiętny 5 3" xfId="95" xr:uid="{0AC13D20-BFA3-4641-A988-C2B3FD72EAAF}"/>
    <cellStyle name="Dziesiętny 5 3 2" xfId="330" xr:uid="{937A50D1-89C3-4C00-B175-BC849FF6F5DD}"/>
    <cellStyle name="Dziesiętny 5 3 2 2" xfId="890" xr:uid="{C32744C2-A5C5-43FF-A90F-6DE640C396AA}"/>
    <cellStyle name="Dziesiętny 5 3 2 3" xfId="1272" xr:uid="{5B351B17-E596-42C5-8C56-5CEC95A6D1B5}"/>
    <cellStyle name="Dziesiętny 5 3 3" xfId="508" xr:uid="{5C23844C-E31A-4BDD-9769-EAF02C7CAE4E}"/>
    <cellStyle name="Dziesiętny 5 3 4" xfId="686" xr:uid="{32EAA6C5-BE87-4B22-904C-41EB131725EC}"/>
    <cellStyle name="Dziesiętny 5 3 5" xfId="1068" xr:uid="{006372D7-3C00-4D88-A053-246059CEBC45}"/>
    <cellStyle name="Dziesiętny 5 4" xfId="137" xr:uid="{64C2DFF4-2C28-42F3-85AC-75A38EB5C35A}"/>
    <cellStyle name="Dziesiętny 5 4 2" xfId="366" xr:uid="{968D84A0-2895-4214-8473-D110DCD2DE84}"/>
    <cellStyle name="Dziesiętny 5 4 2 2" xfId="926" xr:uid="{7F3FDB72-8551-4493-8C2E-22D72607ABDF}"/>
    <cellStyle name="Dziesiętny 5 4 2 3" xfId="1308" xr:uid="{A968405C-5412-4730-B8FA-E1F44713FAB9}"/>
    <cellStyle name="Dziesiętny 5 4 3" xfId="544" xr:uid="{829FF703-EB93-43EE-BBF1-D9242A603C40}"/>
    <cellStyle name="Dziesiętny 5 4 4" xfId="722" xr:uid="{F6B27CA7-5A90-4987-98AA-E091B2DC5E17}"/>
    <cellStyle name="Dziesiętny 5 4 5" xfId="1104" xr:uid="{542DE815-2A40-4134-BA0F-E152438891DD}"/>
    <cellStyle name="Dziesiętny 5 5" xfId="168" xr:uid="{2BD2B2B3-3ED2-4E55-AE98-0BA2E1B5D636}"/>
    <cellStyle name="Dziesiętny 5 5 2" xfId="397" xr:uid="{E0F556AF-8C0D-44EB-9477-1A466A148A88}"/>
    <cellStyle name="Dziesiętny 5 5 2 2" xfId="957" xr:uid="{2465D4AF-8073-4084-AA6D-C7FB66F9F8D5}"/>
    <cellStyle name="Dziesiętny 5 5 2 3" xfId="1339" xr:uid="{1E7BBE2E-EAFE-4469-88E2-45667337D510}"/>
    <cellStyle name="Dziesiętny 5 5 3" xfId="575" xr:uid="{B3ACD0BA-95B9-434F-85CE-4093F58E41EF}"/>
    <cellStyle name="Dziesiętny 5 5 4" xfId="753" xr:uid="{6A46C607-FFB6-4624-9E2D-5A656B368B97}"/>
    <cellStyle name="Dziesiętny 5 5 5" xfId="1135" xr:uid="{84935986-BCA7-4EAB-BE9D-AEA8D99F517A}"/>
    <cellStyle name="Dziesiętny 5 6" xfId="186" xr:uid="{066DFD23-3B3E-4E6D-92CE-5DF2DAAD9DBC}"/>
    <cellStyle name="Dziesiętny 5 6 2" xfId="415" xr:uid="{BF4E46B7-F100-4F29-8620-C5CAC2116C0A}"/>
    <cellStyle name="Dziesiętny 5 6 2 2" xfId="975" xr:uid="{B8C04668-4C0C-42D2-A132-47A9F67957D8}"/>
    <cellStyle name="Dziesiętny 5 6 2 3" xfId="1357" xr:uid="{B6D4682A-45D3-4E5C-993D-B7F58AD29254}"/>
    <cellStyle name="Dziesiętny 5 6 3" xfId="593" xr:uid="{AF092861-FBEA-461C-A8D6-C1FAF2D808C8}"/>
    <cellStyle name="Dziesiętny 5 6 4" xfId="771" xr:uid="{3989657E-2251-4093-A96C-EB850B38B4D7}"/>
    <cellStyle name="Dziesiętny 5 6 5" xfId="1153" xr:uid="{99B1FB5F-9BD2-47F0-BE3F-36D8686FFCC2}"/>
    <cellStyle name="Dziesiętny 5 7" xfId="224" xr:uid="{15980DEB-27AD-40F1-9C49-F4774D6B07E5}"/>
    <cellStyle name="Dziesiętny 5 7 2" xfId="789" xr:uid="{12CCBB7D-26F3-4352-A8C6-47A88E559C7F}"/>
    <cellStyle name="Dziesiętny 5 7 3" xfId="1171" xr:uid="{458A222F-65C0-4CBC-BE78-017BD3E79459}"/>
    <cellStyle name="Dziesiętny 5 8" xfId="281" xr:uid="{98E8A1B5-7CAE-441F-B5E5-587F9D9E63F4}"/>
    <cellStyle name="Dziesiętny 5 8 2" xfId="841" xr:uid="{B3DC227E-ACB5-4C1B-9612-D558A0909F2A}"/>
    <cellStyle name="Dziesiętny 5 8 3" xfId="1223" xr:uid="{E9872210-0A90-4F6A-9DC1-FE61A45A3A3E}"/>
    <cellStyle name="Dziesiętny 5 9" xfId="459" xr:uid="{FAF422C6-5229-42A2-8A43-91CB3E7F28EA}"/>
    <cellStyle name="Dziesiętny 6" xfId="78" xr:uid="{369F2C4C-B4D3-46F5-B1CC-B5EE389569B5}"/>
    <cellStyle name="Dziesiętny 6 2" xfId="242" xr:uid="{1EA8AEBA-5313-4E91-A970-101B2FA0F817}"/>
    <cellStyle name="Dziesiętny 6 2 2" xfId="802" xr:uid="{88F80D09-9A99-4B1F-8EE6-1B4F44148C6C}"/>
    <cellStyle name="Dziesiętny 6 2 3" xfId="1184" xr:uid="{405EC7F6-594E-4274-9199-A751287ECCF1}"/>
    <cellStyle name="Normalny" xfId="0" builtinId="0"/>
    <cellStyle name="Normalny 10" xfId="241" xr:uid="{6C2B329A-7F4D-41BB-8675-77BE55534993}"/>
    <cellStyle name="Normalny 10 2" xfId="801" xr:uid="{86A93699-D35C-445B-89A6-C8F70F522844}"/>
    <cellStyle name="Normalny 10 3" xfId="1183" xr:uid="{A7D6A57A-7A24-4A9E-BA7A-908CD8AD9215}"/>
    <cellStyle name="Normalny 2" xfId="6" xr:uid="{00000000-0005-0000-0000-000007000000}"/>
    <cellStyle name="Normalny 2 2" xfId="21" xr:uid="{00000000-0005-0000-0000-000008000000}"/>
    <cellStyle name="Normalny 2 2 2" xfId="105" xr:uid="{4E16D1AE-F737-4410-B6E3-790D2601BFE4}"/>
    <cellStyle name="Normalny 2 2 2 2" xfId="228" xr:uid="{B13F37CE-E55B-4027-959C-E24BE22349F4}"/>
    <cellStyle name="Normalny 2 2 3" xfId="103" xr:uid="{065FB38E-D0FA-483C-BC64-182250080CB9}"/>
    <cellStyle name="Normalny 2 2 4" xfId="207" xr:uid="{F1D0B8A0-E58A-4D0F-AFCA-0D067F38B1F6}"/>
    <cellStyle name="Normalny 2 3" xfId="20" xr:uid="{00000000-0005-0000-0000-000009000000}"/>
    <cellStyle name="Normalny 3" xfId="7" xr:uid="{00000000-0005-0000-0000-00000A000000}"/>
    <cellStyle name="Normalny 3 10" xfId="99" xr:uid="{E8617FA0-D851-42CA-B623-92D1A9BFD7E4}"/>
    <cellStyle name="Normalny 3 11" xfId="124" xr:uid="{88C75984-A40F-473E-B0B1-E91A72ECBF6F}"/>
    <cellStyle name="Normalny 3 11 2" xfId="353" xr:uid="{AC92CD94-869D-4E30-AAB0-02CF2BA69717}"/>
    <cellStyle name="Normalny 3 11 2 2" xfId="913" xr:uid="{3AA5061F-33EA-4338-A64A-17C5F193CB55}"/>
    <cellStyle name="Normalny 3 11 2 3" xfId="1295" xr:uid="{197057AE-CB77-4F68-9408-5C551D7CBC0C}"/>
    <cellStyle name="Normalny 3 11 3" xfId="531" xr:uid="{045CA8B1-B1FF-40C3-8701-8727645981DA}"/>
    <cellStyle name="Normalny 3 11 4" xfId="709" xr:uid="{6E6F10C0-781E-4A0E-BCF1-5F0E0EADD288}"/>
    <cellStyle name="Normalny 3 11 5" xfId="1091" xr:uid="{67BA76A8-0ADA-4276-81EC-AEB9622382CA}"/>
    <cellStyle name="Normalny 3 12" xfId="142" xr:uid="{CA1133BE-F2D5-4C83-A48B-624D9823B6C8}"/>
    <cellStyle name="Normalny 3 12 2" xfId="371" xr:uid="{29CD4408-97FE-43D3-8B41-D2533BE1584C}"/>
    <cellStyle name="Normalny 3 12 2 2" xfId="931" xr:uid="{78862BA7-CB3B-4AD1-8C21-86A549EEC0AC}"/>
    <cellStyle name="Normalny 3 12 2 3" xfId="1313" xr:uid="{097B288A-CE31-44C2-A5B6-AE7D2C8A0D7E}"/>
    <cellStyle name="Normalny 3 12 3" xfId="549" xr:uid="{70538138-4ADD-4C59-92A0-970B1328E907}"/>
    <cellStyle name="Normalny 3 12 4" xfId="727" xr:uid="{4499EAF9-947D-4CF9-B5DF-DB9C7034DBD7}"/>
    <cellStyle name="Normalny 3 12 5" xfId="1109" xr:uid="{CBD3E1DE-299D-4987-A151-9792F008F315}"/>
    <cellStyle name="Normalny 3 13" xfId="173" xr:uid="{87F1D4E0-FBEE-4983-A109-0B5416210605}"/>
    <cellStyle name="Normalny 3 13 2" xfId="402" xr:uid="{8D74C059-0915-40C1-B094-94E21B7E0698}"/>
    <cellStyle name="Normalny 3 13 2 2" xfId="962" xr:uid="{E81CD871-4D38-4D88-9251-0846C2746BA3}"/>
    <cellStyle name="Normalny 3 13 2 3" xfId="1344" xr:uid="{1D32F032-5136-485E-8A1F-BD3203F6E13D}"/>
    <cellStyle name="Normalny 3 13 3" xfId="580" xr:uid="{5FE3DB33-1D2F-4947-889F-A3B88EDB2992}"/>
    <cellStyle name="Normalny 3 13 4" xfId="758" xr:uid="{BB7675DF-1EF0-4549-AFA6-435B851CF049}"/>
    <cellStyle name="Normalny 3 13 5" xfId="1140" xr:uid="{2858CABB-F272-4B33-8ED6-0310AD93740B}"/>
    <cellStyle name="Normalny 3 14" xfId="191" xr:uid="{9EC01C33-2F63-4650-8533-EE2FE3560994}"/>
    <cellStyle name="Normalny 3 14 2" xfId="420" xr:uid="{8A9AC18A-0E04-45F3-8165-61FE88B63981}"/>
    <cellStyle name="Normalny 3 14 2 2" xfId="980" xr:uid="{EC49F305-BDB4-4A58-A73A-A1B41F0BA577}"/>
    <cellStyle name="Normalny 3 14 2 3" xfId="1362" xr:uid="{D9107A40-D6D4-43A7-A44D-B82F4B0C765F}"/>
    <cellStyle name="Normalny 3 14 3" xfId="598" xr:uid="{F03E5B69-EA69-469B-8420-25BA652699D6}"/>
    <cellStyle name="Normalny 3 14 4" xfId="776" xr:uid="{A45A49C2-D4B9-468D-9FBF-A087FCBBB088}"/>
    <cellStyle name="Normalny 3 14 5" xfId="1158" xr:uid="{EB0C19CF-6765-4FD2-997B-C781A1192E37}"/>
    <cellStyle name="Normalny 3 15" xfId="208" xr:uid="{17F06797-4527-4373-ABC8-DC13EF75E5B0}"/>
    <cellStyle name="Normalny 3 16" xfId="255" xr:uid="{5C967A33-C5E8-4675-915B-0D65E76E002B}"/>
    <cellStyle name="Normalny 3 16 2" xfId="815" xr:uid="{EAC67AA9-48AD-41B4-8FBB-90D167631401}"/>
    <cellStyle name="Normalny 3 16 3" xfId="1197" xr:uid="{45E6850E-0364-4404-9812-2B6BDB643A85}"/>
    <cellStyle name="Normalny 3 17" xfId="433" xr:uid="{52657588-8F47-4C3F-A239-4EE00A4BBF77}"/>
    <cellStyle name="Normalny 3 18" xfId="611" xr:uid="{A2E0D88F-6F3A-45EF-8C42-ADD9FD5673D6}"/>
    <cellStyle name="Normalny 3 19" xfId="993" xr:uid="{811CAB3B-D7EB-430E-ACBE-EE2950473F92}"/>
    <cellStyle name="Normalny 3 2" xfId="17" xr:uid="{00000000-0005-0000-0000-00000B000000}"/>
    <cellStyle name="Normalny 3 2 10" xfId="195" xr:uid="{A7DACB3E-B167-4FC8-82E2-84B9B0482B36}"/>
    <cellStyle name="Normalny 3 2 10 2" xfId="424" xr:uid="{C3A60F30-862E-430B-A47B-6CB685387A6D}"/>
    <cellStyle name="Normalny 3 2 10 2 2" xfId="984" xr:uid="{2A75A01F-CEF3-4DAB-8863-E3E01F5FA340}"/>
    <cellStyle name="Normalny 3 2 10 2 3" xfId="1366" xr:uid="{1C582A68-5B6C-4093-B0B2-7599ABB69541}"/>
    <cellStyle name="Normalny 3 2 10 3" xfId="602" xr:uid="{60CF030D-37A9-4FCB-86FE-33C132FEAC0B}"/>
    <cellStyle name="Normalny 3 2 10 4" xfId="780" xr:uid="{AE4C69D7-2500-4A91-93A5-8BD781A186A7}"/>
    <cellStyle name="Normalny 3 2 10 5" xfId="1162" xr:uid="{D3630EAA-955A-48F0-B3FA-0FAB4BEFBDF4}"/>
    <cellStyle name="Normalny 3 2 11" xfId="209" xr:uid="{40BA2DCA-D3AA-4F09-9942-688D6B3C5540}"/>
    <cellStyle name="Normalny 3 2 12" xfId="259" xr:uid="{43E72430-4D9B-4F99-92E0-B8974BB5A649}"/>
    <cellStyle name="Normalny 3 2 12 2" xfId="819" xr:uid="{EB245FC1-673B-4EBE-B5C3-4E571B954AC3}"/>
    <cellStyle name="Normalny 3 2 12 3" xfId="1201" xr:uid="{44F024EC-BDCC-44E7-8AD1-C5C4D652B7AF}"/>
    <cellStyle name="Normalny 3 2 13" xfId="437" xr:uid="{92DDB6A3-135A-4C8C-AAD8-3964228FE54A}"/>
    <cellStyle name="Normalny 3 2 14" xfId="615" xr:uid="{ED62FE67-3FB0-4A57-97FA-7A58DEAE7D41}"/>
    <cellStyle name="Normalny 3 2 15" xfId="997" xr:uid="{894DA442-732B-4D88-BEB0-5ABF3F4EC0B9}"/>
    <cellStyle name="Normalny 3 2 2" xfId="26" xr:uid="{00000000-0005-0000-0000-00000C000000}"/>
    <cellStyle name="Normalny 3 2 2 10" xfId="265" xr:uid="{EDF2975A-8C96-46FA-B58C-D375AD5E4E6C}"/>
    <cellStyle name="Normalny 3 2 2 10 2" xfId="825" xr:uid="{2010A29C-8C11-431E-9A11-C5A9D11E11D4}"/>
    <cellStyle name="Normalny 3 2 2 10 3" xfId="1207" xr:uid="{E8669D45-2C1F-4A6A-91B1-9931C1F772A8}"/>
    <cellStyle name="Normalny 3 2 2 11" xfId="443" xr:uid="{3D8C5977-2000-4348-B7CE-1648E9CADBB0}"/>
    <cellStyle name="Normalny 3 2 2 12" xfId="621" xr:uid="{A600A7F8-EEBF-402B-A891-5F537B775B10}"/>
    <cellStyle name="Normalny 3 2 2 13" xfId="1003" xr:uid="{3E85C48B-4B44-4C5B-96A3-62C733F2FAA0}"/>
    <cellStyle name="Normalny 3 2 2 2" xfId="39" xr:uid="{2A7DB51C-B394-4165-9CBF-96FEFC061B0A}"/>
    <cellStyle name="Normalny 3 2 2 2 2" xfId="73" xr:uid="{0CA845E4-78FF-4184-B324-6AE356D6005F}"/>
    <cellStyle name="Normalny 3 2 2 2 2 2" xfId="231" xr:uid="{67405487-AB62-4FD8-ACCE-CFE8FCA3B6CE}"/>
    <cellStyle name="Normalny 3 2 2 2 2 2 2" xfId="793" xr:uid="{7E65BD76-77BE-48C7-9518-0C56446C4BED}"/>
    <cellStyle name="Normalny 3 2 2 2 2 2 3" xfId="1175" xr:uid="{765000B8-F8C9-4076-8B90-8960B541529C}"/>
    <cellStyle name="Normalny 3 2 2 2 2 3" xfId="311" xr:uid="{BBD44FD8-AE0C-4987-94D1-3C43793C7242}"/>
    <cellStyle name="Normalny 3 2 2 2 2 3 2" xfId="871" xr:uid="{54AB20AB-3264-463D-BF8A-FCB3DCFDB2E4}"/>
    <cellStyle name="Normalny 3 2 2 2 2 3 3" xfId="1253" xr:uid="{5FB8FC46-771B-4A91-8197-EA92DF291441}"/>
    <cellStyle name="Normalny 3 2 2 2 2 4" xfId="489" xr:uid="{4CA3A1D7-AF9A-4785-A29C-ED40BB36580F}"/>
    <cellStyle name="Normalny 3 2 2 2 2 5" xfId="667" xr:uid="{9E73C475-3849-45C9-BCF3-FB2A22170217}"/>
    <cellStyle name="Normalny 3 2 2 2 2 6" xfId="1049" xr:uid="{D7B387C3-AFDA-4BD1-8F4D-25129F84B842}"/>
    <cellStyle name="Normalny 3 2 2 2 3" xfId="101" xr:uid="{FCD36B5D-C4BC-47FD-8F17-5B0D158B67B6}"/>
    <cellStyle name="Normalny 3 2 2 2 3 2" xfId="246" xr:uid="{671202D9-AED1-43DA-A98B-F332EA3CA803}"/>
    <cellStyle name="Normalny 3 2 2 2 3 2 2" xfId="806" xr:uid="{186AEBEC-609B-4D88-A5DD-84CA67E64A42}"/>
    <cellStyle name="Normalny 3 2 2 2 3 2 3" xfId="1188" xr:uid="{CAE3A780-F557-472A-8C42-877090DAFC3D}"/>
    <cellStyle name="Normalny 3 2 2 2 3 3" xfId="334" xr:uid="{C1C9868F-3903-4DFE-86AB-22F9E68DCF5F}"/>
    <cellStyle name="Normalny 3 2 2 2 3 3 2" xfId="894" xr:uid="{9F4638B2-8AE6-45FF-AB04-48B45DEDCC76}"/>
    <cellStyle name="Normalny 3 2 2 2 3 3 3" xfId="1276" xr:uid="{2D3C6625-11C6-4A87-B0ED-631344AB9BA5}"/>
    <cellStyle name="Normalny 3 2 2 2 3 4" xfId="512" xr:uid="{9482BCFB-7A79-474E-8085-05B370B4AD01}"/>
    <cellStyle name="Normalny 3 2 2 2 3 5" xfId="690" xr:uid="{19BFDAD8-C5BA-49F4-B66A-71746254F27C}"/>
    <cellStyle name="Normalny 3 2 2 2 3 6" xfId="1072" xr:uid="{AEE24C0C-B704-4984-8518-E1592D47B59C}"/>
    <cellStyle name="Normalny 3 2 2 2 4" xfId="165" xr:uid="{267D39AE-D26F-4407-A2E9-99B9A9E7CD17}"/>
    <cellStyle name="Normalny 3 2 2 2 4 2" xfId="394" xr:uid="{0EB2FFDC-B60D-4F72-8820-C8DFB96B49E4}"/>
    <cellStyle name="Normalny 3 2 2 2 4 2 2" xfId="954" xr:uid="{7A58C19C-C9F0-42DC-85D3-E3D317AFF07B}"/>
    <cellStyle name="Normalny 3 2 2 2 4 2 3" xfId="1336" xr:uid="{F5CE6C78-7EFC-4DAC-8849-86BDFF5A9F24}"/>
    <cellStyle name="Normalny 3 2 2 2 4 3" xfId="572" xr:uid="{29C6ACF3-470D-46A9-976C-F8CB945DCFB7}"/>
    <cellStyle name="Normalny 3 2 2 2 4 4" xfId="750" xr:uid="{9E554895-DB1F-4C91-84CF-061084296663}"/>
    <cellStyle name="Normalny 3 2 2 2 4 5" xfId="1132" xr:uid="{47736B3C-DBE1-4748-9469-3061443A5F4D}"/>
    <cellStyle name="Normalny 3 2 2 2 5" xfId="211" xr:uid="{C4B5F0CD-F024-4A88-A95B-968294A35643}"/>
    <cellStyle name="Normalny 3 2 2 2 6" xfId="278" xr:uid="{03A14649-D0DF-4B7F-B03E-76AE8372D87C}"/>
    <cellStyle name="Normalny 3 2 2 2 6 2" xfId="838" xr:uid="{161215E1-5C76-4917-A01A-C0956888FD65}"/>
    <cellStyle name="Normalny 3 2 2 2 6 3" xfId="1220" xr:uid="{A91C2876-B009-46E3-A862-5060C288AC49}"/>
    <cellStyle name="Normalny 3 2 2 2 7" xfId="456" xr:uid="{261B3A66-CC66-46F6-8C85-E662F0D1A96C}"/>
    <cellStyle name="Normalny 3 2 2 2 8" xfId="634" xr:uid="{B7B702DF-727F-42B2-8465-7C5E540D61B3}"/>
    <cellStyle name="Normalny 3 2 2 2 9" xfId="1016" xr:uid="{F25227A8-F5FA-4679-A92F-B64EF1D4E44C}"/>
    <cellStyle name="Normalny 3 2 2 3" xfId="58" xr:uid="{3B4FFE37-C78C-4819-BB02-0E0767E89F03}"/>
    <cellStyle name="Normalny 3 2 2 3 2" xfId="118" xr:uid="{C1503B46-6700-483B-A319-9A2A35DAE024}"/>
    <cellStyle name="Normalny 3 2 2 3 2 2" xfId="347" xr:uid="{8A222252-EEF9-4DD9-92CD-B805AA4430D7}"/>
    <cellStyle name="Normalny 3 2 2 3 2 2 2" xfId="907" xr:uid="{71B3062A-3D44-441B-95E7-8454EDC59FF9}"/>
    <cellStyle name="Normalny 3 2 2 3 2 2 3" xfId="1289" xr:uid="{75E4F07C-4B62-41F6-96F5-15E57E3B534E}"/>
    <cellStyle name="Normalny 3 2 2 3 2 3" xfId="525" xr:uid="{DBD24526-6541-4D52-B290-C8C45E749332}"/>
    <cellStyle name="Normalny 3 2 2 3 2 4" xfId="703" xr:uid="{8C3737FE-3F53-4202-836E-984580CC5776}"/>
    <cellStyle name="Normalny 3 2 2 3 2 5" xfId="1085" xr:uid="{97FB266A-09B0-474B-B9F8-08E85B33EB66}"/>
    <cellStyle name="Normalny 3 2 2 3 3" xfId="230" xr:uid="{538187BB-A7AA-4D89-91F1-B60DB146814F}"/>
    <cellStyle name="Normalny 3 2 2 3 3 2" xfId="792" xr:uid="{E8BD35A7-CCA4-471F-9BA0-2EE2E1D9FEDC}"/>
    <cellStyle name="Normalny 3 2 2 3 3 3" xfId="1174" xr:uid="{26F21D54-454B-4970-8F35-3C91DCF8D513}"/>
    <cellStyle name="Normalny 3 2 2 3 4" xfId="296" xr:uid="{20DF7A17-6B8D-4428-ADDF-86E39539B563}"/>
    <cellStyle name="Normalny 3 2 2 3 4 2" xfId="856" xr:uid="{1BFA94A5-0902-43EB-9978-E47AFE5A0B33}"/>
    <cellStyle name="Normalny 3 2 2 3 4 3" xfId="1238" xr:uid="{15F9ABFE-EED7-4ABA-87DB-1AD80843A1B1}"/>
    <cellStyle name="Normalny 3 2 2 3 5" xfId="474" xr:uid="{3F96713A-DE4E-4D58-B54D-556B3331594B}"/>
    <cellStyle name="Normalny 3 2 2 3 6" xfId="652" xr:uid="{3B2C2548-78B0-44F0-A2A1-BC319B8176A2}"/>
    <cellStyle name="Normalny 3 2 2 3 7" xfId="1034" xr:uid="{4C4E4362-1014-4EE0-8A9E-BB0A81239D72}"/>
    <cellStyle name="Normalny 3 2 2 4" xfId="92" xr:uid="{F8CCB5FA-564D-42C5-B1BB-B410D0BCFFD7}"/>
    <cellStyle name="Normalny 3 2 2 4 2" xfId="245" xr:uid="{F3634E17-BDF0-4042-9F01-F3EAADFCD3EC}"/>
    <cellStyle name="Normalny 3 2 2 4 2 2" xfId="805" xr:uid="{A91C521F-5936-4025-BD4A-ABDCA991EAE4}"/>
    <cellStyle name="Normalny 3 2 2 4 2 3" xfId="1187" xr:uid="{12B97747-4465-4CE6-A430-1305808C310A}"/>
    <cellStyle name="Normalny 3 2 2 4 3" xfId="327" xr:uid="{5A95F5A7-BB73-4CF2-A919-EB21F4812048}"/>
    <cellStyle name="Normalny 3 2 2 4 3 2" xfId="887" xr:uid="{64953783-D118-4247-A4A3-A5297C6C8FEE}"/>
    <cellStyle name="Normalny 3 2 2 4 3 3" xfId="1269" xr:uid="{6374DC89-AA41-4F24-9DF4-66E2FABDA011}"/>
    <cellStyle name="Normalny 3 2 2 4 4" xfId="505" xr:uid="{2B12A332-CA55-430A-B73A-3FF5CA650EFD}"/>
    <cellStyle name="Normalny 3 2 2 4 5" xfId="683" xr:uid="{AFDE9371-F28A-491D-8EFA-0CE8594AAAB8}"/>
    <cellStyle name="Normalny 3 2 2 4 6" xfId="1065" xr:uid="{9B343576-23FE-4C46-87B5-4CB72CC50FB9}"/>
    <cellStyle name="Normalny 3 2 2 5" xfId="134" xr:uid="{D8142046-B5DD-4377-BB14-811B280BABC5}"/>
    <cellStyle name="Normalny 3 2 2 5 2" xfId="363" xr:uid="{2626C12E-BEBD-4C46-B7D9-B68428FCCA0B}"/>
    <cellStyle name="Normalny 3 2 2 5 2 2" xfId="923" xr:uid="{AB8D7CE5-AD72-412D-8ED5-56D76E6936A4}"/>
    <cellStyle name="Normalny 3 2 2 5 2 3" xfId="1305" xr:uid="{F2F90C3D-0E7C-4687-8D6A-7E49B774220A}"/>
    <cellStyle name="Normalny 3 2 2 5 3" xfId="541" xr:uid="{0C729B09-17C9-4813-934C-B749446ECF97}"/>
    <cellStyle name="Normalny 3 2 2 5 4" xfId="719" xr:uid="{BF6E8859-7916-472E-B578-B6FEA09F7D04}"/>
    <cellStyle name="Normalny 3 2 2 5 5" xfId="1101" xr:uid="{84F272B5-EC33-406C-9F6D-A6405E42A4C5}"/>
    <cellStyle name="Normalny 3 2 2 6" xfId="152" xr:uid="{20685190-9268-41BD-B262-18B11AF1BD00}"/>
    <cellStyle name="Normalny 3 2 2 6 2" xfId="381" xr:uid="{106ADD43-4DF7-41EB-A096-E7D31DDC724F}"/>
    <cellStyle name="Normalny 3 2 2 6 2 2" xfId="941" xr:uid="{D74DF4C0-EDBB-4046-B1F5-6EA9F5F3C4EC}"/>
    <cellStyle name="Normalny 3 2 2 6 2 3" xfId="1323" xr:uid="{90E8AA67-3347-4B74-89D7-66676ACF5387}"/>
    <cellStyle name="Normalny 3 2 2 6 3" xfId="559" xr:uid="{05E78298-AB19-4DC9-BE73-CCF5482A8702}"/>
    <cellStyle name="Normalny 3 2 2 6 4" xfId="737" xr:uid="{8F700FF4-8E95-445D-84CF-04807242FB2A}"/>
    <cellStyle name="Normalny 3 2 2 6 5" xfId="1119" xr:uid="{85A7EC8D-6E82-4A56-9156-49662B1FE041}"/>
    <cellStyle name="Normalny 3 2 2 7" xfId="183" xr:uid="{4ABC33B1-EB44-46DD-B480-D9A9FEECFF06}"/>
    <cellStyle name="Normalny 3 2 2 7 2" xfId="412" xr:uid="{74BC26B1-9622-447C-97C2-70F3B3DE15F7}"/>
    <cellStyle name="Normalny 3 2 2 7 2 2" xfId="972" xr:uid="{1F7C73A4-2161-4C3B-998D-2BA1A3DDC0CB}"/>
    <cellStyle name="Normalny 3 2 2 7 2 3" xfId="1354" xr:uid="{9D51676E-8C2B-413D-964D-F237AF6F7387}"/>
    <cellStyle name="Normalny 3 2 2 7 3" xfId="590" xr:uid="{2A4B23F3-B10E-4A62-9725-20A4F549C83A}"/>
    <cellStyle name="Normalny 3 2 2 7 4" xfId="768" xr:uid="{91E18DC3-80FC-4B79-B81D-3C932ECFA643}"/>
    <cellStyle name="Normalny 3 2 2 7 5" xfId="1150" xr:uid="{2A29A7B9-A6A4-473F-9AB2-A1C123A8AF15}"/>
    <cellStyle name="Normalny 3 2 2 8" xfId="201" xr:uid="{C8CE3900-6EE6-4798-9416-BAC3F49929A6}"/>
    <cellStyle name="Normalny 3 2 2 8 2" xfId="430" xr:uid="{CDB54DDD-0B19-492C-9BEE-16220239DC4F}"/>
    <cellStyle name="Normalny 3 2 2 8 2 2" xfId="990" xr:uid="{0327A7DA-3B46-4750-82FF-DDA2A1E5AC18}"/>
    <cellStyle name="Normalny 3 2 2 8 2 3" xfId="1372" xr:uid="{E4DA884E-D2EA-42C2-97D7-A30E769E245E}"/>
    <cellStyle name="Normalny 3 2 2 8 3" xfId="608" xr:uid="{8C0F40D4-AAEF-4672-83C3-69681C81FC76}"/>
    <cellStyle name="Normalny 3 2 2 8 4" xfId="786" xr:uid="{0E21A600-2910-452B-89E9-412F3F163084}"/>
    <cellStyle name="Normalny 3 2 2 8 5" xfId="1168" xr:uid="{BB4B8102-19A5-4E67-8819-F8CCEB395953}"/>
    <cellStyle name="Normalny 3 2 2 9" xfId="210" xr:uid="{829BECB1-F29E-451C-84AC-4060BEB3C0DF}"/>
    <cellStyle name="Normalny 3 2 3" xfId="24" xr:uid="{00000000-0005-0000-0000-00000D000000}"/>
    <cellStyle name="Normalny 3 2 3 10" xfId="263" xr:uid="{AF756915-D927-4BC9-BD41-3DE483523AFB}"/>
    <cellStyle name="Normalny 3 2 3 10 2" xfId="823" xr:uid="{ED75271D-FD2A-4692-AE80-16E8383553A4}"/>
    <cellStyle name="Normalny 3 2 3 10 3" xfId="1205" xr:uid="{D3B2B49B-CCEF-488D-8AF8-CACBFCB93F2E}"/>
    <cellStyle name="Normalny 3 2 3 11" xfId="441" xr:uid="{02972E07-D85C-4F90-9AA9-A058A2D6FAA3}"/>
    <cellStyle name="Normalny 3 2 3 12" xfId="619" xr:uid="{52652BD0-A584-4CC8-ADD6-29D09B70DAF2}"/>
    <cellStyle name="Normalny 3 2 3 13" xfId="1001" xr:uid="{E6B8EBB8-B60B-462B-8EBC-D5FBD862025F}"/>
    <cellStyle name="Normalny 3 2 3 2" xfId="37" xr:uid="{B1BF38A3-8A19-4B81-BE7D-04F4DDE4F378}"/>
    <cellStyle name="Normalny 3 2 3 2 2" xfId="71" xr:uid="{A79D71D6-6C0C-48CA-89D4-5C90F8365CF6}"/>
    <cellStyle name="Normalny 3 2 3 2 2 2" xfId="309" xr:uid="{2B14E260-91BF-4A71-9608-0DAC5044B49A}"/>
    <cellStyle name="Normalny 3 2 3 2 2 2 2" xfId="869" xr:uid="{A5D00A6A-1CFB-4F6F-B6FB-2A1483E4057E}"/>
    <cellStyle name="Normalny 3 2 3 2 2 2 3" xfId="1251" xr:uid="{47A48D3B-3A7C-4EC5-86AA-F15E05A6C810}"/>
    <cellStyle name="Normalny 3 2 3 2 2 3" xfId="487" xr:uid="{AD152BB7-E860-459E-991F-8E842D71E3A0}"/>
    <cellStyle name="Normalny 3 2 3 2 2 4" xfId="665" xr:uid="{0468C4F4-23FC-4B0B-86BD-F97CC8DDE459}"/>
    <cellStyle name="Normalny 3 2 3 2 2 5" xfId="1047" xr:uid="{D04DA92F-1DD1-40F8-9BCE-7654817A7DB1}"/>
    <cellStyle name="Normalny 3 2 3 2 3" xfId="116" xr:uid="{9850DDD0-B2DD-47DF-A3B1-BCC1779E7F2A}"/>
    <cellStyle name="Normalny 3 2 3 2 3 2" xfId="345" xr:uid="{463E179C-EEAD-4428-8052-65E2ACA8631F}"/>
    <cellStyle name="Normalny 3 2 3 2 3 2 2" xfId="905" xr:uid="{1626356A-CFE2-40BD-AA11-45A3C54D0CF5}"/>
    <cellStyle name="Normalny 3 2 3 2 3 2 3" xfId="1287" xr:uid="{F37FDFCD-65EB-49FD-B437-7B65474EDB95}"/>
    <cellStyle name="Normalny 3 2 3 2 3 3" xfId="523" xr:uid="{4F80F233-2D11-4B7D-8559-BAF27D77C935}"/>
    <cellStyle name="Normalny 3 2 3 2 3 4" xfId="701" xr:uid="{83F23EAA-7D86-4512-BFEE-FD27BB811AC4}"/>
    <cellStyle name="Normalny 3 2 3 2 3 5" xfId="1083" xr:uid="{9C1C30B8-B614-4DC9-AFFD-41B6AEBA0183}"/>
    <cellStyle name="Normalny 3 2 3 2 4" xfId="163" xr:uid="{17B85744-0827-4193-BD55-FF9B596B73B2}"/>
    <cellStyle name="Normalny 3 2 3 2 4 2" xfId="392" xr:uid="{1E593135-C18F-407A-8CBC-082A3C8AD1B4}"/>
    <cellStyle name="Normalny 3 2 3 2 4 2 2" xfId="952" xr:uid="{E6963AF5-D79B-4197-B1E1-94BC7508078B}"/>
    <cellStyle name="Normalny 3 2 3 2 4 2 3" xfId="1334" xr:uid="{09FCA8E0-16D0-4A48-8F35-95A4CB4B3B66}"/>
    <cellStyle name="Normalny 3 2 3 2 4 3" xfId="570" xr:uid="{6A1DDCA5-8241-4C14-A379-7C8E7F2A6E98}"/>
    <cellStyle name="Normalny 3 2 3 2 4 4" xfId="748" xr:uid="{7DA13E89-D8F8-471C-BFE6-A7F8F4B74EF4}"/>
    <cellStyle name="Normalny 3 2 3 2 4 5" xfId="1130" xr:uid="{426CDB0A-CD0F-4DB4-9BAD-FD9C76766019}"/>
    <cellStyle name="Normalny 3 2 3 2 5" xfId="232" xr:uid="{55991568-8E0D-469D-86EF-A27ADCBFC2EA}"/>
    <cellStyle name="Normalny 3 2 3 2 5 2" xfId="794" xr:uid="{AB85E392-CDBA-448C-AC85-4B03FF7AD50E}"/>
    <cellStyle name="Normalny 3 2 3 2 5 3" xfId="1176" xr:uid="{6D7604D9-D36E-46CD-AB2D-5F8399386A34}"/>
    <cellStyle name="Normalny 3 2 3 2 6" xfId="276" xr:uid="{DD3BA61C-B613-4334-997B-818FEE325B99}"/>
    <cellStyle name="Normalny 3 2 3 2 6 2" xfId="836" xr:uid="{24D77931-35EB-48D4-A12B-EBB5AFBA0955}"/>
    <cellStyle name="Normalny 3 2 3 2 6 3" xfId="1218" xr:uid="{0FE6D819-CBE4-4B19-AE50-13EF6022C082}"/>
    <cellStyle name="Normalny 3 2 3 2 7" xfId="454" xr:uid="{0229B083-C48A-47B1-BF1D-9F9D489F0BF5}"/>
    <cellStyle name="Normalny 3 2 3 2 8" xfId="632" xr:uid="{026D17A7-4BE2-40E2-8CE2-F84DCF1F6AE9}"/>
    <cellStyle name="Normalny 3 2 3 2 9" xfId="1014" xr:uid="{C62CA3A8-9AA6-4F40-AAFD-46719D34A4B2}"/>
    <cellStyle name="Normalny 3 2 3 3" xfId="56" xr:uid="{11EE1AD9-A7DE-4AB5-B587-0A4281D96693}"/>
    <cellStyle name="Normalny 3 2 3 3 2" xfId="247" xr:uid="{3C5FDFA3-A9EB-48C7-92D8-FD27ECDFC252}"/>
    <cellStyle name="Normalny 3 2 3 3 2 2" xfId="807" xr:uid="{B09D5CE7-6ABF-467E-8C40-3975B9FF56FE}"/>
    <cellStyle name="Normalny 3 2 3 3 2 3" xfId="1189" xr:uid="{10326056-BFA3-44F5-A2A1-5210B1083E06}"/>
    <cellStyle name="Normalny 3 2 3 3 3" xfId="294" xr:uid="{046CBBF2-82A8-4A61-AD7D-22A47C03CDB5}"/>
    <cellStyle name="Normalny 3 2 3 3 3 2" xfId="854" xr:uid="{18770C2C-8A16-47E5-88A0-0A818F5A56EC}"/>
    <cellStyle name="Normalny 3 2 3 3 3 3" xfId="1236" xr:uid="{7B777634-92A2-4A8E-A0BC-516C3B21D10F}"/>
    <cellStyle name="Normalny 3 2 3 3 4" xfId="472" xr:uid="{A0383EE9-48EA-4E71-8190-ADA1A632E5E8}"/>
    <cellStyle name="Normalny 3 2 3 3 5" xfId="650" xr:uid="{9F29484A-DEC4-49B6-BD79-28C317D48FDC}"/>
    <cellStyle name="Normalny 3 2 3 3 6" xfId="1032" xr:uid="{4B00EF79-85E5-47A1-9C8A-412F1F872BF6}"/>
    <cellStyle name="Normalny 3 2 3 4" xfId="90" xr:uid="{D83C0D72-6314-4AA0-844D-B1B65F1E56A6}"/>
    <cellStyle name="Normalny 3 2 3 4 2" xfId="325" xr:uid="{DB14A2CC-D1CD-490C-BA61-38167E56C1A8}"/>
    <cellStyle name="Normalny 3 2 3 4 2 2" xfId="885" xr:uid="{6093E2C6-0E83-4868-9151-3E670939DCE8}"/>
    <cellStyle name="Normalny 3 2 3 4 2 3" xfId="1267" xr:uid="{4B78B38D-14DF-40EF-BCA3-450E690CDCBB}"/>
    <cellStyle name="Normalny 3 2 3 4 3" xfId="503" xr:uid="{616639CE-39FE-43BD-A22E-F31E50FE2E0E}"/>
    <cellStyle name="Normalny 3 2 3 4 4" xfId="681" xr:uid="{EFF04781-B916-4C15-ABD4-B3CC4FCC2D8B}"/>
    <cellStyle name="Normalny 3 2 3 4 5" xfId="1063" xr:uid="{FEE1D05E-1A1F-4C49-A4A4-B726D982932B}"/>
    <cellStyle name="Normalny 3 2 3 5" xfId="132" xr:uid="{22893121-5D74-4F09-999F-B3909A1E99BC}"/>
    <cellStyle name="Normalny 3 2 3 5 2" xfId="361" xr:uid="{A1160549-84BA-46FE-8227-654C1CD0BAE6}"/>
    <cellStyle name="Normalny 3 2 3 5 2 2" xfId="921" xr:uid="{BDDB8535-6ABC-41CD-8DEB-9C84A1076D03}"/>
    <cellStyle name="Normalny 3 2 3 5 2 3" xfId="1303" xr:uid="{8C2B23EA-2235-40BC-8EDF-F1B185577440}"/>
    <cellStyle name="Normalny 3 2 3 5 3" xfId="539" xr:uid="{4E4DB9A0-26A8-476A-A066-09B3E2869FCB}"/>
    <cellStyle name="Normalny 3 2 3 5 4" xfId="717" xr:uid="{2886C28C-0EB6-4581-B39C-2AD9E323BE01}"/>
    <cellStyle name="Normalny 3 2 3 5 5" xfId="1099" xr:uid="{8384302E-365D-4916-97AD-7D32C7AA7F2F}"/>
    <cellStyle name="Normalny 3 2 3 6" xfId="150" xr:uid="{2863F84D-DD53-41CB-AB2A-AE9718C1B09B}"/>
    <cellStyle name="Normalny 3 2 3 6 2" xfId="379" xr:uid="{71A24934-F6D3-4721-B6D3-7F5AAFEDCAB2}"/>
    <cellStyle name="Normalny 3 2 3 6 2 2" xfId="939" xr:uid="{7BCFDF31-3DE6-4117-B693-5DA1CFE9DA8D}"/>
    <cellStyle name="Normalny 3 2 3 6 2 3" xfId="1321" xr:uid="{56BCCB46-ACF8-44D6-A35C-2DF838BF27CD}"/>
    <cellStyle name="Normalny 3 2 3 6 3" xfId="557" xr:uid="{DC5093F4-42DD-41BA-B6B1-037A0A26EB45}"/>
    <cellStyle name="Normalny 3 2 3 6 4" xfId="735" xr:uid="{02BB4DBF-53E7-4037-AF80-607353E9EDF0}"/>
    <cellStyle name="Normalny 3 2 3 6 5" xfId="1117" xr:uid="{7A893DD7-710A-4E09-80AA-84DB5C78173B}"/>
    <cellStyle name="Normalny 3 2 3 7" xfId="181" xr:uid="{F956F9F9-F8B7-497B-A85E-29B9CD719631}"/>
    <cellStyle name="Normalny 3 2 3 7 2" xfId="410" xr:uid="{6E164C41-7577-4C0A-8D89-499411D393B0}"/>
    <cellStyle name="Normalny 3 2 3 7 2 2" xfId="970" xr:uid="{5397095E-B918-453A-8AB7-E6E7845675DE}"/>
    <cellStyle name="Normalny 3 2 3 7 2 3" xfId="1352" xr:uid="{FC24BBFD-D32F-4CD7-8B53-4967A744EB37}"/>
    <cellStyle name="Normalny 3 2 3 7 3" xfId="588" xr:uid="{EEDFD187-CC8E-4277-AB68-C81B8B4499F2}"/>
    <cellStyle name="Normalny 3 2 3 7 4" xfId="766" xr:uid="{ACA0483F-5662-41F1-B1E1-E9B09CA7B391}"/>
    <cellStyle name="Normalny 3 2 3 7 5" xfId="1148" xr:uid="{067780A7-0724-4F81-9011-AD367AD767BC}"/>
    <cellStyle name="Normalny 3 2 3 8" xfId="199" xr:uid="{5D55A517-D19D-4909-A416-66E2DD08E152}"/>
    <cellStyle name="Normalny 3 2 3 8 2" xfId="428" xr:uid="{5A7F12EB-C583-471A-BE14-EEEEB690ABCF}"/>
    <cellStyle name="Normalny 3 2 3 8 2 2" xfId="988" xr:uid="{A0C76BA2-C2B1-49D5-93EB-B5D8C73AC969}"/>
    <cellStyle name="Normalny 3 2 3 8 2 3" xfId="1370" xr:uid="{CC646AB3-0893-4D90-B1FC-46C8AB0B5E43}"/>
    <cellStyle name="Normalny 3 2 3 8 3" xfId="606" xr:uid="{16243541-E699-40D2-9A28-B42FD21F5D71}"/>
    <cellStyle name="Normalny 3 2 3 8 4" xfId="784" xr:uid="{A770D19D-330C-48A1-A460-147B35709DA6}"/>
    <cellStyle name="Normalny 3 2 3 8 5" xfId="1166" xr:uid="{69508C3A-B33F-4C90-9E5A-01ED31ACC999}"/>
    <cellStyle name="Normalny 3 2 3 9" xfId="212" xr:uid="{DE6ECB13-AE1C-40A9-9E6A-9875A6AC9EC6}"/>
    <cellStyle name="Normalny 3 2 4" xfId="33" xr:uid="{87A0404C-178A-4D51-8F9A-CA0BE5623320}"/>
    <cellStyle name="Normalny 3 2 4 2" xfId="67" xr:uid="{3F5AE429-1AF9-4D1A-9E9E-96864DEAE8B0}"/>
    <cellStyle name="Normalny 3 2 4 2 2" xfId="305" xr:uid="{6AAE458D-9AF6-434D-8522-7F0FDA600B19}"/>
    <cellStyle name="Normalny 3 2 4 2 2 2" xfId="865" xr:uid="{33B2099F-29B1-45B1-BA60-26C8099EECEE}"/>
    <cellStyle name="Normalny 3 2 4 2 2 3" xfId="1247" xr:uid="{E4A2A745-3EE7-42D7-8DEE-0816BB075252}"/>
    <cellStyle name="Normalny 3 2 4 2 3" xfId="483" xr:uid="{6294656B-D322-4F1F-876A-CAE743C17837}"/>
    <cellStyle name="Normalny 3 2 4 2 4" xfId="661" xr:uid="{B56AE644-246C-467B-90C2-08F4E49754CE}"/>
    <cellStyle name="Normalny 3 2 4 2 5" xfId="1043" xr:uid="{74085C54-ECB9-4AA8-BABC-EE60B08009EA}"/>
    <cellStyle name="Normalny 3 2 4 3" xfId="112" xr:uid="{70AA2CF3-ACC7-4102-985A-798FB2E390E7}"/>
    <cellStyle name="Normalny 3 2 4 3 2" xfId="341" xr:uid="{562E1259-A1A6-4FD4-869F-F7031043E3D6}"/>
    <cellStyle name="Normalny 3 2 4 3 2 2" xfId="901" xr:uid="{139AB178-0E86-440F-9513-BBBBE45920A9}"/>
    <cellStyle name="Normalny 3 2 4 3 2 3" xfId="1283" xr:uid="{B54273D5-8FE7-4CD6-851C-F48E0313AE49}"/>
    <cellStyle name="Normalny 3 2 4 3 3" xfId="519" xr:uid="{569C8619-867A-4CB7-BC6B-B4E712141275}"/>
    <cellStyle name="Normalny 3 2 4 3 4" xfId="697" xr:uid="{397F1022-7189-4773-B870-558DF8E5C17D}"/>
    <cellStyle name="Normalny 3 2 4 3 5" xfId="1079" xr:uid="{2035FE23-8066-440A-8160-335B621BC5E7}"/>
    <cellStyle name="Normalny 3 2 4 4" xfId="159" xr:uid="{7D5729BD-3720-4FB3-880A-BC99DF809497}"/>
    <cellStyle name="Normalny 3 2 4 4 2" xfId="388" xr:uid="{0F33E274-26D8-4661-BAA6-337360528DCC}"/>
    <cellStyle name="Normalny 3 2 4 4 2 2" xfId="948" xr:uid="{A3E8BDD9-11D9-4495-A5FC-7C2F99EECC55}"/>
    <cellStyle name="Normalny 3 2 4 4 2 3" xfId="1330" xr:uid="{0B284F0D-6FB6-4452-90A4-D9E71B411859}"/>
    <cellStyle name="Normalny 3 2 4 4 3" xfId="566" xr:uid="{E0106CDA-8E19-42A7-A062-D96E19176BB1}"/>
    <cellStyle name="Normalny 3 2 4 4 4" xfId="744" xr:uid="{C8501B76-D88D-4C02-86C7-BD103B15C348}"/>
    <cellStyle name="Normalny 3 2 4 4 5" xfId="1126" xr:uid="{CC214EA9-AE29-4C21-A5BD-03A31FA61038}"/>
    <cellStyle name="Normalny 3 2 4 5" xfId="229" xr:uid="{ACE2F9EE-253E-4AFC-A6E8-667AFC3EBE05}"/>
    <cellStyle name="Normalny 3 2 4 5 2" xfId="791" xr:uid="{361D8435-8C88-4F40-A5E8-2D8989A0085B}"/>
    <cellStyle name="Normalny 3 2 4 5 3" xfId="1173" xr:uid="{9E1ADFDF-F0BE-4837-B03F-4570AA4FC33E}"/>
    <cellStyle name="Normalny 3 2 4 6" xfId="272" xr:uid="{287AB02B-9E14-4C02-870D-9123007D9708}"/>
    <cellStyle name="Normalny 3 2 4 6 2" xfId="832" xr:uid="{F7CBEEA9-D2BA-4C62-9560-0C736B192CBE}"/>
    <cellStyle name="Normalny 3 2 4 6 3" xfId="1214" xr:uid="{721BBFB6-AF4A-444C-99AC-A96AF9DAA5CF}"/>
    <cellStyle name="Normalny 3 2 4 7" xfId="450" xr:uid="{BFBE2F91-0CC0-4D06-BBA9-CBD5F583862C}"/>
    <cellStyle name="Normalny 3 2 4 8" xfId="628" xr:uid="{A516B4B0-2027-4204-A859-2E86F458DFD7}"/>
    <cellStyle name="Normalny 3 2 4 9" xfId="1010" xr:uid="{BC2B0866-5943-4B9B-B545-5DC2A5C2DC93}"/>
    <cellStyle name="Normalny 3 2 5" xfId="52" xr:uid="{2DDF17AB-3EA4-4717-BDA4-C10CB6C82FC7}"/>
    <cellStyle name="Normalny 3 2 5 2" xfId="244" xr:uid="{CDF9886A-2AA9-4466-A811-D0722E8F155A}"/>
    <cellStyle name="Normalny 3 2 5 2 2" xfId="804" xr:uid="{E2C3C498-6DD5-45BD-87BB-DDFBAAC12A33}"/>
    <cellStyle name="Normalny 3 2 5 2 3" xfId="1186" xr:uid="{F3AB9D7D-ADA0-4F84-8846-0DC4705C635D}"/>
    <cellStyle name="Normalny 3 2 5 3" xfId="290" xr:uid="{524C3A72-BE99-48AE-B579-F1BBE5E4F6FD}"/>
    <cellStyle name="Normalny 3 2 5 3 2" xfId="850" xr:uid="{6DD701DD-A039-4F43-92FE-76D7105206C4}"/>
    <cellStyle name="Normalny 3 2 5 3 3" xfId="1232" xr:uid="{F5285204-5C3D-4698-BD0A-A1EA7E5216AD}"/>
    <cellStyle name="Normalny 3 2 5 4" xfId="468" xr:uid="{FDEFE622-1E2A-4BAA-B7DB-2B7A25FDC42C}"/>
    <cellStyle name="Normalny 3 2 5 5" xfId="646" xr:uid="{A82154FC-BF0C-494C-B42A-F505CFF16437}"/>
    <cellStyle name="Normalny 3 2 5 6" xfId="1028" xr:uid="{19B3889D-4853-4FA0-B720-A1226BC1414F}"/>
    <cellStyle name="Normalny 3 2 6" xfId="86" xr:uid="{51CC697E-9C11-429B-93EE-EB21C385E586}"/>
    <cellStyle name="Normalny 3 2 6 2" xfId="321" xr:uid="{0E14B38C-98FC-4B4A-99CD-413A04B246BF}"/>
    <cellStyle name="Normalny 3 2 6 2 2" xfId="881" xr:uid="{03012C6B-35A3-4EE6-90CE-2FBCCCACD91F}"/>
    <cellStyle name="Normalny 3 2 6 2 3" xfId="1263" xr:uid="{90466A6F-F159-4103-90A0-FB7219AC691A}"/>
    <cellStyle name="Normalny 3 2 6 3" xfId="499" xr:uid="{BF326A81-41AE-499A-AFAA-980641C0472C}"/>
    <cellStyle name="Normalny 3 2 6 4" xfId="677" xr:uid="{D05DF1D8-816D-4797-AEB2-4F0ED9A9B871}"/>
    <cellStyle name="Normalny 3 2 6 5" xfId="1059" xr:uid="{0E336187-2281-4D8D-9C48-83117D14659B}"/>
    <cellStyle name="Normalny 3 2 7" xfId="128" xr:uid="{53FA16FA-A9E2-46C6-B4AB-B95B9A81B9A6}"/>
    <cellStyle name="Normalny 3 2 7 2" xfId="357" xr:uid="{52DACC0A-9479-4C84-AAF3-B2542AFCAAA6}"/>
    <cellStyle name="Normalny 3 2 7 2 2" xfId="917" xr:uid="{70E7BF85-1BEA-433C-98B9-9385CF8866A5}"/>
    <cellStyle name="Normalny 3 2 7 2 3" xfId="1299" xr:uid="{7427DC95-9D7A-46C5-B161-37B7FA754812}"/>
    <cellStyle name="Normalny 3 2 7 3" xfId="535" xr:uid="{FF562AF5-4960-4133-8DA6-225E8B2AB30F}"/>
    <cellStyle name="Normalny 3 2 7 4" xfId="713" xr:uid="{BDADCE3F-1C47-4CCB-A084-A24C1C037EDB}"/>
    <cellStyle name="Normalny 3 2 7 5" xfId="1095" xr:uid="{0448B9E6-2D96-4458-A285-F742894B5BC9}"/>
    <cellStyle name="Normalny 3 2 8" xfId="146" xr:uid="{C61620C3-DB0C-4D49-8E24-79CBA6273A89}"/>
    <cellStyle name="Normalny 3 2 8 2" xfId="375" xr:uid="{8913E447-10EC-4461-AF08-16E357D66DFC}"/>
    <cellStyle name="Normalny 3 2 8 2 2" xfId="935" xr:uid="{1D49153C-137B-465F-92EC-2E347B339392}"/>
    <cellStyle name="Normalny 3 2 8 2 3" xfId="1317" xr:uid="{BC82A21D-3D9D-4C27-B09F-BAC93BFC1032}"/>
    <cellStyle name="Normalny 3 2 8 3" xfId="553" xr:uid="{624FB671-C33B-4E43-9165-46B42AF9CF5C}"/>
    <cellStyle name="Normalny 3 2 8 4" xfId="731" xr:uid="{A885C835-D3A2-46E1-A55F-872FC925FDF1}"/>
    <cellStyle name="Normalny 3 2 8 5" xfId="1113" xr:uid="{030F6476-C0BB-42F6-A36A-B015D5075208}"/>
    <cellStyle name="Normalny 3 2 9" xfId="177" xr:uid="{E0979CC8-7411-49C1-BB04-1BF7C0237030}"/>
    <cellStyle name="Normalny 3 2 9 2" xfId="406" xr:uid="{C301AEF0-AE37-40E2-919F-261E7D903E7C}"/>
    <cellStyle name="Normalny 3 2 9 2 2" xfId="966" xr:uid="{DA70237F-54E4-4E09-8B30-C2331F563890}"/>
    <cellStyle name="Normalny 3 2 9 2 3" xfId="1348" xr:uid="{4D11399D-3A1C-42BF-8996-27A58ADDD04E}"/>
    <cellStyle name="Normalny 3 2 9 3" xfId="584" xr:uid="{4056A4DB-CFE2-4D75-827B-9C00F33EE662}"/>
    <cellStyle name="Normalny 3 2 9 4" xfId="762" xr:uid="{E4AE405B-E159-46D9-8DA3-10935644B7E7}"/>
    <cellStyle name="Normalny 3 2 9 5" xfId="1144" xr:uid="{B732FD97-422F-4AC2-9360-04A79FB7220B}"/>
    <cellStyle name="Normalny 3 3" xfId="22" xr:uid="{00000000-0005-0000-0000-00000E000000}"/>
    <cellStyle name="Normalny 3 3 2" xfId="25" xr:uid="{00000000-0005-0000-0000-00000F000000}"/>
    <cellStyle name="Normalny 3 3 2 10" xfId="264" xr:uid="{BB08B706-9090-4B24-B8CC-A36EE0CC9609}"/>
    <cellStyle name="Normalny 3 3 2 10 2" xfId="824" xr:uid="{F98514FD-6683-40A4-9B3D-5524705E4BAE}"/>
    <cellStyle name="Normalny 3 3 2 10 3" xfId="1206" xr:uid="{27A17BBC-CA20-4748-BB67-2FCA01DC60E3}"/>
    <cellStyle name="Normalny 3 3 2 11" xfId="442" xr:uid="{BE8876A5-EF1D-4543-BCC3-DA2A3D21F14D}"/>
    <cellStyle name="Normalny 3 3 2 12" xfId="620" xr:uid="{2803A7D9-3883-4ADA-B7EA-FA43708E987A}"/>
    <cellStyle name="Normalny 3 3 2 13" xfId="1002" xr:uid="{4C55CA16-42F1-4BE5-9DA7-10430CF198D5}"/>
    <cellStyle name="Normalny 3 3 2 2" xfId="38" xr:uid="{BA67939D-ECB3-4A56-84C3-1B6C64B8A8C8}"/>
    <cellStyle name="Normalny 3 3 2 2 2" xfId="72" xr:uid="{8FE0DEB0-BEAE-4821-8118-88F94504A193}"/>
    <cellStyle name="Normalny 3 3 2 2 2 2" xfId="310" xr:uid="{6D3D6DD1-EBAD-4649-8724-EF1DADB228D4}"/>
    <cellStyle name="Normalny 3 3 2 2 2 2 2" xfId="870" xr:uid="{05C59C58-B278-440E-BEA1-68D9D89A3D49}"/>
    <cellStyle name="Normalny 3 3 2 2 2 2 3" xfId="1252" xr:uid="{916846E3-94C2-4FF7-8A2C-593481FB9C62}"/>
    <cellStyle name="Normalny 3 3 2 2 2 3" xfId="488" xr:uid="{56D6A42D-EAE9-4684-8E1C-0208FF0B45F3}"/>
    <cellStyle name="Normalny 3 3 2 2 2 4" xfId="666" xr:uid="{2A2395D6-0211-4EAE-B432-C3034E50CAB4}"/>
    <cellStyle name="Normalny 3 3 2 2 2 5" xfId="1048" xr:uid="{FDF2AE76-EDC4-4D4D-BC61-7318C1F8EBBC}"/>
    <cellStyle name="Normalny 3 3 2 2 3" xfId="117" xr:uid="{0EB92128-8EC6-4A4D-8767-3B76CE6A7104}"/>
    <cellStyle name="Normalny 3 3 2 2 3 2" xfId="346" xr:uid="{52894F9A-9FED-4443-93A5-5BB078CC0B1F}"/>
    <cellStyle name="Normalny 3 3 2 2 3 2 2" xfId="906" xr:uid="{2B30B8FC-4802-4364-BBFC-D3D347D8EA45}"/>
    <cellStyle name="Normalny 3 3 2 2 3 2 3" xfId="1288" xr:uid="{717F007B-9C80-4756-A959-12C19B17F04A}"/>
    <cellStyle name="Normalny 3 3 2 2 3 3" xfId="524" xr:uid="{2641E799-C560-4CDE-BB23-2AEA4524A1FE}"/>
    <cellStyle name="Normalny 3 3 2 2 3 4" xfId="702" xr:uid="{F6C28CFA-8241-40B9-B208-CB76A8911A58}"/>
    <cellStyle name="Normalny 3 3 2 2 3 5" xfId="1084" xr:uid="{E997E2F4-4609-4882-94E0-8822070F791A}"/>
    <cellStyle name="Normalny 3 3 2 2 4" xfId="164" xr:uid="{54DFAABC-889C-4599-B8AD-12955B40F2B7}"/>
    <cellStyle name="Normalny 3 3 2 2 4 2" xfId="393" xr:uid="{D8488BDB-8A8D-4EBE-BF19-D331D7D023E4}"/>
    <cellStyle name="Normalny 3 3 2 2 4 2 2" xfId="953" xr:uid="{12F466D7-5D16-4804-91AF-0EB3753E7EA8}"/>
    <cellStyle name="Normalny 3 3 2 2 4 2 3" xfId="1335" xr:uid="{A4901BBF-51AE-4C11-92BF-C270ABD89AE2}"/>
    <cellStyle name="Normalny 3 3 2 2 4 3" xfId="571" xr:uid="{F1C16908-C0BD-40A6-B5DD-D1BB374CD36B}"/>
    <cellStyle name="Normalny 3 3 2 2 4 4" xfId="749" xr:uid="{29FCAEF0-775F-4F52-B1D4-4E9A0B162A9F}"/>
    <cellStyle name="Normalny 3 3 2 2 4 5" xfId="1131" xr:uid="{764442B4-50DC-413E-BC1A-2D045F1E7D6F}"/>
    <cellStyle name="Normalny 3 3 2 2 5" xfId="234" xr:uid="{FECED1D1-6042-4A74-9464-2A675D4A684F}"/>
    <cellStyle name="Normalny 3 3 2 2 5 2" xfId="796" xr:uid="{BAC8DE55-37C2-4E08-97FA-0F675C6916D9}"/>
    <cellStyle name="Normalny 3 3 2 2 5 3" xfId="1178" xr:uid="{EDD2BF86-6760-4E11-AC7F-EC4E9F33A454}"/>
    <cellStyle name="Normalny 3 3 2 2 6" xfId="277" xr:uid="{728C0D5D-2CC3-4CFD-B2D1-CBCB99199435}"/>
    <cellStyle name="Normalny 3 3 2 2 6 2" xfId="837" xr:uid="{D10D3A70-CA5D-4BE6-A336-F32AEEA75842}"/>
    <cellStyle name="Normalny 3 3 2 2 6 3" xfId="1219" xr:uid="{25BDBFFD-E053-493E-B3DE-E4086934F0C8}"/>
    <cellStyle name="Normalny 3 3 2 2 7" xfId="455" xr:uid="{C612C79E-8525-426D-953A-5F3C2448417E}"/>
    <cellStyle name="Normalny 3 3 2 2 8" xfId="633" xr:uid="{86049F0F-4AFE-4A0E-B587-E78BE8E4D462}"/>
    <cellStyle name="Normalny 3 3 2 2 9" xfId="1015" xr:uid="{B9A2D51A-277F-4F7C-8048-BEB33609C438}"/>
    <cellStyle name="Normalny 3 3 2 3" xfId="57" xr:uid="{684344D7-7DDE-428D-BD96-9979D7D94B5B}"/>
    <cellStyle name="Normalny 3 3 2 3 2" xfId="249" xr:uid="{D7BAC0CD-48FE-4FA8-B4CB-EAAA547FCFA8}"/>
    <cellStyle name="Normalny 3 3 2 3 2 2" xfId="809" xr:uid="{84BDE6CB-BE36-4DB4-AC67-E976CA465FC3}"/>
    <cellStyle name="Normalny 3 3 2 3 2 3" xfId="1191" xr:uid="{785839D3-339E-4696-973F-9DFCD2E43898}"/>
    <cellStyle name="Normalny 3 3 2 3 3" xfId="295" xr:uid="{277D3ED2-E015-4101-8F73-A543B8C3AFF2}"/>
    <cellStyle name="Normalny 3 3 2 3 3 2" xfId="855" xr:uid="{E5C423BA-3013-401A-979F-2B89AAAF43A9}"/>
    <cellStyle name="Normalny 3 3 2 3 3 3" xfId="1237" xr:uid="{E6AC2E39-A190-41CE-B455-60CB0A7F3341}"/>
    <cellStyle name="Normalny 3 3 2 3 4" xfId="473" xr:uid="{EBF858E6-EA49-483B-BC5E-3E74346FD2E4}"/>
    <cellStyle name="Normalny 3 3 2 3 5" xfId="651" xr:uid="{52A68AAA-D158-4A58-913E-0EFE940958BD}"/>
    <cellStyle name="Normalny 3 3 2 3 6" xfId="1033" xr:uid="{22AF05D3-5B94-48AC-A3E7-DCD2EEC063F4}"/>
    <cellStyle name="Normalny 3 3 2 4" xfId="91" xr:uid="{4FE65C1E-FEE0-40DB-9F0C-D60210914A6B}"/>
    <cellStyle name="Normalny 3 3 2 4 2" xfId="326" xr:uid="{BB429FBC-0C22-43AF-9A40-273110FC8CE2}"/>
    <cellStyle name="Normalny 3 3 2 4 2 2" xfId="886" xr:uid="{6D9BF4A9-D393-418C-AA28-51DE0093EFC0}"/>
    <cellStyle name="Normalny 3 3 2 4 2 3" xfId="1268" xr:uid="{03A97F2B-AADB-4E40-BB13-FE23F3C13FE4}"/>
    <cellStyle name="Normalny 3 3 2 4 3" xfId="504" xr:uid="{D9228B40-E23C-4752-BD2F-0B58CA0622AB}"/>
    <cellStyle name="Normalny 3 3 2 4 4" xfId="682" xr:uid="{D637DB4A-07EB-4CD8-B7BC-8BAD60E75EAF}"/>
    <cellStyle name="Normalny 3 3 2 4 5" xfId="1064" xr:uid="{269704BD-2257-4A3F-81B3-1D052CE5EBB5}"/>
    <cellStyle name="Normalny 3 3 2 5" xfId="133" xr:uid="{84061CC4-665F-42AF-8876-C121283EAF30}"/>
    <cellStyle name="Normalny 3 3 2 5 2" xfId="362" xr:uid="{3DB93D1F-DC3B-41B6-A57E-F85F3AC80429}"/>
    <cellStyle name="Normalny 3 3 2 5 2 2" xfId="922" xr:uid="{0639BBF7-5127-4F98-9DC3-9A43BBD92377}"/>
    <cellStyle name="Normalny 3 3 2 5 2 3" xfId="1304" xr:uid="{D4F47A56-07A4-4EEC-BE13-FA4D6F9F44B9}"/>
    <cellStyle name="Normalny 3 3 2 5 3" xfId="540" xr:uid="{D1144F13-3AE8-4479-AB40-9650225AD5E9}"/>
    <cellStyle name="Normalny 3 3 2 5 4" xfId="718" xr:uid="{4DAED420-83D2-478F-A975-6A306ABEFBEE}"/>
    <cellStyle name="Normalny 3 3 2 5 5" xfId="1100" xr:uid="{A042CA68-88FB-4548-80F9-3ED13E55D20C}"/>
    <cellStyle name="Normalny 3 3 2 6" xfId="151" xr:uid="{C7CB3BCB-B0BB-4477-91FC-F5F6FBF2430D}"/>
    <cellStyle name="Normalny 3 3 2 6 2" xfId="380" xr:uid="{C3512C8D-B0FC-46AF-B865-505D03E263E7}"/>
    <cellStyle name="Normalny 3 3 2 6 2 2" xfId="940" xr:uid="{51CAC314-5187-4E62-B0C8-9583E7E9D95A}"/>
    <cellStyle name="Normalny 3 3 2 6 2 3" xfId="1322" xr:uid="{A45CE30F-4791-4433-A703-259056DB2DB3}"/>
    <cellStyle name="Normalny 3 3 2 6 3" xfId="558" xr:uid="{52571690-FFB6-4E1B-9C3D-75F9C73956A5}"/>
    <cellStyle name="Normalny 3 3 2 6 4" xfId="736" xr:uid="{499CD151-EFE0-4B80-A0E4-4BDDCA601228}"/>
    <cellStyle name="Normalny 3 3 2 6 5" xfId="1118" xr:uid="{04AAAB39-390E-4C33-A074-E6234E34E2F6}"/>
    <cellStyle name="Normalny 3 3 2 7" xfId="182" xr:uid="{4B0FA02C-8607-4333-A109-E713CC0C9E0F}"/>
    <cellStyle name="Normalny 3 3 2 7 2" xfId="411" xr:uid="{82E47CBE-BB9F-4942-87FF-E73DB7A08C9F}"/>
    <cellStyle name="Normalny 3 3 2 7 2 2" xfId="971" xr:uid="{E5E5AA4E-699D-494F-BA8B-4418540F3203}"/>
    <cellStyle name="Normalny 3 3 2 7 2 3" xfId="1353" xr:uid="{326E450D-77D1-42DA-8D79-80A429F71CC7}"/>
    <cellStyle name="Normalny 3 3 2 7 3" xfId="589" xr:uid="{C3B061C1-4D8F-4BE7-A228-AD6652CB294F}"/>
    <cellStyle name="Normalny 3 3 2 7 4" xfId="767" xr:uid="{AABC5D60-9980-4846-AE81-6A3519A7FB59}"/>
    <cellStyle name="Normalny 3 3 2 7 5" xfId="1149" xr:uid="{3AE605C9-BBCC-4DCA-B414-C94749172C71}"/>
    <cellStyle name="Normalny 3 3 2 8" xfId="200" xr:uid="{EAF981BF-D2BE-4CD6-906D-8F92833E3362}"/>
    <cellStyle name="Normalny 3 3 2 8 2" xfId="429" xr:uid="{D95742FD-7A14-48EF-BB4F-C86650ABEA8B}"/>
    <cellStyle name="Normalny 3 3 2 8 2 2" xfId="989" xr:uid="{244C9AE0-E488-4B18-B40A-E9B62671074A}"/>
    <cellStyle name="Normalny 3 3 2 8 2 3" xfId="1371" xr:uid="{E09300C0-E564-469E-B522-2AA3AF9AFF3A}"/>
    <cellStyle name="Normalny 3 3 2 8 3" xfId="607" xr:uid="{C201AA5B-0E76-4C9C-B9F5-859DAA61E751}"/>
    <cellStyle name="Normalny 3 3 2 8 4" xfId="785" xr:uid="{0A3543B3-59DB-4CE4-A206-C890E259D809}"/>
    <cellStyle name="Normalny 3 3 2 8 5" xfId="1167" xr:uid="{52DC00E1-C33C-433A-96F1-A6DA7033493C}"/>
    <cellStyle name="Normalny 3 3 2 9" xfId="214" xr:uid="{E70210EA-C63C-4CDD-B48E-888533326AD9}"/>
    <cellStyle name="Normalny 3 3 3" xfId="106" xr:uid="{1B3D4211-A336-4525-B0D7-F164E748BB1C}"/>
    <cellStyle name="Normalny 3 3 3 2" xfId="233" xr:uid="{F696C08F-3F9E-4BE6-B50D-6AB39AAD7B29}"/>
    <cellStyle name="Normalny 3 3 3 2 2" xfId="795" xr:uid="{23BB54A5-E464-43FA-AD73-405683FAAA5B}"/>
    <cellStyle name="Normalny 3 3 3 2 3" xfId="1177" xr:uid="{89E71AFC-0262-460B-B9E8-6183188DAE2D}"/>
    <cellStyle name="Normalny 3 3 4" xfId="248" xr:uid="{A4AE9C4E-659C-4489-99AA-CFF0553E0625}"/>
    <cellStyle name="Normalny 3 3 4 2" xfId="808" xr:uid="{272B3170-18D6-4F13-8E96-DCFB12EBC2E1}"/>
    <cellStyle name="Normalny 3 3 4 3" xfId="1190" xr:uid="{FD827B80-109C-4598-B75C-08DA95181B51}"/>
    <cellStyle name="Normalny 3 3 5" xfId="213" xr:uid="{19A1296B-ECFD-4A21-AB13-03198B7D65BB}"/>
    <cellStyle name="Normalny 3 4" xfId="27" xr:uid="{00000000-0005-0000-0000-000010000000}"/>
    <cellStyle name="Normalny 3 4 10" xfId="266" xr:uid="{7B4AB679-5AAB-4DFA-A288-E0FD5C0E87E9}"/>
    <cellStyle name="Normalny 3 4 10 2" xfId="826" xr:uid="{3EE977B7-217C-4FBE-808C-C5199D975458}"/>
    <cellStyle name="Normalny 3 4 10 3" xfId="1208" xr:uid="{D2712335-373D-49CE-A625-F604F0FA1FCC}"/>
    <cellStyle name="Normalny 3 4 11" xfId="444" xr:uid="{5D8EA17D-03EF-4976-A774-0DE06813EA2C}"/>
    <cellStyle name="Normalny 3 4 12" xfId="622" xr:uid="{E7613087-1993-4842-81F2-838BC34ED648}"/>
    <cellStyle name="Normalny 3 4 13" xfId="1004" xr:uid="{2D3DFE66-6402-4817-8449-A196613F5C29}"/>
    <cellStyle name="Normalny 3 4 2" xfId="40" xr:uid="{6C7117A7-C822-432F-A8A1-D25325DEAEC6}"/>
    <cellStyle name="Normalny 3 4 2 2" xfId="74" xr:uid="{52B52470-8BC0-40E3-A11C-32800ECF03A0}"/>
    <cellStyle name="Normalny 3 4 2 2 2" xfId="236" xr:uid="{E900608B-7660-4C42-931D-2E4431D6F6E7}"/>
    <cellStyle name="Normalny 3 4 2 2 2 2" xfId="798" xr:uid="{9CD3FD27-EAD0-40F5-8977-46DBDE8933D9}"/>
    <cellStyle name="Normalny 3 4 2 2 2 3" xfId="1180" xr:uid="{8183025D-A43D-4FAB-8B86-188D944B96A2}"/>
    <cellStyle name="Normalny 3 4 2 2 3" xfId="312" xr:uid="{7F57515C-29FF-4414-8E94-A6B547A0F055}"/>
    <cellStyle name="Normalny 3 4 2 2 3 2" xfId="872" xr:uid="{8ACC01AB-85D0-4D0E-A6C8-5DBA42DB49E5}"/>
    <cellStyle name="Normalny 3 4 2 2 3 3" xfId="1254" xr:uid="{D0F56B27-91D5-4E8F-BCD2-6B31039C7BCE}"/>
    <cellStyle name="Normalny 3 4 2 2 4" xfId="490" xr:uid="{8DAC6CDF-9651-4B6C-B0D7-37BD52B34A46}"/>
    <cellStyle name="Normalny 3 4 2 2 5" xfId="668" xr:uid="{13FA05E2-30D7-4B70-9E46-110394DF81C3}"/>
    <cellStyle name="Normalny 3 4 2 2 6" xfId="1050" xr:uid="{157B3ECC-8DB1-4A19-84C1-9F9949FA1868}"/>
    <cellStyle name="Normalny 3 4 2 3" xfId="102" xr:uid="{A1F01852-E7C1-4CA4-BFEA-AF79D0240895}"/>
    <cellStyle name="Normalny 3 4 2 3 2" xfId="251" xr:uid="{347AD5B4-82BC-487B-B4F2-4D3077C249E4}"/>
    <cellStyle name="Normalny 3 4 2 3 2 2" xfId="811" xr:uid="{CF9FDF87-F60D-42CC-A8C4-12687F8812E7}"/>
    <cellStyle name="Normalny 3 4 2 3 2 3" xfId="1193" xr:uid="{97B03263-082B-42C9-9236-307F31D843D9}"/>
    <cellStyle name="Normalny 3 4 2 3 3" xfId="335" xr:uid="{CFD138BF-42CE-4B19-B013-57A7B4614972}"/>
    <cellStyle name="Normalny 3 4 2 3 3 2" xfId="895" xr:uid="{C05CE43B-3B48-4DFF-BC0A-AA1C3EAA7709}"/>
    <cellStyle name="Normalny 3 4 2 3 3 3" xfId="1277" xr:uid="{D5301E53-B788-401D-AFE9-C68660CE8AEC}"/>
    <cellStyle name="Normalny 3 4 2 3 4" xfId="513" xr:uid="{01AF5F96-B43A-481A-BAA2-D6F7891FDADB}"/>
    <cellStyle name="Normalny 3 4 2 3 5" xfId="691" xr:uid="{F0D3C18F-D1D7-4BE8-8DF8-7661355D2E5F}"/>
    <cellStyle name="Normalny 3 4 2 3 6" xfId="1073" xr:uid="{12A34312-C7EA-445F-BA93-871081D6A0B9}"/>
    <cellStyle name="Normalny 3 4 2 4" xfId="166" xr:uid="{6D0FF2B3-0E2A-4F84-B25D-A90F0536EC08}"/>
    <cellStyle name="Normalny 3 4 2 4 2" xfId="395" xr:uid="{C85B928F-FD3E-4716-8182-84C341AEF003}"/>
    <cellStyle name="Normalny 3 4 2 4 2 2" xfId="955" xr:uid="{04DFEE9E-FEB4-48E0-8B01-0A02642AFFFD}"/>
    <cellStyle name="Normalny 3 4 2 4 2 3" xfId="1337" xr:uid="{205F5962-18D5-4013-B649-247EF01C2B15}"/>
    <cellStyle name="Normalny 3 4 2 4 3" xfId="573" xr:uid="{92F5F63D-37E0-4611-A4AB-8213AA6138F9}"/>
    <cellStyle name="Normalny 3 4 2 4 4" xfId="751" xr:uid="{D8EA71CA-43E6-4E05-8D95-D87781D27566}"/>
    <cellStyle name="Normalny 3 4 2 4 5" xfId="1133" xr:uid="{1217D654-FE88-4FF3-98DF-D1CF7197735B}"/>
    <cellStyle name="Normalny 3 4 2 5" xfId="216" xr:uid="{000863F3-5A72-4E59-8E80-B673E9103667}"/>
    <cellStyle name="Normalny 3 4 2 6" xfId="279" xr:uid="{971A76B2-2CCA-480F-B68C-549549768BA2}"/>
    <cellStyle name="Normalny 3 4 2 6 2" xfId="839" xr:uid="{0FB3A2D5-EB3C-4912-BFCA-B42ABA87C124}"/>
    <cellStyle name="Normalny 3 4 2 6 3" xfId="1221" xr:uid="{5EE65A63-5746-45BF-AD30-B99302734D4D}"/>
    <cellStyle name="Normalny 3 4 2 7" xfId="457" xr:uid="{4B27EF7A-B898-4F42-85DB-3052025DA22F}"/>
    <cellStyle name="Normalny 3 4 2 8" xfId="635" xr:uid="{BE0B3FC9-F9EF-4481-949E-742BA2DA491E}"/>
    <cellStyle name="Normalny 3 4 2 9" xfId="1017" xr:uid="{D2161520-C4A7-473B-87DF-8D5B593D0E71}"/>
    <cellStyle name="Normalny 3 4 3" xfId="59" xr:uid="{5416D758-79A4-449B-B60A-601389B5FE65}"/>
    <cellStyle name="Normalny 3 4 3 2" xfId="119" xr:uid="{45F01608-EEEF-4ED3-9C0D-0E182E71B564}"/>
    <cellStyle name="Normalny 3 4 3 2 2" xfId="348" xr:uid="{3A282F10-FA72-4370-9DEF-D0C38A2E606F}"/>
    <cellStyle name="Normalny 3 4 3 2 2 2" xfId="908" xr:uid="{98685DAC-34FB-4B67-B7B1-AF1E492EA982}"/>
    <cellStyle name="Normalny 3 4 3 2 2 3" xfId="1290" xr:uid="{0240A8D2-40AB-47DD-97DF-BC8200258AB7}"/>
    <cellStyle name="Normalny 3 4 3 2 3" xfId="526" xr:uid="{F8491770-CB8D-4358-ACE5-BFE48A09ED19}"/>
    <cellStyle name="Normalny 3 4 3 2 4" xfId="704" xr:uid="{3841826D-E3DE-46EE-9701-80F25294BC5A}"/>
    <cellStyle name="Normalny 3 4 3 2 5" xfId="1086" xr:uid="{7D22F087-BABF-4322-8C42-F2CE32F1184D}"/>
    <cellStyle name="Normalny 3 4 3 3" xfId="235" xr:uid="{6ACB6F59-69FB-4C32-8E76-E0C41BB3D6E2}"/>
    <cellStyle name="Normalny 3 4 3 3 2" xfId="797" xr:uid="{32340A0D-DFD1-4E20-88CD-AE5C357DC5A2}"/>
    <cellStyle name="Normalny 3 4 3 3 3" xfId="1179" xr:uid="{3FF8A5D4-E60D-4E5E-8B5F-C8BD577F4860}"/>
    <cellStyle name="Normalny 3 4 3 4" xfId="297" xr:uid="{226375A1-4CA8-4524-B6EB-A32D315708B2}"/>
    <cellStyle name="Normalny 3 4 3 4 2" xfId="857" xr:uid="{BB6A5A6B-F9D0-4C05-99F8-69E65E038B4B}"/>
    <cellStyle name="Normalny 3 4 3 4 3" xfId="1239" xr:uid="{3818ACF2-0773-453A-BDEE-B7E9CD49662E}"/>
    <cellStyle name="Normalny 3 4 3 5" xfId="475" xr:uid="{AB3ED207-2697-4C97-9348-1EED84E7D005}"/>
    <cellStyle name="Normalny 3 4 3 6" xfId="653" xr:uid="{30F7D9E8-491C-46AC-8745-5A56CAEC8989}"/>
    <cellStyle name="Normalny 3 4 3 7" xfId="1035" xr:uid="{29A8D57E-CEA9-43DE-B98A-A2812B636810}"/>
    <cellStyle name="Normalny 3 4 4" xfId="93" xr:uid="{AC3477BE-CE14-4A1A-981C-D4CBAFE7B09A}"/>
    <cellStyle name="Normalny 3 4 4 2" xfId="250" xr:uid="{8500E9C7-799B-4609-98FD-2404D3DD1049}"/>
    <cellStyle name="Normalny 3 4 4 2 2" xfId="810" xr:uid="{305D42F5-2F53-4133-93E0-1BE1E72F4C9C}"/>
    <cellStyle name="Normalny 3 4 4 2 3" xfId="1192" xr:uid="{DC9C3101-8629-48EC-B259-56563634A5E7}"/>
    <cellStyle name="Normalny 3 4 4 3" xfId="328" xr:uid="{1A9B7E14-11AB-4807-A263-9F238280DB7F}"/>
    <cellStyle name="Normalny 3 4 4 3 2" xfId="888" xr:uid="{6B613E27-9311-409E-8FAF-3016B0F8E9B8}"/>
    <cellStyle name="Normalny 3 4 4 3 3" xfId="1270" xr:uid="{94979161-2AB3-4AA1-A194-EDF895F571C3}"/>
    <cellStyle name="Normalny 3 4 4 4" xfId="506" xr:uid="{38557530-4B04-467C-B3CA-C812EA10579E}"/>
    <cellStyle name="Normalny 3 4 4 5" xfId="684" xr:uid="{B284AF06-E3C1-4CA9-B150-978E324F939D}"/>
    <cellStyle name="Normalny 3 4 4 6" xfId="1066" xr:uid="{9AF16C01-8FCC-4637-B8DE-EF4D7BC93310}"/>
    <cellStyle name="Normalny 3 4 5" xfId="135" xr:uid="{3EA618C3-4534-414A-9D95-D117A054781E}"/>
    <cellStyle name="Normalny 3 4 5 2" xfId="364" xr:uid="{73D3D02A-150F-4575-8BB9-88990A69041C}"/>
    <cellStyle name="Normalny 3 4 5 2 2" xfId="924" xr:uid="{52EA0710-741D-4B57-AFA9-EB112BD324F6}"/>
    <cellStyle name="Normalny 3 4 5 2 3" xfId="1306" xr:uid="{1224D3C3-43C0-4689-9B00-0DDFDA28B381}"/>
    <cellStyle name="Normalny 3 4 5 3" xfId="542" xr:uid="{DD9B88B7-9874-4D8C-B713-2477F9EE7C31}"/>
    <cellStyle name="Normalny 3 4 5 4" xfId="720" xr:uid="{559DAEA5-02CA-47C9-A48C-28584F7E41E0}"/>
    <cellStyle name="Normalny 3 4 5 5" xfId="1102" xr:uid="{0BF0ABBB-E832-4AEF-8AC7-DCCCF6164376}"/>
    <cellStyle name="Normalny 3 4 6" xfId="153" xr:uid="{DA75D1E7-06D4-4CA6-8F27-809BC5A46557}"/>
    <cellStyle name="Normalny 3 4 6 2" xfId="382" xr:uid="{98C676FC-795E-4581-927D-958CFC044524}"/>
    <cellStyle name="Normalny 3 4 6 2 2" xfId="942" xr:uid="{E015C3AE-7DDE-479E-BE32-58BAAE1F72EE}"/>
    <cellStyle name="Normalny 3 4 6 2 3" xfId="1324" xr:uid="{DB89CDA2-3B03-488D-AA05-2391F8CF9D22}"/>
    <cellStyle name="Normalny 3 4 6 3" xfId="560" xr:uid="{8447822C-7C71-43A2-88F1-5A07A35556D0}"/>
    <cellStyle name="Normalny 3 4 6 4" xfId="738" xr:uid="{B6F04D32-F8D9-48D7-884A-5FB930C90458}"/>
    <cellStyle name="Normalny 3 4 6 5" xfId="1120" xr:uid="{3B3C9E66-497C-4C69-BDBB-424EAE341C43}"/>
    <cellStyle name="Normalny 3 4 7" xfId="184" xr:uid="{9E965A9C-EC73-40FA-968B-22AD55B61B19}"/>
    <cellStyle name="Normalny 3 4 7 2" xfId="413" xr:uid="{C31B8DB9-A8C0-47D6-B9E6-7872360FF36B}"/>
    <cellStyle name="Normalny 3 4 7 2 2" xfId="973" xr:uid="{D486D903-D966-432C-9E31-25792469468E}"/>
    <cellStyle name="Normalny 3 4 7 2 3" xfId="1355" xr:uid="{BA75D110-D9DD-444E-B9A2-2AED31629491}"/>
    <cellStyle name="Normalny 3 4 7 3" xfId="591" xr:uid="{15C06F69-71F0-414F-9C28-AE2FD05C717B}"/>
    <cellStyle name="Normalny 3 4 7 4" xfId="769" xr:uid="{24191932-59DE-4910-8DCC-65E8DE58CA64}"/>
    <cellStyle name="Normalny 3 4 7 5" xfId="1151" xr:uid="{9CAF27C5-DE84-4075-81C8-B999F7783FAF}"/>
    <cellStyle name="Normalny 3 4 8" xfId="202" xr:uid="{B3D58760-1E79-4D48-B8CA-4DB9034910E8}"/>
    <cellStyle name="Normalny 3 4 8 2" xfId="431" xr:uid="{53C54CDE-B644-41C9-99DC-E2603FECE493}"/>
    <cellStyle name="Normalny 3 4 8 2 2" xfId="991" xr:uid="{BA75E6AD-9DAB-400D-8CC7-4F5D2BBEC76F}"/>
    <cellStyle name="Normalny 3 4 8 2 3" xfId="1373" xr:uid="{1EA84FDE-6F29-4FE4-B842-84F481BCFAB0}"/>
    <cellStyle name="Normalny 3 4 8 3" xfId="609" xr:uid="{9FC4C7CA-EF86-4309-A455-58351915B37F}"/>
    <cellStyle name="Normalny 3 4 8 4" xfId="787" xr:uid="{87012A1E-93D3-46EE-8BE1-B91D17735D4B}"/>
    <cellStyle name="Normalny 3 4 8 5" xfId="1169" xr:uid="{F6748387-42FE-4EC9-923B-2EC88DDA9CFD}"/>
    <cellStyle name="Normalny 3 4 9" xfId="215" xr:uid="{7FE9BAE1-4AF7-49E0-AD29-DF970BA32CDC}"/>
    <cellStyle name="Normalny 3 5" xfId="23" xr:uid="{00000000-0005-0000-0000-000011000000}"/>
    <cellStyle name="Normalny 3 5 10" xfId="262" xr:uid="{9CFCB3CA-9D02-4761-87E5-FCD1772CD3F4}"/>
    <cellStyle name="Normalny 3 5 10 2" xfId="822" xr:uid="{976B9C9C-2413-471E-81F7-F0373207E153}"/>
    <cellStyle name="Normalny 3 5 10 3" xfId="1204" xr:uid="{4FC314CF-299C-4C56-B856-2F26983F9917}"/>
    <cellStyle name="Normalny 3 5 11" xfId="440" xr:uid="{60CA4B4A-497A-4798-9BA9-956975CF5834}"/>
    <cellStyle name="Normalny 3 5 12" xfId="618" xr:uid="{CD84F952-435E-4C03-95DC-3B795C86E0DA}"/>
    <cellStyle name="Normalny 3 5 13" xfId="1000" xr:uid="{25025317-6534-4921-BAF8-655B6B984956}"/>
    <cellStyle name="Normalny 3 5 2" xfId="36" xr:uid="{B95232FB-EFC0-4009-90A1-A833DDB5BAB3}"/>
    <cellStyle name="Normalny 3 5 2 2" xfId="70" xr:uid="{FDEF2EBE-4808-4BD2-BAB6-597B1CEF5477}"/>
    <cellStyle name="Normalny 3 5 2 2 2" xfId="308" xr:uid="{8D4C9644-202F-4205-A775-3E176C13013F}"/>
    <cellStyle name="Normalny 3 5 2 2 2 2" xfId="868" xr:uid="{C1C61646-C2A6-48E1-82F6-1F20A26A3E5A}"/>
    <cellStyle name="Normalny 3 5 2 2 2 3" xfId="1250" xr:uid="{293A16EE-129E-4079-A28A-3C14AD6A65E0}"/>
    <cellStyle name="Normalny 3 5 2 2 3" xfId="486" xr:uid="{C81086AF-16F3-48B6-A4FE-904BABD49233}"/>
    <cellStyle name="Normalny 3 5 2 2 4" xfId="664" xr:uid="{A4F7EE72-15DE-4FE8-8374-2EF07C38784A}"/>
    <cellStyle name="Normalny 3 5 2 2 5" xfId="1046" xr:uid="{6C49B57C-2A20-4D80-98BC-7FFADDEEB6E4}"/>
    <cellStyle name="Normalny 3 5 2 3" xfId="115" xr:uid="{413EF80F-D494-40D3-B115-2EEBBCF930E8}"/>
    <cellStyle name="Normalny 3 5 2 3 2" xfId="344" xr:uid="{444B530D-511E-4C13-B5AA-F1E8B7DAAACE}"/>
    <cellStyle name="Normalny 3 5 2 3 2 2" xfId="904" xr:uid="{449845A9-BC8A-413B-989F-333D57BA9775}"/>
    <cellStyle name="Normalny 3 5 2 3 2 3" xfId="1286" xr:uid="{8410F3AB-7999-42D2-9ACF-3929D159679D}"/>
    <cellStyle name="Normalny 3 5 2 3 3" xfId="522" xr:uid="{272039FB-2C48-4853-B3BB-97EBB752E455}"/>
    <cellStyle name="Normalny 3 5 2 3 4" xfId="700" xr:uid="{628C2979-20D6-4FCF-A7E4-6DEF2F55D323}"/>
    <cellStyle name="Normalny 3 5 2 3 5" xfId="1082" xr:uid="{E9712C14-B3AF-41AA-98DC-CD1C637BC057}"/>
    <cellStyle name="Normalny 3 5 2 4" xfId="162" xr:uid="{42489932-05DF-44FD-A1FD-B11DCCD5E4FF}"/>
    <cellStyle name="Normalny 3 5 2 4 2" xfId="391" xr:uid="{7D0B563C-EB5F-4C11-8069-81C0E6C3E10E}"/>
    <cellStyle name="Normalny 3 5 2 4 2 2" xfId="951" xr:uid="{4E919E0F-DA95-4BEA-9CBC-31B971333226}"/>
    <cellStyle name="Normalny 3 5 2 4 2 3" xfId="1333" xr:uid="{3FC1C051-9B7E-4863-A431-53DA7F9BF7B0}"/>
    <cellStyle name="Normalny 3 5 2 4 3" xfId="569" xr:uid="{8F0ECB67-D85D-47F3-9C62-CE26997C2B4A}"/>
    <cellStyle name="Normalny 3 5 2 4 4" xfId="747" xr:uid="{12B503B9-24F1-4097-B3F2-7A39D463E7E9}"/>
    <cellStyle name="Normalny 3 5 2 4 5" xfId="1129" xr:uid="{6957A5DF-3037-4FB0-AD8F-57DDB56D888A}"/>
    <cellStyle name="Normalny 3 5 2 5" xfId="237" xr:uid="{5B0A545E-7191-4562-9B6C-1D5D215CE944}"/>
    <cellStyle name="Normalny 3 5 2 5 2" xfId="799" xr:uid="{0D2D2896-A0D5-4555-987C-026BE67C33FD}"/>
    <cellStyle name="Normalny 3 5 2 5 3" xfId="1181" xr:uid="{45465ED3-B948-47AF-B058-4319DB886378}"/>
    <cellStyle name="Normalny 3 5 2 6" xfId="275" xr:uid="{C4BF3669-663F-415B-9DA2-95165E76A8C2}"/>
    <cellStyle name="Normalny 3 5 2 6 2" xfId="835" xr:uid="{341AD3E6-E431-4FEB-B953-ADB85ED76533}"/>
    <cellStyle name="Normalny 3 5 2 6 3" xfId="1217" xr:uid="{0CF325B9-6FE5-4B77-8239-FE58F003A883}"/>
    <cellStyle name="Normalny 3 5 2 7" xfId="453" xr:uid="{B95F4D2D-F2EE-47B6-ABEA-7988322EA219}"/>
    <cellStyle name="Normalny 3 5 2 8" xfId="631" xr:uid="{C463504C-BD6A-4EA7-8DDE-466A638E8B56}"/>
    <cellStyle name="Normalny 3 5 2 9" xfId="1013" xr:uid="{5BF2B6E7-7A24-418A-91BE-DF80029ADCB2}"/>
    <cellStyle name="Normalny 3 5 3" xfId="55" xr:uid="{4C70094E-BAC8-41DB-9127-C71FC6D0F98A}"/>
    <cellStyle name="Normalny 3 5 3 2" xfId="252" xr:uid="{43B7AD87-F482-4D4E-B63F-D7CB47CA1BCB}"/>
    <cellStyle name="Normalny 3 5 3 2 2" xfId="812" xr:uid="{3D81E56E-2EE4-44C0-A969-0A826E201C4D}"/>
    <cellStyle name="Normalny 3 5 3 2 3" xfId="1194" xr:uid="{2E3F8692-6AFA-4D55-B407-4441DBFCFF80}"/>
    <cellStyle name="Normalny 3 5 3 3" xfId="293" xr:uid="{966591F0-AD36-42CD-A278-23A5AF7E044E}"/>
    <cellStyle name="Normalny 3 5 3 3 2" xfId="853" xr:uid="{35FDC3FA-4EBC-483A-9EDA-51F33D255546}"/>
    <cellStyle name="Normalny 3 5 3 3 3" xfId="1235" xr:uid="{D74B2CE8-F7CF-423B-B294-B1B9E373A93F}"/>
    <cellStyle name="Normalny 3 5 3 4" xfId="471" xr:uid="{AA85CA50-03D2-46AB-8354-B0DE2E984A73}"/>
    <cellStyle name="Normalny 3 5 3 5" xfId="649" xr:uid="{1E373F2A-CF48-46AD-8575-31FDB525D576}"/>
    <cellStyle name="Normalny 3 5 3 6" xfId="1031" xr:uid="{9A2410E7-F240-4712-97D9-415C1B6E42A5}"/>
    <cellStyle name="Normalny 3 5 4" xfId="89" xr:uid="{75FF9808-92A7-4976-B171-6E98A370684A}"/>
    <cellStyle name="Normalny 3 5 4 2" xfId="324" xr:uid="{F82F2923-6366-4CA0-AA9B-FFF89AF7C5D7}"/>
    <cellStyle name="Normalny 3 5 4 2 2" xfId="884" xr:uid="{A4FB236D-EEA0-49DE-9087-EDA3BF0A12BF}"/>
    <cellStyle name="Normalny 3 5 4 2 3" xfId="1266" xr:uid="{D1015C9A-90B8-4C25-8691-E9A3ED07D5FF}"/>
    <cellStyle name="Normalny 3 5 4 3" xfId="502" xr:uid="{16CB5D2D-0489-4686-9459-5733E4FD8789}"/>
    <cellStyle name="Normalny 3 5 4 4" xfId="680" xr:uid="{7C0387CF-A535-4187-A461-057B2C650129}"/>
    <cellStyle name="Normalny 3 5 4 5" xfId="1062" xr:uid="{FB57DEED-CBC4-4AAE-BEB7-78A2FDD20F62}"/>
    <cellStyle name="Normalny 3 5 5" xfId="131" xr:uid="{7E76C233-1C7F-4D43-AFEC-3C79C0BFE76D}"/>
    <cellStyle name="Normalny 3 5 5 2" xfId="360" xr:uid="{3CBE56A8-3BB9-4DA8-9843-11093F3AD438}"/>
    <cellStyle name="Normalny 3 5 5 2 2" xfId="920" xr:uid="{B4707527-A2F8-4BDD-BEE6-8B116D1BE5D6}"/>
    <cellStyle name="Normalny 3 5 5 2 3" xfId="1302" xr:uid="{94FFC341-6428-4E69-A546-4816CFD4B6DF}"/>
    <cellStyle name="Normalny 3 5 5 3" xfId="538" xr:uid="{65B49143-3082-4F5D-8344-654F2AED4816}"/>
    <cellStyle name="Normalny 3 5 5 4" xfId="716" xr:uid="{EEAF4C3A-6582-4D9D-9E40-C5CC8B2B35F3}"/>
    <cellStyle name="Normalny 3 5 5 5" xfId="1098" xr:uid="{0C714C5E-4F4C-4C8D-995E-C3FC5EC4333F}"/>
    <cellStyle name="Normalny 3 5 6" xfId="149" xr:uid="{EB45B6D1-C947-4946-A2C8-0492E85070C8}"/>
    <cellStyle name="Normalny 3 5 6 2" xfId="378" xr:uid="{0B335DA7-7E3F-4C63-9C30-13B914360C5C}"/>
    <cellStyle name="Normalny 3 5 6 2 2" xfId="938" xr:uid="{E67DC6FC-68A0-4B21-80A4-AFC0EB9EDFBA}"/>
    <cellStyle name="Normalny 3 5 6 2 3" xfId="1320" xr:uid="{C997190B-BF6B-43E8-A894-C1AA4411820E}"/>
    <cellStyle name="Normalny 3 5 6 3" xfId="556" xr:uid="{6D35AF8C-7466-4369-A1A5-60750D906474}"/>
    <cellStyle name="Normalny 3 5 6 4" xfId="734" xr:uid="{04978D67-1B80-4DD2-AE0A-488779EC96A7}"/>
    <cellStyle name="Normalny 3 5 6 5" xfId="1116" xr:uid="{FF16BA2F-2433-4DE3-ACD4-4B6B18FC30BC}"/>
    <cellStyle name="Normalny 3 5 7" xfId="180" xr:uid="{17249FA0-B665-4529-8A5F-F116BDCD06B4}"/>
    <cellStyle name="Normalny 3 5 7 2" xfId="409" xr:uid="{9AD7289A-0FFA-4381-86EF-DBBD378E80C1}"/>
    <cellStyle name="Normalny 3 5 7 2 2" xfId="969" xr:uid="{3054CEEA-DB34-4B7F-8151-00024534D57F}"/>
    <cellStyle name="Normalny 3 5 7 2 3" xfId="1351" xr:uid="{0A322465-D44A-428A-BE07-18AB74910D5E}"/>
    <cellStyle name="Normalny 3 5 7 3" xfId="587" xr:uid="{A23594FD-AEEF-43F4-A8F8-9ABDABBBA1DD}"/>
    <cellStyle name="Normalny 3 5 7 4" xfId="765" xr:uid="{C0571DF8-639F-4328-B214-E8CAB34CCBF8}"/>
    <cellStyle name="Normalny 3 5 7 5" xfId="1147" xr:uid="{C0D14387-73D9-4CFA-85D9-FAE43B348CF5}"/>
    <cellStyle name="Normalny 3 5 8" xfId="198" xr:uid="{89E38E25-B680-4A3A-BE83-9944D9ED7383}"/>
    <cellStyle name="Normalny 3 5 8 2" xfId="427" xr:uid="{DDB2293E-9C61-4B44-87A4-A81ABA77B4A5}"/>
    <cellStyle name="Normalny 3 5 8 2 2" xfId="987" xr:uid="{F17E51D8-38CB-4B83-81DA-D0B5CCECDE4F}"/>
    <cellStyle name="Normalny 3 5 8 2 3" xfId="1369" xr:uid="{1B2AAD53-B55B-4225-A724-61EAC0F77E08}"/>
    <cellStyle name="Normalny 3 5 8 3" xfId="605" xr:uid="{9C43D287-19EB-434B-A3B2-3554AA553C0E}"/>
    <cellStyle name="Normalny 3 5 8 4" xfId="783" xr:uid="{5E622501-CA55-41CF-AE90-E461A034A810}"/>
    <cellStyle name="Normalny 3 5 8 5" xfId="1165" xr:uid="{6854780B-2F7D-491C-9A8C-A1021CC44FEC}"/>
    <cellStyle name="Normalny 3 5 9" xfId="217" xr:uid="{38EDB2F3-102E-4913-8C53-C910575C2578}"/>
    <cellStyle name="Normalny 3 6" xfId="45" xr:uid="{76A60144-1B32-4358-8E89-DEFA2725D3C6}"/>
    <cellStyle name="Normalny 3 6 10" xfId="639" xr:uid="{907C4573-9DF8-4291-A8FC-BA2C32547C08}"/>
    <cellStyle name="Normalny 3 6 11" xfId="1021" xr:uid="{C0D02AC9-C3B1-4598-BD05-7B7B532D88DA}"/>
    <cellStyle name="Normalny 3 6 2" xfId="63" xr:uid="{F12CAAC0-D580-4CF9-8E02-B06C0105062B}"/>
    <cellStyle name="Normalny 3 6 2 2" xfId="122" xr:uid="{8D144F54-A0E4-4CAB-9459-3BACC0B45D04}"/>
    <cellStyle name="Normalny 3 6 2 2 2" xfId="351" xr:uid="{B6BE7F2B-6FFE-4149-BCA6-87CD1E9B111A}"/>
    <cellStyle name="Normalny 3 6 2 2 2 2" xfId="911" xr:uid="{5E451279-9086-4C42-83B1-7310E7572CC2}"/>
    <cellStyle name="Normalny 3 6 2 2 2 3" xfId="1293" xr:uid="{0B61CD60-4E3D-4A77-BEA2-2FF2EFD5D791}"/>
    <cellStyle name="Normalny 3 6 2 2 3" xfId="529" xr:uid="{27D3FE25-7696-4C74-8CA3-5D2DC1C59AA9}"/>
    <cellStyle name="Normalny 3 6 2 2 4" xfId="707" xr:uid="{35C235CE-C6D8-4C66-A709-7053468410CC}"/>
    <cellStyle name="Normalny 3 6 2 2 5" xfId="1089" xr:uid="{E95FF79E-90CE-4608-B8F8-5A541EFDCBE2}"/>
    <cellStyle name="Normalny 3 6 2 3" xfId="301" xr:uid="{A2CC428D-DAC4-437D-8214-9FCF6F790E85}"/>
    <cellStyle name="Normalny 3 6 2 3 2" xfId="861" xr:uid="{E719C5E2-4F70-4144-9AAD-618638379169}"/>
    <cellStyle name="Normalny 3 6 2 3 3" xfId="1243" xr:uid="{1036BC3C-520F-4153-8478-8469092B9235}"/>
    <cellStyle name="Normalny 3 6 2 4" xfId="479" xr:uid="{DBC5D122-2F30-4785-93CE-46ECFE01E22C}"/>
    <cellStyle name="Normalny 3 6 2 5" xfId="657" xr:uid="{94F76EE4-3C83-4E81-A579-CFB2EB7D2149}"/>
    <cellStyle name="Normalny 3 6 2 6" xfId="1039" xr:uid="{45FFDA61-CEB2-4F38-8FD2-3F92C709A567}"/>
    <cellStyle name="Normalny 3 6 3" xfId="97" xr:uid="{7CE85190-20D0-4812-A37C-15E3FBFC8C71}"/>
    <cellStyle name="Normalny 3 6 3 2" xfId="332" xr:uid="{A7EDDC11-83C9-4464-B260-F02725E5BA21}"/>
    <cellStyle name="Normalny 3 6 3 2 2" xfId="892" xr:uid="{DEAA93EF-ADE2-4095-8E77-8C6D8AB938B9}"/>
    <cellStyle name="Normalny 3 6 3 2 3" xfId="1274" xr:uid="{C47ED5DC-63A8-4CDB-AE83-569D75C87D3B}"/>
    <cellStyle name="Normalny 3 6 3 3" xfId="510" xr:uid="{B2098689-8332-45CC-9503-2622878F9D93}"/>
    <cellStyle name="Normalny 3 6 3 4" xfId="688" xr:uid="{36F07A9B-4FB7-42A4-B79C-0B486D02BF05}"/>
    <cellStyle name="Normalny 3 6 3 5" xfId="1070" xr:uid="{3F6CDD8F-1343-4833-8B60-1D85362AA8A2}"/>
    <cellStyle name="Normalny 3 6 4" xfId="139" xr:uid="{47957474-AB02-4002-83C6-03453BA3F733}"/>
    <cellStyle name="Normalny 3 6 4 2" xfId="368" xr:uid="{F8F43AFB-E195-4F92-BC4C-F9F8B2D42D5E}"/>
    <cellStyle name="Normalny 3 6 4 2 2" xfId="928" xr:uid="{AD2AE544-5BD0-4C6B-9478-12335CBD36CD}"/>
    <cellStyle name="Normalny 3 6 4 2 3" xfId="1310" xr:uid="{7109F904-182F-4692-9846-08BB6D16C65C}"/>
    <cellStyle name="Normalny 3 6 4 3" xfId="546" xr:uid="{C943BD17-4925-4358-AEBC-EC8F67079BDD}"/>
    <cellStyle name="Normalny 3 6 4 4" xfId="724" xr:uid="{9702884E-F715-4CFC-8147-C7CBB14A31E2}"/>
    <cellStyle name="Normalny 3 6 4 5" xfId="1106" xr:uid="{181ED222-D85C-4D56-9866-331D36561B55}"/>
    <cellStyle name="Normalny 3 6 5" xfId="170" xr:uid="{777C9035-7E6D-439C-B64B-6B8757650FA9}"/>
    <cellStyle name="Normalny 3 6 5 2" xfId="399" xr:uid="{493923F7-4297-470F-B473-3065E665D49A}"/>
    <cellStyle name="Normalny 3 6 5 2 2" xfId="959" xr:uid="{703E37AE-F23C-4C54-921E-3656CFDB8417}"/>
    <cellStyle name="Normalny 3 6 5 2 3" xfId="1341" xr:uid="{7469069B-6EA7-4503-9604-518FE111FE98}"/>
    <cellStyle name="Normalny 3 6 5 3" xfId="577" xr:uid="{6E332859-4E96-4359-8B51-59AC787CE739}"/>
    <cellStyle name="Normalny 3 6 5 4" xfId="755" xr:uid="{BFB1E4CC-08B0-491F-BB6A-B75F2D7DEF2F}"/>
    <cellStyle name="Normalny 3 6 5 5" xfId="1137" xr:uid="{E35A9A90-0543-4800-A7B8-DB3DA7D1CAC3}"/>
    <cellStyle name="Normalny 3 6 6" xfId="188" xr:uid="{F173A3E4-0FBD-4561-B6D6-8F43E8EF3F6E}"/>
    <cellStyle name="Normalny 3 6 6 2" xfId="417" xr:uid="{F02FDF11-FF85-4829-889F-BA70E17BBF2E}"/>
    <cellStyle name="Normalny 3 6 6 2 2" xfId="977" xr:uid="{77822F69-EBBF-4FE0-A91D-6407D937A4C8}"/>
    <cellStyle name="Normalny 3 6 6 2 3" xfId="1359" xr:uid="{12EE8BEA-5587-4CA2-9977-2A696D33F2FA}"/>
    <cellStyle name="Normalny 3 6 6 3" xfId="595" xr:uid="{F0574EAA-7610-40D3-958C-834D6AD9F5FE}"/>
    <cellStyle name="Normalny 3 6 6 4" xfId="773" xr:uid="{19CEC7B5-A4DB-4B1C-A84E-DAC5EFACE8E9}"/>
    <cellStyle name="Normalny 3 6 6 5" xfId="1155" xr:uid="{12081CA1-DCA8-4289-ACD9-26028D34EDB1}"/>
    <cellStyle name="Normalny 3 6 7" xfId="225" xr:uid="{AF10D74D-71AD-4C86-B549-CF5A74DAA857}"/>
    <cellStyle name="Normalny 3 6 8" xfId="283" xr:uid="{C70A1E3F-169B-457D-BCEA-F25218AA6943}"/>
    <cellStyle name="Normalny 3 6 8 2" xfId="843" xr:uid="{BFC8DB0A-C3EC-4376-8F31-6BC1538E118E}"/>
    <cellStyle name="Normalny 3 6 8 3" xfId="1225" xr:uid="{83C7F8F2-3D9A-429B-BA2A-1538861297B1}"/>
    <cellStyle name="Normalny 3 6 9" xfId="461" xr:uid="{95E984C3-02DF-41A3-AF74-8EA30BD108AF}"/>
    <cellStyle name="Normalny 3 7" xfId="31" xr:uid="{1262C518-87FD-4EA4-A934-EA03282EF18B}"/>
    <cellStyle name="Normalny 3 7 2" xfId="76" xr:uid="{2E23816A-7478-466A-9603-D8516566C05C}"/>
    <cellStyle name="Normalny 3 7 2 2" xfId="314" xr:uid="{D5225A5E-948C-4457-A15F-762CFF7C9129}"/>
    <cellStyle name="Normalny 3 7 2 2 2" xfId="874" xr:uid="{BB90C6A3-028E-4476-8347-33E5E020C085}"/>
    <cellStyle name="Normalny 3 7 2 2 3" xfId="1256" xr:uid="{316AE41E-5EAC-4AE4-99EB-E21AB31ADF2C}"/>
    <cellStyle name="Normalny 3 7 2 3" xfId="492" xr:uid="{CB4EE2B2-A3FF-4969-BC8A-541B9E34CEF2}"/>
    <cellStyle name="Normalny 3 7 2 4" xfId="670" xr:uid="{1F6831CA-C16B-4238-8673-08A8D6790D96}"/>
    <cellStyle name="Normalny 3 7 2 5" xfId="1052" xr:uid="{02DE8417-DC7F-431D-9AA3-40A4566D41BE}"/>
    <cellStyle name="Normalny 3 7 3" xfId="108" xr:uid="{CA119728-18F1-4089-8AEB-6A56AE02568D}"/>
    <cellStyle name="Normalny 3 7 3 2" xfId="337" xr:uid="{627ED975-E82A-4C26-9EC7-D483E0B1F8BC}"/>
    <cellStyle name="Normalny 3 7 3 2 2" xfId="897" xr:uid="{C70006D1-BA42-4217-9216-DA3EFAAB6A1D}"/>
    <cellStyle name="Normalny 3 7 3 2 3" xfId="1279" xr:uid="{20B2ACD5-197B-4C4F-9313-8FF24199C6BB}"/>
    <cellStyle name="Normalny 3 7 3 3" xfId="515" xr:uid="{63FAB2DF-7E4B-4665-A39E-E77B61015CC2}"/>
    <cellStyle name="Normalny 3 7 3 4" xfId="693" xr:uid="{3BDD4E96-67B9-4371-B61B-7C355F192123}"/>
    <cellStyle name="Normalny 3 7 3 5" xfId="1075" xr:uid="{F228EE86-E1F2-437D-A72B-285E861ECAD1}"/>
    <cellStyle name="Normalny 3 7 4" xfId="157" xr:uid="{E2BE00F2-A36A-4750-9D55-DD4071188100}"/>
    <cellStyle name="Normalny 3 7 4 2" xfId="386" xr:uid="{6DDAEEA1-C42A-4119-989B-E7E5DC821CBE}"/>
    <cellStyle name="Normalny 3 7 4 2 2" xfId="946" xr:uid="{126C2401-B11A-4A91-ABDF-6466802350AB}"/>
    <cellStyle name="Normalny 3 7 4 2 3" xfId="1328" xr:uid="{E503DB09-332F-4913-BF96-9588787E5011}"/>
    <cellStyle name="Normalny 3 7 4 3" xfId="564" xr:uid="{E8F69FA8-59C6-4A55-9651-C1A9DC033FCE}"/>
    <cellStyle name="Normalny 3 7 4 4" xfId="742" xr:uid="{0C17D754-0CF4-41CA-B3FC-7710045FA1F8}"/>
    <cellStyle name="Normalny 3 7 4 5" xfId="1124" xr:uid="{CDBC24DB-8E91-445D-BB51-C4103AA2CED7}"/>
    <cellStyle name="Normalny 3 7 5" xfId="270" xr:uid="{2F94F11B-9A30-4F25-81A3-B28DE43B3545}"/>
    <cellStyle name="Normalny 3 7 5 2" xfId="830" xr:uid="{9F94DBD5-6224-4D99-A7AF-8CBEEEB19B26}"/>
    <cellStyle name="Normalny 3 7 5 3" xfId="1212" xr:uid="{B358344B-C83A-4C84-AF56-ED685C8C5653}"/>
    <cellStyle name="Normalny 3 7 6" xfId="448" xr:uid="{7F7B43F4-FB39-4E77-9154-82F1CC8A6EE8}"/>
    <cellStyle name="Normalny 3 7 7" xfId="626" xr:uid="{F8C70DA1-75C1-4DB6-A227-41D034FE379F}"/>
    <cellStyle name="Normalny 3 7 8" xfId="1008" xr:uid="{8D26922B-C47A-4B4B-B9D7-B3F498285E77}"/>
    <cellStyle name="Normalny 3 8" xfId="48" xr:uid="{1A1E2DF3-D00F-4BDD-B75C-DB445C623F3C}"/>
    <cellStyle name="Normalny 3 8 2" xfId="286" xr:uid="{6FD1C210-8FCD-46E3-BEBD-0E617AEA3968}"/>
    <cellStyle name="Normalny 3 8 2 2" xfId="846" xr:uid="{273C2C90-5D2B-4329-806D-FDCC19CF59C8}"/>
    <cellStyle name="Normalny 3 8 2 3" xfId="1228" xr:uid="{35987284-50A8-4CE8-8C3C-E5F2A119468E}"/>
    <cellStyle name="Normalny 3 8 3" xfId="464" xr:uid="{E14D2D35-1F05-4271-9250-6626E0BE3D76}"/>
    <cellStyle name="Normalny 3 8 4" xfId="642" xr:uid="{1AE150DD-7225-4D80-A884-EF4B0B61C1F7}"/>
    <cellStyle name="Normalny 3 8 5" xfId="1024" xr:uid="{6AD6FF9C-23C4-45C7-A418-BDC3031E605D}"/>
    <cellStyle name="Normalny 3 9" xfId="82" xr:uid="{396ED26F-C3F5-4E21-A324-E9789A8B62E8}"/>
    <cellStyle name="Normalny 3 9 2" xfId="317" xr:uid="{4C1E5B62-313E-43E4-B2EE-BAD8C3B31E91}"/>
    <cellStyle name="Normalny 3 9 2 2" xfId="877" xr:uid="{B27BE0FA-73E6-4845-A793-17B65E1F9821}"/>
    <cellStyle name="Normalny 3 9 2 3" xfId="1259" xr:uid="{E0F55B00-3D79-466A-A522-3C1B654C34BD}"/>
    <cellStyle name="Normalny 3 9 3" xfId="495" xr:uid="{01AE269B-D827-4679-A1EE-5F63B9E97529}"/>
    <cellStyle name="Normalny 3 9 4" xfId="673" xr:uid="{BC3211AB-0B83-403B-A1A9-0217AEEBA96C}"/>
    <cellStyle name="Normalny 3 9 5" xfId="1055" xr:uid="{A9EDAA9B-BEFE-4B90-84AC-832429FF7E51}"/>
    <cellStyle name="Normalny 4" xfId="8" xr:uid="{00000000-0005-0000-0000-000012000000}"/>
    <cellStyle name="Normalny 4 10" xfId="192" xr:uid="{9D3ABBA2-FC94-46A8-8821-DE1AC15DB801}"/>
    <cellStyle name="Normalny 4 10 2" xfId="421" xr:uid="{E69BF82E-3156-43D4-8952-39087157E3E2}"/>
    <cellStyle name="Normalny 4 10 2 2" xfId="981" xr:uid="{E1E2D83C-578D-46ED-93DA-72A33AE771B9}"/>
    <cellStyle name="Normalny 4 10 2 3" xfId="1363" xr:uid="{500B3028-5CE5-43FA-8869-0C591CB2B854}"/>
    <cellStyle name="Normalny 4 10 3" xfId="599" xr:uid="{BACBC739-D9C6-481C-83B0-2C68A848B17F}"/>
    <cellStyle name="Normalny 4 10 4" xfId="777" xr:uid="{169B47F1-FA58-41EB-9A4B-B46C9DCD55C6}"/>
    <cellStyle name="Normalny 4 10 5" xfId="1159" xr:uid="{3A158F4B-54BD-4A5B-AC29-F7D1E74AE664}"/>
    <cellStyle name="Normalny 4 11" xfId="218" xr:uid="{56A28963-A3AB-41F3-8968-AE0D26FC5E19}"/>
    <cellStyle name="Normalny 4 12" xfId="256" xr:uid="{5CF57D1F-ACB1-4F54-BFAC-391B4CC5AF24}"/>
    <cellStyle name="Normalny 4 12 2" xfId="816" xr:uid="{2B6B4558-32E5-44E3-BDC4-43A5AA680C09}"/>
    <cellStyle name="Normalny 4 12 3" xfId="1198" xr:uid="{CE469EFB-6487-47E6-8911-8FD820B077E8}"/>
    <cellStyle name="Normalny 4 13" xfId="434" xr:uid="{E04C5ED5-2448-4D5E-A938-F9E031AF6220}"/>
    <cellStyle name="Normalny 4 14" xfId="612" xr:uid="{CAC43A2C-E583-476B-9CA0-627FEB7F7240}"/>
    <cellStyle name="Normalny 4 15" xfId="994" xr:uid="{87093C3D-5962-4252-AEAA-89F719532614}"/>
    <cellStyle name="Normalny 4 2" xfId="18" xr:uid="{00000000-0005-0000-0000-000013000000}"/>
    <cellStyle name="Normalny 4 2 10" xfId="260" xr:uid="{5478A956-9AA0-46B3-850D-2E12165B81ED}"/>
    <cellStyle name="Normalny 4 2 10 2" xfId="820" xr:uid="{9A434741-DB55-4626-9B03-7F469991A48F}"/>
    <cellStyle name="Normalny 4 2 10 3" xfId="1202" xr:uid="{042C0158-5B53-4175-8426-ACC4ACA873AD}"/>
    <cellStyle name="Normalny 4 2 11" xfId="438" xr:uid="{4475A6A7-4D6B-441C-9357-A561D2C14340}"/>
    <cellStyle name="Normalny 4 2 12" xfId="616" xr:uid="{BA9C4576-3D04-4073-994E-44BCDCBF8747}"/>
    <cellStyle name="Normalny 4 2 13" xfId="998" xr:uid="{B48AA153-824C-43F8-9AA5-ECE8D26E1134}"/>
    <cellStyle name="Normalny 4 2 2" xfId="34" xr:uid="{2C942DAA-8152-4DBB-A509-F63A8E5632C1}"/>
    <cellStyle name="Normalny 4 2 2 2" xfId="68" xr:uid="{758E2018-62FB-4FBA-9340-4FFC9F9FA056}"/>
    <cellStyle name="Normalny 4 2 2 2 2" xfId="306" xr:uid="{25200F70-7FF0-4190-AAD5-0B97135B9EBC}"/>
    <cellStyle name="Normalny 4 2 2 2 2 2" xfId="866" xr:uid="{A3F4381C-C7FD-433E-8977-DE58374AD580}"/>
    <cellStyle name="Normalny 4 2 2 2 2 3" xfId="1248" xr:uid="{72053815-4165-4AA9-A53A-C3B955067DD8}"/>
    <cellStyle name="Normalny 4 2 2 2 3" xfId="484" xr:uid="{C28E0C4F-4A90-495E-B2A6-D9A544CD118A}"/>
    <cellStyle name="Normalny 4 2 2 2 4" xfId="662" xr:uid="{55810314-B7DC-408C-BAC2-16D9A3B369D1}"/>
    <cellStyle name="Normalny 4 2 2 2 5" xfId="1044" xr:uid="{BEFE1190-9679-493D-B4D5-B25D749A07AE}"/>
    <cellStyle name="Normalny 4 2 2 3" xfId="113" xr:uid="{38BEFB16-9EFB-4FC8-9E01-022B3CEF27EB}"/>
    <cellStyle name="Normalny 4 2 2 3 2" xfId="342" xr:uid="{4E314347-02C2-4780-B74A-C57F14A5D318}"/>
    <cellStyle name="Normalny 4 2 2 3 2 2" xfId="902" xr:uid="{BCB5D647-94AB-4F22-884A-D83E09B907B3}"/>
    <cellStyle name="Normalny 4 2 2 3 2 3" xfId="1284" xr:uid="{4DE30305-04ED-4529-A04A-0BCBE6726C85}"/>
    <cellStyle name="Normalny 4 2 2 3 3" xfId="520" xr:uid="{92050F18-FBB2-4EF9-9BF8-68D65D58D635}"/>
    <cellStyle name="Normalny 4 2 2 3 4" xfId="698" xr:uid="{F836E7DE-8620-459F-A42A-29C323B29F37}"/>
    <cellStyle name="Normalny 4 2 2 3 5" xfId="1080" xr:uid="{601C1C35-93F6-4820-A520-07AF3BFB750D}"/>
    <cellStyle name="Normalny 4 2 2 4" xfId="160" xr:uid="{0C96A9F3-4844-486B-A8D2-C6D0C8AEA6F3}"/>
    <cellStyle name="Normalny 4 2 2 4 2" xfId="389" xr:uid="{28D37DAA-9354-4ADC-B07E-63DE6AA15BB3}"/>
    <cellStyle name="Normalny 4 2 2 4 2 2" xfId="949" xr:uid="{D77B46A3-2F86-4C2A-AD1A-3149661414DF}"/>
    <cellStyle name="Normalny 4 2 2 4 2 3" xfId="1331" xr:uid="{04A40608-B8E1-48F8-83AB-D0004E12901C}"/>
    <cellStyle name="Normalny 4 2 2 4 3" xfId="567" xr:uid="{4CF17F86-5A33-44A2-BF3D-D6A50D0C7722}"/>
    <cellStyle name="Normalny 4 2 2 4 4" xfId="745" xr:uid="{466C19A9-22B9-4CE8-A129-76E8E8EF1432}"/>
    <cellStyle name="Normalny 4 2 2 4 5" xfId="1127" xr:uid="{B3A9D933-3B17-40F1-A59A-0CB88FC31630}"/>
    <cellStyle name="Normalny 4 2 2 5" xfId="273" xr:uid="{F976CA7D-13C9-4475-98C7-5F1B9A0839D1}"/>
    <cellStyle name="Normalny 4 2 2 5 2" xfId="833" xr:uid="{D8088320-F0AB-4975-985B-0044D9F219A3}"/>
    <cellStyle name="Normalny 4 2 2 5 3" xfId="1215" xr:uid="{05FE4E03-CCF9-4FBB-BCDB-0D26FEB55C62}"/>
    <cellStyle name="Normalny 4 2 2 6" xfId="451" xr:uid="{0E08FC18-A8C8-4FF4-90DE-28AABAA22354}"/>
    <cellStyle name="Normalny 4 2 2 7" xfId="629" xr:uid="{ABA58F45-BF0B-4280-B025-41499DA2F89D}"/>
    <cellStyle name="Normalny 4 2 2 8" xfId="1011" xr:uid="{5575C9D0-8514-41EB-BFAD-5D75B0DE1896}"/>
    <cellStyle name="Normalny 4 2 3" xfId="53" xr:uid="{49FA4BEC-276E-4756-8954-623465B20861}"/>
    <cellStyle name="Normalny 4 2 3 2" xfId="291" xr:uid="{7BB00929-E89E-4B2E-9B8E-473FD498A9AE}"/>
    <cellStyle name="Normalny 4 2 3 2 2" xfId="851" xr:uid="{CB77AEA2-C418-4D17-8CA9-6B09056B894D}"/>
    <cellStyle name="Normalny 4 2 3 2 3" xfId="1233" xr:uid="{0EBA765C-A857-44D6-B6BD-E85E073E0ADD}"/>
    <cellStyle name="Normalny 4 2 3 3" xfId="469" xr:uid="{7AEAFD1C-77B0-4760-A45D-0446B2F7FD60}"/>
    <cellStyle name="Normalny 4 2 3 4" xfId="647" xr:uid="{2906994C-1477-44B1-B01C-E7F96A65B2B1}"/>
    <cellStyle name="Normalny 4 2 3 5" xfId="1029" xr:uid="{E0C37335-E67C-4418-BA59-7989A3FA8074}"/>
    <cellStyle name="Normalny 4 2 4" xfId="87" xr:uid="{C41B1AE0-4BE3-42AD-A0A1-6BF9FC9DBB46}"/>
    <cellStyle name="Normalny 4 2 4 2" xfId="322" xr:uid="{808DCF69-9D34-4ED3-BCE0-A0622E136F32}"/>
    <cellStyle name="Normalny 4 2 4 2 2" xfId="882" xr:uid="{03C25F2B-63F5-4992-A459-FEFA8016026A}"/>
    <cellStyle name="Normalny 4 2 4 2 3" xfId="1264" xr:uid="{FCED20BD-68F6-4A6A-9E3E-91FAC1BD8829}"/>
    <cellStyle name="Normalny 4 2 4 3" xfId="500" xr:uid="{95F0217E-9B6E-41F6-8ED5-0ED5D1078173}"/>
    <cellStyle name="Normalny 4 2 4 4" xfId="678" xr:uid="{87E2A6ED-1D4F-4855-B986-4E742849DB12}"/>
    <cellStyle name="Normalny 4 2 4 5" xfId="1060" xr:uid="{1E6D87C2-3996-450B-8914-4FA9EE3DEEF5}"/>
    <cellStyle name="Normalny 4 2 5" xfId="129" xr:uid="{C65722CF-8221-42D5-94B1-E5DB5636A1C0}"/>
    <cellStyle name="Normalny 4 2 5 2" xfId="358" xr:uid="{09EF2292-40C8-4A01-AD9A-CF93600AD631}"/>
    <cellStyle name="Normalny 4 2 5 2 2" xfId="918" xr:uid="{902828BA-96A1-462A-9D25-F14E0570FE5C}"/>
    <cellStyle name="Normalny 4 2 5 2 3" xfId="1300" xr:uid="{71C39D90-EA0A-4009-985B-550225691072}"/>
    <cellStyle name="Normalny 4 2 5 3" xfId="536" xr:uid="{41AAE073-07A8-433D-A1FC-617AEE674E88}"/>
    <cellStyle name="Normalny 4 2 5 4" xfId="714" xr:uid="{04035ED7-64D5-49FE-B41F-CAE795ED20E4}"/>
    <cellStyle name="Normalny 4 2 5 5" xfId="1096" xr:uid="{4395F16B-4EEA-4F1D-B7B2-BF0822855BE6}"/>
    <cellStyle name="Normalny 4 2 6" xfId="147" xr:uid="{2B81090D-42DC-48DD-A7C6-B84893CBD683}"/>
    <cellStyle name="Normalny 4 2 6 2" xfId="376" xr:uid="{93900184-D82D-4FC8-9E07-231307A7E4DF}"/>
    <cellStyle name="Normalny 4 2 6 2 2" xfId="936" xr:uid="{48A7CFF0-7E03-4F34-9631-E62BCD8A5D81}"/>
    <cellStyle name="Normalny 4 2 6 2 3" xfId="1318" xr:uid="{4EA49741-523E-45AD-8374-254568E2E966}"/>
    <cellStyle name="Normalny 4 2 6 3" xfId="554" xr:uid="{294229D7-974C-43B8-8D2E-6C99055FEE1F}"/>
    <cellStyle name="Normalny 4 2 6 4" xfId="732" xr:uid="{4DFC74D0-A7E5-4AC6-BA93-289A011E5B46}"/>
    <cellStyle name="Normalny 4 2 6 5" xfId="1114" xr:uid="{42992538-0E89-45E4-BAC2-B0D385877BBF}"/>
    <cellStyle name="Normalny 4 2 7" xfId="178" xr:uid="{EA6A4DDC-4AB4-48E7-8426-C1A50BE0F8F0}"/>
    <cellStyle name="Normalny 4 2 7 2" xfId="407" xr:uid="{94CFBFA9-F198-4AC8-88D9-36FE6743AB06}"/>
    <cellStyle name="Normalny 4 2 7 2 2" xfId="967" xr:uid="{5ED46B11-7D21-442D-A440-0EBFFFE85353}"/>
    <cellStyle name="Normalny 4 2 7 2 3" xfId="1349" xr:uid="{11A31B03-6089-4867-B677-C53CC5C81E7E}"/>
    <cellStyle name="Normalny 4 2 7 3" xfId="585" xr:uid="{AE36AD28-CC64-4FB4-9B7C-18617BA2E922}"/>
    <cellStyle name="Normalny 4 2 7 4" xfId="763" xr:uid="{2159CD95-4C5A-4677-87DE-F0961B0A0BCE}"/>
    <cellStyle name="Normalny 4 2 7 5" xfId="1145" xr:uid="{ACAA1596-F42A-4EB9-A7B1-0CD533ACB15E}"/>
    <cellStyle name="Normalny 4 2 8" xfId="196" xr:uid="{03322027-9205-45D2-966E-944A9DE325F1}"/>
    <cellStyle name="Normalny 4 2 8 2" xfId="425" xr:uid="{3FDC9BA8-39E6-4487-85CD-9C371C9E19D5}"/>
    <cellStyle name="Normalny 4 2 8 2 2" xfId="985" xr:uid="{F463C561-A0E1-4EEF-B43A-3AEDCF805790}"/>
    <cellStyle name="Normalny 4 2 8 2 3" xfId="1367" xr:uid="{C188F1CA-6917-418D-9A86-B1C9AD1B5038}"/>
    <cellStyle name="Normalny 4 2 8 3" xfId="603" xr:uid="{AB879413-176D-44F3-9699-5BB2ABA6AC62}"/>
    <cellStyle name="Normalny 4 2 8 4" xfId="781" xr:uid="{5B4A3608-5F7D-4DA6-9A43-389B3F28AC67}"/>
    <cellStyle name="Normalny 4 2 8 5" xfId="1163" xr:uid="{A9016C96-8015-48BB-844E-40FB3FA10EEF}"/>
    <cellStyle name="Normalny 4 2 9" xfId="238" xr:uid="{3EC2507F-42BA-4348-AC0F-C718658BE9E5}"/>
    <cellStyle name="Normalny 4 2 9 2" xfId="800" xr:uid="{6E343079-95F7-46CA-9E43-D36F8661A4E6}"/>
    <cellStyle name="Normalny 4 2 9 3" xfId="1182" xr:uid="{8350DE8B-AB0A-4B96-9C10-2D0F2B5E49F6}"/>
    <cellStyle name="Normalny 4 3" xfId="46" xr:uid="{51F7212F-20D0-4700-A2C8-28EBB6ABCB1B}"/>
    <cellStyle name="Normalny 4 3 10" xfId="640" xr:uid="{48A2CF58-8692-4A70-A99C-998F07C664CD}"/>
    <cellStyle name="Normalny 4 3 11" xfId="1022" xr:uid="{E95754A9-361E-4999-839A-59D4AA332F94}"/>
    <cellStyle name="Normalny 4 3 2" xfId="64" xr:uid="{46339E8D-05C8-4730-8F37-285E89E5E201}"/>
    <cellStyle name="Normalny 4 3 2 2" xfId="302" xr:uid="{BAA298EF-A261-4084-90C6-B965DD13CE66}"/>
    <cellStyle name="Normalny 4 3 2 2 2" xfId="862" xr:uid="{2A3177BB-9FC0-44F5-87EA-E2AAFE592080}"/>
    <cellStyle name="Normalny 4 3 2 2 3" xfId="1244" xr:uid="{F7CF6E7E-FCA8-4FF0-9C98-0899604E33FC}"/>
    <cellStyle name="Normalny 4 3 2 3" xfId="480" xr:uid="{D5671D2E-B404-4231-AB02-692FB37730C7}"/>
    <cellStyle name="Normalny 4 3 2 4" xfId="658" xr:uid="{804C5CFE-765A-432B-B4D3-06EF2EBD90FE}"/>
    <cellStyle name="Normalny 4 3 2 5" xfId="1040" xr:uid="{3869B2E0-4894-47B9-BC91-DBE3307AFCE2}"/>
    <cellStyle name="Normalny 4 3 3" xfId="98" xr:uid="{E117C8EC-6C54-4383-AC29-1118AB8A766D}"/>
    <cellStyle name="Normalny 4 3 3 2" xfId="333" xr:uid="{7CED3C3A-CCA6-42E0-8349-2658485F80D4}"/>
    <cellStyle name="Normalny 4 3 3 2 2" xfId="893" xr:uid="{7AFEBF7E-D444-4FA6-AE9A-C1C6D528DC44}"/>
    <cellStyle name="Normalny 4 3 3 2 3" xfId="1275" xr:uid="{B4390689-8AD8-4EF7-8221-B10D2A4D0B8E}"/>
    <cellStyle name="Normalny 4 3 3 3" xfId="511" xr:uid="{52FB06E2-CCF2-44A5-A651-2CB77644CDB1}"/>
    <cellStyle name="Normalny 4 3 3 4" xfId="689" xr:uid="{BAB17A7A-6C7D-45D4-B0C8-CDDD40E49CE7}"/>
    <cellStyle name="Normalny 4 3 3 5" xfId="1071" xr:uid="{329B5F9A-3B8D-404E-84E2-08265ABCAB48}"/>
    <cellStyle name="Normalny 4 3 4" xfId="140" xr:uid="{0CAC81F6-AC07-456B-885C-96635C6198BC}"/>
    <cellStyle name="Normalny 4 3 4 2" xfId="369" xr:uid="{2DF1D1ED-57F4-48C6-BA12-B7A75AD93B2F}"/>
    <cellStyle name="Normalny 4 3 4 2 2" xfId="929" xr:uid="{5E231510-8731-4E1C-A1AC-7F2A13723BF3}"/>
    <cellStyle name="Normalny 4 3 4 2 3" xfId="1311" xr:uid="{1E2DC94F-ADD4-445C-ABD3-7ACFA382DD11}"/>
    <cellStyle name="Normalny 4 3 4 3" xfId="547" xr:uid="{A305DD73-E90E-4DA6-A1C6-42D7D82CC49C}"/>
    <cellStyle name="Normalny 4 3 4 4" xfId="725" xr:uid="{4E44A852-6DF7-4507-869A-2EA4C8FB93CD}"/>
    <cellStyle name="Normalny 4 3 4 5" xfId="1107" xr:uid="{5853A9D8-F79C-46E9-A094-FC1FCE516811}"/>
    <cellStyle name="Normalny 4 3 5" xfId="171" xr:uid="{5C66477D-352A-4BE3-A0B1-839331F0ABC7}"/>
    <cellStyle name="Normalny 4 3 5 2" xfId="400" xr:uid="{AEBC92D2-5F0F-44E4-9A5A-151BC86EBA43}"/>
    <cellStyle name="Normalny 4 3 5 2 2" xfId="960" xr:uid="{188C296C-D220-4CC2-ABCE-301C84DBA698}"/>
    <cellStyle name="Normalny 4 3 5 2 3" xfId="1342" xr:uid="{EE20F0FE-803E-4DC9-B7AA-D845115FC1D8}"/>
    <cellStyle name="Normalny 4 3 5 3" xfId="578" xr:uid="{42376F19-2D24-4866-90F9-1343E679DC2C}"/>
    <cellStyle name="Normalny 4 3 5 4" xfId="756" xr:uid="{757AD463-8A84-4BAE-AFA5-4C9461A3DE83}"/>
    <cellStyle name="Normalny 4 3 5 5" xfId="1138" xr:uid="{FE0141F2-DB14-4DB0-8D25-4C531846BD86}"/>
    <cellStyle name="Normalny 4 3 6" xfId="189" xr:uid="{E8AE3E57-4E96-4E88-9F2D-E48F2FF6D094}"/>
    <cellStyle name="Normalny 4 3 6 2" xfId="418" xr:uid="{4F333A99-6933-416F-AEA0-B435F32F58DC}"/>
    <cellStyle name="Normalny 4 3 6 2 2" xfId="978" xr:uid="{0AFC1343-2937-498F-B082-BF9824E56D8A}"/>
    <cellStyle name="Normalny 4 3 6 2 3" xfId="1360" xr:uid="{0E1F4AF1-1567-484B-A462-946F4762A9AC}"/>
    <cellStyle name="Normalny 4 3 6 3" xfId="596" xr:uid="{712FCBBB-64A3-4812-A897-921DC29C4636}"/>
    <cellStyle name="Normalny 4 3 6 4" xfId="774" xr:uid="{C32E316C-1E58-4D68-A61A-85130D855E61}"/>
    <cellStyle name="Normalny 4 3 6 5" xfId="1156" xr:uid="{AE08625D-6145-428F-BD68-E373EF29E51C}"/>
    <cellStyle name="Normalny 4 3 7" xfId="253" xr:uid="{7F87FB7D-80DD-4793-91EF-7DD954B8787B}"/>
    <cellStyle name="Normalny 4 3 7 2" xfId="813" xr:uid="{CDF2D688-2453-4E31-9225-7E7D031BBD90}"/>
    <cellStyle name="Normalny 4 3 7 3" xfId="1195" xr:uid="{1BB8F9A7-69A1-4283-B090-48F5CB11CC72}"/>
    <cellStyle name="Normalny 4 3 8" xfId="284" xr:uid="{7880944E-D711-4C0A-B848-14DB8E97807B}"/>
    <cellStyle name="Normalny 4 3 8 2" xfId="844" xr:uid="{66B6305C-B847-4901-A01B-87FCC77E447D}"/>
    <cellStyle name="Normalny 4 3 8 3" xfId="1226" xr:uid="{A1C66038-A843-4F10-991A-7828B57CB733}"/>
    <cellStyle name="Normalny 4 3 9" xfId="462" xr:uid="{8209C7EA-4117-4785-816F-26A5E082B3DD}"/>
    <cellStyle name="Normalny 4 4" xfId="32" xr:uid="{2C5062DE-F41F-4D94-882E-33C2E06AD4A0}"/>
    <cellStyle name="Normalny 4 4 2" xfId="77" xr:uid="{EB98E551-8F05-4D33-A74E-8FFF179B041A}"/>
    <cellStyle name="Normalny 4 4 2 2" xfId="315" xr:uid="{FD23242A-C432-4B47-81FE-DF8B2ABAA46A}"/>
    <cellStyle name="Normalny 4 4 2 2 2" xfId="875" xr:uid="{96F289B5-48F7-4ADE-9A3B-4BB317DD0012}"/>
    <cellStyle name="Normalny 4 4 2 2 3" xfId="1257" xr:uid="{BF56411B-6E8D-4E8D-9F8D-C43B390E2BC9}"/>
    <cellStyle name="Normalny 4 4 2 3" xfId="493" xr:uid="{BA3C3AE7-9264-439E-94BC-D84EAF78E1BD}"/>
    <cellStyle name="Normalny 4 4 2 4" xfId="671" xr:uid="{B980A81A-C04F-4101-986F-D4F16DE934FA}"/>
    <cellStyle name="Normalny 4 4 2 5" xfId="1053" xr:uid="{2E6619ED-E77B-472C-B9AE-ACFE298D2D22}"/>
    <cellStyle name="Normalny 4 4 3" xfId="109" xr:uid="{BDE08723-051C-41D5-8387-02F8408582A8}"/>
    <cellStyle name="Normalny 4 4 3 2" xfId="338" xr:uid="{106B0D53-A6BF-4D26-9A32-DA35E6650B66}"/>
    <cellStyle name="Normalny 4 4 3 2 2" xfId="898" xr:uid="{8D2D5E70-E537-4CE6-9A18-2E5AD2D61205}"/>
    <cellStyle name="Normalny 4 4 3 2 3" xfId="1280" xr:uid="{9E862956-D306-4F3A-B659-A65C0D22B094}"/>
    <cellStyle name="Normalny 4 4 3 3" xfId="516" xr:uid="{A54B2EBF-D497-4D90-A241-0AD0BD5E5F67}"/>
    <cellStyle name="Normalny 4 4 3 4" xfId="694" xr:uid="{8A551F6C-7A3A-4F68-8081-1539FE7A0A6A}"/>
    <cellStyle name="Normalny 4 4 3 5" xfId="1076" xr:uid="{B1070F5A-0C38-4749-8E6A-593853EBAED4}"/>
    <cellStyle name="Normalny 4 4 4" xfId="158" xr:uid="{C77BDBC8-FF83-444B-9D2E-BCD9293A43B1}"/>
    <cellStyle name="Normalny 4 4 4 2" xfId="387" xr:uid="{903DF914-ED6E-40D5-8B8F-1BF518869BB3}"/>
    <cellStyle name="Normalny 4 4 4 2 2" xfId="947" xr:uid="{A2B6841E-7A6C-4029-8A1F-C8ACAA0272F9}"/>
    <cellStyle name="Normalny 4 4 4 2 3" xfId="1329" xr:uid="{A7B7F604-AFFF-4B47-8A77-73482EA67E97}"/>
    <cellStyle name="Normalny 4 4 4 3" xfId="565" xr:uid="{A84B53BD-C113-4623-B7AA-3BB3039679FF}"/>
    <cellStyle name="Normalny 4 4 4 4" xfId="743" xr:uid="{3BB498A6-EBD3-4B76-87C8-29649BB51CA1}"/>
    <cellStyle name="Normalny 4 4 4 5" xfId="1125" xr:uid="{8E9C0A20-B9FF-4ABE-8332-AF7A16E5ED14}"/>
    <cellStyle name="Normalny 4 4 5" xfId="271" xr:uid="{7ADFB02E-512F-48E1-8049-418A94CC31A6}"/>
    <cellStyle name="Normalny 4 4 5 2" xfId="831" xr:uid="{034CCCAD-C8F6-430E-A5FF-A807797DE370}"/>
    <cellStyle name="Normalny 4 4 5 3" xfId="1213" xr:uid="{D7A44749-6ECB-48C0-9847-CA3383A1E2D3}"/>
    <cellStyle name="Normalny 4 4 6" xfId="449" xr:uid="{D0FC7EAB-1966-4B4F-9FA0-7AD232D88FA7}"/>
    <cellStyle name="Normalny 4 4 7" xfId="627" xr:uid="{5487B4B4-C325-4BF1-A3CF-71AADF644968}"/>
    <cellStyle name="Normalny 4 4 8" xfId="1009" xr:uid="{7841D675-D0D2-4E97-8538-83E158B053D2}"/>
    <cellStyle name="Normalny 4 5" xfId="49" xr:uid="{E5FD1A3E-1B55-4BEB-BD8A-962E9010954E}"/>
    <cellStyle name="Normalny 4 5 2" xfId="287" xr:uid="{048409CB-7678-47F7-9B8A-FB6568CCED9D}"/>
    <cellStyle name="Normalny 4 5 2 2" xfId="847" xr:uid="{B94F5696-A2DB-4939-A14B-F043C6A6AAF2}"/>
    <cellStyle name="Normalny 4 5 2 3" xfId="1229" xr:uid="{7C7214F5-4DD0-43C9-B623-383F2B2E63B3}"/>
    <cellStyle name="Normalny 4 5 3" xfId="465" xr:uid="{FC62557A-5E5C-437A-BDD3-AE97197296E3}"/>
    <cellStyle name="Normalny 4 5 4" xfId="643" xr:uid="{F4F7F38A-0287-4D12-9D1F-11DBF62F719A}"/>
    <cellStyle name="Normalny 4 5 5" xfId="1025" xr:uid="{A9CFDC22-FE09-431A-AD8D-49E4577A262A}"/>
    <cellStyle name="Normalny 4 6" xfId="83" xr:uid="{1DBF0C80-FDCF-477C-9115-F3F779B6A865}"/>
    <cellStyle name="Normalny 4 6 2" xfId="318" xr:uid="{02CE91B8-12EE-4666-A840-AB563C6749E7}"/>
    <cellStyle name="Normalny 4 6 2 2" xfId="878" xr:uid="{B6237B5D-2DA4-42C7-9278-E384CCAEDD64}"/>
    <cellStyle name="Normalny 4 6 2 3" xfId="1260" xr:uid="{DFA88D10-2446-40E9-922C-8B92E02C0648}"/>
    <cellStyle name="Normalny 4 6 3" xfId="496" xr:uid="{6EBD6903-8C8E-45A3-A89E-4C4693C09687}"/>
    <cellStyle name="Normalny 4 6 4" xfId="674" xr:uid="{93446D2E-A700-4D34-BC4B-23B16EA6ADC5}"/>
    <cellStyle name="Normalny 4 6 5" xfId="1056" xr:uid="{74419A8C-522D-499F-BA0A-5C74C1DD1456}"/>
    <cellStyle name="Normalny 4 7" xfId="125" xr:uid="{B3F93B8B-0900-4997-BAFC-B8F3CC0FD981}"/>
    <cellStyle name="Normalny 4 7 2" xfId="354" xr:uid="{2BBE07B9-2441-48C2-A77E-9E426FF6FF7A}"/>
    <cellStyle name="Normalny 4 7 2 2" xfId="914" xr:uid="{1D594962-7AA5-4AD3-B101-ED4E19573146}"/>
    <cellStyle name="Normalny 4 7 2 3" xfId="1296" xr:uid="{511AE6C1-9606-426E-B476-03F1BA2DA124}"/>
    <cellStyle name="Normalny 4 7 3" xfId="532" xr:uid="{A0A14493-CE05-4832-9905-D0DD7DC92C42}"/>
    <cellStyle name="Normalny 4 7 4" xfId="710" xr:uid="{CEC58642-C5D7-4A42-B74C-00DDCBCB7F74}"/>
    <cellStyle name="Normalny 4 7 5" xfId="1092" xr:uid="{024B8229-B07A-4BFE-A652-746EC6F02FA3}"/>
    <cellStyle name="Normalny 4 8" xfId="143" xr:uid="{505B25F5-87C9-4260-9F3E-A9D63D8509AF}"/>
    <cellStyle name="Normalny 4 8 2" xfId="372" xr:uid="{A60F8C08-66EF-4661-B235-1ABD1E8A67B0}"/>
    <cellStyle name="Normalny 4 8 2 2" xfId="932" xr:uid="{C856947E-F4AD-4899-92FD-1DF704FD062F}"/>
    <cellStyle name="Normalny 4 8 2 3" xfId="1314" xr:uid="{07D9FE7A-0C82-43D0-87D4-33311ACAE63A}"/>
    <cellStyle name="Normalny 4 8 3" xfId="550" xr:uid="{1F7A59CA-1ECE-456C-A020-12EA7C296C79}"/>
    <cellStyle name="Normalny 4 8 4" xfId="728" xr:uid="{DD8E9395-FFA2-458D-9F20-58CBC41D3B42}"/>
    <cellStyle name="Normalny 4 8 5" xfId="1110" xr:uid="{F09A1CA6-533C-4A45-8126-AF31D1AC715C}"/>
    <cellStyle name="Normalny 4 9" xfId="174" xr:uid="{4A668F6C-9084-4930-A78F-FC00DE3A3E18}"/>
    <cellStyle name="Normalny 4 9 2" xfId="403" xr:uid="{32826796-F17C-48BA-A623-F1D7F813E1E5}"/>
    <cellStyle name="Normalny 4 9 2 2" xfId="963" xr:uid="{DF900E56-6747-4618-9553-4762DD099D06}"/>
    <cellStyle name="Normalny 4 9 2 3" xfId="1345" xr:uid="{3665D4B2-CD02-4002-98E9-718F4284FA09}"/>
    <cellStyle name="Normalny 4 9 3" xfId="581" xr:uid="{6AF094B7-89F7-40E8-A610-EDEE28D219D7}"/>
    <cellStyle name="Normalny 4 9 4" xfId="759" xr:uid="{CAB0AD67-C8ED-4554-B142-1008664534C1}"/>
    <cellStyle name="Normalny 4 9 5" xfId="1141" xr:uid="{7043EC9F-9BE4-47C0-83C9-24E94DBD9981}"/>
    <cellStyle name="Normalny 5" xfId="9" xr:uid="{00000000-0005-0000-0000-000014000000}"/>
    <cellStyle name="Normalny 6" xfId="10" xr:uid="{00000000-0005-0000-0000-000015000000}"/>
    <cellStyle name="Normalny 6 2" xfId="239" xr:uid="{3F50991B-6232-4A20-9895-522CB8003F8A}"/>
    <cellStyle name="Normalny 6 3" xfId="219" xr:uid="{B00B7333-5E52-4981-B6C4-ED8BF4DA5363}"/>
    <cellStyle name="Normalny 7" xfId="12" xr:uid="{00000000-0005-0000-0000-000016000000}"/>
    <cellStyle name="Normalny 7 10" xfId="257" xr:uid="{E51349A0-2C2D-4DA4-9A5C-CAEC68F79079}"/>
    <cellStyle name="Normalny 7 10 2" xfId="817" xr:uid="{8451C477-D192-4F7E-8636-30C460FFD950}"/>
    <cellStyle name="Normalny 7 10 3" xfId="1199" xr:uid="{902FB3E5-FEBB-415A-A909-D4095B78B969}"/>
    <cellStyle name="Normalny 7 11" xfId="435" xr:uid="{98D000CA-E7A6-4EC7-9090-CBE16CFEE7E2}"/>
    <cellStyle name="Normalny 7 12" xfId="613" xr:uid="{4F0FE293-3953-4A08-9531-F20A0F2FB24E}"/>
    <cellStyle name="Normalny 7 13" xfId="995" xr:uid="{5A9D47F2-E96A-4564-8638-5092F3FDB239}"/>
    <cellStyle name="Normalny 7 2" xfId="28" xr:uid="{8CC31F8F-7F13-4496-93D5-CA2B37B16081}"/>
    <cellStyle name="Normalny 7 2 2" xfId="65" xr:uid="{C9D9E19F-A308-4E08-8012-8D95592169C6}"/>
    <cellStyle name="Normalny 7 2 2 2" xfId="303" xr:uid="{4A8A3609-786A-4A24-A1F4-985BCA086339}"/>
    <cellStyle name="Normalny 7 2 2 2 2" xfId="863" xr:uid="{BE653AE0-FD35-42B5-9CD4-ECAC0EAA31AA}"/>
    <cellStyle name="Normalny 7 2 2 2 3" xfId="1245" xr:uid="{482FFF93-4BE8-479C-9353-8B3C266406C1}"/>
    <cellStyle name="Normalny 7 2 2 3" xfId="481" xr:uid="{B3F96003-E2EE-457C-A327-4A205134E054}"/>
    <cellStyle name="Normalny 7 2 2 4" xfId="659" xr:uid="{93042317-B619-42CB-8159-9C22AD74928F}"/>
    <cellStyle name="Normalny 7 2 2 5" xfId="1041" xr:uid="{553C7FD6-3806-492D-BE8E-6E755311CAD4}"/>
    <cellStyle name="Normalny 7 2 3" xfId="110" xr:uid="{9DEDB57B-F1A3-4C2E-9ECB-63D6F0FE56AB}"/>
    <cellStyle name="Normalny 7 2 3 2" xfId="339" xr:uid="{3F182E7C-28E7-4A63-A6FE-D34161277220}"/>
    <cellStyle name="Normalny 7 2 3 2 2" xfId="899" xr:uid="{0F2EDC0C-5DB9-4B78-9711-8D311EB8565B}"/>
    <cellStyle name="Normalny 7 2 3 2 3" xfId="1281" xr:uid="{8C7BD241-EB8A-4F13-8DB5-1823F36421BE}"/>
    <cellStyle name="Normalny 7 2 3 3" xfId="517" xr:uid="{C6B528EC-1690-4C95-9260-242FB6536D56}"/>
    <cellStyle name="Normalny 7 2 3 4" xfId="695" xr:uid="{DF5F637F-382C-49FC-84C6-8BAC04884B64}"/>
    <cellStyle name="Normalny 7 2 3 5" xfId="1077" xr:uid="{07E57182-17DA-4591-A5CE-FD1AB096B98F}"/>
    <cellStyle name="Normalny 7 2 4" xfId="154" xr:uid="{F521739F-4FE5-4079-89B2-50D784019469}"/>
    <cellStyle name="Normalny 7 2 4 2" xfId="383" xr:uid="{A5AD32B4-C305-4DCA-A73B-94E9BB17DFA6}"/>
    <cellStyle name="Normalny 7 2 4 2 2" xfId="943" xr:uid="{B01D275E-3F22-44A5-885B-6A8025D06353}"/>
    <cellStyle name="Normalny 7 2 4 2 3" xfId="1325" xr:uid="{46E2AC83-D040-4E03-AE86-67269BF7A747}"/>
    <cellStyle name="Normalny 7 2 4 3" xfId="561" xr:uid="{9849B6BB-8C65-43E8-A178-D2488D344B89}"/>
    <cellStyle name="Normalny 7 2 4 4" xfId="739" xr:uid="{049D0D32-9C84-4BA8-8D6F-16FF17BF3A5B}"/>
    <cellStyle name="Normalny 7 2 4 5" xfId="1121" xr:uid="{8B2FCD68-02CC-47BC-BFDC-8CA07FE418CC}"/>
    <cellStyle name="Normalny 7 2 5" xfId="221" xr:uid="{1B2F79B5-4D0E-4ABE-BDC1-F84A42D5F19A}"/>
    <cellStyle name="Normalny 7 2 6" xfId="267" xr:uid="{E7C3E9DB-2D04-40D9-B51E-C0736453EBE2}"/>
    <cellStyle name="Normalny 7 2 6 2" xfId="827" xr:uid="{3AA68E2A-9D62-4C11-9BF3-10C45707B7AE}"/>
    <cellStyle name="Normalny 7 2 6 3" xfId="1209" xr:uid="{453C17D4-2F12-429B-8A88-0954B6FAF217}"/>
    <cellStyle name="Normalny 7 2 7" xfId="445" xr:uid="{31456B3E-B1C3-4D40-84EB-9D974A898175}"/>
    <cellStyle name="Normalny 7 2 8" xfId="623" xr:uid="{5615935F-1DA6-4357-9AB2-F8E70517BF95}"/>
    <cellStyle name="Normalny 7 2 9" xfId="1005" xr:uid="{2FEC572E-1BDF-4183-AD0F-068C1316DDE0}"/>
    <cellStyle name="Normalny 7 3" xfId="50" xr:uid="{2049BDBE-29E6-44A8-A2C3-A11DF180114F}"/>
    <cellStyle name="Normalny 7 3 2" xfId="288" xr:uid="{A185860B-2A3C-4222-983D-41FF358260EC}"/>
    <cellStyle name="Normalny 7 3 2 2" xfId="848" xr:uid="{187A0C78-87F4-4209-9147-2AA3C4B16110}"/>
    <cellStyle name="Normalny 7 3 2 3" xfId="1230" xr:uid="{20A2114B-B4CE-4021-848E-2F3584BD6876}"/>
    <cellStyle name="Normalny 7 3 3" xfId="466" xr:uid="{2F581556-EB50-4E06-B2F6-AFAD5B5C2DA7}"/>
    <cellStyle name="Normalny 7 3 4" xfId="644" xr:uid="{77998348-C268-4345-A258-401EC8DB7C01}"/>
    <cellStyle name="Normalny 7 3 5" xfId="1026" xr:uid="{24E94B02-CAEE-4B6A-B92A-90113DB997CC}"/>
    <cellStyle name="Normalny 7 4" xfId="84" xr:uid="{566635F3-F17A-41F4-8C55-DFB165EA96D8}"/>
    <cellStyle name="Normalny 7 4 2" xfId="319" xr:uid="{A3DC1A3A-C93B-4869-9989-98DA8BE06DA8}"/>
    <cellStyle name="Normalny 7 4 2 2" xfId="879" xr:uid="{98B9EFD6-B4F1-406C-AC12-E92AB8B7A496}"/>
    <cellStyle name="Normalny 7 4 2 3" xfId="1261" xr:uid="{14ADFC12-DBC0-412A-8544-692C9833938F}"/>
    <cellStyle name="Normalny 7 4 3" xfId="497" xr:uid="{B12A5046-EBF5-4727-AB12-366D896692D4}"/>
    <cellStyle name="Normalny 7 4 4" xfId="675" xr:uid="{F3B6AFD1-3731-49A4-BED9-8D1761B89116}"/>
    <cellStyle name="Normalny 7 4 5" xfId="1057" xr:uid="{C8B99B07-5D4A-4E86-BC69-BE4689D98D31}"/>
    <cellStyle name="Normalny 7 5" xfId="126" xr:uid="{64C82F02-0E5F-4DAE-9D63-70256B8F3BF0}"/>
    <cellStyle name="Normalny 7 5 2" xfId="355" xr:uid="{C821E521-47B8-44C5-BF08-410A258AEEFA}"/>
    <cellStyle name="Normalny 7 5 2 2" xfId="915" xr:uid="{F139BEBF-6686-4326-8F8F-AF26784568FC}"/>
    <cellStyle name="Normalny 7 5 2 3" xfId="1297" xr:uid="{30C68DDA-3C02-4A78-BA52-4869D83B259C}"/>
    <cellStyle name="Normalny 7 5 3" xfId="533" xr:uid="{8EC5565E-C54A-4ED3-A339-E5FEF3A436DD}"/>
    <cellStyle name="Normalny 7 5 4" xfId="711" xr:uid="{7CBB2FB3-4FED-400F-8F3C-7121D3DA6CB0}"/>
    <cellStyle name="Normalny 7 5 5" xfId="1093" xr:uid="{5F3846C8-1E00-4E52-8474-BD27BAE7894D}"/>
    <cellStyle name="Normalny 7 6" xfId="144" xr:uid="{64B1C1D8-9CA9-4F01-BB9B-DD8EF07E191D}"/>
    <cellStyle name="Normalny 7 6 2" xfId="373" xr:uid="{7F9F702D-2069-4DCE-A79A-0DB11CCFE526}"/>
    <cellStyle name="Normalny 7 6 2 2" xfId="933" xr:uid="{CA75A8A9-955D-4FD9-B0C3-8CCC8F6F9FAC}"/>
    <cellStyle name="Normalny 7 6 2 3" xfId="1315" xr:uid="{1912D844-AA34-44BD-B36D-35EC3C445C16}"/>
    <cellStyle name="Normalny 7 6 3" xfId="551" xr:uid="{07BE345E-EF5E-44F1-86A6-8385D85C0D7B}"/>
    <cellStyle name="Normalny 7 6 4" xfId="729" xr:uid="{91AB7169-5708-4965-A9F4-AAF103BE7027}"/>
    <cellStyle name="Normalny 7 6 5" xfId="1111" xr:uid="{4DC0C5E7-5ADD-4C61-849E-F2CF40459ACF}"/>
    <cellStyle name="Normalny 7 7" xfId="175" xr:uid="{94656BD7-29D0-4AFD-84E6-31D69DF2F831}"/>
    <cellStyle name="Normalny 7 7 2" xfId="404" xr:uid="{B1F188C9-E4C7-4768-AA02-C56D3F11F734}"/>
    <cellStyle name="Normalny 7 7 2 2" xfId="964" xr:uid="{81BFA654-50FF-4B35-8BBC-B89A05820047}"/>
    <cellStyle name="Normalny 7 7 2 3" xfId="1346" xr:uid="{0470451F-807A-4426-A6B6-D8B194C6D37C}"/>
    <cellStyle name="Normalny 7 7 3" xfId="582" xr:uid="{4A11DFBE-4CA6-4BBD-9789-2C88C58CEBFB}"/>
    <cellStyle name="Normalny 7 7 4" xfId="760" xr:uid="{45D16FC6-3194-4126-B1EF-BBBDEC51AB4F}"/>
    <cellStyle name="Normalny 7 7 5" xfId="1142" xr:uid="{E83A0ED5-C305-40AE-9262-4F15C399CB74}"/>
    <cellStyle name="Normalny 7 8" xfId="193" xr:uid="{5FF423FB-2D56-4805-9364-3CA9B555F1D6}"/>
    <cellStyle name="Normalny 7 8 2" xfId="422" xr:uid="{4F360029-95FA-44E6-BF62-904EE45142E0}"/>
    <cellStyle name="Normalny 7 8 2 2" xfId="982" xr:uid="{F68E9929-DD77-417A-AA95-CB351BDD939C}"/>
    <cellStyle name="Normalny 7 8 2 3" xfId="1364" xr:uid="{1C69931D-0A1F-4E78-ADEF-A03DEB0117B4}"/>
    <cellStyle name="Normalny 7 8 3" xfId="600" xr:uid="{BD2F5E3A-EC0A-4E89-820F-E3DC6A1C079B}"/>
    <cellStyle name="Normalny 7 8 4" xfId="778" xr:uid="{AB1BBDFE-6987-4F46-91FF-70686F285473}"/>
    <cellStyle name="Normalny 7 8 5" xfId="1160" xr:uid="{EF8C00FD-5F89-465A-9019-11F8C49057DD}"/>
    <cellStyle name="Normalny 7 9" xfId="220" xr:uid="{B4C67222-54FC-41A7-B8EB-14FC166D9B82}"/>
    <cellStyle name="Normalny 8" xfId="41" xr:uid="{3BC53ABD-4E37-452D-9351-D46B6E3F6E4A}"/>
    <cellStyle name="Normalny 8 10" xfId="636" xr:uid="{47A54B0D-E7FC-4B38-9DB3-A4824BDFDBBE}"/>
    <cellStyle name="Normalny 8 11" xfId="1018" xr:uid="{A4F3732E-71F0-45D2-8D5D-163EA996B379}"/>
    <cellStyle name="Normalny 8 2" xfId="60" xr:uid="{14A19432-8C8D-41FD-855A-CD80957905B4}"/>
    <cellStyle name="Normalny 8 2 2" xfId="120" xr:uid="{67E47B26-03E0-4993-8D23-4CFF7988EF0D}"/>
    <cellStyle name="Normalny 8 2 2 2" xfId="349" xr:uid="{E3D725CF-A8C3-4679-90DE-7DB971DE417D}"/>
    <cellStyle name="Normalny 8 2 2 2 2" xfId="909" xr:uid="{AE8444DA-C527-4955-BA9D-2E3BE1B41039}"/>
    <cellStyle name="Normalny 8 2 2 2 3" xfId="1291" xr:uid="{6BDC1D26-A995-4FD8-8F69-C3C6A94C1A37}"/>
    <cellStyle name="Normalny 8 2 2 3" xfId="527" xr:uid="{FCDFFB91-6322-42D9-B548-DA5197BF80DA}"/>
    <cellStyle name="Normalny 8 2 2 4" xfId="705" xr:uid="{AFDDE613-9427-4A6B-9313-3433E649A46D}"/>
    <cellStyle name="Normalny 8 2 2 5" xfId="1087" xr:uid="{71F532C9-866D-4924-A616-123A0300580B}"/>
    <cellStyle name="Normalny 8 2 3" xfId="298" xr:uid="{8B58D054-1D83-4D60-BC5F-F6638F889323}"/>
    <cellStyle name="Normalny 8 2 3 2" xfId="858" xr:uid="{915921DC-9649-4340-9D8C-F49F6C9CF5D5}"/>
    <cellStyle name="Normalny 8 2 3 3" xfId="1240" xr:uid="{A3502192-DAB6-4B21-A0C4-E74E1D194B3C}"/>
    <cellStyle name="Normalny 8 2 4" xfId="476" xr:uid="{BD6699DC-D697-49D4-88D2-9FC6BF5842C6}"/>
    <cellStyle name="Normalny 8 2 5" xfId="654" xr:uid="{F92B0520-C54F-4368-B54A-35DB5E755807}"/>
    <cellStyle name="Normalny 8 2 6" xfId="1036" xr:uid="{E1EF7697-F30D-4B71-B107-8710B3634397}"/>
    <cellStyle name="Normalny 8 3" xfId="94" xr:uid="{DB45B3A2-20B4-4B0B-9CC0-A75EEA2E975D}"/>
    <cellStyle name="Normalny 8 3 2" xfId="329" xr:uid="{77B35A14-7AA3-4D46-AFD1-010A951BB5CE}"/>
    <cellStyle name="Normalny 8 3 2 2" xfId="889" xr:uid="{70F32659-1C70-4868-ADE1-EEE820138DB2}"/>
    <cellStyle name="Normalny 8 3 2 3" xfId="1271" xr:uid="{29BEF90A-543F-4F25-B290-3AA0B1DA9664}"/>
    <cellStyle name="Normalny 8 3 3" xfId="507" xr:uid="{E4EC910B-04AF-4228-932E-235745BFA9E3}"/>
    <cellStyle name="Normalny 8 3 4" xfId="685" xr:uid="{87CCE4DE-1E8D-4479-BC7B-C9F532A5A5ED}"/>
    <cellStyle name="Normalny 8 3 5" xfId="1067" xr:uid="{59805012-2075-4F45-9F81-0B9C3211BE31}"/>
    <cellStyle name="Normalny 8 4" xfId="136" xr:uid="{A30EC5C7-B636-4785-B62E-37F311CF4873}"/>
    <cellStyle name="Normalny 8 4 2" xfId="365" xr:uid="{837E213D-920B-4DA3-BC6B-6738A63B7808}"/>
    <cellStyle name="Normalny 8 4 2 2" xfId="925" xr:uid="{FEA7B3F5-70AE-4116-A4A9-F1122D54723C}"/>
    <cellStyle name="Normalny 8 4 2 3" xfId="1307" xr:uid="{EF0D0721-9DCD-48B0-9723-73FE4F7F2DCC}"/>
    <cellStyle name="Normalny 8 4 3" xfId="543" xr:uid="{4B3E2AAA-0F90-47F4-BFDB-AB5322D3BD90}"/>
    <cellStyle name="Normalny 8 4 4" xfId="721" xr:uid="{D1F853F9-3BF5-4E48-A216-C09DA6342C77}"/>
    <cellStyle name="Normalny 8 4 5" xfId="1103" xr:uid="{5ED748EF-42F5-46F1-89D2-6DBDE093FA79}"/>
    <cellStyle name="Normalny 8 5" xfId="167" xr:uid="{34AFD495-8511-4191-9B3D-ACF918F75D2B}"/>
    <cellStyle name="Normalny 8 5 2" xfId="396" xr:uid="{8CB86FD5-002B-4E71-B1DD-E3651EC82E30}"/>
    <cellStyle name="Normalny 8 5 2 2" xfId="956" xr:uid="{3301206F-5DBD-4087-AF33-04B6AE2CD2AD}"/>
    <cellStyle name="Normalny 8 5 2 3" xfId="1338" xr:uid="{39D24343-7604-47D9-9843-2107DF0D737D}"/>
    <cellStyle name="Normalny 8 5 3" xfId="574" xr:uid="{CDCE8C55-2C96-45D7-A2BF-8988C0E47CC5}"/>
    <cellStyle name="Normalny 8 5 4" xfId="752" xr:uid="{F0DA0778-C61F-4655-8BA5-6BF6ECE31E63}"/>
    <cellStyle name="Normalny 8 5 5" xfId="1134" xr:uid="{0D8EBB78-626F-40D2-A5B1-F7803E14D31A}"/>
    <cellStyle name="Normalny 8 6" xfId="185" xr:uid="{88B6015E-5AA5-481D-BCD5-41280E93A6C1}"/>
    <cellStyle name="Normalny 8 6 2" xfId="414" xr:uid="{3D12C873-FBE8-4E0C-9A20-3E52F447A0E7}"/>
    <cellStyle name="Normalny 8 6 2 2" xfId="974" xr:uid="{C6A2D3F5-57CE-41F9-82F5-96E8E9EC5A37}"/>
    <cellStyle name="Normalny 8 6 2 3" xfId="1356" xr:uid="{8F028D6C-FE70-4D2E-98A2-FF4430007085}"/>
    <cellStyle name="Normalny 8 6 3" xfId="592" xr:uid="{11FF6A7F-EE55-4B53-9898-0A050977682D}"/>
    <cellStyle name="Normalny 8 6 4" xfId="770" xr:uid="{2DCCCEDD-B7BE-4C61-A71B-AFC6123EC092}"/>
    <cellStyle name="Normalny 8 6 5" xfId="1152" xr:uid="{86A5A76A-CBA5-40FF-BDB6-922F0563B1D4}"/>
    <cellStyle name="Normalny 8 7" xfId="222" xr:uid="{346BC48B-EA77-4A64-9E1B-192881C3C503}"/>
    <cellStyle name="Normalny 8 8" xfId="280" xr:uid="{67649180-DCC5-40FC-9B41-7A1A0AFD65AA}"/>
    <cellStyle name="Normalny 8 8 2" xfId="840" xr:uid="{8DCCBFB6-FFFE-41BB-B998-B3F58B648F08}"/>
    <cellStyle name="Normalny 8 8 3" xfId="1222" xr:uid="{812B0F33-4551-49D9-9910-72C40AE128DB}"/>
    <cellStyle name="Normalny 8 9" xfId="458" xr:uid="{C79D8517-FA9B-49EA-88E2-744AF94F3ED6}"/>
    <cellStyle name="Normalny 9" xfId="81" xr:uid="{9B0CE81D-F0C5-41CA-AAB5-68791C5393DF}"/>
    <cellStyle name="Normalny 9 2" xfId="223" xr:uid="{A61D175A-668A-44E3-95C5-9E35B1169B44}"/>
    <cellStyle name="Normalny 9 2 2" xfId="788" xr:uid="{62C55FA5-4A75-4E9A-8D19-14F96CB9971C}"/>
    <cellStyle name="Normalny 9 2 3" xfId="1170" xr:uid="{15815616-A2A0-4385-B422-78EE4866E228}"/>
    <cellStyle name="Normalny_Arkusz1" xfId="2" xr:uid="{00000000-0005-0000-0000-000017000000}"/>
    <cellStyle name="Normalny_Tabela zbiorcza cz.1 (0030-0035)" xfId="13" xr:uid="{00000000-0005-0000-0000-000018000000}"/>
    <cellStyle name="Normalny_Wzór tabeli" xfId="15" xr:uid="{00000000-0005-0000-0000-000019000000}"/>
    <cellStyle name="Normalny_Wzór tabeli 2" xfId="16" xr:uid="{00000000-0005-0000-0000-00001A000000}"/>
    <cellStyle name="Procentowy" xfId="3" builtinId="5"/>
    <cellStyle name="Procentowy 2" xfId="104" xr:uid="{CEC2A0D8-D1D8-4061-A448-EFAADC64BF86}"/>
    <cellStyle name="TerespolD" xfId="43" xr:uid="{E76D111D-E1CC-4D30-BD6B-54A96DF07DDF}"/>
    <cellStyle name="TerespolD 2" xfId="240" xr:uid="{81265E87-8B88-4FD2-B12F-7524776A6699}"/>
  </cellStyles>
  <dxfs count="0"/>
  <tableStyles count="0" defaultTableStyle="TableStyleMedium9" defaultPivotStyle="PivotStyleLight16"/>
  <colors>
    <mruColors>
      <color rgb="FFFFFF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56648</xdr:colOff>
      <xdr:row>25</xdr:row>
      <xdr:rowOff>59835</xdr:rowOff>
    </xdr:from>
    <xdr:to>
      <xdr:col>8</xdr:col>
      <xdr:colOff>677585</xdr:colOff>
      <xdr:row>26</xdr:row>
      <xdr:rowOff>204727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20000"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" t="4212" r="3287" b="4360"/>
        <a:stretch/>
      </xdr:blipFill>
      <xdr:spPr bwMode="auto">
        <a:xfrm rot="605261">
          <a:off x="4729290" y="8459807"/>
          <a:ext cx="620937" cy="4108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504825</xdr:colOff>
      <xdr:row>16</xdr:row>
      <xdr:rowOff>66675</xdr:rowOff>
    </xdr:from>
    <xdr:to>
      <xdr:col>9</xdr:col>
      <xdr:colOff>142875</xdr:colOff>
      <xdr:row>19</xdr:row>
      <xdr:rowOff>114300</xdr:rowOff>
    </xdr:to>
    <xdr:pic>
      <xdr:nvPicPr>
        <xdr:cNvPr id="3" name="Obraz 75" descr="110px-POL_Ropczyce_CO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6791325"/>
          <a:ext cx="9810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458934</xdr:colOff>
      <xdr:row>12</xdr:row>
      <xdr:rowOff>43296</xdr:rowOff>
    </xdr:from>
    <xdr:to>
      <xdr:col>8</xdr:col>
      <xdr:colOff>346365</xdr:colOff>
      <xdr:row>14</xdr:row>
      <xdr:rowOff>209334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A2280947-4E92-CC8F-0E49-58D1FE6266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74229" y="4788478"/>
          <a:ext cx="606136" cy="6682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2141%20Trzciana%20przebudowa%20drogi/07_PW/przodek%20PR%20KO%20KI%20G&#321;OWCKIEG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y%202012r\14_Kosztorys%20chodnik%20Brzezowka\1_KI_KO_PR_Brzezow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rojekty%202014r\21_Budowa%20chodnika%20Czarna_Nadlesnictwo\3_PW\KI\ver_2\KI_PR_01_01_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rona tyt KI"/>
      <sheetName val="ST PR"/>
      <sheetName val="PR"/>
      <sheetName val="TYTULOWA KI"/>
      <sheetName val=" KI - ZZK"/>
      <sheetName val="KI2"/>
      <sheetName val="Inwestorski Drogowa"/>
      <sheetName val="KI"/>
      <sheetName val="ST KO"/>
      <sheetName val="KO - ZZK "/>
      <sheetName val="KO"/>
      <sheetName val="T.1"/>
      <sheetName val="T.2"/>
      <sheetName val="5.1. Brzeziny - Dół Płn."/>
      <sheetName val="5.2. Brzeziny - Dół Płn."/>
      <sheetName val="4.Zdjęcie humusu"/>
      <sheetName val="5. Humusowanie"/>
      <sheetName val="6.Wykopy-Nasypy"/>
      <sheetName val="7.Koryto"/>
      <sheetName val="8.odcinająca"/>
      <sheetName val="9.wiążąca"/>
      <sheetName val="10.ścieralna"/>
    </sheetNames>
    <sheetDataSet>
      <sheetData sheetId="0"/>
      <sheetData sheetId="1"/>
      <sheetData sheetId="2">
        <row r="22">
          <cell r="H22">
            <v>550</v>
          </cell>
        </row>
      </sheetData>
      <sheetData sheetId="3">
        <row r="6">
          <cell r="D6" t="str">
            <v>ROZBUDOWA DROGI GMINNEJ NR 107638R UL. GŁOWACKIEGO OD KM 0+000 DO KM 0+690 WRAZ Z NIEZBĘDNĄ INFRASTRUKTURĄ I PRZEBUDOWĄ SIECI UZBROJENIA TERENU W SĘDZISZOWIE MAŁOPOLSKIM</v>
          </cell>
        </row>
      </sheetData>
      <sheetData sheetId="4"/>
      <sheetData sheetId="5"/>
      <sheetData sheetId="6">
        <row r="9">
          <cell r="J9">
            <v>12080</v>
          </cell>
        </row>
      </sheetData>
      <sheetData sheetId="7">
        <row r="2">
          <cell r="A2" t="str">
            <v>ROZBUDOWA DROGI GMINNEJ NR 107638R UL. GŁOWACKIEGO OD KM 0+000 DO KM 0+690 WRAZ Z NIEZBĘDNĄ INFRASTRUKTURĄ I PRZEBUDOWĄ SIECI UZBROJENIA TERENU W SĘDZISZOWIE MAŁOPOLSKIM</v>
          </cell>
        </row>
        <row r="16">
          <cell r="B16" t="str">
            <v>KOSZT DOSTOSOWANIA SIĘ DO WYMAGAŃ OGÓLNYCH KONTRAKTU</v>
          </cell>
        </row>
        <row r="17">
          <cell r="C17" t="str">
            <v>KOSZT DOSTOSOWANIA SIĘ DO WYMAGAŃ WARUNKÓW KONTRAKTU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I"/>
      <sheetName val="Przedmiar"/>
      <sheetName val="ofertowy"/>
      <sheetName val="KO1"/>
      <sheetName val="KO2"/>
      <sheetName val="KO3"/>
      <sheetName val="KI1"/>
      <sheetName val="KI2"/>
      <sheetName val="KI3"/>
      <sheetName val="KI4"/>
      <sheetName val="PR1"/>
      <sheetName val="PR2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1"/>
      <sheetName val="KO2"/>
      <sheetName val="KO3"/>
      <sheetName val="KI1"/>
      <sheetName val="KI2"/>
      <sheetName val="KI3"/>
      <sheetName val="KI4"/>
      <sheetName val="PR1"/>
      <sheetName val="PR2"/>
      <sheetName val="ZAŁACZNIKI"/>
      <sheetName val="Arkusz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>
        <row r="230">
          <cell r="I230">
            <v>292152.32000000001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workbookViewId="0"/>
    <sheetView workbookViewId="1"/>
  </sheetViews>
  <sheetFormatPr defaultRowHeight="12.75" x14ac:dyDescent="0.2"/>
  <cols>
    <col min="1" max="1" width="4.7109375" customWidth="1"/>
    <col min="3" max="3" width="10.42578125" customWidth="1"/>
    <col min="9" max="9" width="11" customWidth="1"/>
    <col min="10" max="10" width="6.42578125" customWidth="1"/>
  </cols>
  <sheetData>
    <row r="1" spans="1:10" ht="44.25" customHeight="1" x14ac:dyDescent="0.2">
      <c r="A1" s="116"/>
      <c r="B1" s="246" t="s">
        <v>175</v>
      </c>
      <c r="C1" s="246"/>
      <c r="D1" s="247" t="s">
        <v>176</v>
      </c>
      <c r="E1" s="247"/>
      <c r="F1" s="247"/>
      <c r="G1" s="247"/>
      <c r="H1" s="247"/>
      <c r="I1" s="247"/>
      <c r="J1" s="248"/>
    </row>
    <row r="2" spans="1:10" ht="21" customHeight="1" x14ac:dyDescent="0.2">
      <c r="A2" s="110"/>
      <c r="B2" s="233"/>
      <c r="C2" s="233"/>
      <c r="D2" s="249"/>
      <c r="E2" s="249"/>
      <c r="F2" s="249"/>
      <c r="G2" s="249"/>
      <c r="H2" s="249"/>
      <c r="I2" s="249"/>
      <c r="J2" s="250"/>
    </row>
    <row r="3" spans="1:10" ht="12.75" hidden="1" customHeight="1" x14ac:dyDescent="0.2">
      <c r="A3" s="110"/>
      <c r="B3" s="233"/>
      <c r="C3" s="233"/>
      <c r="D3" s="249"/>
      <c r="E3" s="249"/>
      <c r="F3" s="249"/>
      <c r="G3" s="249"/>
      <c r="H3" s="249"/>
      <c r="I3" s="249"/>
      <c r="J3" s="250"/>
    </row>
    <row r="4" spans="1:10" ht="84.75" customHeight="1" x14ac:dyDescent="0.2">
      <c r="A4" s="110"/>
      <c r="B4" s="233" t="s">
        <v>174</v>
      </c>
      <c r="C4" s="233"/>
      <c r="D4" s="251" t="s">
        <v>177</v>
      </c>
      <c r="E4" s="251"/>
      <c r="F4" s="251"/>
      <c r="G4" s="251"/>
      <c r="H4" s="251"/>
      <c r="I4" s="251"/>
      <c r="J4" s="252"/>
    </row>
    <row r="5" spans="1:10" ht="77.25" customHeight="1" x14ac:dyDescent="0.2">
      <c r="A5" s="110"/>
      <c r="B5" s="233"/>
      <c r="C5" s="233"/>
      <c r="D5" s="251"/>
      <c r="E5" s="251"/>
      <c r="F5" s="251"/>
      <c r="G5" s="251"/>
      <c r="H5" s="251"/>
      <c r="I5" s="251"/>
      <c r="J5" s="252"/>
    </row>
    <row r="6" spans="1:10" ht="38.25" customHeight="1" x14ac:dyDescent="0.2">
      <c r="A6" s="110"/>
      <c r="B6" s="233" t="s">
        <v>173</v>
      </c>
      <c r="C6" s="233"/>
      <c r="D6" s="251" t="s">
        <v>184</v>
      </c>
      <c r="E6" s="251"/>
      <c r="F6" s="251"/>
      <c r="G6" s="251"/>
      <c r="H6" s="251"/>
      <c r="I6" s="251"/>
      <c r="J6" s="252"/>
    </row>
    <row r="7" spans="1:10" ht="33" customHeight="1" x14ac:dyDescent="0.2">
      <c r="A7" s="110"/>
      <c r="B7" s="233" t="s">
        <v>172</v>
      </c>
      <c r="C7" s="233"/>
      <c r="D7" s="251"/>
      <c r="E7" s="251"/>
      <c r="F7" s="251"/>
      <c r="G7" s="251"/>
      <c r="H7" s="251"/>
      <c r="I7" s="251"/>
      <c r="J7" s="252"/>
    </row>
    <row r="8" spans="1:10" ht="60.75" customHeight="1" x14ac:dyDescent="0.2">
      <c r="A8" s="110"/>
      <c r="B8" s="233"/>
      <c r="C8" s="233"/>
      <c r="D8" s="251" t="s">
        <v>178</v>
      </c>
      <c r="E8" s="251"/>
      <c r="F8" s="251"/>
      <c r="G8" s="251"/>
      <c r="H8" s="251"/>
      <c r="I8" s="251"/>
      <c r="J8" s="252"/>
    </row>
    <row r="9" spans="1:10" ht="15" customHeight="1" x14ac:dyDescent="0.2">
      <c r="A9" s="110"/>
      <c r="B9" s="233"/>
      <c r="C9" s="233"/>
      <c r="D9" s="251" t="s">
        <v>179</v>
      </c>
      <c r="E9" s="251"/>
      <c r="F9" s="251"/>
      <c r="G9" s="251"/>
      <c r="H9" s="251"/>
      <c r="I9" s="251"/>
      <c r="J9" s="109"/>
    </row>
    <row r="10" spans="1:10" ht="30" customHeight="1" x14ac:dyDescent="0.2">
      <c r="A10" s="110"/>
      <c r="B10" s="233"/>
      <c r="C10" s="233"/>
      <c r="D10" s="253" t="s">
        <v>171</v>
      </c>
      <c r="E10" s="253"/>
      <c r="F10" s="253"/>
      <c r="G10" s="253"/>
      <c r="H10" s="253"/>
      <c r="J10" s="109"/>
    </row>
    <row r="11" spans="1:10" ht="15" customHeight="1" x14ac:dyDescent="0.2">
      <c r="A11" s="110"/>
      <c r="B11" s="233"/>
      <c r="C11" s="233"/>
      <c r="D11" s="115" t="s">
        <v>170</v>
      </c>
      <c r="E11" s="115"/>
      <c r="F11" s="115"/>
      <c r="J11" s="109"/>
    </row>
    <row r="12" spans="1:10" ht="15" x14ac:dyDescent="0.2">
      <c r="A12" s="110"/>
      <c r="B12" s="233"/>
      <c r="C12" s="233"/>
      <c r="D12" s="254"/>
      <c r="E12" s="254"/>
      <c r="F12" s="254"/>
      <c r="J12" s="109"/>
    </row>
    <row r="13" spans="1:10" hidden="1" x14ac:dyDescent="0.2">
      <c r="A13" s="110"/>
      <c r="B13" s="233" t="s">
        <v>169</v>
      </c>
      <c r="C13" s="233"/>
      <c r="D13" s="244">
        <v>911</v>
      </c>
      <c r="E13" s="244"/>
      <c r="F13" s="244"/>
      <c r="J13" s="109"/>
    </row>
    <row r="14" spans="1:10" hidden="1" x14ac:dyDescent="0.2">
      <c r="A14" s="110"/>
      <c r="B14" s="233"/>
      <c r="C14" s="233"/>
      <c r="D14" s="244"/>
      <c r="E14" s="244"/>
      <c r="F14" s="244"/>
      <c r="J14" s="109"/>
    </row>
    <row r="15" spans="1:10" hidden="1" x14ac:dyDescent="0.2">
      <c r="A15" s="110"/>
      <c r="B15" s="233"/>
      <c r="C15" s="233"/>
      <c r="D15" s="244"/>
      <c r="E15" s="244"/>
      <c r="F15" s="244"/>
      <c r="J15" s="109"/>
    </row>
    <row r="16" spans="1:10" ht="46.5" customHeight="1" x14ac:dyDescent="0.2">
      <c r="A16" s="110"/>
      <c r="B16" s="232" t="s">
        <v>168</v>
      </c>
      <c r="C16" s="232"/>
      <c r="D16" s="230" t="s">
        <v>180</v>
      </c>
      <c r="E16" s="230"/>
      <c r="F16" s="230"/>
      <c r="G16" s="230"/>
      <c r="H16" s="230"/>
      <c r="I16" s="230"/>
      <c r="J16" s="231"/>
    </row>
    <row r="17" spans="1:10" ht="40.5" customHeight="1" x14ac:dyDescent="0.2">
      <c r="A17" s="110"/>
      <c r="B17" s="232" t="s">
        <v>167</v>
      </c>
      <c r="C17" s="232"/>
      <c r="D17" s="251" t="str">
        <f>D9</f>
        <v>GMINA ROPCZYCE
WOJEWÓDZTWO PODKARPACKIE</v>
      </c>
      <c r="E17" s="251"/>
      <c r="F17" s="251"/>
      <c r="G17" s="251"/>
      <c r="H17" s="251"/>
      <c r="J17" s="109"/>
    </row>
    <row r="18" spans="1:10" ht="19.5" customHeight="1" x14ac:dyDescent="0.2">
      <c r="A18" s="110"/>
      <c r="B18" s="232"/>
      <c r="C18" s="232"/>
      <c r="D18" s="251" t="s">
        <v>181</v>
      </c>
      <c r="E18" s="251"/>
      <c r="F18" s="251"/>
      <c r="G18" s="251"/>
      <c r="H18" s="251"/>
      <c r="J18" s="109"/>
    </row>
    <row r="19" spans="1:10" ht="21" customHeight="1" x14ac:dyDescent="0.2">
      <c r="A19" s="110"/>
      <c r="B19" s="232"/>
      <c r="C19" s="232"/>
      <c r="D19" s="251" t="s">
        <v>182</v>
      </c>
      <c r="E19" s="251"/>
      <c r="F19" s="251"/>
      <c r="G19" s="251"/>
      <c r="H19" s="251"/>
      <c r="J19" s="109"/>
    </row>
    <row r="20" spans="1:10" ht="15" x14ac:dyDescent="0.2">
      <c r="A20" s="110"/>
      <c r="B20" s="114"/>
      <c r="C20" s="114"/>
      <c r="D20" s="113"/>
      <c r="E20" s="112"/>
      <c r="F20" s="112"/>
      <c r="J20" s="109"/>
    </row>
    <row r="21" spans="1:10" ht="15" x14ac:dyDescent="0.2">
      <c r="A21" s="110"/>
      <c r="C21" s="114"/>
      <c r="D21" s="113"/>
      <c r="E21" s="112"/>
      <c r="F21" s="112"/>
      <c r="J21" s="109"/>
    </row>
    <row r="22" spans="1:10" ht="15" x14ac:dyDescent="0.2">
      <c r="A22" s="110"/>
      <c r="B22" s="115" t="s">
        <v>166</v>
      </c>
      <c r="C22" s="115"/>
      <c r="D22" s="113"/>
      <c r="E22" s="112"/>
      <c r="F22" s="112"/>
      <c r="J22" s="109"/>
    </row>
    <row r="23" spans="1:10" ht="15" x14ac:dyDescent="0.2">
      <c r="A23" s="110"/>
      <c r="B23" s="114"/>
      <c r="C23" s="114"/>
      <c r="D23" s="113"/>
      <c r="E23" s="112"/>
      <c r="F23" s="112"/>
      <c r="J23" s="109"/>
    </row>
    <row r="24" spans="1:10" ht="19.5" customHeight="1" x14ac:dyDescent="0.2">
      <c r="A24" s="110"/>
      <c r="B24" s="256" t="s">
        <v>165</v>
      </c>
      <c r="C24" s="260" t="s">
        <v>183</v>
      </c>
      <c r="D24" s="260" t="s">
        <v>164</v>
      </c>
      <c r="E24" s="260"/>
      <c r="F24" s="260"/>
      <c r="G24" s="260"/>
      <c r="H24" s="256" t="s">
        <v>163</v>
      </c>
      <c r="I24" s="256" t="s">
        <v>162</v>
      </c>
      <c r="J24" s="109"/>
    </row>
    <row r="25" spans="1:10" ht="20.25" customHeight="1" x14ac:dyDescent="0.2">
      <c r="A25" s="110"/>
      <c r="B25" s="256"/>
      <c r="C25" s="261"/>
      <c r="D25" s="257" t="s">
        <v>161</v>
      </c>
      <c r="E25" s="257"/>
      <c r="F25" s="257"/>
      <c r="G25" s="257"/>
      <c r="H25" s="256"/>
      <c r="I25" s="256"/>
      <c r="J25" s="109"/>
    </row>
    <row r="26" spans="1:10" ht="21" customHeight="1" x14ac:dyDescent="0.2">
      <c r="A26" s="110"/>
      <c r="B26" s="258" t="s">
        <v>160</v>
      </c>
      <c r="C26" s="234" t="s">
        <v>159</v>
      </c>
      <c r="D26" s="236" t="s">
        <v>192</v>
      </c>
      <c r="E26" s="237"/>
      <c r="F26" s="237"/>
      <c r="G26" s="238"/>
      <c r="H26" s="259" t="s">
        <v>191</v>
      </c>
      <c r="I26" s="242"/>
      <c r="J26" s="109"/>
    </row>
    <row r="27" spans="1:10" ht="20.25" customHeight="1" x14ac:dyDescent="0.2">
      <c r="A27" s="110"/>
      <c r="B27" s="258"/>
      <c r="C27" s="235"/>
      <c r="D27" s="239"/>
      <c r="E27" s="240"/>
      <c r="F27" s="240"/>
      <c r="G27" s="241"/>
      <c r="H27" s="259"/>
      <c r="I27" s="243"/>
      <c r="J27" s="109"/>
    </row>
    <row r="28" spans="1:10" ht="24" hidden="1" customHeight="1" x14ac:dyDescent="0.2">
      <c r="A28" s="110"/>
      <c r="B28" s="258" t="s">
        <v>19</v>
      </c>
      <c r="C28" s="111" t="s">
        <v>159</v>
      </c>
      <c r="D28" s="259" t="s">
        <v>158</v>
      </c>
      <c r="E28" s="259"/>
      <c r="F28" s="259"/>
      <c r="G28" s="259"/>
      <c r="H28" s="259" t="s">
        <v>157</v>
      </c>
      <c r="I28" s="255"/>
      <c r="J28" s="109"/>
    </row>
    <row r="29" spans="1:10" hidden="1" x14ac:dyDescent="0.2">
      <c r="A29" s="110"/>
      <c r="B29" s="258"/>
      <c r="C29" s="111" t="s">
        <v>156</v>
      </c>
      <c r="D29" s="259"/>
      <c r="E29" s="259"/>
      <c r="F29" s="259"/>
      <c r="G29" s="259"/>
      <c r="H29" s="259"/>
      <c r="I29" s="255"/>
      <c r="J29" s="109"/>
    </row>
    <row r="30" spans="1:10" ht="15" x14ac:dyDescent="0.2">
      <c r="A30" s="110"/>
      <c r="B30" s="105"/>
      <c r="J30" s="109"/>
    </row>
    <row r="31" spans="1:10" ht="15" x14ac:dyDescent="0.2">
      <c r="A31" s="110"/>
      <c r="B31" s="105"/>
      <c r="E31" s="245" t="s">
        <v>190</v>
      </c>
      <c r="F31" s="245"/>
      <c r="G31" s="245"/>
      <c r="J31" s="109"/>
    </row>
    <row r="32" spans="1:10" x14ac:dyDescent="0.2">
      <c r="A32" s="108"/>
      <c r="B32" s="107"/>
      <c r="C32" s="107"/>
      <c r="D32" s="107"/>
      <c r="E32" s="107"/>
      <c r="F32" s="107"/>
      <c r="G32" s="107"/>
      <c r="H32" s="107"/>
      <c r="I32" s="107"/>
      <c r="J32" s="106"/>
    </row>
    <row r="33" spans="2:2" ht="15" x14ac:dyDescent="0.2">
      <c r="B33" s="105"/>
    </row>
    <row r="40" spans="2:2" ht="15" x14ac:dyDescent="0.2">
      <c r="B40" s="104"/>
    </row>
    <row r="41" spans="2:2" ht="15" x14ac:dyDescent="0.2">
      <c r="B41" s="104"/>
    </row>
  </sheetData>
  <mergeCells count="35">
    <mergeCell ref="I28:I29"/>
    <mergeCell ref="I24:I25"/>
    <mergeCell ref="D25:G25"/>
    <mergeCell ref="B26:B27"/>
    <mergeCell ref="H26:H27"/>
    <mergeCell ref="C24:C25"/>
    <mergeCell ref="B24:B25"/>
    <mergeCell ref="D24:G24"/>
    <mergeCell ref="H24:H25"/>
    <mergeCell ref="B28:B29"/>
    <mergeCell ref="D28:G29"/>
    <mergeCell ref="H28:H29"/>
    <mergeCell ref="E31:G31"/>
    <mergeCell ref="B1:C3"/>
    <mergeCell ref="D1:J3"/>
    <mergeCell ref="B4:C5"/>
    <mergeCell ref="D4:J5"/>
    <mergeCell ref="B6:C6"/>
    <mergeCell ref="D6:J7"/>
    <mergeCell ref="D9:I9"/>
    <mergeCell ref="D10:H10"/>
    <mergeCell ref="B17:C19"/>
    <mergeCell ref="D17:H17"/>
    <mergeCell ref="D18:H18"/>
    <mergeCell ref="D19:H19"/>
    <mergeCell ref="D8:J8"/>
    <mergeCell ref="D12:F12"/>
    <mergeCell ref="B13:C15"/>
    <mergeCell ref="D16:J16"/>
    <mergeCell ref="B16:C16"/>
    <mergeCell ref="B7:C12"/>
    <mergeCell ref="C26:C27"/>
    <mergeCell ref="D26:G27"/>
    <mergeCell ref="I26:I27"/>
    <mergeCell ref="D13:F15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 tint="0.59999389629810485"/>
  </sheetPr>
  <dimension ref="A1:J54"/>
  <sheetViews>
    <sheetView workbookViewId="0"/>
    <sheetView workbookViewId="1"/>
  </sheetViews>
  <sheetFormatPr defaultRowHeight="12.75" x14ac:dyDescent="0.2"/>
  <cols>
    <col min="4" max="4" width="11.5703125" customWidth="1"/>
    <col min="5" max="5" width="10.42578125" customWidth="1"/>
    <col min="6" max="6" width="10.5703125" customWidth="1"/>
  </cols>
  <sheetData>
    <row r="1" spans="1:9" ht="18.75" customHeight="1" x14ac:dyDescent="0.2">
      <c r="E1" s="488" t="s">
        <v>83</v>
      </c>
      <c r="F1" s="488"/>
      <c r="G1" s="488"/>
    </row>
    <row r="2" spans="1:9" x14ac:dyDescent="0.2">
      <c r="H2" s="489"/>
      <c r="I2" s="489"/>
    </row>
    <row r="3" spans="1:9" ht="12.75" customHeight="1" x14ac:dyDescent="0.2">
      <c r="A3" s="490" t="s">
        <v>84</v>
      </c>
      <c r="B3" s="490"/>
      <c r="C3" s="490"/>
      <c r="D3" s="490"/>
      <c r="E3" s="490"/>
      <c r="F3" s="490"/>
      <c r="G3" s="56"/>
      <c r="H3" s="56"/>
      <c r="I3" s="56"/>
    </row>
    <row r="4" spans="1:9" ht="12.75" customHeight="1" x14ac:dyDescent="0.2">
      <c r="A4" s="490"/>
      <c r="B4" s="490"/>
      <c r="C4" s="490"/>
      <c r="D4" s="490"/>
      <c r="E4" s="490"/>
      <c r="F4" s="490"/>
      <c r="G4" s="56"/>
      <c r="H4" s="56"/>
      <c r="I4" s="56"/>
    </row>
    <row r="5" spans="1:9" ht="12.75" customHeight="1" x14ac:dyDescent="0.2">
      <c r="A5" s="424" t="s">
        <v>96</v>
      </c>
      <c r="B5" s="424"/>
      <c r="C5" s="424"/>
      <c r="D5" s="424"/>
      <c r="E5" s="424"/>
      <c r="F5" s="424"/>
      <c r="G5" s="56"/>
      <c r="H5" s="56"/>
      <c r="I5" s="56"/>
    </row>
    <row r="6" spans="1:9" ht="69.75" customHeight="1" x14ac:dyDescent="0.2">
      <c r="A6" s="424"/>
      <c r="B6" s="424"/>
      <c r="C6" s="424"/>
      <c r="D6" s="424"/>
      <c r="E6" s="424"/>
      <c r="F6" s="424"/>
      <c r="G6" s="28"/>
      <c r="H6" s="28"/>
      <c r="I6" s="28"/>
    </row>
    <row r="7" spans="1:9" ht="12.75" customHeight="1" x14ac:dyDescent="0.2">
      <c r="A7" s="425" t="s">
        <v>28</v>
      </c>
      <c r="B7" s="426"/>
      <c r="C7" s="426"/>
      <c r="D7" s="426"/>
      <c r="E7" s="426"/>
      <c r="F7" s="427"/>
    </row>
    <row r="8" spans="1:9" ht="12.75" customHeight="1" x14ac:dyDescent="0.2">
      <c r="A8" s="412" t="s">
        <v>29</v>
      </c>
      <c r="B8" s="412" t="s">
        <v>30</v>
      </c>
      <c r="C8" s="412" t="s">
        <v>31</v>
      </c>
      <c r="D8" s="414" t="s">
        <v>85</v>
      </c>
      <c r="E8" s="414"/>
      <c r="F8" s="414"/>
    </row>
    <row r="9" spans="1:9" x14ac:dyDescent="0.2">
      <c r="A9" s="413"/>
      <c r="B9" s="413"/>
      <c r="C9" s="412"/>
      <c r="D9" s="412" t="s">
        <v>33</v>
      </c>
      <c r="E9" s="412" t="s">
        <v>34</v>
      </c>
      <c r="F9" s="412" t="s">
        <v>35</v>
      </c>
    </row>
    <row r="10" spans="1:9" x14ac:dyDescent="0.2">
      <c r="A10" s="413"/>
      <c r="B10" s="413"/>
      <c r="C10" s="412"/>
      <c r="D10" s="412"/>
      <c r="E10" s="412"/>
      <c r="F10" s="412"/>
    </row>
    <row r="11" spans="1:9" ht="12" customHeight="1" x14ac:dyDescent="0.2">
      <c r="A11" s="413"/>
      <c r="B11" s="413"/>
      <c r="C11" s="412"/>
      <c r="D11" s="412"/>
      <c r="E11" s="412"/>
      <c r="F11" s="412"/>
      <c r="G11" s="487"/>
    </row>
    <row r="12" spans="1:9" ht="12" customHeight="1" x14ac:dyDescent="0.2">
      <c r="A12" s="420">
        <v>13</v>
      </c>
      <c r="B12" s="416">
        <v>780</v>
      </c>
      <c r="C12" s="30" t="s">
        <v>2</v>
      </c>
      <c r="D12" s="411">
        <v>0</v>
      </c>
      <c r="E12" s="31" t="s">
        <v>2</v>
      </c>
      <c r="F12" s="31" t="s">
        <v>2</v>
      </c>
      <c r="G12" s="487"/>
    </row>
    <row r="13" spans="1:9" ht="12" customHeight="1" x14ac:dyDescent="0.2">
      <c r="A13" s="420"/>
      <c r="B13" s="416"/>
      <c r="C13" s="416">
        <f>B14-B12</f>
        <v>2.4</v>
      </c>
      <c r="D13" s="411"/>
      <c r="E13" s="411">
        <f>SUM(0.5*D12,0.5*D14)</f>
        <v>0.65</v>
      </c>
      <c r="F13" s="411">
        <f>PRODUCT(C13,E13)</f>
        <v>1.56</v>
      </c>
      <c r="G13" s="487"/>
    </row>
    <row r="14" spans="1:9" ht="12" customHeight="1" x14ac:dyDescent="0.2">
      <c r="A14" s="420"/>
      <c r="B14" s="416">
        <v>782.4</v>
      </c>
      <c r="C14" s="416"/>
      <c r="D14" s="419">
        <v>1.3</v>
      </c>
      <c r="E14" s="411"/>
      <c r="F14" s="411"/>
      <c r="G14" s="487"/>
    </row>
    <row r="15" spans="1:9" ht="12" customHeight="1" x14ac:dyDescent="0.2">
      <c r="A15" s="420"/>
      <c r="B15" s="416"/>
      <c r="C15" s="416">
        <f>B16-B14</f>
        <v>28.9</v>
      </c>
      <c r="D15" s="435"/>
      <c r="E15" s="411">
        <f>SUM(0.5*D14,0.5*D16)</f>
        <v>1.45</v>
      </c>
      <c r="F15" s="411">
        <f>PRODUCT(C15,E15)</f>
        <v>41.91</v>
      </c>
      <c r="G15" s="487"/>
    </row>
    <row r="16" spans="1:9" ht="12" customHeight="1" x14ac:dyDescent="0.2">
      <c r="A16" s="420"/>
      <c r="B16" s="416">
        <v>811.3</v>
      </c>
      <c r="C16" s="416"/>
      <c r="D16" s="411">
        <v>1.6</v>
      </c>
      <c r="E16" s="411"/>
      <c r="F16" s="411"/>
      <c r="G16" s="487"/>
    </row>
    <row r="17" spans="1:7" ht="12" customHeight="1" x14ac:dyDescent="0.2">
      <c r="A17" s="420"/>
      <c r="B17" s="416"/>
      <c r="C17" s="416">
        <f>B18-B16</f>
        <v>18.7</v>
      </c>
      <c r="D17" s="411"/>
      <c r="E17" s="411">
        <f>SUM(0.5*D16,0.5*D18)</f>
        <v>1.6</v>
      </c>
      <c r="F17" s="411">
        <f>PRODUCT(C17,E17)</f>
        <v>29.92</v>
      </c>
      <c r="G17" s="487"/>
    </row>
    <row r="18" spans="1:7" ht="12" customHeight="1" x14ac:dyDescent="0.2">
      <c r="A18" s="420"/>
      <c r="B18" s="416">
        <v>830</v>
      </c>
      <c r="C18" s="416"/>
      <c r="D18" s="411">
        <v>1.6</v>
      </c>
      <c r="E18" s="411"/>
      <c r="F18" s="411"/>
      <c r="G18" s="487"/>
    </row>
    <row r="19" spans="1:7" ht="12" customHeight="1" x14ac:dyDescent="0.2">
      <c r="A19" s="420"/>
      <c r="B19" s="416"/>
      <c r="C19" s="416">
        <f>B20-B18</f>
        <v>31.6</v>
      </c>
      <c r="D19" s="411"/>
      <c r="E19" s="411">
        <f>SUM(0.5*D18,0.5*D20)</f>
        <v>1.6</v>
      </c>
      <c r="F19" s="411">
        <f>PRODUCT(C19,E19)</f>
        <v>50.56</v>
      </c>
      <c r="G19" s="487"/>
    </row>
    <row r="20" spans="1:7" ht="12" customHeight="1" x14ac:dyDescent="0.2">
      <c r="A20" s="420"/>
      <c r="B20" s="416">
        <v>861.6</v>
      </c>
      <c r="C20" s="416"/>
      <c r="D20" s="411">
        <v>1.6</v>
      </c>
      <c r="E20" s="411"/>
      <c r="F20" s="411"/>
      <c r="G20" s="487"/>
    </row>
    <row r="21" spans="1:7" ht="12" customHeight="1" x14ac:dyDescent="0.2">
      <c r="A21" s="420"/>
      <c r="B21" s="416"/>
      <c r="C21" s="416">
        <f>B22-B20</f>
        <v>18.399999999999999</v>
      </c>
      <c r="D21" s="411"/>
      <c r="E21" s="411">
        <f>SUM(0.5*D20,0.5*D22)</f>
        <v>1.6</v>
      </c>
      <c r="F21" s="411">
        <f>PRODUCT(C21,E21)</f>
        <v>29.44</v>
      </c>
      <c r="G21" s="487"/>
    </row>
    <row r="22" spans="1:7" ht="12" customHeight="1" x14ac:dyDescent="0.2">
      <c r="A22" s="420"/>
      <c r="B22" s="416">
        <v>880</v>
      </c>
      <c r="C22" s="416"/>
      <c r="D22" s="411">
        <v>1.6</v>
      </c>
      <c r="E22" s="411"/>
      <c r="F22" s="411"/>
      <c r="G22" s="487"/>
    </row>
    <row r="23" spans="1:7" ht="12" customHeight="1" x14ac:dyDescent="0.2">
      <c r="A23" s="420"/>
      <c r="B23" s="416"/>
      <c r="C23" s="416">
        <f>B24-B22</f>
        <v>23.7</v>
      </c>
      <c r="D23" s="411"/>
      <c r="E23" s="411">
        <f>SUM(0.5*D22,0.5*D24)</f>
        <v>1.6</v>
      </c>
      <c r="F23" s="411">
        <f>PRODUCT(C23,E23)</f>
        <v>37.92</v>
      </c>
      <c r="G23" s="487"/>
    </row>
    <row r="24" spans="1:7" ht="12" customHeight="1" x14ac:dyDescent="0.2">
      <c r="A24" s="420"/>
      <c r="B24" s="416">
        <v>903.7</v>
      </c>
      <c r="C24" s="416"/>
      <c r="D24" s="411">
        <v>1.6</v>
      </c>
      <c r="E24" s="411"/>
      <c r="F24" s="411"/>
      <c r="G24" s="487"/>
    </row>
    <row r="25" spans="1:7" ht="12" customHeight="1" x14ac:dyDescent="0.2">
      <c r="A25" s="420"/>
      <c r="B25" s="416"/>
      <c r="C25" s="416">
        <f>B26-B24</f>
        <v>34.299999999999997</v>
      </c>
      <c r="D25" s="411"/>
      <c r="E25" s="411">
        <f>SUM(0.5*D24,0.5*D26)</f>
        <v>2.4</v>
      </c>
      <c r="F25" s="411">
        <f>PRODUCT(C25,E25)</f>
        <v>82.32</v>
      </c>
      <c r="G25" s="487"/>
    </row>
    <row r="26" spans="1:7" ht="12" customHeight="1" x14ac:dyDescent="0.2">
      <c r="A26" s="420"/>
      <c r="B26" s="416">
        <v>938</v>
      </c>
      <c r="C26" s="416"/>
      <c r="D26" s="411">
        <v>3.2</v>
      </c>
      <c r="E26" s="411"/>
      <c r="F26" s="411"/>
      <c r="G26" s="487"/>
    </row>
    <row r="27" spans="1:7" ht="12" customHeight="1" x14ac:dyDescent="0.2">
      <c r="A27" s="420"/>
      <c r="B27" s="416"/>
      <c r="C27" s="30" t="s">
        <v>2</v>
      </c>
      <c r="D27" s="419"/>
      <c r="E27" s="57" t="s">
        <v>2</v>
      </c>
      <c r="F27" s="57" t="s">
        <v>2</v>
      </c>
      <c r="G27" s="487"/>
    </row>
    <row r="28" spans="1:7" ht="12" customHeight="1" x14ac:dyDescent="0.2">
      <c r="A28" s="61"/>
      <c r="B28" s="63"/>
      <c r="C28" s="63"/>
      <c r="D28" s="417" t="s">
        <v>37</v>
      </c>
      <c r="E28" s="417"/>
      <c r="F28" s="418">
        <f>SUM(F13:F26)</f>
        <v>273.63</v>
      </c>
      <c r="G28" s="450"/>
    </row>
    <row r="29" spans="1:7" ht="12" customHeight="1" x14ac:dyDescent="0.2">
      <c r="A29" s="64"/>
      <c r="B29" s="65"/>
      <c r="C29" s="65"/>
      <c r="D29" s="417"/>
      <c r="E29" s="417"/>
      <c r="F29" s="418"/>
      <c r="G29" s="450"/>
    </row>
    <row r="30" spans="1:7" ht="12" customHeight="1" x14ac:dyDescent="0.2">
      <c r="A30" s="64"/>
      <c r="B30" s="65"/>
      <c r="C30" s="65"/>
      <c r="D30" s="417" t="s">
        <v>38</v>
      </c>
      <c r="E30" s="417"/>
      <c r="F30" s="418">
        <f>-(6.5*0.8+4.5*0.8+12.5*0.8)</f>
        <v>-18.8</v>
      </c>
      <c r="G30" s="450"/>
    </row>
    <row r="31" spans="1:7" ht="12" customHeight="1" x14ac:dyDescent="0.2">
      <c r="A31" s="64"/>
      <c r="B31" s="65"/>
      <c r="C31" s="65"/>
      <c r="D31" s="417"/>
      <c r="E31" s="417"/>
      <c r="F31" s="418"/>
      <c r="G31" s="450"/>
    </row>
    <row r="32" spans="1:7" ht="12" customHeight="1" x14ac:dyDescent="0.2">
      <c r="A32" s="64"/>
      <c r="B32" s="65"/>
      <c r="C32" s="65"/>
      <c r="D32" s="417" t="s">
        <v>97</v>
      </c>
      <c r="E32" s="417"/>
      <c r="F32" s="418">
        <f>F28+F30</f>
        <v>254.83</v>
      </c>
      <c r="G32" s="450"/>
    </row>
    <row r="33" spans="1:10" ht="12" customHeight="1" x14ac:dyDescent="0.2">
      <c r="A33" s="64"/>
      <c r="B33" s="65"/>
      <c r="C33" s="65"/>
      <c r="D33" s="417"/>
      <c r="E33" s="417"/>
      <c r="F33" s="418"/>
      <c r="G33" s="450"/>
    </row>
    <row r="34" spans="1:10" ht="12" customHeight="1" x14ac:dyDescent="0.2">
      <c r="A34" s="64"/>
      <c r="B34" s="65"/>
      <c r="C34" s="65"/>
      <c r="D34" s="66"/>
      <c r="E34" s="66"/>
      <c r="F34" s="66"/>
      <c r="G34" s="450"/>
    </row>
    <row r="35" spans="1:10" ht="12" customHeight="1" x14ac:dyDescent="0.2">
      <c r="A35" s="71"/>
      <c r="B35" s="72"/>
      <c r="C35" s="72"/>
      <c r="D35" s="73"/>
      <c r="E35" s="73"/>
      <c r="F35" s="73"/>
      <c r="G35" s="450"/>
    </row>
    <row r="36" spans="1:10" ht="12" customHeight="1" x14ac:dyDescent="0.2">
      <c r="A36" s="425" t="s">
        <v>36</v>
      </c>
      <c r="B36" s="426"/>
      <c r="C36" s="426"/>
      <c r="D36" s="426"/>
      <c r="E36" s="426"/>
      <c r="F36" s="427"/>
      <c r="G36" s="487"/>
    </row>
    <row r="37" spans="1:10" ht="12" customHeight="1" x14ac:dyDescent="0.2">
      <c r="A37" s="412" t="s">
        <v>29</v>
      </c>
      <c r="B37" s="412" t="s">
        <v>30</v>
      </c>
      <c r="C37" s="412" t="s">
        <v>31</v>
      </c>
      <c r="D37" s="414" t="s">
        <v>85</v>
      </c>
      <c r="E37" s="414"/>
      <c r="F37" s="414"/>
      <c r="J37" s="36"/>
    </row>
    <row r="38" spans="1:10" ht="12" customHeight="1" x14ac:dyDescent="0.2">
      <c r="A38" s="413"/>
      <c r="B38" s="413"/>
      <c r="C38" s="412"/>
      <c r="D38" s="412" t="s">
        <v>33</v>
      </c>
      <c r="E38" s="412" t="s">
        <v>34</v>
      </c>
      <c r="F38" s="412" t="s">
        <v>35</v>
      </c>
      <c r="J38" s="36"/>
    </row>
    <row r="39" spans="1:10" ht="12" customHeight="1" x14ac:dyDescent="0.2">
      <c r="A39" s="413"/>
      <c r="B39" s="413"/>
      <c r="C39" s="412"/>
      <c r="D39" s="412"/>
      <c r="E39" s="412"/>
      <c r="F39" s="412"/>
      <c r="H39" s="36"/>
    </row>
    <row r="40" spans="1:10" ht="12" customHeight="1" x14ac:dyDescent="0.2">
      <c r="A40" s="413"/>
      <c r="B40" s="413"/>
      <c r="C40" s="412"/>
      <c r="D40" s="412"/>
      <c r="E40" s="412"/>
      <c r="F40" s="412"/>
    </row>
    <row r="41" spans="1:10" x14ac:dyDescent="0.2">
      <c r="A41" s="420">
        <v>0</v>
      </c>
      <c r="B41" s="434">
        <v>12</v>
      </c>
      <c r="C41" s="32" t="s">
        <v>2</v>
      </c>
      <c r="D41" s="435">
        <v>2.2000000000000002</v>
      </c>
      <c r="E41" s="33" t="s">
        <v>2</v>
      </c>
      <c r="F41" s="33" t="s">
        <v>2</v>
      </c>
    </row>
    <row r="42" spans="1:10" x14ac:dyDescent="0.2">
      <c r="A42" s="420"/>
      <c r="B42" s="416"/>
      <c r="C42" s="416">
        <f>B43-B41</f>
        <v>5.7</v>
      </c>
      <c r="D42" s="419"/>
      <c r="E42" s="411">
        <f>SUM(0.5*D41,0.5*D43)</f>
        <v>1.65</v>
      </c>
      <c r="F42" s="411">
        <f>PRODUCT(C42,E42)</f>
        <v>9.41</v>
      </c>
    </row>
    <row r="43" spans="1:10" x14ac:dyDescent="0.2">
      <c r="A43" s="420"/>
      <c r="B43" s="416">
        <v>17.7</v>
      </c>
      <c r="C43" s="416"/>
      <c r="D43" s="411">
        <v>1.1000000000000001</v>
      </c>
      <c r="E43" s="411"/>
      <c r="F43" s="411"/>
    </row>
    <row r="44" spans="1:10" x14ac:dyDescent="0.2">
      <c r="A44" s="420"/>
      <c r="B44" s="416"/>
      <c r="C44" s="409">
        <f>B45-B43</f>
        <v>17.3</v>
      </c>
      <c r="D44" s="419"/>
      <c r="E44" s="411">
        <f>SUM(0.5*D43,0.5*D45)</f>
        <v>1.1000000000000001</v>
      </c>
      <c r="F44" s="411">
        <f>PRODUCT(C44,E44)</f>
        <v>19.03</v>
      </c>
    </row>
    <row r="45" spans="1:10" x14ac:dyDescent="0.2">
      <c r="A45" s="420"/>
      <c r="B45" s="416">
        <v>35</v>
      </c>
      <c r="C45" s="410"/>
      <c r="D45" s="411">
        <v>1.1000000000000001</v>
      </c>
      <c r="E45" s="411"/>
      <c r="F45" s="411"/>
    </row>
    <row r="46" spans="1:10" x14ac:dyDescent="0.2">
      <c r="A46" s="420"/>
      <c r="B46" s="416"/>
      <c r="C46" s="409">
        <f>B47-B45</f>
        <v>17</v>
      </c>
      <c r="D46" s="419"/>
      <c r="E46" s="411">
        <f>SUM(0.5*D45,0.5*D47)</f>
        <v>0.55000000000000004</v>
      </c>
      <c r="F46" s="411">
        <f>PRODUCT(C46,E46)</f>
        <v>9.35</v>
      </c>
    </row>
    <row r="47" spans="1:10" x14ac:dyDescent="0.2">
      <c r="A47" s="420"/>
      <c r="B47" s="416">
        <v>52</v>
      </c>
      <c r="C47" s="410"/>
      <c r="D47" s="411">
        <v>0</v>
      </c>
      <c r="E47" s="411"/>
      <c r="F47" s="411"/>
    </row>
    <row r="48" spans="1:10" x14ac:dyDescent="0.2">
      <c r="A48" s="420"/>
      <c r="B48" s="416"/>
      <c r="C48" s="30" t="s">
        <v>2</v>
      </c>
      <c r="D48" s="419"/>
      <c r="E48" s="57" t="s">
        <v>2</v>
      </c>
      <c r="F48" s="57" t="s">
        <v>2</v>
      </c>
    </row>
    <row r="49" spans="3:6" x14ac:dyDescent="0.2">
      <c r="D49" s="417" t="s">
        <v>37</v>
      </c>
      <c r="E49" s="417"/>
      <c r="F49" s="418">
        <f>SUM(F42:F48)</f>
        <v>37.79</v>
      </c>
    </row>
    <row r="50" spans="3:6" ht="13.5" customHeight="1" x14ac:dyDescent="0.2">
      <c r="C50" s="26"/>
      <c r="D50" s="417"/>
      <c r="E50" s="417"/>
      <c r="F50" s="418"/>
    </row>
    <row r="51" spans="3:6" x14ac:dyDescent="0.2">
      <c r="D51" s="417" t="s">
        <v>38</v>
      </c>
      <c r="E51" s="417"/>
      <c r="F51" s="418">
        <f>-(10.5*0.8+8*0.8)</f>
        <v>-14.8</v>
      </c>
    </row>
    <row r="52" spans="3:6" x14ac:dyDescent="0.2">
      <c r="D52" s="417"/>
      <c r="E52" s="417"/>
      <c r="F52" s="418"/>
    </row>
    <row r="53" spans="3:6" x14ac:dyDescent="0.2">
      <c r="D53" s="417" t="s">
        <v>98</v>
      </c>
      <c r="E53" s="417"/>
      <c r="F53" s="418">
        <f>F49+F51</f>
        <v>22.99</v>
      </c>
    </row>
    <row r="54" spans="3:6" x14ac:dyDescent="0.2">
      <c r="D54" s="417"/>
      <c r="E54" s="417"/>
      <c r="F54" s="418"/>
    </row>
  </sheetData>
  <mergeCells count="97">
    <mergeCell ref="E1:G1"/>
    <mergeCell ref="H2:I2"/>
    <mergeCell ref="A3:F4"/>
    <mergeCell ref="A5:F6"/>
    <mergeCell ref="A7:F7"/>
    <mergeCell ref="E9:E11"/>
    <mergeCell ref="F9:F11"/>
    <mergeCell ref="G11:G12"/>
    <mergeCell ref="A12:A27"/>
    <mergeCell ref="B12:B13"/>
    <mergeCell ref="D12:D13"/>
    <mergeCell ref="C13:C14"/>
    <mergeCell ref="E13:E14"/>
    <mergeCell ref="F13:F14"/>
    <mergeCell ref="G13:G14"/>
    <mergeCell ref="A8:A11"/>
    <mergeCell ref="B8:B11"/>
    <mergeCell ref="C8:C11"/>
    <mergeCell ref="D8:F8"/>
    <mergeCell ref="D9:D11"/>
    <mergeCell ref="G15:G16"/>
    <mergeCell ref="B16:B17"/>
    <mergeCell ref="D16:D17"/>
    <mergeCell ref="C17:C18"/>
    <mergeCell ref="E17:E18"/>
    <mergeCell ref="B14:B15"/>
    <mergeCell ref="D14:D15"/>
    <mergeCell ref="C15:C16"/>
    <mergeCell ref="E15:E16"/>
    <mergeCell ref="F15:F16"/>
    <mergeCell ref="F17:F18"/>
    <mergeCell ref="G17:G18"/>
    <mergeCell ref="B18:B19"/>
    <mergeCell ref="D18:D19"/>
    <mergeCell ref="C19:C20"/>
    <mergeCell ref="E19:E20"/>
    <mergeCell ref="F19:F20"/>
    <mergeCell ref="G19:G20"/>
    <mergeCell ref="B20:B21"/>
    <mergeCell ref="D20:D21"/>
    <mergeCell ref="C21:C22"/>
    <mergeCell ref="E21:E22"/>
    <mergeCell ref="F21:F22"/>
    <mergeCell ref="G21:G22"/>
    <mergeCell ref="B22:B23"/>
    <mergeCell ref="D22:D23"/>
    <mergeCell ref="C23:C24"/>
    <mergeCell ref="E23:E24"/>
    <mergeCell ref="F23:F24"/>
    <mergeCell ref="G23:G24"/>
    <mergeCell ref="G25:G26"/>
    <mergeCell ref="B26:B27"/>
    <mergeCell ref="D26:D27"/>
    <mergeCell ref="G27:G36"/>
    <mergeCell ref="A36:F36"/>
    <mergeCell ref="B24:B25"/>
    <mergeCell ref="D24:D25"/>
    <mergeCell ref="C25:C26"/>
    <mergeCell ref="E25:E26"/>
    <mergeCell ref="F25:F26"/>
    <mergeCell ref="C44:C45"/>
    <mergeCell ref="E44:E45"/>
    <mergeCell ref="F44:F45"/>
    <mergeCell ref="A37:A40"/>
    <mergeCell ref="B37:B40"/>
    <mergeCell ref="C37:C40"/>
    <mergeCell ref="D37:F37"/>
    <mergeCell ref="D38:D40"/>
    <mergeCell ref="E38:E40"/>
    <mergeCell ref="F38:F40"/>
    <mergeCell ref="B47:B48"/>
    <mergeCell ref="D47:D48"/>
    <mergeCell ref="D49:E50"/>
    <mergeCell ref="F49:F50"/>
    <mergeCell ref="A41:A48"/>
    <mergeCell ref="B41:B42"/>
    <mergeCell ref="D41:D42"/>
    <mergeCell ref="C42:C43"/>
    <mergeCell ref="E42:E43"/>
    <mergeCell ref="B45:B46"/>
    <mergeCell ref="D45:D46"/>
    <mergeCell ref="C46:C47"/>
    <mergeCell ref="E46:E47"/>
    <mergeCell ref="F42:F43"/>
    <mergeCell ref="B43:B44"/>
    <mergeCell ref="D43:D44"/>
    <mergeCell ref="D51:E52"/>
    <mergeCell ref="F51:F52"/>
    <mergeCell ref="D53:E54"/>
    <mergeCell ref="F53:F54"/>
    <mergeCell ref="D28:E29"/>
    <mergeCell ref="F28:F29"/>
    <mergeCell ref="D30:E31"/>
    <mergeCell ref="F30:F31"/>
    <mergeCell ref="D32:E33"/>
    <mergeCell ref="F32:F33"/>
    <mergeCell ref="F46:F47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6" orientation="portrait" horizontalDpi="4294967294" verticalDpi="4294967294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6" tint="-0.249977111117893"/>
  </sheetPr>
  <dimension ref="A1:J53"/>
  <sheetViews>
    <sheetView workbookViewId="0"/>
    <sheetView workbookViewId="1"/>
  </sheetViews>
  <sheetFormatPr defaultRowHeight="12.75" x14ac:dyDescent="0.2"/>
  <cols>
    <col min="4" max="4" width="11.5703125" customWidth="1"/>
    <col min="5" max="5" width="10.42578125" customWidth="1"/>
    <col min="6" max="6" width="10.5703125" customWidth="1"/>
  </cols>
  <sheetData>
    <row r="1" spans="1:9" ht="18.75" customHeight="1" x14ac:dyDescent="0.2">
      <c r="E1" s="488" t="s">
        <v>86</v>
      </c>
      <c r="F1" s="488"/>
      <c r="G1" s="488"/>
    </row>
    <row r="2" spans="1:9" x14ac:dyDescent="0.2">
      <c r="H2" s="489"/>
      <c r="I2" s="489"/>
    </row>
    <row r="3" spans="1:9" ht="12.75" customHeight="1" x14ac:dyDescent="0.2">
      <c r="A3" s="490" t="s">
        <v>87</v>
      </c>
      <c r="B3" s="490"/>
      <c r="C3" s="490"/>
      <c r="D3" s="490"/>
      <c r="E3" s="490"/>
      <c r="F3" s="490"/>
      <c r="G3" s="56"/>
      <c r="H3" s="56"/>
      <c r="I3" s="56"/>
    </row>
    <row r="4" spans="1:9" ht="12.75" customHeight="1" x14ac:dyDescent="0.2">
      <c r="A4" s="490"/>
      <c r="B4" s="490"/>
      <c r="C4" s="490"/>
      <c r="D4" s="490"/>
      <c r="E4" s="490"/>
      <c r="F4" s="490"/>
      <c r="G4" s="56"/>
      <c r="H4" s="56"/>
      <c r="I4" s="56"/>
    </row>
    <row r="5" spans="1:9" ht="12.75" customHeight="1" x14ac:dyDescent="0.2">
      <c r="A5" s="424" t="s">
        <v>96</v>
      </c>
      <c r="B5" s="424"/>
      <c r="C5" s="424"/>
      <c r="D5" s="424"/>
      <c r="E5" s="424"/>
      <c r="F5" s="424"/>
      <c r="G5" s="56"/>
      <c r="H5" s="56"/>
      <c r="I5" s="56"/>
    </row>
    <row r="6" spans="1:9" ht="69.75" customHeight="1" x14ac:dyDescent="0.2">
      <c r="A6" s="424"/>
      <c r="B6" s="424"/>
      <c r="C6" s="424"/>
      <c r="D6" s="424"/>
      <c r="E6" s="424"/>
      <c r="F6" s="424"/>
      <c r="G6" s="28"/>
      <c r="H6" s="28"/>
      <c r="I6" s="28"/>
    </row>
    <row r="7" spans="1:9" ht="12.75" customHeight="1" x14ac:dyDescent="0.2">
      <c r="A7" s="425" t="s">
        <v>28</v>
      </c>
      <c r="B7" s="426"/>
      <c r="C7" s="426"/>
      <c r="D7" s="426"/>
      <c r="E7" s="426"/>
      <c r="F7" s="427"/>
    </row>
    <row r="8" spans="1:9" ht="12.75" customHeight="1" x14ac:dyDescent="0.2">
      <c r="A8" s="412" t="s">
        <v>29</v>
      </c>
      <c r="B8" s="412" t="s">
        <v>30</v>
      </c>
      <c r="C8" s="412" t="s">
        <v>31</v>
      </c>
      <c r="D8" s="414" t="s">
        <v>88</v>
      </c>
      <c r="E8" s="414"/>
      <c r="F8" s="414"/>
    </row>
    <row r="9" spans="1:9" x14ac:dyDescent="0.2">
      <c r="A9" s="413"/>
      <c r="B9" s="413"/>
      <c r="C9" s="412"/>
      <c r="D9" s="412" t="s">
        <v>33</v>
      </c>
      <c r="E9" s="412" t="s">
        <v>34</v>
      </c>
      <c r="F9" s="412" t="s">
        <v>35</v>
      </c>
    </row>
    <row r="10" spans="1:9" x14ac:dyDescent="0.2">
      <c r="A10" s="413"/>
      <c r="B10" s="413"/>
      <c r="C10" s="412"/>
      <c r="D10" s="412"/>
      <c r="E10" s="412"/>
      <c r="F10" s="412"/>
    </row>
    <row r="11" spans="1:9" ht="12" customHeight="1" x14ac:dyDescent="0.2">
      <c r="A11" s="413"/>
      <c r="B11" s="413"/>
      <c r="C11" s="412"/>
      <c r="D11" s="412"/>
      <c r="E11" s="412"/>
      <c r="F11" s="412"/>
      <c r="G11" s="487"/>
    </row>
    <row r="12" spans="1:9" ht="12" customHeight="1" x14ac:dyDescent="0.2">
      <c r="A12" s="420">
        <v>13</v>
      </c>
      <c r="B12" s="416">
        <v>780</v>
      </c>
      <c r="C12" s="30" t="s">
        <v>2</v>
      </c>
      <c r="D12" s="411">
        <v>0</v>
      </c>
      <c r="E12" s="31" t="s">
        <v>2</v>
      </c>
      <c r="F12" s="31" t="s">
        <v>2</v>
      </c>
      <c r="G12" s="487"/>
    </row>
    <row r="13" spans="1:9" ht="12" customHeight="1" x14ac:dyDescent="0.2">
      <c r="A13" s="420"/>
      <c r="B13" s="416"/>
      <c r="C13" s="416">
        <f>B14-B12</f>
        <v>2.4</v>
      </c>
      <c r="D13" s="411"/>
      <c r="E13" s="411">
        <f>SUM(0.5*D12,0.5*D14)</f>
        <v>0.81</v>
      </c>
      <c r="F13" s="411">
        <f>PRODUCT(C13,E13)</f>
        <v>1.94</v>
      </c>
      <c r="G13" s="487"/>
    </row>
    <row r="14" spans="1:9" ht="12" customHeight="1" x14ac:dyDescent="0.2">
      <c r="A14" s="420"/>
      <c r="B14" s="416">
        <v>782.4</v>
      </c>
      <c r="C14" s="416"/>
      <c r="D14" s="419">
        <v>1.62</v>
      </c>
      <c r="E14" s="411"/>
      <c r="F14" s="411"/>
      <c r="G14" s="487"/>
    </row>
    <row r="15" spans="1:9" ht="12" customHeight="1" x14ac:dyDescent="0.2">
      <c r="A15" s="420"/>
      <c r="B15" s="416"/>
      <c r="C15" s="416">
        <f>B16-B14</f>
        <v>28.9</v>
      </c>
      <c r="D15" s="435"/>
      <c r="E15" s="411">
        <f>SUM(0.5*D14,0.5*D16)</f>
        <v>1.62</v>
      </c>
      <c r="F15" s="411">
        <f>PRODUCT(C15,E15)</f>
        <v>46.82</v>
      </c>
      <c r="G15" s="487"/>
    </row>
    <row r="16" spans="1:9" ht="12" customHeight="1" x14ac:dyDescent="0.2">
      <c r="A16" s="420"/>
      <c r="B16" s="416">
        <v>811.3</v>
      </c>
      <c r="C16" s="416"/>
      <c r="D16" s="411">
        <v>1.62</v>
      </c>
      <c r="E16" s="411"/>
      <c r="F16" s="411"/>
      <c r="G16" s="487"/>
    </row>
    <row r="17" spans="1:7" ht="12" customHeight="1" x14ac:dyDescent="0.2">
      <c r="A17" s="420"/>
      <c r="B17" s="416"/>
      <c r="C17" s="416">
        <f>B18-B16</f>
        <v>18.7</v>
      </c>
      <c r="D17" s="411"/>
      <c r="E17" s="411">
        <f>SUM(0.5*D16,0.5*D18)</f>
        <v>1.62</v>
      </c>
      <c r="F17" s="411">
        <f>PRODUCT(C17,E17)</f>
        <v>30.29</v>
      </c>
      <c r="G17" s="487"/>
    </row>
    <row r="18" spans="1:7" ht="12" customHeight="1" x14ac:dyDescent="0.2">
      <c r="A18" s="420"/>
      <c r="B18" s="416">
        <v>830</v>
      </c>
      <c r="C18" s="416"/>
      <c r="D18" s="411">
        <v>1.62</v>
      </c>
      <c r="E18" s="411"/>
      <c r="F18" s="411"/>
      <c r="G18" s="487"/>
    </row>
    <row r="19" spans="1:7" ht="12" customHeight="1" x14ac:dyDescent="0.2">
      <c r="A19" s="420"/>
      <c r="B19" s="416"/>
      <c r="C19" s="416">
        <f>B20-B18</f>
        <v>31.6</v>
      </c>
      <c r="D19" s="411"/>
      <c r="E19" s="411">
        <f>SUM(0.5*D18,0.5*D20)</f>
        <v>1.62</v>
      </c>
      <c r="F19" s="411">
        <f>PRODUCT(C19,E19)</f>
        <v>51.19</v>
      </c>
      <c r="G19" s="487"/>
    </row>
    <row r="20" spans="1:7" ht="12" customHeight="1" x14ac:dyDescent="0.2">
      <c r="A20" s="420"/>
      <c r="B20" s="416">
        <v>861.6</v>
      </c>
      <c r="C20" s="416"/>
      <c r="D20" s="411">
        <v>1.62</v>
      </c>
      <c r="E20" s="411"/>
      <c r="F20" s="411"/>
      <c r="G20" s="487"/>
    </row>
    <row r="21" spans="1:7" ht="12" customHeight="1" x14ac:dyDescent="0.2">
      <c r="A21" s="420"/>
      <c r="B21" s="416"/>
      <c r="C21" s="416">
        <f>B22-B20</f>
        <v>18.399999999999999</v>
      </c>
      <c r="D21" s="411"/>
      <c r="E21" s="411">
        <f>SUM(0.5*D20,0.5*D22)</f>
        <v>1.62</v>
      </c>
      <c r="F21" s="411">
        <f>PRODUCT(C21,E21)</f>
        <v>29.81</v>
      </c>
      <c r="G21" s="487"/>
    </row>
    <row r="22" spans="1:7" ht="12" customHeight="1" x14ac:dyDescent="0.2">
      <c r="A22" s="420"/>
      <c r="B22" s="416">
        <v>880</v>
      </c>
      <c r="C22" s="416"/>
      <c r="D22" s="411">
        <v>1.62</v>
      </c>
      <c r="E22" s="411"/>
      <c r="F22" s="411"/>
      <c r="G22" s="487"/>
    </row>
    <row r="23" spans="1:7" ht="12" customHeight="1" x14ac:dyDescent="0.2">
      <c r="A23" s="420"/>
      <c r="B23" s="416"/>
      <c r="C23" s="416">
        <f>B24-B22</f>
        <v>23.7</v>
      </c>
      <c r="D23" s="411"/>
      <c r="E23" s="411">
        <f>SUM(0.5*D22,0.5*D24)</f>
        <v>1.62</v>
      </c>
      <c r="F23" s="411">
        <f>PRODUCT(C23,E23)</f>
        <v>38.39</v>
      </c>
      <c r="G23" s="487"/>
    </row>
    <row r="24" spans="1:7" ht="12" customHeight="1" x14ac:dyDescent="0.2">
      <c r="A24" s="420"/>
      <c r="B24" s="416">
        <v>903.7</v>
      </c>
      <c r="C24" s="416"/>
      <c r="D24" s="411">
        <v>1.62</v>
      </c>
      <c r="E24" s="411"/>
      <c r="F24" s="411"/>
      <c r="G24" s="487"/>
    </row>
    <row r="25" spans="1:7" ht="12" customHeight="1" x14ac:dyDescent="0.2">
      <c r="A25" s="420"/>
      <c r="B25" s="416"/>
      <c r="C25" s="416">
        <f>B26-B24</f>
        <v>34.299999999999997</v>
      </c>
      <c r="D25" s="411"/>
      <c r="E25" s="411">
        <f>SUM(0.5*D24,0.5*D26)</f>
        <v>1.62</v>
      </c>
      <c r="F25" s="411">
        <f>PRODUCT(C25,E25)</f>
        <v>55.57</v>
      </c>
      <c r="G25" s="487"/>
    </row>
    <row r="26" spans="1:7" ht="12" customHeight="1" x14ac:dyDescent="0.2">
      <c r="A26" s="420"/>
      <c r="B26" s="416">
        <v>938</v>
      </c>
      <c r="C26" s="416"/>
      <c r="D26" s="411">
        <v>1.62</v>
      </c>
      <c r="E26" s="411"/>
      <c r="F26" s="411"/>
      <c r="G26" s="487"/>
    </row>
    <row r="27" spans="1:7" ht="12" customHeight="1" x14ac:dyDescent="0.2">
      <c r="A27" s="420"/>
      <c r="B27" s="416"/>
      <c r="C27" s="30" t="s">
        <v>2</v>
      </c>
      <c r="D27" s="411"/>
      <c r="E27" s="31" t="s">
        <v>2</v>
      </c>
      <c r="F27" s="31" t="s">
        <v>2</v>
      </c>
      <c r="G27" s="487"/>
    </row>
    <row r="28" spans="1:7" ht="12" customHeight="1" x14ac:dyDescent="0.2">
      <c r="A28" s="64"/>
      <c r="B28" s="65"/>
      <c r="C28" s="65"/>
      <c r="D28" s="417" t="s">
        <v>37</v>
      </c>
      <c r="E28" s="417"/>
      <c r="F28" s="418">
        <f>SUM(F13:F26)</f>
        <v>254.01</v>
      </c>
      <c r="G28" s="450"/>
    </row>
    <row r="29" spans="1:7" ht="12" customHeight="1" x14ac:dyDescent="0.2">
      <c r="A29" s="64"/>
      <c r="B29" s="65"/>
      <c r="C29" s="65"/>
      <c r="D29" s="417"/>
      <c r="E29" s="417"/>
      <c r="F29" s="418"/>
      <c r="G29" s="450"/>
    </row>
    <row r="30" spans="1:7" ht="12" customHeight="1" x14ac:dyDescent="0.2">
      <c r="A30" s="64"/>
      <c r="B30" s="65"/>
      <c r="C30" s="65"/>
      <c r="D30" s="417" t="s">
        <v>38</v>
      </c>
      <c r="E30" s="417"/>
      <c r="F30" s="418">
        <f>14.01+11.51+9.1</f>
        <v>34.619999999999997</v>
      </c>
      <c r="G30" s="450"/>
    </row>
    <row r="31" spans="1:7" ht="12" customHeight="1" x14ac:dyDescent="0.2">
      <c r="A31" s="64"/>
      <c r="B31" s="65"/>
      <c r="C31" s="65"/>
      <c r="D31" s="417"/>
      <c r="E31" s="417"/>
      <c r="F31" s="418"/>
      <c r="G31" s="450"/>
    </row>
    <row r="32" spans="1:7" ht="12" customHeight="1" x14ac:dyDescent="0.2">
      <c r="A32" s="64"/>
      <c r="B32" s="65"/>
      <c r="C32" s="65"/>
      <c r="D32" s="417" t="s">
        <v>97</v>
      </c>
      <c r="E32" s="417"/>
      <c r="F32" s="418">
        <f>F28+F30</f>
        <v>288.63</v>
      </c>
      <c r="G32" s="450"/>
    </row>
    <row r="33" spans="1:10" ht="12" customHeight="1" x14ac:dyDescent="0.2">
      <c r="A33" s="64"/>
      <c r="B33" s="65"/>
      <c r="C33" s="65"/>
      <c r="D33" s="417"/>
      <c r="E33" s="417"/>
      <c r="F33" s="418"/>
      <c r="G33" s="450"/>
    </row>
    <row r="34" spans="1:10" ht="12" customHeight="1" x14ac:dyDescent="0.2">
      <c r="A34" s="64"/>
      <c r="B34" s="65"/>
      <c r="C34" s="65"/>
      <c r="D34" s="66"/>
      <c r="E34" s="66"/>
      <c r="F34" s="66"/>
      <c r="G34" s="450"/>
    </row>
    <row r="35" spans="1:10" ht="12" customHeight="1" x14ac:dyDescent="0.2">
      <c r="A35" s="425" t="s">
        <v>36</v>
      </c>
      <c r="B35" s="426"/>
      <c r="C35" s="426"/>
      <c r="D35" s="426"/>
      <c r="E35" s="426"/>
      <c r="F35" s="427"/>
      <c r="G35" s="487"/>
    </row>
    <row r="36" spans="1:10" ht="12" customHeight="1" x14ac:dyDescent="0.2">
      <c r="A36" s="412" t="s">
        <v>29</v>
      </c>
      <c r="B36" s="412" t="s">
        <v>30</v>
      </c>
      <c r="C36" s="412" t="s">
        <v>31</v>
      </c>
      <c r="D36" s="414" t="s">
        <v>88</v>
      </c>
      <c r="E36" s="414"/>
      <c r="F36" s="414"/>
      <c r="J36" s="36"/>
    </row>
    <row r="37" spans="1:10" ht="12" customHeight="1" x14ac:dyDescent="0.2">
      <c r="A37" s="413"/>
      <c r="B37" s="413"/>
      <c r="C37" s="412"/>
      <c r="D37" s="412" t="s">
        <v>33</v>
      </c>
      <c r="E37" s="412" t="s">
        <v>34</v>
      </c>
      <c r="F37" s="412" t="s">
        <v>35</v>
      </c>
      <c r="J37" s="36"/>
    </row>
    <row r="38" spans="1:10" ht="12" customHeight="1" x14ac:dyDescent="0.2">
      <c r="A38" s="413"/>
      <c r="B38" s="413"/>
      <c r="C38" s="412"/>
      <c r="D38" s="412"/>
      <c r="E38" s="412"/>
      <c r="F38" s="412"/>
      <c r="H38" s="36"/>
    </row>
    <row r="39" spans="1:10" ht="12" customHeight="1" x14ac:dyDescent="0.2">
      <c r="A39" s="413"/>
      <c r="B39" s="413"/>
      <c r="C39" s="412"/>
      <c r="D39" s="412"/>
      <c r="E39" s="412"/>
      <c r="F39" s="412"/>
    </row>
    <row r="40" spans="1:10" x14ac:dyDescent="0.2">
      <c r="A40" s="420">
        <v>0</v>
      </c>
      <c r="B40" s="434">
        <v>12</v>
      </c>
      <c r="C40" s="32" t="s">
        <v>2</v>
      </c>
      <c r="D40" s="435">
        <v>1.62</v>
      </c>
      <c r="E40" s="33" t="s">
        <v>2</v>
      </c>
      <c r="F40" s="33" t="s">
        <v>2</v>
      </c>
    </row>
    <row r="41" spans="1:10" x14ac:dyDescent="0.2">
      <c r="A41" s="420"/>
      <c r="B41" s="416"/>
      <c r="C41" s="416">
        <f>B42-B40</f>
        <v>5.7</v>
      </c>
      <c r="D41" s="419"/>
      <c r="E41" s="411">
        <f>SUM(0.5*D40,0.5*D42)</f>
        <v>1.62</v>
      </c>
      <c r="F41" s="411">
        <f>PRODUCT(C41,E41)</f>
        <v>9.23</v>
      </c>
    </row>
    <row r="42" spans="1:10" x14ac:dyDescent="0.2">
      <c r="A42" s="420"/>
      <c r="B42" s="416">
        <v>17.7</v>
      </c>
      <c r="C42" s="416"/>
      <c r="D42" s="411">
        <v>1.62</v>
      </c>
      <c r="E42" s="411"/>
      <c r="F42" s="411"/>
    </row>
    <row r="43" spans="1:10" x14ac:dyDescent="0.2">
      <c r="A43" s="420"/>
      <c r="B43" s="416"/>
      <c r="C43" s="409">
        <f>B44-B42</f>
        <v>17.3</v>
      </c>
      <c r="D43" s="419"/>
      <c r="E43" s="411">
        <f>SUM(0.5*D42,0.5*D44)</f>
        <v>1.62</v>
      </c>
      <c r="F43" s="411">
        <f>PRODUCT(C43,E43)</f>
        <v>28.03</v>
      </c>
    </row>
    <row r="44" spans="1:10" x14ac:dyDescent="0.2">
      <c r="A44" s="420"/>
      <c r="B44" s="416">
        <v>35</v>
      </c>
      <c r="C44" s="410"/>
      <c r="D44" s="411">
        <v>1.62</v>
      </c>
      <c r="E44" s="411"/>
      <c r="F44" s="411"/>
    </row>
    <row r="45" spans="1:10" x14ac:dyDescent="0.2">
      <c r="A45" s="420"/>
      <c r="B45" s="416"/>
      <c r="C45" s="409">
        <f>B46-B44</f>
        <v>17</v>
      </c>
      <c r="D45" s="419"/>
      <c r="E45" s="411">
        <f>SUM(0.5*D44,0.5*D46)</f>
        <v>0.81</v>
      </c>
      <c r="F45" s="411">
        <f>PRODUCT(C45,E45)</f>
        <v>13.77</v>
      </c>
    </row>
    <row r="46" spans="1:10" x14ac:dyDescent="0.2">
      <c r="A46" s="420"/>
      <c r="B46" s="416">
        <v>52</v>
      </c>
      <c r="C46" s="410"/>
      <c r="D46" s="411">
        <v>0</v>
      </c>
      <c r="E46" s="411"/>
      <c r="F46" s="411"/>
    </row>
    <row r="47" spans="1:10" x14ac:dyDescent="0.2">
      <c r="A47" s="420"/>
      <c r="B47" s="416"/>
      <c r="C47" s="30" t="s">
        <v>2</v>
      </c>
      <c r="D47" s="419"/>
      <c r="E47" s="57" t="s">
        <v>2</v>
      </c>
      <c r="F47" s="57" t="s">
        <v>2</v>
      </c>
    </row>
    <row r="48" spans="1:10" x14ac:dyDescent="0.2">
      <c r="D48" s="417" t="s">
        <v>37</v>
      </c>
      <c r="E48" s="417"/>
      <c r="F48" s="418">
        <f>SUM(F41:F47)</f>
        <v>51.03</v>
      </c>
    </row>
    <row r="49" spans="3:6" ht="13.5" customHeight="1" x14ac:dyDescent="0.2">
      <c r="C49" s="26"/>
      <c r="D49" s="417"/>
      <c r="E49" s="417"/>
      <c r="F49" s="418"/>
    </row>
    <row r="50" spans="3:6" x14ac:dyDescent="0.2">
      <c r="D50" s="417" t="s">
        <v>38</v>
      </c>
      <c r="E50" s="417"/>
      <c r="F50" s="418">
        <f>6.5+18.56</f>
        <v>25.06</v>
      </c>
    </row>
    <row r="51" spans="3:6" x14ac:dyDescent="0.2">
      <c r="D51" s="417"/>
      <c r="E51" s="417"/>
      <c r="F51" s="418"/>
    </row>
    <row r="52" spans="3:6" x14ac:dyDescent="0.2">
      <c r="D52" s="417" t="s">
        <v>98</v>
      </c>
      <c r="E52" s="417"/>
      <c r="F52" s="418">
        <f>F48+F50</f>
        <v>76.09</v>
      </c>
    </row>
    <row r="53" spans="3:6" x14ac:dyDescent="0.2">
      <c r="D53" s="417"/>
      <c r="E53" s="417"/>
      <c r="F53" s="418"/>
    </row>
  </sheetData>
  <mergeCells count="97">
    <mergeCell ref="E1:G1"/>
    <mergeCell ref="H2:I2"/>
    <mergeCell ref="A3:F4"/>
    <mergeCell ref="A5:F6"/>
    <mergeCell ref="A7:F7"/>
    <mergeCell ref="E9:E11"/>
    <mergeCell ref="F9:F11"/>
    <mergeCell ref="G11:G12"/>
    <mergeCell ref="A12:A27"/>
    <mergeCell ref="B12:B13"/>
    <mergeCell ref="D12:D13"/>
    <mergeCell ref="C13:C14"/>
    <mergeCell ref="E13:E14"/>
    <mergeCell ref="F13:F14"/>
    <mergeCell ref="G13:G14"/>
    <mergeCell ref="A8:A11"/>
    <mergeCell ref="B8:B11"/>
    <mergeCell ref="C8:C11"/>
    <mergeCell ref="D8:F8"/>
    <mergeCell ref="D9:D11"/>
    <mergeCell ref="G15:G16"/>
    <mergeCell ref="B16:B17"/>
    <mergeCell ref="D16:D17"/>
    <mergeCell ref="C17:C18"/>
    <mergeCell ref="E17:E18"/>
    <mergeCell ref="B14:B15"/>
    <mergeCell ref="D14:D15"/>
    <mergeCell ref="C15:C16"/>
    <mergeCell ref="E15:E16"/>
    <mergeCell ref="F15:F16"/>
    <mergeCell ref="F17:F18"/>
    <mergeCell ref="G17:G18"/>
    <mergeCell ref="B18:B19"/>
    <mergeCell ref="D18:D19"/>
    <mergeCell ref="C19:C20"/>
    <mergeCell ref="E19:E20"/>
    <mergeCell ref="F19:F20"/>
    <mergeCell ref="G19:G20"/>
    <mergeCell ref="B20:B21"/>
    <mergeCell ref="D20:D21"/>
    <mergeCell ref="C21:C22"/>
    <mergeCell ref="E21:E22"/>
    <mergeCell ref="F21:F22"/>
    <mergeCell ref="G21:G22"/>
    <mergeCell ref="B22:B23"/>
    <mergeCell ref="D22:D23"/>
    <mergeCell ref="C23:C24"/>
    <mergeCell ref="E23:E24"/>
    <mergeCell ref="F23:F24"/>
    <mergeCell ref="G23:G24"/>
    <mergeCell ref="G25:G26"/>
    <mergeCell ref="B26:B27"/>
    <mergeCell ref="D26:D27"/>
    <mergeCell ref="G27:G35"/>
    <mergeCell ref="A35:F35"/>
    <mergeCell ref="B24:B25"/>
    <mergeCell ref="D24:D25"/>
    <mergeCell ref="C25:C26"/>
    <mergeCell ref="E25:E26"/>
    <mergeCell ref="F25:F26"/>
    <mergeCell ref="C43:C44"/>
    <mergeCell ref="E43:E44"/>
    <mergeCell ref="F43:F44"/>
    <mergeCell ref="A36:A39"/>
    <mergeCell ref="B36:B39"/>
    <mergeCell ref="C36:C39"/>
    <mergeCell ref="D36:F36"/>
    <mergeCell ref="D37:D39"/>
    <mergeCell ref="E37:E39"/>
    <mergeCell ref="F37:F39"/>
    <mergeCell ref="B46:B47"/>
    <mergeCell ref="D46:D47"/>
    <mergeCell ref="D48:E49"/>
    <mergeCell ref="F48:F49"/>
    <mergeCell ref="A40:A47"/>
    <mergeCell ref="B40:B41"/>
    <mergeCell ref="D40:D41"/>
    <mergeCell ref="C41:C42"/>
    <mergeCell ref="E41:E42"/>
    <mergeCell ref="B44:B45"/>
    <mergeCell ref="D44:D45"/>
    <mergeCell ref="C45:C46"/>
    <mergeCell ref="E45:E46"/>
    <mergeCell ref="F41:F42"/>
    <mergeCell ref="B42:B43"/>
    <mergeCell ref="D42:D43"/>
    <mergeCell ref="D50:E51"/>
    <mergeCell ref="F50:F51"/>
    <mergeCell ref="D52:E53"/>
    <mergeCell ref="F52:F53"/>
    <mergeCell ref="D28:E29"/>
    <mergeCell ref="F28:F29"/>
    <mergeCell ref="D30:E31"/>
    <mergeCell ref="F30:F31"/>
    <mergeCell ref="D32:E33"/>
    <mergeCell ref="F32:F33"/>
    <mergeCell ref="F45:F46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7" orientation="portrait" horizontalDpi="4294967294" verticalDpi="4294967294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7030A0"/>
  </sheetPr>
  <dimension ref="A1:J45"/>
  <sheetViews>
    <sheetView workbookViewId="0"/>
    <sheetView workbookViewId="1"/>
  </sheetViews>
  <sheetFormatPr defaultRowHeight="12.75" x14ac:dyDescent="0.2"/>
  <cols>
    <col min="4" max="4" width="11.5703125" customWidth="1"/>
    <col min="5" max="5" width="10.42578125" customWidth="1"/>
    <col min="6" max="6" width="10.5703125" customWidth="1"/>
  </cols>
  <sheetData>
    <row r="1" spans="1:9" ht="18.75" customHeight="1" x14ac:dyDescent="0.2">
      <c r="E1" s="488" t="s">
        <v>89</v>
      </c>
      <c r="F1" s="488"/>
      <c r="G1" s="488"/>
    </row>
    <row r="2" spans="1:9" x14ac:dyDescent="0.2">
      <c r="H2" s="489"/>
      <c r="I2" s="489"/>
    </row>
    <row r="3" spans="1:9" ht="12.75" customHeight="1" x14ac:dyDescent="0.2">
      <c r="A3" s="490" t="s">
        <v>90</v>
      </c>
      <c r="B3" s="490"/>
      <c r="C3" s="490"/>
      <c r="D3" s="490"/>
      <c r="E3" s="490"/>
      <c r="F3" s="490"/>
      <c r="G3" s="56"/>
      <c r="H3" s="56"/>
      <c r="I3" s="56"/>
    </row>
    <row r="4" spans="1:9" ht="30.75" customHeight="1" x14ac:dyDescent="0.2">
      <c r="A4" s="490"/>
      <c r="B4" s="490"/>
      <c r="C4" s="490"/>
      <c r="D4" s="490"/>
      <c r="E4" s="490"/>
      <c r="F4" s="490"/>
      <c r="G4" s="56"/>
      <c r="H4" s="56"/>
      <c r="I4" s="56"/>
    </row>
    <row r="5" spans="1:9" ht="12.75" customHeight="1" x14ac:dyDescent="0.2">
      <c r="A5" s="424" t="s">
        <v>96</v>
      </c>
      <c r="B5" s="424"/>
      <c r="C5" s="424"/>
      <c r="D5" s="424"/>
      <c r="E5" s="424"/>
      <c r="F5" s="424"/>
      <c r="G5" s="56"/>
      <c r="H5" s="56"/>
      <c r="I5" s="56"/>
    </row>
    <row r="6" spans="1:9" ht="69.75" customHeight="1" x14ac:dyDescent="0.2">
      <c r="A6" s="424"/>
      <c r="B6" s="424"/>
      <c r="C6" s="424"/>
      <c r="D6" s="424"/>
      <c r="E6" s="424"/>
      <c r="F6" s="424"/>
      <c r="G6" s="28"/>
      <c r="H6" s="28"/>
      <c r="I6" s="28"/>
    </row>
    <row r="7" spans="1:9" ht="12.75" customHeight="1" x14ac:dyDescent="0.2">
      <c r="A7" s="425" t="s">
        <v>28</v>
      </c>
      <c r="B7" s="426"/>
      <c r="C7" s="426"/>
      <c r="D7" s="426"/>
      <c r="E7" s="426"/>
      <c r="F7" s="427"/>
    </row>
    <row r="8" spans="1:9" ht="12.75" customHeight="1" x14ac:dyDescent="0.2">
      <c r="A8" s="412" t="s">
        <v>29</v>
      </c>
      <c r="B8" s="412" t="s">
        <v>30</v>
      </c>
      <c r="C8" s="412" t="s">
        <v>31</v>
      </c>
      <c r="D8" s="414" t="s">
        <v>91</v>
      </c>
      <c r="E8" s="414"/>
      <c r="F8" s="414"/>
    </row>
    <row r="9" spans="1:9" x14ac:dyDescent="0.2">
      <c r="A9" s="413"/>
      <c r="B9" s="413"/>
      <c r="C9" s="412"/>
      <c r="D9" s="412" t="s">
        <v>33</v>
      </c>
      <c r="E9" s="412" t="s">
        <v>34</v>
      </c>
      <c r="F9" s="412" t="s">
        <v>35</v>
      </c>
    </row>
    <row r="10" spans="1:9" x14ac:dyDescent="0.2">
      <c r="A10" s="413"/>
      <c r="B10" s="413"/>
      <c r="C10" s="412"/>
      <c r="D10" s="412"/>
      <c r="E10" s="412"/>
      <c r="F10" s="412"/>
    </row>
    <row r="11" spans="1:9" ht="12" customHeight="1" x14ac:dyDescent="0.2">
      <c r="A11" s="413"/>
      <c r="B11" s="413"/>
      <c r="C11" s="412"/>
      <c r="D11" s="412"/>
      <c r="E11" s="412"/>
      <c r="F11" s="412"/>
      <c r="G11" s="487"/>
    </row>
    <row r="12" spans="1:9" ht="12" customHeight="1" x14ac:dyDescent="0.2">
      <c r="A12" s="420">
        <v>13</v>
      </c>
      <c r="B12" s="416">
        <v>780</v>
      </c>
      <c r="C12" s="30" t="s">
        <v>2</v>
      </c>
      <c r="D12" s="411">
        <v>0</v>
      </c>
      <c r="E12" s="31" t="s">
        <v>2</v>
      </c>
      <c r="F12" s="31" t="s">
        <v>2</v>
      </c>
      <c r="G12" s="487"/>
    </row>
    <row r="13" spans="1:9" ht="12" customHeight="1" x14ac:dyDescent="0.2">
      <c r="A13" s="420"/>
      <c r="B13" s="416"/>
      <c r="C13" s="416">
        <f>B14-B12</f>
        <v>2.4</v>
      </c>
      <c r="D13" s="411"/>
      <c r="E13" s="411">
        <f>SUM(0.5*D12,0.5*D14)</f>
        <v>0.68</v>
      </c>
      <c r="F13" s="411">
        <f>PRODUCT(C13,E13)</f>
        <v>1.63</v>
      </c>
      <c r="G13" s="487"/>
    </row>
    <row r="14" spans="1:9" ht="12" customHeight="1" x14ac:dyDescent="0.2">
      <c r="A14" s="420"/>
      <c r="B14" s="416">
        <v>782.4</v>
      </c>
      <c r="C14" s="416"/>
      <c r="D14" s="419">
        <v>1.35</v>
      </c>
      <c r="E14" s="411"/>
      <c r="F14" s="411"/>
      <c r="G14" s="487"/>
    </row>
    <row r="15" spans="1:9" ht="12" customHeight="1" x14ac:dyDescent="0.2">
      <c r="A15" s="420"/>
      <c r="B15" s="416"/>
      <c r="C15" s="416">
        <f>B16-B14</f>
        <v>28.9</v>
      </c>
      <c r="D15" s="435"/>
      <c r="E15" s="411">
        <f>SUM(0.5*D14,0.5*D16)</f>
        <v>1.35</v>
      </c>
      <c r="F15" s="411">
        <f>PRODUCT(C15,E15)</f>
        <v>39.020000000000003</v>
      </c>
      <c r="G15" s="487"/>
    </row>
    <row r="16" spans="1:9" ht="12" customHeight="1" x14ac:dyDescent="0.2">
      <c r="A16" s="420"/>
      <c r="B16" s="416">
        <v>811.3</v>
      </c>
      <c r="C16" s="416"/>
      <c r="D16" s="411">
        <v>1.35</v>
      </c>
      <c r="E16" s="411"/>
      <c r="F16" s="411"/>
      <c r="G16" s="487"/>
    </row>
    <row r="17" spans="1:10" ht="12" customHeight="1" x14ac:dyDescent="0.2">
      <c r="A17" s="420"/>
      <c r="B17" s="416"/>
      <c r="C17" s="416">
        <f>B18-B16</f>
        <v>18.7</v>
      </c>
      <c r="D17" s="411"/>
      <c r="E17" s="411">
        <f>SUM(0.5*D16,0.5*D18)</f>
        <v>1.35</v>
      </c>
      <c r="F17" s="411">
        <f>PRODUCT(C17,E17)</f>
        <v>25.25</v>
      </c>
      <c r="G17" s="487"/>
    </row>
    <row r="18" spans="1:10" ht="12" customHeight="1" x14ac:dyDescent="0.2">
      <c r="A18" s="420"/>
      <c r="B18" s="416">
        <v>830</v>
      </c>
      <c r="C18" s="416"/>
      <c r="D18" s="411">
        <v>1.35</v>
      </c>
      <c r="E18" s="411"/>
      <c r="F18" s="411"/>
      <c r="G18" s="487"/>
    </row>
    <row r="19" spans="1:10" ht="12" customHeight="1" x14ac:dyDescent="0.2">
      <c r="A19" s="420"/>
      <c r="B19" s="416"/>
      <c r="C19" s="416">
        <f>B20-B18</f>
        <v>31.6</v>
      </c>
      <c r="D19" s="411"/>
      <c r="E19" s="411">
        <f>SUM(0.5*D18,0.5*D20)</f>
        <v>1.35</v>
      </c>
      <c r="F19" s="411">
        <f>PRODUCT(C19,E19)</f>
        <v>42.66</v>
      </c>
      <c r="G19" s="487"/>
    </row>
    <row r="20" spans="1:10" ht="12" customHeight="1" x14ac:dyDescent="0.2">
      <c r="A20" s="420"/>
      <c r="B20" s="416">
        <v>861.6</v>
      </c>
      <c r="C20" s="416"/>
      <c r="D20" s="411">
        <v>1.35</v>
      </c>
      <c r="E20" s="411"/>
      <c r="F20" s="411"/>
      <c r="G20" s="487"/>
    </row>
    <row r="21" spans="1:10" ht="12" customHeight="1" x14ac:dyDescent="0.2">
      <c r="A21" s="420"/>
      <c r="B21" s="416"/>
      <c r="C21" s="416">
        <f>B22-B20</f>
        <v>18.399999999999999</v>
      </c>
      <c r="D21" s="411"/>
      <c r="E21" s="411">
        <f>SUM(0.5*D20,0.5*D22)</f>
        <v>1.35</v>
      </c>
      <c r="F21" s="411">
        <f>PRODUCT(C21,E21)</f>
        <v>24.84</v>
      </c>
      <c r="G21" s="487"/>
    </row>
    <row r="22" spans="1:10" ht="12" customHeight="1" x14ac:dyDescent="0.2">
      <c r="A22" s="420"/>
      <c r="B22" s="416">
        <v>880</v>
      </c>
      <c r="C22" s="416"/>
      <c r="D22" s="411">
        <v>1.35</v>
      </c>
      <c r="E22" s="411"/>
      <c r="F22" s="411"/>
      <c r="G22" s="487"/>
    </row>
    <row r="23" spans="1:10" ht="12" customHeight="1" x14ac:dyDescent="0.2">
      <c r="A23" s="420"/>
      <c r="B23" s="416"/>
      <c r="C23" s="416">
        <f>B24-B22</f>
        <v>23.7</v>
      </c>
      <c r="D23" s="411"/>
      <c r="E23" s="411">
        <f>SUM(0.5*D22,0.5*D24)</f>
        <v>1.35</v>
      </c>
      <c r="F23" s="411">
        <f>PRODUCT(C23,E23)</f>
        <v>32</v>
      </c>
      <c r="G23" s="487"/>
    </row>
    <row r="24" spans="1:10" ht="12" customHeight="1" x14ac:dyDescent="0.2">
      <c r="A24" s="420"/>
      <c r="B24" s="416">
        <v>903.7</v>
      </c>
      <c r="C24" s="416"/>
      <c r="D24" s="411">
        <v>1.35</v>
      </c>
      <c r="E24" s="411"/>
      <c r="F24" s="411"/>
      <c r="G24" s="487"/>
    </row>
    <row r="25" spans="1:10" ht="12" customHeight="1" x14ac:dyDescent="0.2">
      <c r="A25" s="420"/>
      <c r="B25" s="416"/>
      <c r="C25" s="416">
        <f>B26-B24</f>
        <v>34.299999999999997</v>
      </c>
      <c r="D25" s="411"/>
      <c r="E25" s="411">
        <f>SUM(0.5*D24,0.5*D26)</f>
        <v>1.78</v>
      </c>
      <c r="F25" s="411">
        <f>PRODUCT(C25,E25)</f>
        <v>61.05</v>
      </c>
      <c r="G25" s="487"/>
    </row>
    <row r="26" spans="1:10" ht="12" customHeight="1" x14ac:dyDescent="0.2">
      <c r="A26" s="420"/>
      <c r="B26" s="416">
        <v>938</v>
      </c>
      <c r="C26" s="416"/>
      <c r="D26" s="411">
        <v>2.2000000000000002</v>
      </c>
      <c r="E26" s="411"/>
      <c r="F26" s="411"/>
      <c r="G26" s="487"/>
    </row>
    <row r="27" spans="1:10" ht="12" customHeight="1" x14ac:dyDescent="0.2">
      <c r="A27" s="420"/>
      <c r="B27" s="416"/>
      <c r="C27" s="30" t="s">
        <v>2</v>
      </c>
      <c r="D27" s="419"/>
      <c r="E27" s="57" t="s">
        <v>2</v>
      </c>
      <c r="F27" s="57" t="s">
        <v>2</v>
      </c>
      <c r="G27" s="487"/>
    </row>
    <row r="28" spans="1:10" ht="12" customHeight="1" x14ac:dyDescent="0.2">
      <c r="A28" s="61"/>
      <c r="B28" s="63"/>
      <c r="C28" s="63"/>
      <c r="D28" s="417" t="s">
        <v>37</v>
      </c>
      <c r="E28" s="417"/>
      <c r="F28" s="418">
        <f>SUM(F13:F26)</f>
        <v>226.45</v>
      </c>
      <c r="G28" s="450"/>
    </row>
    <row r="29" spans="1:10" ht="12" customHeight="1" x14ac:dyDescent="0.2">
      <c r="A29" s="64"/>
      <c r="B29" s="65"/>
      <c r="C29" s="65"/>
      <c r="D29" s="417"/>
      <c r="E29" s="417"/>
      <c r="F29" s="418"/>
      <c r="G29" s="450"/>
    </row>
    <row r="30" spans="1:10" ht="12" customHeight="1" x14ac:dyDescent="0.2">
      <c r="A30" s="76"/>
      <c r="B30" s="72"/>
      <c r="C30" s="72"/>
      <c r="D30" s="67"/>
      <c r="E30" s="67"/>
      <c r="F30" s="68"/>
      <c r="G30" s="487"/>
    </row>
    <row r="31" spans="1:10" ht="12" customHeight="1" x14ac:dyDescent="0.2">
      <c r="A31" s="425" t="s">
        <v>36</v>
      </c>
      <c r="B31" s="426"/>
      <c r="C31" s="426"/>
      <c r="D31" s="426"/>
      <c r="E31" s="426"/>
      <c r="F31" s="427"/>
      <c r="G31" s="487"/>
    </row>
    <row r="32" spans="1:10" ht="12" customHeight="1" x14ac:dyDescent="0.2">
      <c r="A32" s="412" t="s">
        <v>29</v>
      </c>
      <c r="B32" s="412" t="s">
        <v>30</v>
      </c>
      <c r="C32" s="412" t="s">
        <v>31</v>
      </c>
      <c r="D32" s="414" t="s">
        <v>91</v>
      </c>
      <c r="E32" s="414"/>
      <c r="F32" s="414"/>
      <c r="J32" s="36"/>
    </row>
    <row r="33" spans="1:10" ht="12" customHeight="1" x14ac:dyDescent="0.2">
      <c r="A33" s="413"/>
      <c r="B33" s="413"/>
      <c r="C33" s="412"/>
      <c r="D33" s="412" t="s">
        <v>33</v>
      </c>
      <c r="E33" s="412" t="s">
        <v>34</v>
      </c>
      <c r="F33" s="412" t="s">
        <v>35</v>
      </c>
      <c r="J33" s="36"/>
    </row>
    <row r="34" spans="1:10" ht="12" customHeight="1" x14ac:dyDescent="0.2">
      <c r="A34" s="413"/>
      <c r="B34" s="413"/>
      <c r="C34" s="412"/>
      <c r="D34" s="412"/>
      <c r="E34" s="412"/>
      <c r="F34" s="412"/>
      <c r="H34" s="36"/>
    </row>
    <row r="35" spans="1:10" ht="12" customHeight="1" x14ac:dyDescent="0.2">
      <c r="A35" s="413"/>
      <c r="B35" s="413"/>
      <c r="C35" s="412"/>
      <c r="D35" s="412"/>
      <c r="E35" s="412"/>
      <c r="F35" s="412"/>
    </row>
    <row r="36" spans="1:10" x14ac:dyDescent="0.2">
      <c r="A36" s="420">
        <v>0</v>
      </c>
      <c r="B36" s="434">
        <v>12</v>
      </c>
      <c r="C36" s="32" t="s">
        <v>2</v>
      </c>
      <c r="D36" s="435">
        <v>2</v>
      </c>
      <c r="E36" s="33" t="s">
        <v>2</v>
      </c>
      <c r="F36" s="33" t="s">
        <v>2</v>
      </c>
    </row>
    <row r="37" spans="1:10" x14ac:dyDescent="0.2">
      <c r="A37" s="420"/>
      <c r="B37" s="416"/>
      <c r="C37" s="416">
        <f>B38-B36</f>
        <v>5.7</v>
      </c>
      <c r="D37" s="419"/>
      <c r="E37" s="411">
        <f>SUM(0.5*D36,0.5*D38)</f>
        <v>1.45</v>
      </c>
      <c r="F37" s="411">
        <f>PRODUCT(C37,E37)</f>
        <v>8.27</v>
      </c>
    </row>
    <row r="38" spans="1:10" x14ac:dyDescent="0.2">
      <c r="A38" s="420"/>
      <c r="B38" s="416">
        <v>17.7</v>
      </c>
      <c r="C38" s="416"/>
      <c r="D38" s="411">
        <v>0.9</v>
      </c>
      <c r="E38" s="411"/>
      <c r="F38" s="411"/>
    </row>
    <row r="39" spans="1:10" x14ac:dyDescent="0.2">
      <c r="A39" s="420"/>
      <c r="B39" s="416"/>
      <c r="C39" s="409">
        <f>B40-B38</f>
        <v>17.3</v>
      </c>
      <c r="D39" s="419"/>
      <c r="E39" s="411">
        <f>SUM(0.5*D38,0.5*D40)</f>
        <v>0.9</v>
      </c>
      <c r="F39" s="411">
        <f>PRODUCT(C39,E39)</f>
        <v>15.57</v>
      </c>
    </row>
    <row r="40" spans="1:10" x14ac:dyDescent="0.2">
      <c r="A40" s="420"/>
      <c r="B40" s="416">
        <v>35</v>
      </c>
      <c r="C40" s="410"/>
      <c r="D40" s="411">
        <v>0.9</v>
      </c>
      <c r="E40" s="411"/>
      <c r="F40" s="411"/>
    </row>
    <row r="41" spans="1:10" x14ac:dyDescent="0.2">
      <c r="A41" s="420"/>
      <c r="B41" s="416"/>
      <c r="C41" s="409">
        <f>B42-B40</f>
        <v>17</v>
      </c>
      <c r="D41" s="419"/>
      <c r="E41" s="411">
        <f>SUM(0.5*D40,0.5*D42)</f>
        <v>0.45</v>
      </c>
      <c r="F41" s="411">
        <f>PRODUCT(C41,E41)</f>
        <v>7.65</v>
      </c>
    </row>
    <row r="42" spans="1:10" x14ac:dyDescent="0.2">
      <c r="A42" s="420"/>
      <c r="B42" s="416">
        <v>52</v>
      </c>
      <c r="C42" s="410"/>
      <c r="D42" s="411">
        <v>0</v>
      </c>
      <c r="E42" s="411"/>
      <c r="F42" s="411"/>
    </row>
    <row r="43" spans="1:10" ht="13.5" thickBot="1" x14ac:dyDescent="0.25">
      <c r="A43" s="420"/>
      <c r="B43" s="416"/>
      <c r="C43" s="30" t="s">
        <v>2</v>
      </c>
      <c r="D43" s="411"/>
      <c r="E43" s="31" t="s">
        <v>2</v>
      </c>
      <c r="F43" s="31" t="s">
        <v>2</v>
      </c>
    </row>
    <row r="44" spans="1:10" x14ac:dyDescent="0.2">
      <c r="D44" s="491" t="s">
        <v>37</v>
      </c>
      <c r="E44" s="492"/>
      <c r="F44" s="495">
        <f>SUM(F37:F43)</f>
        <v>31.49</v>
      </c>
    </row>
    <row r="45" spans="1:10" ht="13.5" customHeight="1" thickBot="1" x14ac:dyDescent="0.25">
      <c r="C45" s="26"/>
      <c r="D45" s="493"/>
      <c r="E45" s="494"/>
      <c r="F45" s="496"/>
    </row>
  </sheetData>
  <mergeCells count="89">
    <mergeCell ref="E1:G1"/>
    <mergeCell ref="H2:I2"/>
    <mergeCell ref="A3:F4"/>
    <mergeCell ref="A5:F6"/>
    <mergeCell ref="A7:F7"/>
    <mergeCell ref="E9:E11"/>
    <mergeCell ref="F9:F11"/>
    <mergeCell ref="G11:G12"/>
    <mergeCell ref="A12:A27"/>
    <mergeCell ref="B12:B13"/>
    <mergeCell ref="D12:D13"/>
    <mergeCell ref="C13:C14"/>
    <mergeCell ref="E13:E14"/>
    <mergeCell ref="F13:F14"/>
    <mergeCell ref="G13:G14"/>
    <mergeCell ref="A8:A11"/>
    <mergeCell ref="B8:B11"/>
    <mergeCell ref="C8:C11"/>
    <mergeCell ref="D8:F8"/>
    <mergeCell ref="D9:D11"/>
    <mergeCell ref="G15:G16"/>
    <mergeCell ref="B16:B17"/>
    <mergeCell ref="D16:D17"/>
    <mergeCell ref="C17:C18"/>
    <mergeCell ref="E17:E18"/>
    <mergeCell ref="B14:B15"/>
    <mergeCell ref="D14:D15"/>
    <mergeCell ref="C15:C16"/>
    <mergeCell ref="E15:E16"/>
    <mergeCell ref="F15:F16"/>
    <mergeCell ref="F17:F18"/>
    <mergeCell ref="G17:G18"/>
    <mergeCell ref="B18:B19"/>
    <mergeCell ref="D18:D19"/>
    <mergeCell ref="C19:C20"/>
    <mergeCell ref="E19:E20"/>
    <mergeCell ref="F19:F20"/>
    <mergeCell ref="G19:G20"/>
    <mergeCell ref="B20:B21"/>
    <mergeCell ref="D20:D21"/>
    <mergeCell ref="C21:C22"/>
    <mergeCell ref="E21:E22"/>
    <mergeCell ref="F21:F22"/>
    <mergeCell ref="G21:G22"/>
    <mergeCell ref="B22:B23"/>
    <mergeCell ref="D22:D23"/>
    <mergeCell ref="C23:C24"/>
    <mergeCell ref="E23:E24"/>
    <mergeCell ref="F23:F24"/>
    <mergeCell ref="G23:G24"/>
    <mergeCell ref="G25:G26"/>
    <mergeCell ref="B26:B27"/>
    <mergeCell ref="D26:D27"/>
    <mergeCell ref="G27:G31"/>
    <mergeCell ref="A31:F31"/>
    <mergeCell ref="B24:B25"/>
    <mergeCell ref="D24:D25"/>
    <mergeCell ref="C25:C26"/>
    <mergeCell ref="E25:E26"/>
    <mergeCell ref="F25:F26"/>
    <mergeCell ref="A32:A35"/>
    <mergeCell ref="B32:B35"/>
    <mergeCell ref="C32:C35"/>
    <mergeCell ref="D32:F32"/>
    <mergeCell ref="D33:D35"/>
    <mergeCell ref="E33:E35"/>
    <mergeCell ref="F33:F35"/>
    <mergeCell ref="B42:B43"/>
    <mergeCell ref="D42:D43"/>
    <mergeCell ref="D28:E29"/>
    <mergeCell ref="F28:F29"/>
    <mergeCell ref="A36:A43"/>
    <mergeCell ref="B36:B37"/>
    <mergeCell ref="D36:D37"/>
    <mergeCell ref="C37:C38"/>
    <mergeCell ref="E37:E38"/>
    <mergeCell ref="B38:B39"/>
    <mergeCell ref="D38:D39"/>
    <mergeCell ref="C39:C40"/>
    <mergeCell ref="E39:E40"/>
    <mergeCell ref="B40:B41"/>
    <mergeCell ref="D40:D41"/>
    <mergeCell ref="C41:C42"/>
    <mergeCell ref="D44:E45"/>
    <mergeCell ref="F44:F45"/>
    <mergeCell ref="F39:F40"/>
    <mergeCell ref="F37:F38"/>
    <mergeCell ref="F41:F42"/>
    <mergeCell ref="E41:E4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4294967294" verticalDpi="4294967294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7030A0"/>
  </sheetPr>
  <dimension ref="A1:J45"/>
  <sheetViews>
    <sheetView workbookViewId="0"/>
    <sheetView workbookViewId="1"/>
  </sheetViews>
  <sheetFormatPr defaultRowHeight="12.75" x14ac:dyDescent="0.2"/>
  <cols>
    <col min="4" max="4" width="11.5703125" customWidth="1"/>
    <col min="5" max="5" width="11" customWidth="1"/>
    <col min="6" max="6" width="12" customWidth="1"/>
  </cols>
  <sheetData>
    <row r="1" spans="1:9" ht="18.75" customHeight="1" x14ac:dyDescent="0.2">
      <c r="E1" s="488" t="s">
        <v>92</v>
      </c>
      <c r="F1" s="488"/>
      <c r="G1" s="488"/>
    </row>
    <row r="2" spans="1:9" x14ac:dyDescent="0.2">
      <c r="H2" s="489"/>
      <c r="I2" s="489"/>
    </row>
    <row r="3" spans="1:9" ht="12.75" customHeight="1" x14ac:dyDescent="0.2">
      <c r="A3" s="490" t="s">
        <v>93</v>
      </c>
      <c r="B3" s="490"/>
      <c r="C3" s="490"/>
      <c r="D3" s="490"/>
      <c r="E3" s="490"/>
      <c r="F3" s="490"/>
      <c r="G3" s="56"/>
      <c r="H3" s="56"/>
      <c r="I3" s="56"/>
    </row>
    <row r="4" spans="1:9" ht="30.75" customHeight="1" x14ac:dyDescent="0.2">
      <c r="A4" s="490"/>
      <c r="B4" s="490"/>
      <c r="C4" s="490"/>
      <c r="D4" s="490"/>
      <c r="E4" s="490"/>
      <c r="F4" s="490"/>
      <c r="G4" s="56"/>
      <c r="H4" s="56"/>
      <c r="I4" s="56"/>
    </row>
    <row r="5" spans="1:9" ht="12.75" customHeight="1" x14ac:dyDescent="0.2">
      <c r="A5" s="424" t="s">
        <v>96</v>
      </c>
      <c r="B5" s="424"/>
      <c r="C5" s="424"/>
      <c r="D5" s="424"/>
      <c r="E5" s="424"/>
      <c r="F5" s="424"/>
      <c r="G5" s="56"/>
      <c r="H5" s="56"/>
      <c r="I5" s="56"/>
    </row>
    <row r="6" spans="1:9" ht="63.75" customHeight="1" x14ac:dyDescent="0.2">
      <c r="A6" s="424"/>
      <c r="B6" s="424"/>
      <c r="C6" s="424"/>
      <c r="D6" s="424"/>
      <c r="E6" s="424"/>
      <c r="F6" s="424"/>
      <c r="G6" s="28"/>
      <c r="H6" s="28"/>
      <c r="I6" s="28"/>
    </row>
    <row r="7" spans="1:9" ht="12.75" customHeight="1" x14ac:dyDescent="0.2">
      <c r="A7" s="425" t="s">
        <v>28</v>
      </c>
      <c r="B7" s="426"/>
      <c r="C7" s="426"/>
      <c r="D7" s="426"/>
      <c r="E7" s="426"/>
      <c r="F7" s="427"/>
    </row>
    <row r="8" spans="1:9" ht="12.75" customHeight="1" x14ac:dyDescent="0.2">
      <c r="A8" s="412" t="s">
        <v>29</v>
      </c>
      <c r="B8" s="412" t="s">
        <v>30</v>
      </c>
      <c r="C8" s="412" t="s">
        <v>31</v>
      </c>
      <c r="D8" s="414" t="s">
        <v>94</v>
      </c>
      <c r="E8" s="414"/>
      <c r="F8" s="414"/>
    </row>
    <row r="9" spans="1:9" x14ac:dyDescent="0.2">
      <c r="A9" s="413"/>
      <c r="B9" s="413"/>
      <c r="C9" s="412"/>
      <c r="D9" s="412" t="s">
        <v>33</v>
      </c>
      <c r="E9" s="412" t="s">
        <v>34</v>
      </c>
      <c r="F9" s="412" t="s">
        <v>35</v>
      </c>
    </row>
    <row r="10" spans="1:9" x14ac:dyDescent="0.2">
      <c r="A10" s="413"/>
      <c r="B10" s="413"/>
      <c r="C10" s="412"/>
      <c r="D10" s="412"/>
      <c r="E10" s="412"/>
      <c r="F10" s="412"/>
    </row>
    <row r="11" spans="1:9" ht="12" customHeight="1" x14ac:dyDescent="0.2">
      <c r="A11" s="413"/>
      <c r="B11" s="413"/>
      <c r="C11" s="412"/>
      <c r="D11" s="412"/>
      <c r="E11" s="412"/>
      <c r="F11" s="412"/>
      <c r="G11" s="487"/>
    </row>
    <row r="12" spans="1:9" ht="12" customHeight="1" x14ac:dyDescent="0.2">
      <c r="A12" s="420">
        <v>13</v>
      </c>
      <c r="B12" s="416">
        <v>780</v>
      </c>
      <c r="C12" s="30" t="s">
        <v>2</v>
      </c>
      <c r="D12" s="411">
        <v>0</v>
      </c>
      <c r="E12" s="31" t="s">
        <v>2</v>
      </c>
      <c r="F12" s="31" t="s">
        <v>2</v>
      </c>
      <c r="G12" s="487"/>
    </row>
    <row r="13" spans="1:9" ht="12" customHeight="1" x14ac:dyDescent="0.2">
      <c r="A13" s="420"/>
      <c r="B13" s="416"/>
      <c r="C13" s="416">
        <f>B14-B12</f>
        <v>2.4</v>
      </c>
      <c r="D13" s="411"/>
      <c r="E13" s="411">
        <f>SUM(0.5*D12,0.5*D14)</f>
        <v>0.71</v>
      </c>
      <c r="F13" s="411">
        <f>PRODUCT(C13,E13)</f>
        <v>1.7</v>
      </c>
      <c r="G13" s="487"/>
    </row>
    <row r="14" spans="1:9" ht="12" customHeight="1" x14ac:dyDescent="0.2">
      <c r="A14" s="420"/>
      <c r="B14" s="416">
        <v>782.4</v>
      </c>
      <c r="C14" s="416"/>
      <c r="D14" s="419">
        <v>1.42</v>
      </c>
      <c r="E14" s="411"/>
      <c r="F14" s="411"/>
      <c r="G14" s="487"/>
    </row>
    <row r="15" spans="1:9" ht="12" customHeight="1" x14ac:dyDescent="0.2">
      <c r="A15" s="420"/>
      <c r="B15" s="416"/>
      <c r="C15" s="416">
        <f>B16-B14</f>
        <v>28.9</v>
      </c>
      <c r="D15" s="435"/>
      <c r="E15" s="411">
        <f>SUM(0.5*D14,0.5*D16)</f>
        <v>1.42</v>
      </c>
      <c r="F15" s="411">
        <f>PRODUCT(C15,E15)</f>
        <v>41.04</v>
      </c>
      <c r="G15" s="487"/>
    </row>
    <row r="16" spans="1:9" ht="12" customHeight="1" x14ac:dyDescent="0.2">
      <c r="A16" s="420"/>
      <c r="B16" s="416">
        <v>811.3</v>
      </c>
      <c r="C16" s="416"/>
      <c r="D16" s="419">
        <v>1.42</v>
      </c>
      <c r="E16" s="411"/>
      <c r="F16" s="411"/>
      <c r="G16" s="487"/>
    </row>
    <row r="17" spans="1:10" ht="12" customHeight="1" x14ac:dyDescent="0.2">
      <c r="A17" s="420"/>
      <c r="B17" s="416"/>
      <c r="C17" s="416">
        <f>B18-B16</f>
        <v>18.7</v>
      </c>
      <c r="D17" s="435"/>
      <c r="E17" s="411">
        <f>SUM(0.5*D16,0.5*D18)</f>
        <v>1.42</v>
      </c>
      <c r="F17" s="411">
        <f>PRODUCT(C17,E17)</f>
        <v>26.55</v>
      </c>
      <c r="G17" s="487"/>
    </row>
    <row r="18" spans="1:10" ht="12" customHeight="1" x14ac:dyDescent="0.2">
      <c r="A18" s="420"/>
      <c r="B18" s="416">
        <v>830</v>
      </c>
      <c r="C18" s="416"/>
      <c r="D18" s="419">
        <v>1.42</v>
      </c>
      <c r="E18" s="411"/>
      <c r="F18" s="411"/>
      <c r="G18" s="487"/>
    </row>
    <row r="19" spans="1:10" ht="12" customHeight="1" x14ac:dyDescent="0.2">
      <c r="A19" s="420"/>
      <c r="B19" s="416"/>
      <c r="C19" s="416">
        <f>B20-B18</f>
        <v>31.6</v>
      </c>
      <c r="D19" s="435"/>
      <c r="E19" s="411">
        <f>SUM(0.5*D18,0.5*D20)</f>
        <v>1.42</v>
      </c>
      <c r="F19" s="411">
        <f>PRODUCT(C19,E19)</f>
        <v>44.87</v>
      </c>
      <c r="G19" s="487"/>
    </row>
    <row r="20" spans="1:10" ht="12" customHeight="1" x14ac:dyDescent="0.2">
      <c r="A20" s="420"/>
      <c r="B20" s="416">
        <v>861.6</v>
      </c>
      <c r="C20" s="416"/>
      <c r="D20" s="419">
        <v>1.42</v>
      </c>
      <c r="E20" s="411"/>
      <c r="F20" s="411"/>
      <c r="G20" s="487"/>
    </row>
    <row r="21" spans="1:10" ht="12" customHeight="1" x14ac:dyDescent="0.2">
      <c r="A21" s="420"/>
      <c r="B21" s="416"/>
      <c r="C21" s="416">
        <f>B22-B20</f>
        <v>18.399999999999999</v>
      </c>
      <c r="D21" s="435"/>
      <c r="E21" s="411">
        <f>SUM(0.5*D20,0.5*D22)</f>
        <v>1.42</v>
      </c>
      <c r="F21" s="411">
        <f>PRODUCT(C21,E21)</f>
        <v>26.13</v>
      </c>
      <c r="G21" s="487"/>
    </row>
    <row r="22" spans="1:10" ht="12" customHeight="1" x14ac:dyDescent="0.2">
      <c r="A22" s="420"/>
      <c r="B22" s="416">
        <v>880</v>
      </c>
      <c r="C22" s="416"/>
      <c r="D22" s="419">
        <v>1.42</v>
      </c>
      <c r="E22" s="411"/>
      <c r="F22" s="411"/>
      <c r="G22" s="487"/>
    </row>
    <row r="23" spans="1:10" ht="12" customHeight="1" x14ac:dyDescent="0.2">
      <c r="A23" s="420"/>
      <c r="B23" s="416"/>
      <c r="C23" s="416">
        <f>B24-B22</f>
        <v>23.7</v>
      </c>
      <c r="D23" s="435"/>
      <c r="E23" s="411">
        <f>SUM(0.5*D22,0.5*D24)</f>
        <v>1.42</v>
      </c>
      <c r="F23" s="411">
        <f>PRODUCT(C23,E23)</f>
        <v>33.65</v>
      </c>
      <c r="G23" s="487"/>
    </row>
    <row r="24" spans="1:10" ht="12" customHeight="1" x14ac:dyDescent="0.2">
      <c r="A24" s="420"/>
      <c r="B24" s="416">
        <v>903.7</v>
      </c>
      <c r="C24" s="416"/>
      <c r="D24" s="419">
        <v>1.42</v>
      </c>
      <c r="E24" s="411"/>
      <c r="F24" s="411"/>
      <c r="G24" s="487"/>
    </row>
    <row r="25" spans="1:10" ht="12" customHeight="1" x14ac:dyDescent="0.2">
      <c r="A25" s="420"/>
      <c r="B25" s="416"/>
      <c r="C25" s="416">
        <f>B26-B24</f>
        <v>34.299999999999997</v>
      </c>
      <c r="D25" s="435"/>
      <c r="E25" s="411">
        <f>SUM(0.5*D24,0.5*D26)</f>
        <v>1.94</v>
      </c>
      <c r="F25" s="411">
        <f>PRODUCT(C25,E25)</f>
        <v>66.540000000000006</v>
      </c>
      <c r="G25" s="487"/>
    </row>
    <row r="26" spans="1:10" ht="12" customHeight="1" x14ac:dyDescent="0.2">
      <c r="A26" s="420"/>
      <c r="B26" s="416">
        <v>938</v>
      </c>
      <c r="C26" s="416"/>
      <c r="D26" s="411">
        <v>2.4500000000000002</v>
      </c>
      <c r="E26" s="411"/>
      <c r="F26" s="411"/>
      <c r="G26" s="487"/>
    </row>
    <row r="27" spans="1:10" ht="12" customHeight="1" x14ac:dyDescent="0.2">
      <c r="A27" s="420"/>
      <c r="B27" s="416"/>
      <c r="C27" s="30" t="s">
        <v>2</v>
      </c>
      <c r="D27" s="419"/>
      <c r="E27" s="31" t="s">
        <v>2</v>
      </c>
      <c r="F27" s="31" t="s">
        <v>2</v>
      </c>
      <c r="G27" s="487"/>
    </row>
    <row r="28" spans="1:10" ht="12" customHeight="1" x14ac:dyDescent="0.2">
      <c r="A28" s="61"/>
      <c r="B28" s="63"/>
      <c r="C28" s="63"/>
      <c r="D28" s="417" t="s">
        <v>37</v>
      </c>
      <c r="E28" s="417"/>
      <c r="F28" s="418">
        <f>SUM(F13:F26)</f>
        <v>240.48</v>
      </c>
      <c r="G28" s="450"/>
    </row>
    <row r="29" spans="1:10" ht="12" customHeight="1" x14ac:dyDescent="0.2">
      <c r="A29" s="64"/>
      <c r="B29" s="65"/>
      <c r="C29" s="65"/>
      <c r="D29" s="417"/>
      <c r="E29" s="417"/>
      <c r="F29" s="418"/>
      <c r="G29" s="450"/>
    </row>
    <row r="30" spans="1:10" ht="12" customHeight="1" x14ac:dyDescent="0.2">
      <c r="A30" s="71"/>
      <c r="B30" s="72"/>
      <c r="C30" s="72"/>
      <c r="D30" s="73"/>
      <c r="E30" s="73"/>
      <c r="F30" s="73"/>
      <c r="G30" s="450"/>
    </row>
    <row r="31" spans="1:10" ht="12" customHeight="1" x14ac:dyDescent="0.2">
      <c r="A31" s="425" t="s">
        <v>36</v>
      </c>
      <c r="B31" s="426"/>
      <c r="C31" s="426"/>
      <c r="D31" s="426"/>
      <c r="E31" s="426"/>
      <c r="F31" s="427"/>
      <c r="G31" s="487"/>
    </row>
    <row r="32" spans="1:10" ht="12" customHeight="1" x14ac:dyDescent="0.2">
      <c r="A32" s="412" t="s">
        <v>29</v>
      </c>
      <c r="B32" s="412" t="s">
        <v>30</v>
      </c>
      <c r="C32" s="412" t="s">
        <v>31</v>
      </c>
      <c r="D32" s="414" t="s">
        <v>94</v>
      </c>
      <c r="E32" s="414"/>
      <c r="F32" s="414"/>
      <c r="J32" s="36"/>
    </row>
    <row r="33" spans="1:10" ht="12" customHeight="1" x14ac:dyDescent="0.2">
      <c r="A33" s="413"/>
      <c r="B33" s="413"/>
      <c r="C33" s="412"/>
      <c r="D33" s="412" t="s">
        <v>33</v>
      </c>
      <c r="E33" s="412" t="s">
        <v>34</v>
      </c>
      <c r="F33" s="412" t="s">
        <v>35</v>
      </c>
      <c r="J33" s="36"/>
    </row>
    <row r="34" spans="1:10" ht="12" customHeight="1" x14ac:dyDescent="0.2">
      <c r="A34" s="413"/>
      <c r="B34" s="413"/>
      <c r="C34" s="412"/>
      <c r="D34" s="412"/>
      <c r="E34" s="412"/>
      <c r="F34" s="412"/>
      <c r="H34" s="36"/>
    </row>
    <row r="35" spans="1:10" ht="12" customHeight="1" x14ac:dyDescent="0.2">
      <c r="A35" s="413"/>
      <c r="B35" s="413"/>
      <c r="C35" s="412"/>
      <c r="D35" s="412"/>
      <c r="E35" s="412"/>
      <c r="F35" s="412"/>
    </row>
    <row r="36" spans="1:10" x14ac:dyDescent="0.2">
      <c r="A36" s="420">
        <v>0</v>
      </c>
      <c r="B36" s="434">
        <v>12</v>
      </c>
      <c r="C36" s="32" t="s">
        <v>2</v>
      </c>
      <c r="D36" s="435">
        <v>2.2000000000000002</v>
      </c>
      <c r="E36" s="33" t="s">
        <v>2</v>
      </c>
      <c r="F36" s="33" t="s">
        <v>2</v>
      </c>
    </row>
    <row r="37" spans="1:10" x14ac:dyDescent="0.2">
      <c r="A37" s="420"/>
      <c r="B37" s="416"/>
      <c r="C37" s="416">
        <f>B38-B36</f>
        <v>5.7</v>
      </c>
      <c r="D37" s="419"/>
      <c r="E37" s="411">
        <f>SUM(0.5*D36,0.5*D38)</f>
        <v>1.6</v>
      </c>
      <c r="F37" s="411">
        <f>PRODUCT(C37,E37)</f>
        <v>9.1199999999999992</v>
      </c>
    </row>
    <row r="38" spans="1:10" x14ac:dyDescent="0.2">
      <c r="A38" s="420"/>
      <c r="B38" s="416">
        <v>17.7</v>
      </c>
      <c r="C38" s="416"/>
      <c r="D38" s="411">
        <v>1</v>
      </c>
      <c r="E38" s="411"/>
      <c r="F38" s="411"/>
    </row>
    <row r="39" spans="1:10" x14ac:dyDescent="0.2">
      <c r="A39" s="420"/>
      <c r="B39" s="416"/>
      <c r="C39" s="409">
        <f>B40-B38</f>
        <v>17.3</v>
      </c>
      <c r="D39" s="419"/>
      <c r="E39" s="411">
        <f>SUM(0.5*D38,0.5*D40)</f>
        <v>1</v>
      </c>
      <c r="F39" s="411">
        <f>PRODUCT(C39,E39)</f>
        <v>17.3</v>
      </c>
    </row>
    <row r="40" spans="1:10" x14ac:dyDescent="0.2">
      <c r="A40" s="420"/>
      <c r="B40" s="416">
        <v>35</v>
      </c>
      <c r="C40" s="410"/>
      <c r="D40" s="411">
        <v>1</v>
      </c>
      <c r="E40" s="411"/>
      <c r="F40" s="411"/>
    </row>
    <row r="41" spans="1:10" x14ac:dyDescent="0.2">
      <c r="A41" s="420"/>
      <c r="B41" s="416"/>
      <c r="C41" s="409">
        <f>B42-B40</f>
        <v>17</v>
      </c>
      <c r="D41" s="419"/>
      <c r="E41" s="411">
        <f>SUM(0.5*D40,0.5*D42)</f>
        <v>0.5</v>
      </c>
      <c r="F41" s="411">
        <f>PRODUCT(C41,E41)</f>
        <v>8.5</v>
      </c>
    </row>
    <row r="42" spans="1:10" x14ac:dyDescent="0.2">
      <c r="A42" s="420"/>
      <c r="B42" s="416">
        <v>52</v>
      </c>
      <c r="C42" s="410"/>
      <c r="D42" s="411">
        <v>0</v>
      </c>
      <c r="E42" s="411"/>
      <c r="F42" s="411"/>
    </row>
    <row r="43" spans="1:10" x14ac:dyDescent="0.2">
      <c r="A43" s="420"/>
      <c r="B43" s="416"/>
      <c r="C43" s="30" t="s">
        <v>2</v>
      </c>
      <c r="D43" s="419"/>
      <c r="E43" s="57" t="s">
        <v>2</v>
      </c>
      <c r="F43" s="57" t="s">
        <v>2</v>
      </c>
    </row>
    <row r="44" spans="1:10" x14ac:dyDescent="0.2">
      <c r="D44" s="417" t="s">
        <v>37</v>
      </c>
      <c r="E44" s="417"/>
      <c r="F44" s="418">
        <f>SUM(F37:F43)</f>
        <v>34.92</v>
      </c>
    </row>
    <row r="45" spans="1:10" ht="13.5" customHeight="1" x14ac:dyDescent="0.2">
      <c r="C45" s="26"/>
      <c r="D45" s="417"/>
      <c r="E45" s="417"/>
      <c r="F45" s="418"/>
    </row>
  </sheetData>
  <mergeCells count="89">
    <mergeCell ref="E1:G1"/>
    <mergeCell ref="H2:I2"/>
    <mergeCell ref="A3:F4"/>
    <mergeCell ref="A5:F6"/>
    <mergeCell ref="A7:F7"/>
    <mergeCell ref="E9:E11"/>
    <mergeCell ref="F9:F11"/>
    <mergeCell ref="G11:G12"/>
    <mergeCell ref="A12:A27"/>
    <mergeCell ref="B12:B13"/>
    <mergeCell ref="D12:D13"/>
    <mergeCell ref="C13:C14"/>
    <mergeCell ref="E13:E14"/>
    <mergeCell ref="F13:F14"/>
    <mergeCell ref="G13:G14"/>
    <mergeCell ref="A8:A11"/>
    <mergeCell ref="B8:B11"/>
    <mergeCell ref="C8:C11"/>
    <mergeCell ref="D8:F8"/>
    <mergeCell ref="D9:D11"/>
    <mergeCell ref="G15:G16"/>
    <mergeCell ref="B16:B17"/>
    <mergeCell ref="D16:D17"/>
    <mergeCell ref="C17:C18"/>
    <mergeCell ref="E17:E18"/>
    <mergeCell ref="B14:B15"/>
    <mergeCell ref="D14:D15"/>
    <mergeCell ref="C15:C16"/>
    <mergeCell ref="E15:E16"/>
    <mergeCell ref="F15:F16"/>
    <mergeCell ref="F17:F18"/>
    <mergeCell ref="G17:G18"/>
    <mergeCell ref="B18:B19"/>
    <mergeCell ref="D18:D19"/>
    <mergeCell ref="C19:C20"/>
    <mergeCell ref="E19:E20"/>
    <mergeCell ref="F19:F20"/>
    <mergeCell ref="G19:G20"/>
    <mergeCell ref="B20:B21"/>
    <mergeCell ref="D20:D21"/>
    <mergeCell ref="C21:C22"/>
    <mergeCell ref="E21:E22"/>
    <mergeCell ref="F21:F22"/>
    <mergeCell ref="G21:G22"/>
    <mergeCell ref="B22:B23"/>
    <mergeCell ref="D22:D23"/>
    <mergeCell ref="C23:C24"/>
    <mergeCell ref="E23:E24"/>
    <mergeCell ref="F23:F24"/>
    <mergeCell ref="G23:G24"/>
    <mergeCell ref="G25:G26"/>
    <mergeCell ref="B26:B27"/>
    <mergeCell ref="D26:D27"/>
    <mergeCell ref="G27:G31"/>
    <mergeCell ref="A31:F31"/>
    <mergeCell ref="B24:B25"/>
    <mergeCell ref="D24:D25"/>
    <mergeCell ref="C25:C26"/>
    <mergeCell ref="E25:E26"/>
    <mergeCell ref="F25:F26"/>
    <mergeCell ref="A32:A35"/>
    <mergeCell ref="B32:B35"/>
    <mergeCell ref="C32:C35"/>
    <mergeCell ref="D32:F32"/>
    <mergeCell ref="D33:D35"/>
    <mergeCell ref="E33:E35"/>
    <mergeCell ref="F33:F35"/>
    <mergeCell ref="B42:B43"/>
    <mergeCell ref="D42:D43"/>
    <mergeCell ref="D28:E29"/>
    <mergeCell ref="F28:F29"/>
    <mergeCell ref="A36:A43"/>
    <mergeCell ref="B36:B37"/>
    <mergeCell ref="D36:D37"/>
    <mergeCell ref="C37:C38"/>
    <mergeCell ref="E37:E38"/>
    <mergeCell ref="B38:B39"/>
    <mergeCell ref="D38:D39"/>
    <mergeCell ref="C39:C40"/>
    <mergeCell ref="E39:E40"/>
    <mergeCell ref="B40:B41"/>
    <mergeCell ref="D40:D41"/>
    <mergeCell ref="C41:C42"/>
    <mergeCell ref="D44:E45"/>
    <mergeCell ref="F44:F45"/>
    <mergeCell ref="F39:F40"/>
    <mergeCell ref="F37:F38"/>
    <mergeCell ref="F41:F42"/>
    <mergeCell ref="E41:E4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4294967294" vertic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4F0F0-9511-4634-A53D-396BC0D96066}">
  <sheetPr>
    <tabColor rgb="FF00B050"/>
  </sheetPr>
  <dimension ref="A1:J61"/>
  <sheetViews>
    <sheetView tabSelected="1" view="pageBreakPreview" topLeftCell="A24" zoomScaleNormal="100" zoomScaleSheetLayoutView="100" workbookViewId="0">
      <selection activeCell="N7" sqref="N7"/>
    </sheetView>
    <sheetView view="pageBreakPreview" topLeftCell="A16" zoomScale="110" zoomScaleNormal="100" zoomScaleSheetLayoutView="110" workbookViewId="1">
      <selection activeCell="L4" sqref="L4"/>
    </sheetView>
  </sheetViews>
  <sheetFormatPr defaultRowHeight="12.75" x14ac:dyDescent="0.2"/>
  <cols>
    <col min="1" max="3" width="8.7109375" customWidth="1"/>
    <col min="4" max="9" width="10.7109375" customWidth="1"/>
    <col min="10" max="10" width="8.7109375" customWidth="1"/>
  </cols>
  <sheetData>
    <row r="1" spans="1:10" ht="24.95" customHeight="1" x14ac:dyDescent="0.25">
      <c r="A1" s="176"/>
      <c r="B1" s="176"/>
      <c r="C1" s="176"/>
      <c r="D1" s="176"/>
      <c r="E1" s="176"/>
      <c r="F1" s="176"/>
      <c r="G1" s="176"/>
      <c r="H1" s="262" t="s">
        <v>277</v>
      </c>
      <c r="I1" s="263"/>
    </row>
    <row r="2" spans="1:10" ht="54" customHeight="1" x14ac:dyDescent="0.2">
      <c r="A2" s="176"/>
      <c r="B2" s="280" t="s">
        <v>272</v>
      </c>
      <c r="C2" s="281"/>
      <c r="D2" s="282" t="s">
        <v>233</v>
      </c>
      <c r="E2" s="282"/>
      <c r="F2" s="282"/>
      <c r="G2" s="282"/>
      <c r="H2" s="282"/>
      <c r="I2" s="283"/>
      <c r="J2" s="158"/>
    </row>
    <row r="3" spans="1:10" ht="28.5" customHeight="1" x14ac:dyDescent="0.2">
      <c r="A3" s="176"/>
      <c r="B3" s="284" t="s">
        <v>273</v>
      </c>
      <c r="C3" s="285"/>
      <c r="D3" s="286" t="s">
        <v>420</v>
      </c>
      <c r="E3" s="287"/>
      <c r="F3" s="287"/>
      <c r="G3" s="287"/>
      <c r="H3" s="287"/>
      <c r="I3" s="288"/>
      <c r="J3" s="157"/>
    </row>
    <row r="4" spans="1:10" ht="130.5" customHeight="1" x14ac:dyDescent="0.2">
      <c r="A4" s="176"/>
      <c r="B4" s="293" t="s">
        <v>274</v>
      </c>
      <c r="C4" s="303"/>
      <c r="D4" s="290" t="s">
        <v>393</v>
      </c>
      <c r="E4" s="291"/>
      <c r="F4" s="291"/>
      <c r="G4" s="291"/>
      <c r="H4" s="291"/>
      <c r="I4" s="292"/>
      <c r="J4" s="113"/>
    </row>
    <row r="5" spans="1:10" ht="34.5" customHeight="1" x14ac:dyDescent="0.2">
      <c r="A5" s="176"/>
      <c r="B5" s="280" t="s">
        <v>275</v>
      </c>
      <c r="C5" s="281"/>
      <c r="D5" s="304" t="s">
        <v>321</v>
      </c>
      <c r="E5" s="304"/>
      <c r="F5" s="304"/>
      <c r="G5" s="304"/>
      <c r="H5" s="304"/>
      <c r="I5" s="305"/>
      <c r="J5" s="159"/>
    </row>
    <row r="6" spans="1:10" ht="20.100000000000001" customHeight="1" x14ac:dyDescent="0.2">
      <c r="A6" s="176"/>
      <c r="B6" s="293" t="s">
        <v>276</v>
      </c>
      <c r="C6" s="294"/>
      <c r="D6" s="268" t="s">
        <v>269</v>
      </c>
      <c r="E6" s="269"/>
      <c r="F6" s="266" t="s">
        <v>268</v>
      </c>
      <c r="G6" s="266"/>
      <c r="H6" s="266"/>
      <c r="I6" s="267"/>
      <c r="J6" s="113"/>
    </row>
    <row r="7" spans="1:10" ht="20.100000000000001" customHeight="1" x14ac:dyDescent="0.2">
      <c r="A7" s="176"/>
      <c r="B7" s="295"/>
      <c r="C7" s="296"/>
      <c r="D7" s="270" t="s">
        <v>267</v>
      </c>
      <c r="E7" s="266"/>
      <c r="F7" s="266" t="s">
        <v>326</v>
      </c>
      <c r="G7" s="266"/>
      <c r="H7" s="266"/>
      <c r="I7" s="267"/>
    </row>
    <row r="8" spans="1:10" ht="20.100000000000001" customHeight="1" x14ac:dyDescent="0.2">
      <c r="A8" s="176"/>
      <c r="B8" s="295"/>
      <c r="C8" s="296"/>
      <c r="D8" s="270" t="s">
        <v>266</v>
      </c>
      <c r="E8" s="266"/>
      <c r="F8" s="266" t="s">
        <v>327</v>
      </c>
      <c r="G8" s="266"/>
      <c r="H8" s="266"/>
      <c r="I8" s="267"/>
    </row>
    <row r="9" spans="1:10" ht="19.5" customHeight="1" x14ac:dyDescent="0.2">
      <c r="A9" s="176"/>
      <c r="B9" s="297"/>
      <c r="C9" s="298"/>
      <c r="D9" s="268" t="s">
        <v>265</v>
      </c>
      <c r="E9" s="269"/>
      <c r="F9" s="266" t="s">
        <v>327</v>
      </c>
      <c r="G9" s="266"/>
      <c r="H9" s="266"/>
      <c r="I9" s="267"/>
    </row>
    <row r="10" spans="1:10" ht="8.1" customHeight="1" x14ac:dyDescent="0.2">
      <c r="A10" s="176"/>
      <c r="B10" s="271"/>
      <c r="C10" s="272"/>
      <c r="D10" s="272"/>
      <c r="E10" s="272"/>
      <c r="F10" s="272"/>
      <c r="G10" s="272"/>
      <c r="H10" s="272"/>
      <c r="I10" s="273"/>
    </row>
    <row r="11" spans="1:10" ht="8.1" customHeight="1" x14ac:dyDescent="0.2">
      <c r="A11" s="176"/>
      <c r="B11" s="274"/>
      <c r="C11" s="275"/>
      <c r="D11" s="275"/>
      <c r="E11" s="275"/>
      <c r="F11" s="275"/>
      <c r="G11" s="275"/>
      <c r="H11" s="275"/>
      <c r="I11" s="276"/>
    </row>
    <row r="12" spans="1:10" ht="8.1" customHeight="1" x14ac:dyDescent="0.2">
      <c r="A12" s="176"/>
      <c r="B12" s="277"/>
      <c r="C12" s="278"/>
      <c r="D12" s="278"/>
      <c r="E12" s="278"/>
      <c r="F12" s="278"/>
      <c r="G12" s="278"/>
      <c r="H12" s="278"/>
      <c r="I12" s="279"/>
    </row>
    <row r="13" spans="1:10" ht="20.100000000000001" customHeight="1" x14ac:dyDescent="0.2">
      <c r="A13" s="176"/>
      <c r="B13" s="293" t="s">
        <v>167</v>
      </c>
      <c r="C13" s="294"/>
      <c r="D13" s="169" t="s">
        <v>328</v>
      </c>
      <c r="E13" s="164"/>
      <c r="F13" s="164"/>
      <c r="G13" s="164"/>
      <c r="H13" s="164"/>
      <c r="I13" s="165"/>
    </row>
    <row r="14" spans="1:10" ht="20.100000000000001" customHeight="1" x14ac:dyDescent="0.2">
      <c r="A14" s="176"/>
      <c r="B14" s="295"/>
      <c r="C14" s="296"/>
      <c r="D14" s="264" t="s">
        <v>329</v>
      </c>
      <c r="E14" s="265"/>
      <c r="F14" s="160"/>
      <c r="G14" s="160"/>
      <c r="H14" s="160"/>
      <c r="I14" s="166"/>
    </row>
    <row r="15" spans="1:10" ht="20.100000000000001" customHeight="1" x14ac:dyDescent="0.2">
      <c r="A15" s="176"/>
      <c r="B15" s="297"/>
      <c r="C15" s="298"/>
      <c r="D15" s="206" t="s">
        <v>330</v>
      </c>
      <c r="E15" s="167"/>
      <c r="F15" s="167"/>
      <c r="G15" s="167"/>
      <c r="H15" s="167"/>
      <c r="I15" s="168"/>
    </row>
    <row r="16" spans="1:10" ht="20.100000000000001" customHeight="1" x14ac:dyDescent="0.2">
      <c r="A16" s="176"/>
      <c r="B16" s="177"/>
      <c r="C16" s="177"/>
      <c r="D16" s="159"/>
      <c r="E16" s="178"/>
      <c r="F16" s="178"/>
      <c r="G16" s="176"/>
      <c r="H16" s="176"/>
      <c r="I16" s="176"/>
    </row>
    <row r="17" spans="2:9" ht="15" x14ac:dyDescent="0.2">
      <c r="B17" s="114"/>
      <c r="C17" s="114"/>
      <c r="D17" s="113"/>
      <c r="E17" s="112"/>
      <c r="F17" s="112"/>
    </row>
    <row r="18" spans="2:9" ht="15" x14ac:dyDescent="0.2">
      <c r="B18" s="114"/>
      <c r="C18" s="114"/>
      <c r="D18" s="113"/>
      <c r="E18" s="112"/>
      <c r="F18" s="112"/>
    </row>
    <row r="19" spans="2:9" ht="14.25" customHeight="1" x14ac:dyDescent="0.2">
      <c r="B19" s="114"/>
      <c r="C19" s="114"/>
      <c r="D19" s="113"/>
      <c r="E19" s="112"/>
      <c r="F19" s="112"/>
    </row>
    <row r="20" spans="2:9" ht="14.25" customHeight="1" x14ac:dyDescent="0.2">
      <c r="B20" s="114"/>
      <c r="C20" s="114"/>
      <c r="D20" s="113"/>
      <c r="E20" s="112"/>
      <c r="F20" s="112"/>
    </row>
    <row r="21" spans="2:9" ht="14.25" customHeight="1" x14ac:dyDescent="0.2">
      <c r="B21" s="114"/>
      <c r="C21" s="114"/>
      <c r="D21" s="113"/>
      <c r="E21" s="112"/>
      <c r="F21" s="112"/>
    </row>
    <row r="22" spans="2:9" ht="14.25" customHeight="1" x14ac:dyDescent="0.2">
      <c r="B22" s="114"/>
      <c r="C22" s="114"/>
      <c r="D22" s="113"/>
      <c r="E22" s="112"/>
      <c r="F22" s="112"/>
    </row>
    <row r="23" spans="2:9" ht="15" x14ac:dyDescent="0.2">
      <c r="B23" s="114"/>
      <c r="C23" s="114"/>
      <c r="D23" s="113"/>
      <c r="E23" s="112"/>
      <c r="F23" s="112"/>
    </row>
    <row r="24" spans="2:9" ht="15" x14ac:dyDescent="0.2">
      <c r="B24" s="114"/>
      <c r="C24" s="114"/>
      <c r="D24" s="113"/>
      <c r="E24" s="112"/>
      <c r="F24" s="112"/>
    </row>
    <row r="25" spans="2:9" ht="15" x14ac:dyDescent="0.2">
      <c r="B25" s="114"/>
      <c r="C25" s="114"/>
      <c r="D25" s="113"/>
      <c r="E25" s="112"/>
      <c r="F25" s="112"/>
    </row>
    <row r="26" spans="2:9" ht="15" x14ac:dyDescent="0.2">
      <c r="B26" s="114"/>
      <c r="C26" s="114"/>
      <c r="D26" s="113"/>
      <c r="E26" s="112"/>
      <c r="F26" s="112"/>
    </row>
    <row r="27" spans="2:9" ht="15" x14ac:dyDescent="0.2">
      <c r="B27" s="114"/>
      <c r="C27" s="114"/>
      <c r="D27" s="113"/>
      <c r="E27" s="112"/>
      <c r="F27" s="112"/>
    </row>
    <row r="28" spans="2:9" ht="15" x14ac:dyDescent="0.2">
      <c r="B28" s="114"/>
      <c r="C28" s="114"/>
      <c r="D28" s="113"/>
      <c r="E28" s="112"/>
      <c r="F28" s="112"/>
    </row>
    <row r="29" spans="2:9" ht="16.5" x14ac:dyDescent="0.2">
      <c r="B29" s="160" t="s">
        <v>166</v>
      </c>
      <c r="C29" s="115"/>
      <c r="D29" s="113"/>
      <c r="E29" s="112"/>
      <c r="F29" s="112"/>
    </row>
    <row r="30" spans="2:9" ht="15" x14ac:dyDescent="0.2">
      <c r="B30" s="114"/>
      <c r="C30" s="114"/>
      <c r="D30" s="113"/>
      <c r="E30" s="112"/>
      <c r="F30" s="112"/>
    </row>
    <row r="31" spans="2:9" ht="12" customHeight="1" x14ac:dyDescent="0.2">
      <c r="B31" s="300" t="s">
        <v>165</v>
      </c>
      <c r="C31" s="301" t="s">
        <v>183</v>
      </c>
      <c r="D31" s="306" t="s">
        <v>421</v>
      </c>
      <c r="E31" s="307"/>
      <c r="F31" s="307"/>
      <c r="G31" s="308"/>
      <c r="H31" s="300" t="s">
        <v>163</v>
      </c>
      <c r="I31" s="300" t="s">
        <v>162</v>
      </c>
    </row>
    <row r="32" spans="2:9" ht="12" customHeight="1" x14ac:dyDescent="0.2">
      <c r="B32" s="300"/>
      <c r="C32" s="302"/>
      <c r="D32" s="309"/>
      <c r="E32" s="310"/>
      <c r="F32" s="310"/>
      <c r="G32" s="311"/>
      <c r="H32" s="300"/>
      <c r="I32" s="300"/>
    </row>
    <row r="33" spans="2:9" ht="30" customHeight="1" x14ac:dyDescent="0.2">
      <c r="B33" s="162" t="s">
        <v>160</v>
      </c>
      <c r="C33" s="161" t="s">
        <v>159</v>
      </c>
      <c r="D33" s="299"/>
      <c r="E33" s="299"/>
      <c r="F33" s="299"/>
      <c r="G33" s="299"/>
      <c r="H33" s="175"/>
      <c r="I33" s="163"/>
    </row>
    <row r="34" spans="2:9" ht="5.25" customHeight="1" x14ac:dyDescent="0.2">
      <c r="B34" s="105"/>
    </row>
    <row r="35" spans="2:9" x14ac:dyDescent="0.2">
      <c r="B35" s="289"/>
      <c r="C35" s="289"/>
      <c r="D35" s="289"/>
      <c r="E35" s="289"/>
      <c r="F35" s="289"/>
      <c r="G35" s="289"/>
      <c r="H35" s="289"/>
      <c r="I35" s="289"/>
    </row>
    <row r="36" spans="2:9" ht="15" customHeight="1" x14ac:dyDescent="0.2"/>
    <row r="37" spans="2:9" ht="15" x14ac:dyDescent="0.2">
      <c r="B37" s="105"/>
    </row>
    <row r="44" spans="2:9" ht="15" x14ac:dyDescent="0.2">
      <c r="B44" s="104"/>
    </row>
    <row r="45" spans="2:9" ht="15" x14ac:dyDescent="0.2">
      <c r="B45" s="104"/>
    </row>
    <row r="52" spans="2:2" x14ac:dyDescent="0.2">
      <c r="B52" t="str">
        <f>D4</f>
        <v>"BUDOWA DROGI GMINNEJ W KM 0+000 - 0+162 WRAZ Z NIEZBĘDNĄ INFRASTRUKTURĄ TECHNICZNĄ W MIEJSCOWOŚCI ŚWILCZA"</v>
      </c>
    </row>
    <row r="54" spans="2:2" x14ac:dyDescent="0.2">
      <c r="B54" t="str">
        <f>F6</f>
        <v>PODKARPACKIE</v>
      </c>
    </row>
    <row r="55" spans="2:2" x14ac:dyDescent="0.2">
      <c r="B55" t="str">
        <f>F7</f>
        <v>RZESZOWSKI</v>
      </c>
    </row>
    <row r="56" spans="2:2" x14ac:dyDescent="0.2">
      <c r="B56" t="str">
        <f>F8</f>
        <v>ŚWILCZA</v>
      </c>
    </row>
    <row r="57" spans="2:2" x14ac:dyDescent="0.2">
      <c r="B57" t="str">
        <f>F9</f>
        <v>ŚWILCZA</v>
      </c>
    </row>
    <row r="59" spans="2:2" x14ac:dyDescent="0.2">
      <c r="B59" t="str">
        <f>D13</f>
        <v>WÓJT GMINY ŚWILCZA</v>
      </c>
    </row>
    <row r="60" spans="2:2" x14ac:dyDescent="0.2">
      <c r="B60" t="str">
        <f>D14</f>
        <v>Świlcza 168</v>
      </c>
    </row>
    <row r="61" spans="2:2" x14ac:dyDescent="0.2">
      <c r="B61" t="str">
        <f>D15</f>
        <v>36-072 ŚWILCZA</v>
      </c>
    </row>
  </sheetData>
  <mergeCells count="28">
    <mergeCell ref="B35:I35"/>
    <mergeCell ref="D4:I4"/>
    <mergeCell ref="B13:C15"/>
    <mergeCell ref="D33:G33"/>
    <mergeCell ref="B31:B32"/>
    <mergeCell ref="C31:C32"/>
    <mergeCell ref="H31:H32"/>
    <mergeCell ref="I31:I32"/>
    <mergeCell ref="B5:C5"/>
    <mergeCell ref="B6:C9"/>
    <mergeCell ref="B4:C4"/>
    <mergeCell ref="D5:I5"/>
    <mergeCell ref="D31:G32"/>
    <mergeCell ref="H1:I1"/>
    <mergeCell ref="D14:E14"/>
    <mergeCell ref="F6:I6"/>
    <mergeCell ref="F7:I7"/>
    <mergeCell ref="F8:I8"/>
    <mergeCell ref="F9:I9"/>
    <mergeCell ref="D6:E6"/>
    <mergeCell ref="D7:E7"/>
    <mergeCell ref="D8:E8"/>
    <mergeCell ref="D9:E9"/>
    <mergeCell ref="B10:I12"/>
    <mergeCell ref="B2:C2"/>
    <mergeCell ref="D2:I2"/>
    <mergeCell ref="B3:C3"/>
    <mergeCell ref="D3:I3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10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69275-6C18-4AA6-B313-B3791EF6010C}">
  <sheetPr>
    <tabColor rgb="FFFFC000"/>
    <pageSetUpPr fitToPage="1"/>
  </sheetPr>
  <dimension ref="A2:O79"/>
  <sheetViews>
    <sheetView view="pageBreakPreview" topLeftCell="A16" zoomScaleNormal="100" zoomScaleSheetLayoutView="100" workbookViewId="0">
      <selection activeCell="D38" sqref="D38"/>
    </sheetView>
    <sheetView view="pageBreakPreview" topLeftCell="A7" zoomScale="115" zoomScaleNormal="100" zoomScaleSheetLayoutView="115" workbookViewId="1">
      <selection activeCell="D77" sqref="D77"/>
    </sheetView>
  </sheetViews>
  <sheetFormatPr defaultRowHeight="12.75" x14ac:dyDescent="0.2"/>
  <cols>
    <col min="1" max="1" width="6.7109375" customWidth="1"/>
    <col min="2" max="2" width="15.85546875" style="26" customWidth="1"/>
    <col min="4" max="4" width="109.85546875" customWidth="1"/>
    <col min="5" max="5" width="25.140625" customWidth="1"/>
    <col min="6" max="6" width="10.5703125" hidden="1" customWidth="1"/>
    <col min="7" max="7" width="12.85546875" hidden="1" customWidth="1"/>
    <col min="8" max="8" width="10.85546875" hidden="1" customWidth="1"/>
    <col min="9" max="9" width="16.140625" hidden="1" customWidth="1"/>
    <col min="10" max="10" width="30.42578125" hidden="1" customWidth="1"/>
    <col min="11" max="11" width="0" hidden="1" customWidth="1"/>
    <col min="12" max="12" width="15" hidden="1" customWidth="1"/>
    <col min="13" max="13" width="0" hidden="1" customWidth="1"/>
  </cols>
  <sheetData>
    <row r="2" spans="1:15" ht="13.5" thickBot="1" x14ac:dyDescent="0.25"/>
    <row r="3" spans="1:15" ht="48.75" customHeight="1" thickBot="1" x14ac:dyDescent="0.25">
      <c r="A3" s="330" t="s">
        <v>155</v>
      </c>
      <c r="B3" s="331"/>
      <c r="C3" s="331"/>
      <c r="D3" s="331"/>
      <c r="E3" s="332"/>
    </row>
    <row r="4" spans="1:15" ht="19.5" thickBot="1" x14ac:dyDescent="0.25">
      <c r="B4" s="333"/>
      <c r="C4" s="333"/>
      <c r="D4" s="333"/>
      <c r="E4" s="333"/>
    </row>
    <row r="5" spans="1:15" ht="88.5" customHeight="1" x14ac:dyDescent="0.2">
      <c r="A5" s="334" t="s">
        <v>174</v>
      </c>
      <c r="B5" s="335"/>
      <c r="C5" s="336" t="str">
        <f>'01.0_ST KO'!B52</f>
        <v>"BUDOWA DROGI GMINNEJ W KM 0+000 - 0+162 WRAZ Z NIEZBĘDNĄ INFRASTRUKTURĄ TECHNICZNĄ W MIEJSCOWOŚCI ŚWILCZA"</v>
      </c>
      <c r="D5" s="336"/>
      <c r="E5" s="337"/>
      <c r="F5" s="176"/>
      <c r="G5" s="176"/>
      <c r="H5" s="176"/>
      <c r="I5" s="176"/>
      <c r="J5" s="176"/>
    </row>
    <row r="6" spans="1:15" ht="37.5" customHeight="1" x14ac:dyDescent="0.2">
      <c r="A6" s="181" t="s">
        <v>18</v>
      </c>
      <c r="B6" s="182" t="s">
        <v>6</v>
      </c>
      <c r="C6" s="338" t="s">
        <v>7</v>
      </c>
      <c r="D6" s="338"/>
      <c r="E6" s="183" t="s">
        <v>8</v>
      </c>
      <c r="F6" s="176"/>
      <c r="G6" s="176"/>
      <c r="H6" s="176"/>
      <c r="I6" s="176"/>
      <c r="J6" s="176"/>
    </row>
    <row r="7" spans="1:15" ht="20.100000000000001" customHeight="1" x14ac:dyDescent="0.2">
      <c r="A7" s="201"/>
      <c r="B7" s="202"/>
      <c r="C7" s="329" t="str">
        <f>[1]KI!B16</f>
        <v>KOSZT DOSTOSOWANIA SIĘ DO WYMAGAŃ OGÓLNYCH KONTRAKTU</v>
      </c>
      <c r="D7" s="329"/>
      <c r="E7" s="203" t="s">
        <v>2</v>
      </c>
      <c r="F7" s="176"/>
      <c r="G7" s="176"/>
      <c r="H7" s="176"/>
      <c r="I7" s="176"/>
      <c r="J7" s="176"/>
    </row>
    <row r="8" spans="1:15" ht="15" customHeight="1" x14ac:dyDescent="0.2">
      <c r="A8" s="184">
        <v>1</v>
      </c>
      <c r="B8" s="185" t="s">
        <v>12</v>
      </c>
      <c r="C8" s="327" t="str">
        <f>[1]KI!C17</f>
        <v>KOSZT DOSTOSOWANIA SIĘ DO WYMAGAŃ WARUNKÓW KONTRAKTU</v>
      </c>
      <c r="D8" s="339"/>
      <c r="E8" s="186">
        <f>'02.3_KI'!J11</f>
        <v>0</v>
      </c>
      <c r="F8" s="176"/>
      <c r="G8" s="176"/>
      <c r="H8" s="176"/>
      <c r="I8" s="187" t="s">
        <v>189</v>
      </c>
      <c r="J8" s="188" t="s">
        <v>153</v>
      </c>
      <c r="L8" s="25" t="s">
        <v>154</v>
      </c>
    </row>
    <row r="9" spans="1:15" ht="20.100000000000001" customHeight="1" x14ac:dyDescent="0.2">
      <c r="A9" s="314" t="s">
        <v>391</v>
      </c>
      <c r="B9" s="315"/>
      <c r="C9" s="315"/>
      <c r="D9" s="316"/>
      <c r="E9" s="200">
        <f>E8</f>
        <v>0</v>
      </c>
      <c r="F9" s="189"/>
      <c r="G9" s="189"/>
      <c r="H9" s="189"/>
      <c r="I9" s="189"/>
      <c r="J9" s="189" t="e">
        <f>E8+#REF!+E23*0.015</f>
        <v>#REF!</v>
      </c>
      <c r="L9" s="102" t="e">
        <f>E23-J9</f>
        <v>#REF!</v>
      </c>
      <c r="O9" s="103"/>
    </row>
    <row r="10" spans="1:15" ht="20.100000000000001" customHeight="1" x14ac:dyDescent="0.2">
      <c r="A10" s="201"/>
      <c r="B10" s="204"/>
      <c r="C10" s="325" t="s">
        <v>289</v>
      </c>
      <c r="D10" s="326"/>
      <c r="E10" s="205" t="s">
        <v>2</v>
      </c>
      <c r="F10" s="176"/>
      <c r="G10" s="176"/>
      <c r="H10" s="176"/>
      <c r="I10" s="176"/>
      <c r="J10" s="176"/>
    </row>
    <row r="11" spans="1:15" ht="15" customHeight="1" x14ac:dyDescent="0.2">
      <c r="A11" s="217" t="s">
        <v>379</v>
      </c>
      <c r="B11" s="190" t="s">
        <v>13</v>
      </c>
      <c r="C11" s="328" t="s">
        <v>225</v>
      </c>
      <c r="D11" s="328"/>
      <c r="E11" s="186">
        <f>'02.3_KI'!J29</f>
        <v>0</v>
      </c>
      <c r="F11" s="176"/>
      <c r="G11" s="176"/>
      <c r="H11" s="176"/>
      <c r="I11" s="176"/>
      <c r="J11" s="176"/>
    </row>
    <row r="12" spans="1:15" ht="15" customHeight="1" x14ac:dyDescent="0.2">
      <c r="A12" s="217" t="s">
        <v>314</v>
      </c>
      <c r="B12" s="190" t="s">
        <v>14</v>
      </c>
      <c r="C12" s="328" t="s">
        <v>226</v>
      </c>
      <c r="D12" s="328"/>
      <c r="E12" s="186">
        <f>'02.3_KI'!J35</f>
        <v>0</v>
      </c>
      <c r="F12" s="176"/>
      <c r="G12" s="191">
        <v>8520</v>
      </c>
      <c r="H12" s="191">
        <v>30</v>
      </c>
      <c r="I12" s="191">
        <f>H12*G12</f>
        <v>255600</v>
      </c>
      <c r="J12" s="192" t="s">
        <v>185</v>
      </c>
      <c r="K12" s="86"/>
    </row>
    <row r="13" spans="1:15" ht="15" customHeight="1" x14ac:dyDescent="0.2">
      <c r="A13" s="217" t="s">
        <v>381</v>
      </c>
      <c r="B13" s="190" t="s">
        <v>10</v>
      </c>
      <c r="C13" s="328" t="s">
        <v>229</v>
      </c>
      <c r="D13" s="328"/>
      <c r="E13" s="186">
        <f>'02.3_KI'!J42</f>
        <v>0</v>
      </c>
      <c r="F13" s="187" t="s">
        <v>186</v>
      </c>
      <c r="G13" s="176">
        <v>13541.6</v>
      </c>
      <c r="H13" s="176">
        <v>150</v>
      </c>
      <c r="I13" s="193">
        <f>G13*H13</f>
        <v>2031240</v>
      </c>
      <c r="J13" s="194" t="s">
        <v>187</v>
      </c>
    </row>
    <row r="14" spans="1:15" ht="15" customHeight="1" x14ac:dyDescent="0.2">
      <c r="A14" s="217" t="s">
        <v>382</v>
      </c>
      <c r="B14" s="190" t="s">
        <v>11</v>
      </c>
      <c r="C14" s="328" t="s">
        <v>227</v>
      </c>
      <c r="D14" s="328"/>
      <c r="E14" s="186">
        <f>'02.3_KI'!J53</f>
        <v>0</v>
      </c>
      <c r="F14" s="187" t="s">
        <v>186</v>
      </c>
      <c r="G14" s="176">
        <v>13541.6</v>
      </c>
      <c r="H14" s="176">
        <v>150</v>
      </c>
      <c r="I14" s="193">
        <f>G14*H14</f>
        <v>2031240</v>
      </c>
      <c r="J14" s="194" t="s">
        <v>187</v>
      </c>
    </row>
    <row r="15" spans="1:15" ht="15" customHeight="1" x14ac:dyDescent="0.2">
      <c r="A15" s="217" t="s">
        <v>383</v>
      </c>
      <c r="B15" s="190" t="s">
        <v>15</v>
      </c>
      <c r="C15" s="327" t="s">
        <v>228</v>
      </c>
      <c r="D15" s="327"/>
      <c r="E15" s="186">
        <f>'02.3_KI'!J60</f>
        <v>0</v>
      </c>
      <c r="F15" s="176"/>
      <c r="G15" s="176">
        <v>13541.6</v>
      </c>
      <c r="H15" s="176">
        <v>87.832999999999998</v>
      </c>
      <c r="I15" s="193">
        <f>G15*H15</f>
        <v>1189399.3500000001</v>
      </c>
      <c r="J15" s="176"/>
      <c r="L15" s="87"/>
    </row>
    <row r="16" spans="1:15" ht="15" customHeight="1" x14ac:dyDescent="0.2">
      <c r="A16" s="217" t="s">
        <v>374</v>
      </c>
      <c r="B16" s="190" t="s">
        <v>16</v>
      </c>
      <c r="C16" s="327" t="s">
        <v>230</v>
      </c>
      <c r="D16" s="327"/>
      <c r="E16" s="186">
        <f>'02.3_KI'!J65</f>
        <v>0</v>
      </c>
      <c r="F16" s="176"/>
      <c r="G16" s="176"/>
      <c r="H16" s="176"/>
      <c r="I16" s="193"/>
      <c r="J16" s="176"/>
      <c r="L16" s="87"/>
    </row>
    <row r="17" spans="1:15" ht="15" customHeight="1" x14ac:dyDescent="0.2">
      <c r="A17" s="217" t="s">
        <v>384</v>
      </c>
      <c r="B17" s="190" t="s">
        <v>21</v>
      </c>
      <c r="C17" s="327" t="s">
        <v>380</v>
      </c>
      <c r="D17" s="327"/>
      <c r="E17" s="186">
        <f>'02.3_KI'!J71</f>
        <v>0</v>
      </c>
      <c r="F17" s="176"/>
      <c r="G17" s="176"/>
      <c r="H17" s="176"/>
      <c r="I17" s="176"/>
      <c r="J17" s="195" t="s">
        <v>188</v>
      </c>
      <c r="K17" s="86"/>
    </row>
    <row r="18" spans="1:15" ht="15" customHeight="1" x14ac:dyDescent="0.2">
      <c r="A18" s="217" t="s">
        <v>385</v>
      </c>
      <c r="B18" s="190" t="s">
        <v>1</v>
      </c>
      <c r="C18" s="327" t="s">
        <v>287</v>
      </c>
      <c r="D18" s="327"/>
      <c r="E18" s="186">
        <f>'02.3_KI'!J81</f>
        <v>0</v>
      </c>
      <c r="F18" s="176"/>
      <c r="G18" s="176"/>
      <c r="H18" s="176"/>
      <c r="I18" s="176"/>
      <c r="J18" s="195"/>
      <c r="K18" s="86"/>
    </row>
    <row r="19" spans="1:15" ht="20.100000000000001" customHeight="1" x14ac:dyDescent="0.2">
      <c r="A19" s="314" t="s">
        <v>391</v>
      </c>
      <c r="B19" s="315"/>
      <c r="C19" s="315"/>
      <c r="D19" s="316"/>
      <c r="E19" s="200">
        <f>E11+E12+E13+E14+E15+E16+E17+E18</f>
        <v>0</v>
      </c>
      <c r="F19" s="189"/>
      <c r="G19" s="189"/>
      <c r="H19" s="189"/>
      <c r="I19" s="189"/>
      <c r="J19" s="189" t="e">
        <f>#REF!+#REF!+E34*0.015</f>
        <v>#REF!</v>
      </c>
      <c r="L19" s="102" t="e">
        <f>E34-J19</f>
        <v>#REF!</v>
      </c>
      <c r="O19" s="103"/>
    </row>
    <row r="20" spans="1:15" ht="20.100000000000001" customHeight="1" x14ac:dyDescent="0.2">
      <c r="A20" s="201"/>
      <c r="B20" s="204"/>
      <c r="C20" s="325" t="s">
        <v>387</v>
      </c>
      <c r="D20" s="326"/>
      <c r="E20" s="205" t="s">
        <v>2</v>
      </c>
      <c r="F20" s="176"/>
      <c r="G20" s="176"/>
      <c r="H20" s="176"/>
      <c r="I20" s="176"/>
      <c r="J20" s="176"/>
    </row>
    <row r="21" spans="1:15" ht="15" customHeight="1" x14ac:dyDescent="0.2">
      <c r="A21" s="190">
        <v>29</v>
      </c>
      <c r="B21" s="190" t="s">
        <v>389</v>
      </c>
      <c r="C21" s="312" t="s">
        <v>388</v>
      </c>
      <c r="D21" s="313"/>
      <c r="E21" s="186"/>
      <c r="F21" s="176"/>
      <c r="G21" s="191"/>
      <c r="H21" s="191"/>
      <c r="I21" s="191"/>
      <c r="J21" s="192"/>
      <c r="K21" s="86"/>
    </row>
    <row r="22" spans="1:15" ht="20.100000000000001" customHeight="1" thickBot="1" x14ac:dyDescent="0.25">
      <c r="A22" s="314" t="s">
        <v>390</v>
      </c>
      <c r="B22" s="315"/>
      <c r="C22" s="315"/>
      <c r="D22" s="316"/>
      <c r="E22" s="200">
        <f>E21</f>
        <v>0</v>
      </c>
      <c r="F22" s="189"/>
      <c r="G22" s="189"/>
      <c r="H22" s="189"/>
      <c r="I22" s="189"/>
      <c r="J22" s="189" t="e">
        <f>#REF!+#REF!+E35*0.015</f>
        <v>#REF!</v>
      </c>
      <c r="L22" s="102" t="e">
        <f>E35-J22</f>
        <v>#REF!</v>
      </c>
      <c r="O22" s="103"/>
    </row>
    <row r="23" spans="1:15" ht="20.100000000000001" customHeight="1" x14ac:dyDescent="0.2">
      <c r="A23" s="319" t="s">
        <v>392</v>
      </c>
      <c r="B23" s="320"/>
      <c r="C23" s="320"/>
      <c r="D23" s="320"/>
      <c r="E23" s="196">
        <f>E9+E19+E22</f>
        <v>0</v>
      </c>
      <c r="F23" s="176"/>
      <c r="G23" s="176"/>
      <c r="H23" s="176"/>
      <c r="I23" s="176"/>
      <c r="J23" s="197"/>
    </row>
    <row r="24" spans="1:15" ht="20.100000000000001" customHeight="1" x14ac:dyDescent="0.2">
      <c r="A24" s="321" t="s">
        <v>17</v>
      </c>
      <c r="B24" s="322"/>
      <c r="C24" s="322"/>
      <c r="D24" s="322"/>
      <c r="E24" s="198">
        <f>E23*0.23</f>
        <v>0</v>
      </c>
      <c r="F24" s="176"/>
      <c r="G24" s="176"/>
      <c r="H24" s="176"/>
      <c r="I24" s="176"/>
      <c r="J24" s="176"/>
    </row>
    <row r="25" spans="1:15" ht="20.100000000000001" customHeight="1" thickBot="1" x14ac:dyDescent="0.25">
      <c r="A25" s="323" t="s">
        <v>386</v>
      </c>
      <c r="B25" s="324"/>
      <c r="C25" s="324"/>
      <c r="D25" s="324"/>
      <c r="E25" s="199">
        <f>E23+E24</f>
        <v>0</v>
      </c>
      <c r="F25" s="176"/>
      <c r="G25" s="176"/>
      <c r="H25" s="176"/>
      <c r="I25" s="176"/>
      <c r="J25" s="176"/>
    </row>
    <row r="28" spans="1:15" x14ac:dyDescent="0.2">
      <c r="A28" s="317" t="s">
        <v>407</v>
      </c>
      <c r="B28" s="318"/>
      <c r="C28" s="318"/>
      <c r="D28" s="318"/>
      <c r="E28" s="318"/>
    </row>
    <row r="29" spans="1:15" x14ac:dyDescent="0.2">
      <c r="A29" s="318"/>
      <c r="B29" s="318"/>
      <c r="C29" s="318"/>
      <c r="D29" s="318"/>
      <c r="E29" s="318"/>
    </row>
    <row r="30" spans="1:15" x14ac:dyDescent="0.2">
      <c r="A30" s="318"/>
      <c r="B30" s="318"/>
      <c r="C30" s="318"/>
      <c r="D30" s="318"/>
      <c r="E30" s="318"/>
    </row>
    <row r="31" spans="1:15" x14ac:dyDescent="0.2">
      <c r="A31" s="318"/>
      <c r="B31" s="318"/>
      <c r="C31" s="318"/>
      <c r="D31" s="318"/>
      <c r="E31" s="318"/>
    </row>
    <row r="58" spans="10:10" x14ac:dyDescent="0.2">
      <c r="J58" s="88" t="s">
        <v>108</v>
      </c>
    </row>
    <row r="59" spans="10:10" x14ac:dyDescent="0.2">
      <c r="J59" s="80" t="s">
        <v>109</v>
      </c>
    </row>
    <row r="60" spans="10:10" x14ac:dyDescent="0.2">
      <c r="J60" s="78"/>
    </row>
    <row r="61" spans="10:10" x14ac:dyDescent="0.2">
      <c r="J61" s="84" t="str">
        <f>IF(A70=0,"",IF(A70=1,"jedenaście milionów ",IF(A70=2,"dwanaście milionów ",IF(A70=3,"trzynaście milionów ",IF(A70=4,"czternaście milionów ",IF(A70=5,"piętnaście milionów ",""))))))</f>
        <v/>
      </c>
    </row>
    <row r="62" spans="10:10" x14ac:dyDescent="0.2">
      <c r="J62" s="78"/>
    </row>
    <row r="63" spans="10:10" x14ac:dyDescent="0.2">
      <c r="J63" s="78"/>
    </row>
    <row r="64" spans="10:10" x14ac:dyDescent="0.2">
      <c r="J64" s="84" t="str">
        <f>IF(A73=0,"",IF(A73=1,"jedenaście tysięcy ",IF(A73=2,"dwanaście tysięcy ",IF(A73=3,"trzynaście tysięcy ",IF(A73=4,"czternaście tysięcy ",IF(A73=5,"piętnaście tysięcy ",""))))))</f>
        <v/>
      </c>
    </row>
    <row r="65" spans="1:14" x14ac:dyDescent="0.2">
      <c r="J65" s="78"/>
    </row>
    <row r="66" spans="1:14" x14ac:dyDescent="0.2">
      <c r="J66" s="78"/>
    </row>
    <row r="67" spans="1:14" x14ac:dyDescent="0.2">
      <c r="A67" s="77"/>
      <c r="B67" s="83"/>
      <c r="C67" s="78"/>
      <c r="D67" s="78"/>
      <c r="E67" s="78"/>
      <c r="F67" s="78"/>
      <c r="G67" s="78"/>
      <c r="H67" s="78"/>
      <c r="I67" s="78"/>
      <c r="J67" s="84" t="str">
        <f>IF(A76=0,"",IF(A76=1,"jedenaście ",IF(A76=2,"dwanaście ",IF(A76=3,"trzynaście ",IF(A76=4,"czternaście ",IF(A76=5,"piętnaście ",""))))))</f>
        <v/>
      </c>
      <c r="K67" s="88"/>
      <c r="L67" s="78"/>
      <c r="M67" s="78"/>
      <c r="N67" s="78"/>
    </row>
    <row r="68" spans="1:14" x14ac:dyDescent="0.2">
      <c r="A68" s="79"/>
      <c r="B68" s="83"/>
      <c r="C68" s="80"/>
      <c r="D68" s="81"/>
      <c r="E68" s="80"/>
      <c r="F68" s="81" t="s">
        <v>110</v>
      </c>
      <c r="G68" s="81"/>
      <c r="H68" s="81"/>
      <c r="I68" s="81"/>
      <c r="J68" s="78"/>
      <c r="K68" s="81" t="s">
        <v>110</v>
      </c>
      <c r="L68" s="88" t="s">
        <v>111</v>
      </c>
      <c r="M68" s="82" t="s">
        <v>112</v>
      </c>
      <c r="N68" s="78"/>
    </row>
    <row r="69" spans="1:14" x14ac:dyDescent="0.2">
      <c r="A69" s="78"/>
      <c r="B69" s="83"/>
      <c r="C69" s="83"/>
      <c r="D69" s="83"/>
      <c r="E69" s="84"/>
      <c r="F69" s="84" t="str">
        <f>IF(A69=6,"sześćdziesiąt ",IF(A69=7,"siedemdziesiąt ",IF(A69=8,"osiemdziesiąt ",IF(A69=9,"dziewięćdziesiąt ",""))))</f>
        <v/>
      </c>
      <c r="G69" s="84"/>
      <c r="H69" s="84"/>
      <c r="I69" s="84"/>
      <c r="J69" s="78"/>
      <c r="K69" s="78"/>
      <c r="L69" s="78"/>
      <c r="M69" s="84" t="str">
        <f>IF(C69,E69&amp;L69,IF(D69,F69&amp;L69,""))</f>
        <v/>
      </c>
      <c r="N69" s="78"/>
    </row>
    <row r="70" spans="1:14" x14ac:dyDescent="0.2">
      <c r="A70" s="79"/>
      <c r="B70" s="83"/>
      <c r="C70" s="83"/>
      <c r="D70" s="83"/>
      <c r="E70" s="84"/>
      <c r="F70" s="84" t="str">
        <f>IF(A70=6,"sześć milionów ",IF(A70=7,"siedem milionów ",IF(A70=8,"osiem milionów ",IF(A70=9,"dziewięć milionów ",""))))</f>
        <v/>
      </c>
      <c r="G70" s="84"/>
      <c r="H70" s="84"/>
      <c r="I70" s="84"/>
      <c r="J70" s="84"/>
      <c r="K70" s="84" t="str">
        <f>IF(A70=6,"szesnaście milionów ",IF(A70=7,"siedemnaście milionów ",IF(A70=8,"osiemnaście milionów ",IF(A70=9,"dziewiętnaście milionów ",""))))</f>
        <v/>
      </c>
      <c r="L70" s="78"/>
      <c r="M70" s="84" t="str">
        <f>IF(A69=1,IF(C70,J61,IF(D70,K70)),IF(C70,E70,IF(D70,F70,"")))</f>
        <v/>
      </c>
      <c r="N70" s="78"/>
    </row>
    <row r="71" spans="1:14" x14ac:dyDescent="0.2">
      <c r="A71" s="78"/>
      <c r="B71" s="83"/>
      <c r="C71" s="83"/>
      <c r="D71" s="83"/>
      <c r="E71" s="84"/>
      <c r="F71" s="84" t="str">
        <f>IF(A71=6,"sześćset ",IF(A71=7,"siedemset ",IF(A71=8,"osiemset ",IF(A71=9,"dziewięćset ",""))))</f>
        <v/>
      </c>
      <c r="G71" s="84"/>
      <c r="H71" s="84"/>
      <c r="I71" s="84"/>
      <c r="K71" s="78"/>
      <c r="L71" s="78"/>
      <c r="M71" s="84" t="str">
        <f>IF(C71,E71&amp;L71,IF(D71,F71&amp;L71,""))</f>
        <v/>
      </c>
      <c r="N71" s="78"/>
    </row>
    <row r="72" spans="1:14" x14ac:dyDescent="0.2">
      <c r="A72" s="78"/>
      <c r="B72" s="83"/>
      <c r="C72" s="83"/>
      <c r="D72" s="83"/>
      <c r="E72" s="84"/>
      <c r="F72" s="84" t="str">
        <f>IF(A72=6,"sześćdziesiąt ",IF(A72=7,"siedemdziesiąt ",IF(A72=8,"osiemdziesiąt ",IF(A72=9,"dziewięćdziesiąt ",""))))</f>
        <v/>
      </c>
      <c r="G72" s="84"/>
      <c r="H72" s="84"/>
      <c r="I72" s="84"/>
      <c r="K72" s="78"/>
      <c r="L72" s="78"/>
      <c r="M72" s="84" t="str">
        <f>IF(C72,E72&amp;L72,IF(D72,F72&amp;L72,""))</f>
        <v/>
      </c>
      <c r="N72" s="78"/>
    </row>
    <row r="73" spans="1:14" x14ac:dyDescent="0.2">
      <c r="A73" s="79"/>
      <c r="B73" s="83"/>
      <c r="C73" s="83"/>
      <c r="D73" s="83"/>
      <c r="E73" s="84"/>
      <c r="F73" s="84" t="str">
        <f>IF(A73=6,"sześć tysięcy ",IF(A73=7,"siedem tysięcy ",IF(A73=8,"osiem tysięcy ",IF(A73=9,"dziewięć tysięcy ",""))))</f>
        <v/>
      </c>
      <c r="G73" s="84"/>
      <c r="H73" s="84"/>
      <c r="I73" s="84"/>
      <c r="K73" s="84" t="str">
        <f>IF(A73=6,"szesnaście tysięcy ",IF(A73=7,"siedemnaście tysięcy ",IF(A73=8,"osiemnaście tysięcy ",IF(A73=9,"dziewiętnaście tysięcy ",""))))</f>
        <v/>
      </c>
      <c r="L73" s="78"/>
      <c r="M73" s="84" t="str">
        <f>IF(A72=1,IF(C73,J64,IF(D73,K73)),IF(C73,E73,IF(D73,F73,"")))</f>
        <v/>
      </c>
      <c r="N73" s="78"/>
    </row>
    <row r="74" spans="1:14" x14ac:dyDescent="0.2">
      <c r="A74" s="78"/>
      <c r="B74" s="83"/>
      <c r="C74" s="83"/>
      <c r="D74" s="83"/>
      <c r="E74" s="84"/>
      <c r="F74" s="84" t="str">
        <f>IF(A74=6,"sześćset ",IF(A74=7,"siedemset ",IF(A74=8,"osiemset ",IF(A74=9,"dziewięćset ",""))))</f>
        <v/>
      </c>
      <c r="G74" s="84"/>
      <c r="H74" s="84"/>
      <c r="I74" s="84"/>
      <c r="K74" s="78"/>
      <c r="L74" s="78"/>
      <c r="M74" s="84" t="str">
        <f>IF(C74,E74&amp;L74,IF(D74,F74&amp;L74,""))</f>
        <v/>
      </c>
      <c r="N74" s="78"/>
    </row>
    <row r="75" spans="1:14" x14ac:dyDescent="0.2">
      <c r="A75" s="78"/>
      <c r="B75" s="83"/>
      <c r="C75" s="83"/>
      <c r="D75" s="83"/>
      <c r="E75" s="84"/>
      <c r="F75" s="84" t="str">
        <f>IF(A75=6,"sześćdziesiąt ",IF(A75=7,"siedemdziesiąt ",IF(A75=8,"osiemdziesiąt ",IF(A75=9,"dziewięćdziesiąt ",""))))</f>
        <v/>
      </c>
      <c r="G75" s="84"/>
      <c r="H75" s="84"/>
      <c r="I75" s="84"/>
      <c r="K75" s="78"/>
      <c r="L75" s="78"/>
      <c r="M75" s="84" t="str">
        <f>IF(C75,E75&amp;L75,IF(D75,F75&amp;L75,""))</f>
        <v/>
      </c>
      <c r="N75" s="78"/>
    </row>
    <row r="76" spans="1:14" x14ac:dyDescent="0.2">
      <c r="A76" s="79"/>
      <c r="B76" s="83"/>
      <c r="C76" s="83"/>
      <c r="D76" s="83"/>
      <c r="E76" s="84"/>
      <c r="F76" s="84" t="str">
        <f>IF(A76=6,"sześć ",IF(A76=7,"siedem ",IF(A76=8,"osiem ",IF(A76=9,"dziewięć ",""))))</f>
        <v/>
      </c>
      <c r="G76" s="84"/>
      <c r="H76" s="84"/>
      <c r="I76" s="84"/>
      <c r="K76" s="84" t="str">
        <f>IF(A76=6,"szesnaście ",IF(A76=7,"siedemnaście ",IF(A76=8,"osiemnaście ",IF(A76=9,"dziewiętnaście ",""))))</f>
        <v/>
      </c>
      <c r="L76" s="78"/>
      <c r="M76" s="84" t="str">
        <f>IF(A75=1,IF(C76,J67,IF(D76,K76)),IF(C76,E76,IF(D76,F76,"")))</f>
        <v/>
      </c>
      <c r="N76" s="78"/>
    </row>
    <row r="77" spans="1:14" x14ac:dyDescent="0.2">
      <c r="A77" s="85"/>
      <c r="B77" s="83"/>
      <c r="C77" s="78"/>
      <c r="D77" s="78"/>
      <c r="E77" s="78"/>
      <c r="F77" s="78"/>
      <c r="G77" s="78"/>
      <c r="H77" s="78"/>
      <c r="I77" s="78"/>
      <c r="K77" s="78"/>
      <c r="L77" s="78"/>
      <c r="M77" s="84" t="str">
        <f>"zł "&amp;A77&amp;"/100"</f>
        <v>zł /100</v>
      </c>
      <c r="N77" s="78"/>
    </row>
    <row r="78" spans="1:14" x14ac:dyDescent="0.2">
      <c r="A78" s="78"/>
      <c r="B78" s="83"/>
      <c r="C78" s="78"/>
      <c r="D78" s="78"/>
      <c r="E78" s="82"/>
      <c r="F78" s="78"/>
      <c r="G78" s="78"/>
      <c r="H78" s="78"/>
      <c r="I78" s="78"/>
      <c r="K78" s="78"/>
      <c r="L78" s="78"/>
      <c r="M78" s="78"/>
      <c r="N78" s="78"/>
    </row>
    <row r="79" spans="1:14" x14ac:dyDescent="0.2">
      <c r="A79" s="77"/>
      <c r="B79" s="83"/>
      <c r="C79" s="78"/>
      <c r="D79" s="78"/>
      <c r="E79" s="84"/>
      <c r="F79" s="84"/>
      <c r="G79" s="84"/>
      <c r="H79" s="84"/>
      <c r="I79" s="84"/>
      <c r="K79" s="84"/>
      <c r="L79" s="84"/>
      <c r="M79" s="84"/>
      <c r="N79" s="78"/>
    </row>
  </sheetData>
  <mergeCells count="25">
    <mergeCell ref="C13:D13"/>
    <mergeCell ref="C18:D18"/>
    <mergeCell ref="C14:D14"/>
    <mergeCell ref="C7:D7"/>
    <mergeCell ref="A3:E3"/>
    <mergeCell ref="B4:E4"/>
    <mergeCell ref="A5:B5"/>
    <mergeCell ref="C5:E5"/>
    <mergeCell ref="C6:D6"/>
    <mergeCell ref="C8:D8"/>
    <mergeCell ref="C10:D10"/>
    <mergeCell ref="C11:D11"/>
    <mergeCell ref="C12:D12"/>
    <mergeCell ref="A9:D9"/>
    <mergeCell ref="C20:D20"/>
    <mergeCell ref="A19:D19"/>
    <mergeCell ref="C16:D16"/>
    <mergeCell ref="C15:D15"/>
    <mergeCell ref="C17:D17"/>
    <mergeCell ref="C21:D21"/>
    <mergeCell ref="A22:D22"/>
    <mergeCell ref="A28:E31"/>
    <mergeCell ref="A23:D23"/>
    <mergeCell ref="A24:D24"/>
    <mergeCell ref="A25:D25"/>
  </mergeCells>
  <pageMargins left="0.7" right="0.7" top="0.75" bottom="0.75" header="0.3" footer="0.3"/>
  <pageSetup paperSize="9" scale="53" fitToHeight="0" orientation="portrait" r:id="rId1"/>
  <colBreaks count="1" manualBreakCount="1">
    <brk id="5" max="3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4B560-F310-4B54-BC81-66763A041DEA}">
  <sheetPr>
    <tabColor rgb="FFFFC000"/>
    <pageSetUpPr fitToPage="1"/>
  </sheetPr>
  <dimension ref="A1:EH286"/>
  <sheetViews>
    <sheetView view="pageBreakPreview" topLeftCell="A58" zoomScaleNormal="100" zoomScaleSheetLayoutView="100" workbookViewId="0">
      <selection activeCell="N7" sqref="N7"/>
    </sheetView>
    <sheetView tabSelected="1" view="pageBreakPreview" zoomScale="110" zoomScaleNormal="100" zoomScaleSheetLayoutView="110" workbookViewId="1">
      <selection activeCell="A82" sqref="A82:I82"/>
    </sheetView>
  </sheetViews>
  <sheetFormatPr defaultRowHeight="15" x14ac:dyDescent="0.2"/>
  <cols>
    <col min="1" max="1" width="10.28515625" style="130" customWidth="1"/>
    <col min="2" max="2" width="23.42578125" style="131" customWidth="1"/>
    <col min="3" max="3" width="65.7109375" style="132" customWidth="1"/>
    <col min="4" max="4" width="10.42578125" style="133" customWidth="1"/>
    <col min="5" max="5" width="9.7109375" style="134" hidden="1" customWidth="1"/>
    <col min="6" max="6" width="6.7109375" style="135" customWidth="1"/>
    <col min="7" max="7" width="14" style="129" customWidth="1"/>
    <col min="8" max="8" width="12.7109375" style="129" customWidth="1"/>
    <col min="9" max="9" width="12.7109375" style="118" customWidth="1"/>
    <col min="10" max="10" width="20.7109375" style="129" customWidth="1"/>
    <col min="11" max="16384" width="9.140625" style="121"/>
  </cols>
  <sheetData>
    <row r="1" spans="1:38" s="119" customFormat="1" ht="44.25" customHeight="1" x14ac:dyDescent="0.2">
      <c r="A1" s="363" t="s">
        <v>264</v>
      </c>
      <c r="B1" s="363"/>
      <c r="C1" s="363"/>
      <c r="D1" s="363"/>
      <c r="E1" s="363"/>
      <c r="F1" s="363"/>
      <c r="G1" s="363"/>
      <c r="H1" s="363"/>
      <c r="I1" s="363"/>
      <c r="J1" s="363"/>
    </row>
    <row r="2" spans="1:38" s="119" customFormat="1" ht="49.5" customHeight="1" x14ac:dyDescent="0.2">
      <c r="A2" s="366" t="str">
        <f>'01.0_ST KO'!B52</f>
        <v>"BUDOWA DROGI GMINNEJ W KM 0+000 - 0+162 WRAZ Z NIEZBĘDNĄ INFRASTRUKTURĄ TECHNICZNĄ W MIEJSCOWOŚCI ŚWILCZA"</v>
      </c>
      <c r="B2" s="366"/>
      <c r="C2" s="366"/>
      <c r="D2" s="366"/>
      <c r="E2" s="366"/>
      <c r="F2" s="366"/>
      <c r="G2" s="366"/>
      <c r="H2" s="366"/>
      <c r="I2" s="366"/>
      <c r="J2" s="366"/>
    </row>
    <row r="3" spans="1:38" ht="45" customHeight="1" x14ac:dyDescent="0.2">
      <c r="A3" s="149" t="s">
        <v>193</v>
      </c>
      <c r="B3" s="152" t="s">
        <v>255</v>
      </c>
      <c r="C3" s="367" t="s">
        <v>253</v>
      </c>
      <c r="D3" s="367"/>
      <c r="E3" s="367"/>
      <c r="F3" s="367"/>
      <c r="G3" s="155" t="s">
        <v>194</v>
      </c>
      <c r="H3" s="120" t="s">
        <v>195</v>
      </c>
      <c r="I3" s="180" t="s">
        <v>297</v>
      </c>
      <c r="J3" s="180" t="s">
        <v>298</v>
      </c>
    </row>
    <row r="4" spans="1:38" x14ac:dyDescent="0.2">
      <c r="A4" s="207" t="s">
        <v>331</v>
      </c>
      <c r="B4" s="208" t="s">
        <v>332</v>
      </c>
      <c r="C4" s="365" t="s">
        <v>333</v>
      </c>
      <c r="D4" s="365"/>
      <c r="E4" s="365"/>
      <c r="F4" s="365"/>
      <c r="G4" s="209" t="s">
        <v>334</v>
      </c>
      <c r="H4" s="210" t="s">
        <v>335</v>
      </c>
      <c r="I4" s="209" t="s">
        <v>336</v>
      </c>
      <c r="J4" s="209" t="s">
        <v>376</v>
      </c>
    </row>
    <row r="5" spans="1:38" ht="39.950000000000003" customHeight="1" x14ac:dyDescent="0.2">
      <c r="A5" s="156" t="s">
        <v>1</v>
      </c>
      <c r="B5" s="348" t="s">
        <v>22</v>
      </c>
      <c r="C5" s="348"/>
      <c r="D5" s="348"/>
      <c r="E5" s="348"/>
      <c r="F5" s="348"/>
      <c r="G5" s="348"/>
      <c r="H5" s="348"/>
      <c r="I5" s="348"/>
      <c r="J5" s="348"/>
    </row>
    <row r="6" spans="1:38" s="122" customFormat="1" ht="35.1" customHeight="1" x14ac:dyDescent="0.2">
      <c r="A6" s="136" t="s">
        <v>12</v>
      </c>
      <c r="B6" s="142" t="s">
        <v>196</v>
      </c>
      <c r="C6" s="349" t="s">
        <v>9</v>
      </c>
      <c r="D6" s="349"/>
      <c r="E6" s="349"/>
      <c r="F6" s="349"/>
      <c r="G6" s="349"/>
      <c r="H6" s="349"/>
      <c r="I6" s="349"/>
      <c r="J6" s="349"/>
    </row>
    <row r="7" spans="1:38" s="122" customFormat="1" ht="20.100000000000001" customHeight="1" x14ac:dyDescent="0.2">
      <c r="A7" s="141" t="s">
        <v>260</v>
      </c>
      <c r="B7" s="141" t="s">
        <v>197</v>
      </c>
      <c r="C7" s="341" t="s">
        <v>198</v>
      </c>
      <c r="D7" s="342"/>
      <c r="E7" s="342"/>
      <c r="F7" s="342"/>
      <c r="G7" s="342"/>
      <c r="H7" s="342"/>
      <c r="I7" s="342"/>
      <c r="J7" s="343"/>
    </row>
    <row r="8" spans="1:38" s="122" customFormat="1" ht="50.1" customHeight="1" x14ac:dyDescent="0.2">
      <c r="A8" s="140" t="s">
        <v>199</v>
      </c>
      <c r="B8" s="149" t="s">
        <v>197</v>
      </c>
      <c r="C8" s="344" t="s">
        <v>270</v>
      </c>
      <c r="D8" s="344"/>
      <c r="E8" s="344"/>
      <c r="F8" s="344"/>
      <c r="G8" s="117" t="s">
        <v>200</v>
      </c>
      <c r="H8" s="147">
        <v>1</v>
      </c>
      <c r="I8" s="218"/>
      <c r="J8" s="218">
        <f t="shared" ref="J8" si="0">H8*I8</f>
        <v>0</v>
      </c>
    </row>
    <row r="9" spans="1:38" s="122" customFormat="1" ht="30" customHeight="1" x14ac:dyDescent="0.2">
      <c r="A9" s="140" t="s">
        <v>337</v>
      </c>
      <c r="B9" s="149" t="s">
        <v>197</v>
      </c>
      <c r="C9" s="344" t="s">
        <v>411</v>
      </c>
      <c r="D9" s="344"/>
      <c r="E9" s="344"/>
      <c r="F9" s="344"/>
      <c r="G9" s="117" t="s">
        <v>200</v>
      </c>
      <c r="H9" s="147">
        <v>1</v>
      </c>
      <c r="I9" s="218"/>
      <c r="J9" s="218">
        <f t="shared" ref="J9" si="1">H9*I9</f>
        <v>0</v>
      </c>
    </row>
    <row r="10" spans="1:38" s="122" customFormat="1" ht="69.95" customHeight="1" x14ac:dyDescent="0.2">
      <c r="A10" s="149" t="s">
        <v>338</v>
      </c>
      <c r="B10" s="149" t="s">
        <v>197</v>
      </c>
      <c r="C10" s="344" t="s">
        <v>271</v>
      </c>
      <c r="D10" s="344"/>
      <c r="E10" s="344"/>
      <c r="F10" s="344"/>
      <c r="G10" s="117" t="s">
        <v>200</v>
      </c>
      <c r="H10" s="147">
        <v>1</v>
      </c>
      <c r="I10" s="218"/>
      <c r="J10" s="218">
        <f t="shared" ref="J10" si="2">H10*I10</f>
        <v>0</v>
      </c>
    </row>
    <row r="11" spans="1:38" s="122" customFormat="1" ht="24.95" customHeight="1" x14ac:dyDescent="0.2">
      <c r="A11" s="340" t="s">
        <v>377</v>
      </c>
      <c r="B11" s="340"/>
      <c r="C11" s="340"/>
      <c r="D11" s="340"/>
      <c r="E11" s="340"/>
      <c r="F11" s="340"/>
      <c r="G11" s="340"/>
      <c r="H11" s="340"/>
      <c r="I11" s="340"/>
      <c r="J11" s="229">
        <f>J8+J9+J10</f>
        <v>0</v>
      </c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</row>
    <row r="12" spans="1:38" ht="39.950000000000003" customHeight="1" x14ac:dyDescent="0.2">
      <c r="A12" s="156" t="s">
        <v>3</v>
      </c>
      <c r="B12" s="348" t="s">
        <v>289</v>
      </c>
      <c r="C12" s="348"/>
      <c r="D12" s="348"/>
      <c r="E12" s="348"/>
      <c r="F12" s="348"/>
      <c r="G12" s="348"/>
      <c r="H12" s="348"/>
      <c r="I12" s="348"/>
      <c r="J12" s="348"/>
    </row>
    <row r="13" spans="1:38" ht="35.1" customHeight="1" x14ac:dyDescent="0.2">
      <c r="A13" s="136" t="s">
        <v>13</v>
      </c>
      <c r="B13" s="136" t="s">
        <v>201</v>
      </c>
      <c r="C13" s="347" t="s">
        <v>202</v>
      </c>
      <c r="D13" s="347"/>
      <c r="E13" s="347"/>
      <c r="F13" s="347"/>
      <c r="G13" s="347"/>
      <c r="H13" s="347"/>
      <c r="I13" s="347"/>
      <c r="J13" s="347"/>
    </row>
    <row r="14" spans="1:38" ht="24.95" customHeight="1" x14ac:dyDescent="0.2">
      <c r="A14" s="141" t="s">
        <v>310</v>
      </c>
      <c r="B14" s="153" t="s">
        <v>224</v>
      </c>
      <c r="C14" s="341" t="s">
        <v>221</v>
      </c>
      <c r="D14" s="342"/>
      <c r="E14" s="342"/>
      <c r="F14" s="342"/>
      <c r="G14" s="342"/>
      <c r="H14" s="342"/>
      <c r="I14" s="342"/>
      <c r="J14" s="343"/>
    </row>
    <row r="15" spans="1:38" s="122" customFormat="1" ht="24.95" customHeight="1" x14ac:dyDescent="0.2">
      <c r="A15" s="149" t="s">
        <v>240</v>
      </c>
      <c r="B15" s="152" t="s">
        <v>282</v>
      </c>
      <c r="C15" s="344" t="s">
        <v>290</v>
      </c>
      <c r="D15" s="344"/>
      <c r="E15" s="344"/>
      <c r="F15" s="344"/>
      <c r="G15" s="117" t="s">
        <v>200</v>
      </c>
      <c r="H15" s="147">
        <v>1</v>
      </c>
      <c r="I15" s="218"/>
      <c r="J15" s="218">
        <f t="shared" ref="J15" si="3">H15*I15</f>
        <v>0</v>
      </c>
    </row>
    <row r="16" spans="1:38" s="122" customFormat="1" ht="15" customHeight="1" x14ac:dyDescent="0.2">
      <c r="A16" s="141" t="s">
        <v>311</v>
      </c>
      <c r="B16" s="153" t="s">
        <v>294</v>
      </c>
      <c r="C16" s="341" t="s">
        <v>295</v>
      </c>
      <c r="D16" s="342"/>
      <c r="E16" s="342"/>
      <c r="F16" s="342"/>
      <c r="G16" s="342"/>
      <c r="H16" s="342"/>
      <c r="I16" s="342"/>
      <c r="J16" s="343"/>
    </row>
    <row r="17" spans="1:38" s="222" customFormat="1" ht="15" customHeight="1" x14ac:dyDescent="0.2">
      <c r="A17" s="149" t="s">
        <v>241</v>
      </c>
      <c r="B17" s="152" t="s">
        <v>404</v>
      </c>
      <c r="C17" s="345" t="s">
        <v>403</v>
      </c>
      <c r="D17" s="345"/>
      <c r="E17" s="345"/>
      <c r="F17" s="345"/>
      <c r="G17" s="224" t="s">
        <v>206</v>
      </c>
      <c r="H17" s="223">
        <v>14</v>
      </c>
      <c r="I17" s="218"/>
      <c r="J17" s="218">
        <f t="shared" ref="J17" si="4">H17*I17</f>
        <v>0</v>
      </c>
      <c r="K17" s="122"/>
    </row>
    <row r="18" spans="1:38" s="122" customFormat="1" ht="15" customHeight="1" x14ac:dyDescent="0.2">
      <c r="A18" s="149" t="s">
        <v>408</v>
      </c>
      <c r="B18" s="149" t="s">
        <v>231</v>
      </c>
      <c r="C18" s="346" t="s">
        <v>296</v>
      </c>
      <c r="D18" s="346"/>
      <c r="E18" s="346"/>
      <c r="F18" s="346"/>
      <c r="G18" s="155" t="s">
        <v>203</v>
      </c>
      <c r="H18" s="123">
        <v>100</v>
      </c>
      <c r="I18" s="218"/>
      <c r="J18" s="218">
        <f t="shared" ref="J18" si="5">H18*I18</f>
        <v>0</v>
      </c>
    </row>
    <row r="19" spans="1:38" s="122" customFormat="1" ht="15" customHeight="1" x14ac:dyDescent="0.2">
      <c r="A19" s="141" t="s">
        <v>312</v>
      </c>
      <c r="B19" s="153" t="s">
        <v>231</v>
      </c>
      <c r="C19" s="341" t="s">
        <v>238</v>
      </c>
      <c r="D19" s="342"/>
      <c r="E19" s="342"/>
      <c r="F19" s="342"/>
      <c r="G19" s="342"/>
      <c r="H19" s="342"/>
      <c r="I19" s="342"/>
      <c r="J19" s="343"/>
    </row>
    <row r="20" spans="1:38" s="122" customFormat="1" ht="24.95" customHeight="1" x14ac:dyDescent="0.2">
      <c r="A20" s="149" t="s">
        <v>243</v>
      </c>
      <c r="B20" s="149" t="s">
        <v>231</v>
      </c>
      <c r="C20" s="346" t="s">
        <v>394</v>
      </c>
      <c r="D20" s="346"/>
      <c r="E20" s="346"/>
      <c r="F20" s="346"/>
      <c r="G20" s="155" t="s">
        <v>207</v>
      </c>
      <c r="H20" s="123">
        <v>45</v>
      </c>
      <c r="I20" s="218"/>
      <c r="J20" s="218">
        <f t="shared" ref="J20" si="6">H20*I20</f>
        <v>0</v>
      </c>
    </row>
    <row r="21" spans="1:38" s="122" customFormat="1" ht="15.75" customHeight="1" x14ac:dyDescent="0.2">
      <c r="A21" s="141" t="s">
        <v>313</v>
      </c>
      <c r="B21" s="141" t="s">
        <v>204</v>
      </c>
      <c r="C21" s="341" t="s">
        <v>239</v>
      </c>
      <c r="D21" s="342"/>
      <c r="E21" s="342"/>
      <c r="F21" s="342"/>
      <c r="G21" s="342"/>
      <c r="H21" s="342"/>
      <c r="I21" s="342"/>
      <c r="J21" s="343"/>
    </row>
    <row r="22" spans="1:38" ht="15" customHeight="1" x14ac:dyDescent="0.2">
      <c r="A22" s="149" t="s">
        <v>244</v>
      </c>
      <c r="B22" s="174" t="s">
        <v>204</v>
      </c>
      <c r="C22" s="346" t="s">
        <v>339</v>
      </c>
      <c r="D22" s="346"/>
      <c r="E22" s="346"/>
      <c r="F22" s="346"/>
      <c r="G22" s="155" t="s">
        <v>203</v>
      </c>
      <c r="H22" s="138">
        <v>90</v>
      </c>
      <c r="I22" s="218"/>
      <c r="J22" s="218">
        <f t="shared" ref="J22" si="7">H22*I22</f>
        <v>0</v>
      </c>
    </row>
    <row r="23" spans="1:38" ht="15" customHeight="1" x14ac:dyDescent="0.2">
      <c r="A23" s="149" t="s">
        <v>245</v>
      </c>
      <c r="B23" s="174" t="s">
        <v>204</v>
      </c>
      <c r="C23" s="346" t="s">
        <v>405</v>
      </c>
      <c r="D23" s="346"/>
      <c r="E23" s="346"/>
      <c r="F23" s="346"/>
      <c r="G23" s="155" t="s">
        <v>205</v>
      </c>
      <c r="H23" s="138">
        <v>10</v>
      </c>
      <c r="I23" s="218"/>
      <c r="J23" s="218">
        <f t="shared" ref="J23" si="8">H23*I23</f>
        <v>0</v>
      </c>
    </row>
    <row r="24" spans="1:38" s="122" customFormat="1" ht="15" customHeight="1" x14ac:dyDescent="0.2">
      <c r="A24" s="149" t="s">
        <v>246</v>
      </c>
      <c r="B24" s="149" t="s">
        <v>204</v>
      </c>
      <c r="C24" s="346" t="s">
        <v>256</v>
      </c>
      <c r="D24" s="346"/>
      <c r="E24" s="346"/>
      <c r="F24" s="346"/>
      <c r="G24" s="155" t="s">
        <v>203</v>
      </c>
      <c r="H24" s="138">
        <v>60</v>
      </c>
      <c r="I24" s="218"/>
      <c r="J24" s="218">
        <f t="shared" ref="J24" si="9">H24*I24</f>
        <v>0</v>
      </c>
    </row>
    <row r="25" spans="1:38" s="122" customFormat="1" ht="15" customHeight="1" x14ac:dyDescent="0.2">
      <c r="A25" s="149" t="s">
        <v>340</v>
      </c>
      <c r="B25" s="174" t="s">
        <v>204</v>
      </c>
      <c r="C25" s="346" t="s">
        <v>343</v>
      </c>
      <c r="D25" s="346"/>
      <c r="E25" s="346"/>
      <c r="F25" s="346"/>
      <c r="G25" s="155" t="s">
        <v>205</v>
      </c>
      <c r="H25" s="138">
        <v>8</v>
      </c>
      <c r="I25" s="218"/>
      <c r="J25" s="218">
        <f t="shared" ref="J25" si="10">H25*I25</f>
        <v>0</v>
      </c>
    </row>
    <row r="26" spans="1:38" s="122" customFormat="1" ht="15" customHeight="1" x14ac:dyDescent="0.2">
      <c r="A26" s="149" t="s">
        <v>341</v>
      </c>
      <c r="B26" s="174" t="s">
        <v>204</v>
      </c>
      <c r="C26" s="346" t="s">
        <v>342</v>
      </c>
      <c r="D26" s="346"/>
      <c r="E26" s="346"/>
      <c r="F26" s="346"/>
      <c r="G26" s="155" t="s">
        <v>205</v>
      </c>
      <c r="H26" s="138">
        <v>35</v>
      </c>
      <c r="I26" s="218"/>
      <c r="J26" s="218">
        <f t="shared" ref="J26" si="11">H26*I26</f>
        <v>0</v>
      </c>
    </row>
    <row r="27" spans="1:38" s="122" customFormat="1" ht="15" customHeight="1" x14ac:dyDescent="0.2">
      <c r="A27" s="149" t="s">
        <v>370</v>
      </c>
      <c r="B27" s="174" t="s">
        <v>204</v>
      </c>
      <c r="C27" s="346" t="s">
        <v>378</v>
      </c>
      <c r="D27" s="346"/>
      <c r="E27" s="346"/>
      <c r="F27" s="346"/>
      <c r="G27" s="155" t="s">
        <v>203</v>
      </c>
      <c r="H27" s="138">
        <v>50</v>
      </c>
      <c r="I27" s="218"/>
      <c r="J27" s="218">
        <f t="shared" ref="J27" si="12">H27*I27</f>
        <v>0</v>
      </c>
    </row>
    <row r="28" spans="1:38" s="122" customFormat="1" ht="15" customHeight="1" x14ac:dyDescent="0.2">
      <c r="A28" s="149" t="s">
        <v>361</v>
      </c>
      <c r="B28" s="174" t="s">
        <v>204</v>
      </c>
      <c r="C28" s="346" t="s">
        <v>406</v>
      </c>
      <c r="D28" s="346"/>
      <c r="E28" s="346"/>
      <c r="F28" s="346"/>
      <c r="G28" s="155" t="s">
        <v>206</v>
      </c>
      <c r="H28" s="138">
        <v>1</v>
      </c>
      <c r="I28" s="218"/>
      <c r="J28" s="218">
        <f t="shared" ref="J28" si="13">H28*I28</f>
        <v>0</v>
      </c>
    </row>
    <row r="29" spans="1:38" s="122" customFormat="1" ht="24.95" customHeight="1" x14ac:dyDescent="0.2">
      <c r="A29" s="340" t="s">
        <v>299</v>
      </c>
      <c r="B29" s="340"/>
      <c r="C29" s="340"/>
      <c r="D29" s="340"/>
      <c r="E29" s="340"/>
      <c r="F29" s="340"/>
      <c r="G29" s="340"/>
      <c r="H29" s="340"/>
      <c r="I29" s="340"/>
      <c r="J29" s="229">
        <f>J15+J17+J18+J20+J22+J23+J24+J25+J26+J27+J28</f>
        <v>0</v>
      </c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</row>
    <row r="30" spans="1:38" ht="40.5" customHeight="1" x14ac:dyDescent="0.2">
      <c r="A30" s="136" t="s">
        <v>14</v>
      </c>
      <c r="B30" s="136" t="s">
        <v>208</v>
      </c>
      <c r="C30" s="347" t="s">
        <v>209</v>
      </c>
      <c r="D30" s="347"/>
      <c r="E30" s="347"/>
      <c r="F30" s="347"/>
      <c r="G30" s="347"/>
      <c r="H30" s="347"/>
      <c r="I30" s="347"/>
      <c r="J30" s="347"/>
      <c r="K30" s="122"/>
    </row>
    <row r="31" spans="1:38" ht="15" customHeight="1" x14ac:dyDescent="0.2">
      <c r="A31" s="141" t="s">
        <v>314</v>
      </c>
      <c r="B31" s="141" t="s">
        <v>232</v>
      </c>
      <c r="C31" s="341" t="s">
        <v>222</v>
      </c>
      <c r="D31" s="342"/>
      <c r="E31" s="342"/>
      <c r="F31" s="342"/>
      <c r="G31" s="342"/>
      <c r="H31" s="342"/>
      <c r="I31" s="342"/>
      <c r="J31" s="343"/>
    </row>
    <row r="32" spans="1:38" ht="15" customHeight="1" x14ac:dyDescent="0.2">
      <c r="A32" s="149" t="s">
        <v>247</v>
      </c>
      <c r="B32" s="149" t="s">
        <v>210</v>
      </c>
      <c r="C32" s="350" t="s">
        <v>308</v>
      </c>
      <c r="D32" s="350"/>
      <c r="E32" s="350"/>
      <c r="F32" s="350"/>
      <c r="G32" s="155" t="s">
        <v>207</v>
      </c>
      <c r="H32" s="138">
        <v>20</v>
      </c>
      <c r="I32" s="218"/>
      <c r="J32" s="218">
        <f t="shared" ref="J32" si="14">H32*I32</f>
        <v>0</v>
      </c>
    </row>
    <row r="33" spans="1:138" s="225" customFormat="1" ht="15" customHeight="1" x14ac:dyDescent="0.2">
      <c r="A33" s="149" t="s">
        <v>248</v>
      </c>
      <c r="B33" s="149" t="s">
        <v>210</v>
      </c>
      <c r="C33" s="350" t="s">
        <v>400</v>
      </c>
      <c r="D33" s="350"/>
      <c r="E33" s="350"/>
      <c r="F33" s="350"/>
      <c r="G33" s="155" t="s">
        <v>207</v>
      </c>
      <c r="H33" s="138">
        <v>306.2</v>
      </c>
      <c r="I33" s="218"/>
      <c r="J33" s="218">
        <f t="shared" ref="J33" si="15">H33*I33</f>
        <v>0</v>
      </c>
    </row>
    <row r="34" spans="1:138" s="125" customFormat="1" ht="15" customHeight="1" x14ac:dyDescent="0.2">
      <c r="A34" s="149" t="s">
        <v>322</v>
      </c>
      <c r="B34" s="149" t="s">
        <v>242</v>
      </c>
      <c r="C34" s="350" t="s">
        <v>307</v>
      </c>
      <c r="D34" s="350"/>
      <c r="E34" s="350"/>
      <c r="F34" s="350"/>
      <c r="G34" s="155" t="s">
        <v>207</v>
      </c>
      <c r="H34" s="138">
        <v>20</v>
      </c>
      <c r="I34" s="218"/>
      <c r="J34" s="218">
        <f t="shared" ref="J34" si="16">H34*I34</f>
        <v>0</v>
      </c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4"/>
      <c r="BL34" s="124"/>
      <c r="BM34" s="124"/>
      <c r="BN34" s="124"/>
      <c r="BO34" s="124"/>
      <c r="BP34" s="124"/>
      <c r="BQ34" s="124"/>
      <c r="BR34" s="124"/>
      <c r="BS34" s="124"/>
      <c r="BT34" s="124"/>
      <c r="BU34" s="124"/>
      <c r="BV34" s="124"/>
      <c r="BW34" s="124"/>
      <c r="BX34" s="124"/>
      <c r="BY34" s="124"/>
      <c r="BZ34" s="124"/>
      <c r="CA34" s="124"/>
      <c r="CB34" s="124"/>
      <c r="CC34" s="124"/>
      <c r="CD34" s="124"/>
      <c r="CE34" s="124"/>
      <c r="CF34" s="124"/>
      <c r="CG34" s="124"/>
      <c r="CH34" s="124"/>
      <c r="CI34" s="124"/>
      <c r="CJ34" s="124"/>
      <c r="CK34" s="124"/>
      <c r="CL34" s="124"/>
      <c r="CM34" s="124"/>
      <c r="CN34" s="124"/>
      <c r="CO34" s="124"/>
      <c r="CP34" s="124"/>
      <c r="CQ34" s="124"/>
      <c r="CR34" s="124"/>
      <c r="CS34" s="124"/>
      <c r="CT34" s="124"/>
      <c r="CU34" s="124"/>
      <c r="CV34" s="124"/>
      <c r="CW34" s="124"/>
      <c r="CX34" s="124"/>
      <c r="CY34" s="124"/>
      <c r="CZ34" s="124"/>
      <c r="DA34" s="124"/>
      <c r="DB34" s="124"/>
      <c r="DC34" s="124"/>
      <c r="DD34" s="124"/>
      <c r="DE34" s="124"/>
      <c r="DF34" s="124"/>
      <c r="DG34" s="124"/>
      <c r="DH34" s="124"/>
      <c r="DI34" s="124"/>
      <c r="DJ34" s="124"/>
      <c r="DK34" s="124"/>
      <c r="DL34" s="124"/>
      <c r="DM34" s="124"/>
      <c r="DN34" s="124"/>
      <c r="DO34" s="124"/>
      <c r="DP34" s="124"/>
      <c r="DQ34" s="124"/>
      <c r="DR34" s="124"/>
      <c r="DS34" s="124"/>
      <c r="DT34" s="124"/>
      <c r="DU34" s="124"/>
      <c r="DV34" s="124"/>
      <c r="DW34" s="124"/>
      <c r="DX34" s="124"/>
      <c r="DY34" s="124"/>
      <c r="DZ34" s="124"/>
      <c r="EA34" s="124"/>
      <c r="EB34" s="124"/>
      <c r="EC34" s="124"/>
      <c r="ED34" s="124"/>
      <c r="EE34" s="124"/>
      <c r="EF34" s="124"/>
      <c r="EG34" s="124"/>
      <c r="EH34" s="124"/>
    </row>
    <row r="35" spans="1:138" s="122" customFormat="1" ht="24.95" customHeight="1" x14ac:dyDescent="0.2">
      <c r="A35" s="340" t="s">
        <v>300</v>
      </c>
      <c r="B35" s="340"/>
      <c r="C35" s="340"/>
      <c r="D35" s="340"/>
      <c r="E35" s="340"/>
      <c r="F35" s="340"/>
      <c r="G35" s="340"/>
      <c r="H35" s="340"/>
      <c r="I35" s="340"/>
      <c r="J35" s="229">
        <f>J32+J33+J34</f>
        <v>0</v>
      </c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16"/>
      <c r="Y35" s="216"/>
      <c r="Z35" s="216"/>
      <c r="AA35" s="216"/>
      <c r="AB35" s="216"/>
      <c r="AC35" s="216"/>
      <c r="AD35" s="216"/>
      <c r="AE35" s="216"/>
      <c r="AF35" s="216"/>
      <c r="AG35" s="216"/>
      <c r="AH35" s="216"/>
      <c r="AI35" s="216"/>
      <c r="AJ35" s="216"/>
      <c r="AK35" s="216"/>
      <c r="AL35" s="216"/>
    </row>
    <row r="36" spans="1:138" s="125" customFormat="1" ht="45" customHeight="1" x14ac:dyDescent="0.2">
      <c r="A36" s="154" t="s">
        <v>10</v>
      </c>
      <c r="B36" s="154" t="s">
        <v>211</v>
      </c>
      <c r="C36" s="349" t="s">
        <v>212</v>
      </c>
      <c r="D36" s="349"/>
      <c r="E36" s="349"/>
      <c r="F36" s="349"/>
      <c r="G36" s="349"/>
      <c r="H36" s="349"/>
      <c r="I36" s="349"/>
      <c r="J36" s="349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4"/>
      <c r="AP36" s="124"/>
      <c r="AQ36" s="124"/>
      <c r="AR36" s="124"/>
      <c r="AS36" s="124"/>
      <c r="AT36" s="124"/>
      <c r="AU36" s="124"/>
      <c r="AV36" s="124"/>
      <c r="AW36" s="124"/>
      <c r="AX36" s="124"/>
      <c r="AY36" s="124"/>
      <c r="AZ36" s="124"/>
      <c r="BA36" s="124"/>
      <c r="BB36" s="124"/>
      <c r="BC36" s="124"/>
      <c r="BD36" s="124"/>
      <c r="BE36" s="124"/>
      <c r="BF36" s="124"/>
      <c r="BG36" s="124"/>
      <c r="BH36" s="124"/>
      <c r="BI36" s="124"/>
      <c r="BJ36" s="124"/>
      <c r="BK36" s="124"/>
      <c r="BL36" s="124"/>
      <c r="BM36" s="124"/>
      <c r="BN36" s="124"/>
      <c r="BO36" s="124"/>
      <c r="BP36" s="124"/>
      <c r="BQ36" s="124"/>
      <c r="BR36" s="124"/>
      <c r="BS36" s="124"/>
      <c r="BT36" s="124"/>
      <c r="BU36" s="124"/>
      <c r="BV36" s="124"/>
      <c r="BW36" s="124"/>
      <c r="BX36" s="124"/>
      <c r="BY36" s="124"/>
      <c r="BZ36" s="124"/>
      <c r="CA36" s="124"/>
      <c r="CB36" s="124"/>
      <c r="CC36" s="124"/>
      <c r="CD36" s="124"/>
      <c r="CE36" s="124"/>
      <c r="CF36" s="124"/>
      <c r="CG36" s="124"/>
      <c r="CH36" s="124"/>
      <c r="CI36" s="124"/>
      <c r="CJ36" s="124"/>
      <c r="CK36" s="124"/>
      <c r="CL36" s="124"/>
      <c r="CM36" s="124"/>
      <c r="CN36" s="124"/>
      <c r="CO36" s="124"/>
      <c r="CP36" s="124"/>
      <c r="CQ36" s="124"/>
      <c r="CR36" s="124"/>
      <c r="CS36" s="124"/>
      <c r="CT36" s="124"/>
      <c r="CU36" s="124"/>
      <c r="CV36" s="124"/>
      <c r="CW36" s="124"/>
      <c r="CX36" s="124"/>
      <c r="CY36" s="124"/>
      <c r="CZ36" s="124"/>
      <c r="DA36" s="124"/>
      <c r="DB36" s="124"/>
      <c r="DC36" s="124"/>
      <c r="DD36" s="124"/>
      <c r="DE36" s="124"/>
      <c r="DF36" s="124"/>
      <c r="DG36" s="124"/>
      <c r="DH36" s="124"/>
      <c r="DI36" s="124"/>
      <c r="DJ36" s="124"/>
      <c r="DK36" s="124"/>
      <c r="DL36" s="124"/>
      <c r="DM36" s="124"/>
      <c r="DN36" s="124"/>
      <c r="DO36" s="124"/>
      <c r="DP36" s="124"/>
      <c r="DQ36" s="124"/>
      <c r="DR36" s="124"/>
      <c r="DS36" s="124"/>
      <c r="DT36" s="124"/>
      <c r="DU36" s="124"/>
      <c r="DV36" s="124"/>
      <c r="DW36" s="124"/>
      <c r="DX36" s="124"/>
      <c r="DY36" s="124"/>
      <c r="DZ36" s="124"/>
      <c r="EA36" s="124"/>
      <c r="EB36" s="124"/>
      <c r="EC36" s="124"/>
      <c r="ED36" s="124"/>
      <c r="EE36" s="124"/>
      <c r="EF36" s="124"/>
      <c r="EG36" s="124"/>
      <c r="EH36" s="124"/>
    </row>
    <row r="37" spans="1:138" s="125" customFormat="1" ht="15" customHeight="1" x14ac:dyDescent="0.2">
      <c r="A37" s="141" t="s">
        <v>315</v>
      </c>
      <c r="B37" s="153" t="s">
        <v>362</v>
      </c>
      <c r="C37" s="341" t="s">
        <v>369</v>
      </c>
      <c r="D37" s="342"/>
      <c r="E37" s="342"/>
      <c r="F37" s="342"/>
      <c r="G37" s="342"/>
      <c r="H37" s="342"/>
      <c r="I37" s="342"/>
      <c r="J37" s="343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4"/>
      <c r="AP37" s="124"/>
      <c r="AQ37" s="124"/>
      <c r="AR37" s="124"/>
      <c r="AS37" s="124"/>
      <c r="AT37" s="124"/>
      <c r="AU37" s="124"/>
      <c r="AV37" s="124"/>
      <c r="AW37" s="124"/>
      <c r="AX37" s="124"/>
      <c r="AY37" s="124"/>
      <c r="AZ37" s="124"/>
      <c r="BA37" s="124"/>
      <c r="BB37" s="124"/>
      <c r="BC37" s="124"/>
      <c r="BD37" s="124"/>
      <c r="BE37" s="124"/>
      <c r="BF37" s="124"/>
      <c r="BG37" s="124"/>
      <c r="BH37" s="124"/>
      <c r="BI37" s="124"/>
      <c r="BJ37" s="124"/>
      <c r="BK37" s="124"/>
      <c r="BL37" s="124"/>
      <c r="BM37" s="124"/>
      <c r="BN37" s="124"/>
      <c r="BO37" s="124"/>
      <c r="BP37" s="124"/>
      <c r="BQ37" s="124"/>
      <c r="BR37" s="124"/>
      <c r="BS37" s="124"/>
      <c r="BT37" s="124"/>
      <c r="BU37" s="124"/>
      <c r="BV37" s="124"/>
      <c r="BW37" s="124"/>
      <c r="BX37" s="124"/>
      <c r="BY37" s="124"/>
      <c r="BZ37" s="124"/>
      <c r="CA37" s="124"/>
      <c r="CB37" s="124"/>
      <c r="CC37" s="124"/>
      <c r="CD37" s="124"/>
      <c r="CE37" s="124"/>
      <c r="CF37" s="124"/>
      <c r="CG37" s="124"/>
      <c r="CH37" s="124"/>
      <c r="CI37" s="124"/>
      <c r="CJ37" s="124"/>
      <c r="CK37" s="124"/>
      <c r="CL37" s="124"/>
      <c r="CM37" s="124"/>
      <c r="CN37" s="124"/>
      <c r="CO37" s="124"/>
      <c r="CP37" s="124"/>
      <c r="CQ37" s="124"/>
      <c r="CR37" s="124"/>
      <c r="CS37" s="124"/>
      <c r="CT37" s="124"/>
      <c r="CU37" s="124"/>
      <c r="CV37" s="124"/>
      <c r="CW37" s="124"/>
      <c r="CX37" s="124"/>
      <c r="CY37" s="124"/>
      <c r="CZ37" s="124"/>
      <c r="DA37" s="124"/>
      <c r="DB37" s="124"/>
      <c r="DC37" s="124"/>
      <c r="DD37" s="124"/>
      <c r="DE37" s="124"/>
      <c r="DF37" s="124"/>
      <c r="DG37" s="124"/>
      <c r="DH37" s="124"/>
      <c r="DI37" s="124"/>
      <c r="DJ37" s="124"/>
      <c r="DK37" s="124"/>
      <c r="DL37" s="124"/>
      <c r="DM37" s="124"/>
      <c r="DN37" s="124"/>
      <c r="DO37" s="124"/>
      <c r="DP37" s="124"/>
      <c r="DQ37" s="124"/>
      <c r="DR37" s="124"/>
      <c r="DS37" s="124"/>
      <c r="DT37" s="124"/>
      <c r="DU37" s="124"/>
      <c r="DV37" s="124"/>
      <c r="DW37" s="124"/>
      <c r="DX37" s="124"/>
      <c r="DY37" s="124"/>
      <c r="DZ37" s="124"/>
      <c r="EA37" s="124"/>
      <c r="EB37" s="124"/>
      <c r="EC37" s="124"/>
      <c r="ED37" s="124"/>
      <c r="EE37" s="124"/>
      <c r="EF37" s="124"/>
      <c r="EG37" s="124"/>
      <c r="EH37" s="124"/>
    </row>
    <row r="38" spans="1:138" s="125" customFormat="1" ht="15" customHeight="1" x14ac:dyDescent="0.2">
      <c r="A38" s="149" t="s">
        <v>249</v>
      </c>
      <c r="B38" s="149" t="s">
        <v>362</v>
      </c>
      <c r="C38" s="350" t="s">
        <v>368</v>
      </c>
      <c r="D38" s="350"/>
      <c r="E38" s="350"/>
      <c r="F38" s="350"/>
      <c r="G38" s="145" t="s">
        <v>205</v>
      </c>
      <c r="H38" s="146">
        <v>140</v>
      </c>
      <c r="I38" s="218"/>
      <c r="J38" s="218">
        <f t="shared" ref="J38" si="17">H38*I38</f>
        <v>0</v>
      </c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4"/>
      <c r="AP38" s="124"/>
      <c r="AQ38" s="124"/>
      <c r="AR38" s="124"/>
      <c r="AS38" s="124"/>
      <c r="AT38" s="124"/>
      <c r="AU38" s="124"/>
      <c r="AV38" s="124"/>
      <c r="AW38" s="124"/>
      <c r="AX38" s="124"/>
      <c r="AY38" s="124"/>
      <c r="AZ38" s="124"/>
      <c r="BA38" s="124"/>
      <c r="BB38" s="124"/>
      <c r="BC38" s="124"/>
      <c r="BD38" s="124"/>
      <c r="BE38" s="124"/>
      <c r="BF38" s="124"/>
      <c r="BG38" s="124"/>
      <c r="BH38" s="124"/>
      <c r="BI38" s="124"/>
      <c r="BJ38" s="124"/>
      <c r="BK38" s="124"/>
      <c r="BL38" s="124"/>
      <c r="BM38" s="124"/>
      <c r="BN38" s="124"/>
      <c r="BO38" s="124"/>
      <c r="BP38" s="124"/>
      <c r="BQ38" s="124"/>
      <c r="BR38" s="124"/>
      <c r="BS38" s="124"/>
      <c r="BT38" s="124"/>
      <c r="BU38" s="124"/>
      <c r="BV38" s="124"/>
      <c r="BW38" s="124"/>
      <c r="BX38" s="124"/>
      <c r="BY38" s="124"/>
      <c r="BZ38" s="124"/>
      <c r="CA38" s="124"/>
      <c r="CB38" s="124"/>
      <c r="CC38" s="124"/>
      <c r="CD38" s="124"/>
      <c r="CE38" s="124"/>
      <c r="CF38" s="124"/>
      <c r="CG38" s="124"/>
      <c r="CH38" s="124"/>
      <c r="CI38" s="124"/>
      <c r="CJ38" s="124"/>
      <c r="CK38" s="124"/>
      <c r="CL38" s="124"/>
      <c r="CM38" s="124"/>
      <c r="CN38" s="124"/>
      <c r="CO38" s="124"/>
      <c r="CP38" s="124"/>
      <c r="CQ38" s="124"/>
      <c r="CR38" s="124"/>
      <c r="CS38" s="124"/>
      <c r="CT38" s="124"/>
      <c r="CU38" s="124"/>
      <c r="CV38" s="124"/>
      <c r="CW38" s="124"/>
      <c r="CX38" s="124"/>
      <c r="CY38" s="124"/>
      <c r="CZ38" s="124"/>
      <c r="DA38" s="124"/>
      <c r="DB38" s="124"/>
      <c r="DC38" s="124"/>
      <c r="DD38" s="124"/>
      <c r="DE38" s="124"/>
      <c r="DF38" s="124"/>
      <c r="DG38" s="124"/>
      <c r="DH38" s="124"/>
      <c r="DI38" s="124"/>
      <c r="DJ38" s="124"/>
      <c r="DK38" s="124"/>
      <c r="DL38" s="124"/>
      <c r="DM38" s="124"/>
      <c r="DN38" s="124"/>
      <c r="DO38" s="124"/>
      <c r="DP38" s="124"/>
      <c r="DQ38" s="124"/>
      <c r="DR38" s="124"/>
      <c r="DS38" s="124"/>
      <c r="DT38" s="124"/>
      <c r="DU38" s="124"/>
      <c r="DV38" s="124"/>
      <c r="DW38" s="124"/>
      <c r="DX38" s="124"/>
      <c r="DY38" s="124"/>
      <c r="DZ38" s="124"/>
      <c r="EA38" s="124"/>
      <c r="EB38" s="124"/>
      <c r="EC38" s="124"/>
      <c r="ED38" s="124"/>
      <c r="EE38" s="124"/>
      <c r="EF38" s="124"/>
      <c r="EG38" s="124"/>
      <c r="EH38" s="124"/>
    </row>
    <row r="39" spans="1:138" s="125" customFormat="1" ht="15" customHeight="1" x14ac:dyDescent="0.2">
      <c r="A39" s="149" t="s">
        <v>363</v>
      </c>
      <c r="B39" s="149" t="s">
        <v>362</v>
      </c>
      <c r="C39" s="346" t="s">
        <v>364</v>
      </c>
      <c r="D39" s="346"/>
      <c r="E39" s="346"/>
      <c r="F39" s="346"/>
      <c r="G39" s="145" t="s">
        <v>205</v>
      </c>
      <c r="H39" s="146">
        <v>20</v>
      </c>
      <c r="I39" s="218"/>
      <c r="J39" s="218">
        <f t="shared" ref="J39" si="18">H39*I39</f>
        <v>0</v>
      </c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4"/>
      <c r="AP39" s="124"/>
      <c r="AQ39" s="124"/>
      <c r="AR39" s="124"/>
      <c r="AS39" s="124"/>
      <c r="AT39" s="124"/>
      <c r="AU39" s="124"/>
      <c r="AV39" s="124"/>
      <c r="AW39" s="124"/>
      <c r="AX39" s="124"/>
      <c r="AY39" s="124"/>
      <c r="AZ39" s="124"/>
      <c r="BA39" s="124"/>
      <c r="BB39" s="124"/>
      <c r="BC39" s="124"/>
      <c r="BD39" s="124"/>
      <c r="BE39" s="124"/>
      <c r="BF39" s="124"/>
      <c r="BG39" s="124"/>
      <c r="BH39" s="124"/>
      <c r="BI39" s="124"/>
      <c r="BJ39" s="124"/>
      <c r="BK39" s="124"/>
      <c r="BL39" s="124"/>
      <c r="BM39" s="124"/>
      <c r="BN39" s="124"/>
      <c r="BO39" s="124"/>
      <c r="BP39" s="124"/>
      <c r="BQ39" s="124"/>
      <c r="BR39" s="124"/>
      <c r="BS39" s="124"/>
      <c r="BT39" s="124"/>
      <c r="BU39" s="124"/>
      <c r="BV39" s="124"/>
      <c r="BW39" s="124"/>
      <c r="BX39" s="124"/>
      <c r="BY39" s="124"/>
      <c r="BZ39" s="124"/>
      <c r="CA39" s="124"/>
      <c r="CB39" s="124"/>
      <c r="CC39" s="124"/>
      <c r="CD39" s="124"/>
      <c r="CE39" s="124"/>
      <c r="CF39" s="124"/>
      <c r="CG39" s="124"/>
      <c r="CH39" s="124"/>
      <c r="CI39" s="124"/>
      <c r="CJ39" s="124"/>
      <c r="CK39" s="124"/>
      <c r="CL39" s="124"/>
      <c r="CM39" s="124"/>
      <c r="CN39" s="124"/>
      <c r="CO39" s="124"/>
      <c r="CP39" s="124"/>
      <c r="CQ39" s="124"/>
      <c r="CR39" s="124"/>
      <c r="CS39" s="124"/>
      <c r="CT39" s="124"/>
      <c r="CU39" s="124"/>
      <c r="CV39" s="124"/>
      <c r="CW39" s="124"/>
      <c r="CX39" s="124"/>
      <c r="CY39" s="124"/>
      <c r="CZ39" s="124"/>
      <c r="DA39" s="124"/>
      <c r="DB39" s="124"/>
      <c r="DC39" s="124"/>
      <c r="DD39" s="124"/>
      <c r="DE39" s="124"/>
      <c r="DF39" s="124"/>
      <c r="DG39" s="124"/>
      <c r="DH39" s="124"/>
      <c r="DI39" s="124"/>
      <c r="DJ39" s="124"/>
      <c r="DK39" s="124"/>
      <c r="DL39" s="124"/>
      <c r="DM39" s="124"/>
      <c r="DN39" s="124"/>
      <c r="DO39" s="124"/>
      <c r="DP39" s="124"/>
      <c r="DQ39" s="124"/>
      <c r="DR39" s="124"/>
      <c r="DS39" s="124"/>
      <c r="DT39" s="124"/>
      <c r="DU39" s="124"/>
      <c r="DV39" s="124"/>
      <c r="DW39" s="124"/>
      <c r="DX39" s="124"/>
      <c r="DY39" s="124"/>
      <c r="DZ39" s="124"/>
      <c r="EA39" s="124"/>
      <c r="EB39" s="124"/>
      <c r="EC39" s="124"/>
      <c r="ED39" s="124"/>
      <c r="EE39" s="124"/>
      <c r="EF39" s="124"/>
      <c r="EG39" s="124"/>
      <c r="EH39" s="124"/>
    </row>
    <row r="40" spans="1:138" s="125" customFormat="1" ht="24.95" customHeight="1" x14ac:dyDescent="0.2">
      <c r="A40" s="149" t="s">
        <v>365</v>
      </c>
      <c r="B40" s="149" t="s">
        <v>362</v>
      </c>
      <c r="C40" s="346" t="s">
        <v>413</v>
      </c>
      <c r="D40" s="346"/>
      <c r="E40" s="346"/>
      <c r="F40" s="346"/>
      <c r="G40" s="145" t="s">
        <v>206</v>
      </c>
      <c r="H40" s="146">
        <v>7</v>
      </c>
      <c r="I40" s="218"/>
      <c r="J40" s="218">
        <f t="shared" ref="J40" si="19">H40*I40</f>
        <v>0</v>
      </c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4"/>
      <c r="AP40" s="124"/>
      <c r="AQ40" s="124"/>
      <c r="AR40" s="124"/>
      <c r="AS40" s="124"/>
      <c r="AT40" s="124"/>
      <c r="AU40" s="124"/>
      <c r="AV40" s="124"/>
      <c r="AW40" s="124"/>
      <c r="AX40" s="124"/>
      <c r="AY40" s="124"/>
      <c r="AZ40" s="124"/>
      <c r="BA40" s="124"/>
      <c r="BB40" s="124"/>
      <c r="BC40" s="124"/>
      <c r="BD40" s="124"/>
      <c r="BE40" s="124"/>
      <c r="BF40" s="124"/>
      <c r="BG40" s="124"/>
      <c r="BH40" s="124"/>
      <c r="BI40" s="124"/>
      <c r="BJ40" s="124"/>
      <c r="BK40" s="124"/>
      <c r="BL40" s="124"/>
      <c r="BM40" s="124"/>
      <c r="BN40" s="124"/>
      <c r="BO40" s="124"/>
      <c r="BP40" s="124"/>
      <c r="BQ40" s="124"/>
      <c r="BR40" s="124"/>
      <c r="BS40" s="124"/>
      <c r="BT40" s="124"/>
      <c r="BU40" s="124"/>
      <c r="BV40" s="124"/>
      <c r="BW40" s="124"/>
      <c r="BX40" s="124"/>
      <c r="BY40" s="124"/>
      <c r="BZ40" s="124"/>
      <c r="CA40" s="124"/>
      <c r="CB40" s="124"/>
      <c r="CC40" s="124"/>
      <c r="CD40" s="124"/>
      <c r="CE40" s="124"/>
      <c r="CF40" s="124"/>
      <c r="CG40" s="124"/>
      <c r="CH40" s="124"/>
      <c r="CI40" s="124"/>
      <c r="CJ40" s="124"/>
      <c r="CK40" s="124"/>
      <c r="CL40" s="124"/>
      <c r="CM40" s="124"/>
      <c r="CN40" s="124"/>
      <c r="CO40" s="124"/>
      <c r="CP40" s="124"/>
      <c r="CQ40" s="124"/>
      <c r="CR40" s="124"/>
      <c r="CS40" s="124"/>
      <c r="CT40" s="124"/>
      <c r="CU40" s="124"/>
      <c r="CV40" s="124"/>
      <c r="CW40" s="124"/>
      <c r="CX40" s="124"/>
      <c r="CY40" s="124"/>
      <c r="CZ40" s="124"/>
      <c r="DA40" s="124"/>
      <c r="DB40" s="124"/>
      <c r="DC40" s="124"/>
      <c r="DD40" s="124"/>
      <c r="DE40" s="124"/>
      <c r="DF40" s="124"/>
      <c r="DG40" s="124"/>
      <c r="DH40" s="124"/>
      <c r="DI40" s="124"/>
      <c r="DJ40" s="124"/>
      <c r="DK40" s="124"/>
      <c r="DL40" s="124"/>
      <c r="DM40" s="124"/>
      <c r="DN40" s="124"/>
      <c r="DO40" s="124"/>
      <c r="DP40" s="124"/>
      <c r="DQ40" s="124"/>
      <c r="DR40" s="124"/>
      <c r="DS40" s="124"/>
      <c r="DT40" s="124"/>
      <c r="DU40" s="124"/>
      <c r="DV40" s="124"/>
      <c r="DW40" s="124"/>
      <c r="DX40" s="124"/>
      <c r="DY40" s="124"/>
      <c r="DZ40" s="124"/>
      <c r="EA40" s="124"/>
      <c r="EB40" s="124"/>
      <c r="EC40" s="124"/>
      <c r="ED40" s="124"/>
      <c r="EE40" s="124"/>
      <c r="EF40" s="124"/>
      <c r="EG40" s="124"/>
      <c r="EH40" s="124"/>
    </row>
    <row r="41" spans="1:138" s="125" customFormat="1" ht="24.95" customHeight="1" x14ac:dyDescent="0.2">
      <c r="A41" s="148" t="s">
        <v>366</v>
      </c>
      <c r="B41" s="149" t="s">
        <v>362</v>
      </c>
      <c r="C41" s="352" t="s">
        <v>367</v>
      </c>
      <c r="D41" s="352"/>
      <c r="E41" s="352"/>
      <c r="F41" s="352"/>
      <c r="G41" s="155" t="s">
        <v>206</v>
      </c>
      <c r="H41" s="138">
        <v>5</v>
      </c>
      <c r="I41" s="218"/>
      <c r="J41" s="218">
        <f t="shared" ref="J41" si="20">H41*I41</f>
        <v>0</v>
      </c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4"/>
      <c r="AP41" s="124"/>
      <c r="AQ41" s="124"/>
      <c r="AR41" s="124"/>
      <c r="AS41" s="124"/>
      <c r="AT41" s="124"/>
      <c r="AU41" s="124"/>
      <c r="AV41" s="124"/>
      <c r="AW41" s="124"/>
      <c r="AX41" s="124"/>
      <c r="AY41" s="124"/>
      <c r="AZ41" s="124"/>
      <c r="BA41" s="124"/>
      <c r="BB41" s="124"/>
      <c r="BC41" s="124"/>
      <c r="BD41" s="124"/>
      <c r="BE41" s="124"/>
      <c r="BF41" s="124"/>
      <c r="BG41" s="124"/>
      <c r="BH41" s="124"/>
      <c r="BI41" s="124"/>
      <c r="BJ41" s="124"/>
      <c r="BK41" s="124"/>
      <c r="BL41" s="124"/>
      <c r="BM41" s="124"/>
      <c r="BN41" s="124"/>
      <c r="BO41" s="124"/>
      <c r="BP41" s="124"/>
      <c r="BQ41" s="124"/>
      <c r="BR41" s="124"/>
      <c r="BS41" s="124"/>
      <c r="BT41" s="124"/>
      <c r="BU41" s="124"/>
      <c r="BV41" s="124"/>
      <c r="BW41" s="124"/>
      <c r="BX41" s="124"/>
      <c r="BY41" s="124"/>
      <c r="BZ41" s="124"/>
      <c r="CA41" s="124"/>
      <c r="CB41" s="124"/>
      <c r="CC41" s="124"/>
      <c r="CD41" s="124"/>
      <c r="CE41" s="124"/>
      <c r="CF41" s="124"/>
      <c r="CG41" s="124"/>
      <c r="CH41" s="124"/>
      <c r="CI41" s="124"/>
      <c r="CJ41" s="124"/>
      <c r="CK41" s="124"/>
      <c r="CL41" s="124"/>
      <c r="CM41" s="124"/>
      <c r="CN41" s="124"/>
      <c r="CO41" s="124"/>
      <c r="CP41" s="124"/>
      <c r="CQ41" s="124"/>
      <c r="CR41" s="124"/>
      <c r="CS41" s="124"/>
      <c r="CT41" s="124"/>
      <c r="CU41" s="124"/>
      <c r="CV41" s="124"/>
      <c r="CW41" s="124"/>
      <c r="CX41" s="124"/>
      <c r="CY41" s="124"/>
      <c r="CZ41" s="124"/>
      <c r="DA41" s="124"/>
      <c r="DB41" s="124"/>
      <c r="DC41" s="124"/>
      <c r="DD41" s="124"/>
      <c r="DE41" s="124"/>
      <c r="DF41" s="124"/>
      <c r="DG41" s="124"/>
      <c r="DH41" s="124"/>
      <c r="DI41" s="124"/>
      <c r="DJ41" s="124"/>
      <c r="DK41" s="124"/>
      <c r="DL41" s="124"/>
      <c r="DM41" s="124"/>
      <c r="DN41" s="124"/>
      <c r="DO41" s="124"/>
      <c r="DP41" s="124"/>
      <c r="DQ41" s="124"/>
      <c r="DR41" s="124"/>
      <c r="DS41" s="124"/>
      <c r="DT41" s="124"/>
      <c r="DU41" s="124"/>
      <c r="DV41" s="124"/>
      <c r="DW41" s="124"/>
      <c r="DX41" s="124"/>
      <c r="DY41" s="124"/>
      <c r="DZ41" s="124"/>
      <c r="EA41" s="124"/>
      <c r="EB41" s="124"/>
      <c r="EC41" s="124"/>
      <c r="ED41" s="124"/>
      <c r="EE41" s="124"/>
      <c r="EF41" s="124"/>
      <c r="EG41" s="124"/>
      <c r="EH41" s="124"/>
    </row>
    <row r="42" spans="1:138" s="122" customFormat="1" ht="24.95" customHeight="1" x14ac:dyDescent="0.2">
      <c r="A42" s="340" t="s">
        <v>301</v>
      </c>
      <c r="B42" s="340"/>
      <c r="C42" s="340"/>
      <c r="D42" s="340"/>
      <c r="E42" s="340"/>
      <c r="F42" s="340"/>
      <c r="G42" s="340"/>
      <c r="H42" s="340"/>
      <c r="I42" s="340"/>
      <c r="J42" s="229">
        <f>J38+J39+J40+J41</f>
        <v>0</v>
      </c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  <c r="AF42" s="216"/>
      <c r="AG42" s="216"/>
      <c r="AH42" s="216"/>
      <c r="AI42" s="216"/>
      <c r="AJ42" s="216"/>
      <c r="AK42" s="216"/>
      <c r="AL42" s="216"/>
    </row>
    <row r="43" spans="1:138" s="125" customFormat="1" ht="45" customHeight="1" x14ac:dyDescent="0.2">
      <c r="A43" s="136" t="s">
        <v>11</v>
      </c>
      <c r="B43" s="136" t="s">
        <v>213</v>
      </c>
      <c r="C43" s="347" t="s">
        <v>257</v>
      </c>
      <c r="D43" s="347"/>
      <c r="E43" s="347"/>
      <c r="F43" s="347"/>
      <c r="G43" s="347"/>
      <c r="H43" s="347"/>
      <c r="I43" s="347"/>
      <c r="J43" s="347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4"/>
      <c r="AP43" s="124"/>
      <c r="AQ43" s="124"/>
      <c r="AR43" s="124"/>
      <c r="AS43" s="124"/>
      <c r="AT43" s="124"/>
      <c r="AU43" s="124"/>
      <c r="AV43" s="124"/>
      <c r="AW43" s="124"/>
      <c r="AX43" s="124"/>
      <c r="AY43" s="124"/>
      <c r="AZ43" s="124"/>
      <c r="BA43" s="124"/>
      <c r="BB43" s="124"/>
      <c r="BC43" s="124"/>
      <c r="BD43" s="124"/>
      <c r="BE43" s="124"/>
      <c r="BF43" s="124"/>
      <c r="BG43" s="124"/>
      <c r="BH43" s="124"/>
      <c r="BI43" s="124"/>
      <c r="BJ43" s="124"/>
      <c r="BK43" s="124"/>
      <c r="BL43" s="124"/>
      <c r="BM43" s="124"/>
      <c r="BN43" s="124"/>
      <c r="BO43" s="124"/>
      <c r="BP43" s="124"/>
      <c r="BQ43" s="124"/>
      <c r="BR43" s="124"/>
      <c r="BS43" s="124"/>
      <c r="BT43" s="124"/>
      <c r="BU43" s="124"/>
      <c r="BV43" s="124"/>
      <c r="BW43" s="124"/>
      <c r="BX43" s="124"/>
      <c r="BY43" s="124"/>
      <c r="BZ43" s="124"/>
      <c r="CA43" s="124"/>
      <c r="CB43" s="124"/>
      <c r="CC43" s="124"/>
      <c r="CD43" s="124"/>
      <c r="CE43" s="124"/>
      <c r="CF43" s="124"/>
      <c r="CG43" s="124"/>
      <c r="CH43" s="124"/>
      <c r="CI43" s="124"/>
      <c r="CJ43" s="124"/>
      <c r="CK43" s="124"/>
      <c r="CL43" s="124"/>
      <c r="CM43" s="124"/>
      <c r="CN43" s="124"/>
      <c r="CO43" s="124"/>
      <c r="CP43" s="124"/>
      <c r="CQ43" s="124"/>
      <c r="CR43" s="124"/>
      <c r="CS43" s="124"/>
      <c r="CT43" s="124"/>
      <c r="CU43" s="124"/>
      <c r="CV43" s="124"/>
      <c r="CW43" s="124"/>
      <c r="CX43" s="124"/>
      <c r="CY43" s="124"/>
      <c r="CZ43" s="124"/>
      <c r="DA43" s="124"/>
      <c r="DB43" s="124"/>
      <c r="DC43" s="124"/>
      <c r="DD43" s="124"/>
      <c r="DE43" s="124"/>
      <c r="DF43" s="124"/>
      <c r="DG43" s="124"/>
      <c r="DH43" s="124"/>
      <c r="DI43" s="124"/>
      <c r="DJ43" s="124"/>
      <c r="DK43" s="124"/>
      <c r="DL43" s="124"/>
      <c r="DM43" s="124"/>
      <c r="DN43" s="124"/>
      <c r="DO43" s="124"/>
      <c r="DP43" s="124"/>
      <c r="DQ43" s="124"/>
      <c r="DR43" s="124"/>
      <c r="DS43" s="124"/>
      <c r="DT43" s="124"/>
      <c r="DU43" s="124"/>
      <c r="DV43" s="124"/>
      <c r="DW43" s="124"/>
      <c r="DX43" s="124"/>
      <c r="DY43" s="124"/>
      <c r="DZ43" s="124"/>
      <c r="EA43" s="124"/>
      <c r="EB43" s="124"/>
      <c r="EC43" s="124"/>
      <c r="ED43" s="124"/>
      <c r="EE43" s="124"/>
      <c r="EF43" s="124"/>
      <c r="EG43" s="124"/>
      <c r="EH43" s="124"/>
    </row>
    <row r="44" spans="1:138" s="125" customFormat="1" ht="15" customHeight="1" x14ac:dyDescent="0.2">
      <c r="A44" s="141" t="s">
        <v>316</v>
      </c>
      <c r="B44" s="141" t="s">
        <v>278</v>
      </c>
      <c r="C44" s="341" t="s">
        <v>279</v>
      </c>
      <c r="D44" s="342"/>
      <c r="E44" s="342"/>
      <c r="F44" s="342"/>
      <c r="G44" s="342"/>
      <c r="H44" s="342"/>
      <c r="I44" s="342"/>
      <c r="J44" s="343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4"/>
      <c r="AP44" s="124"/>
      <c r="AQ44" s="124"/>
      <c r="AR44" s="124"/>
      <c r="AS44" s="124"/>
      <c r="AT44" s="124"/>
      <c r="AU44" s="124"/>
      <c r="AV44" s="124"/>
      <c r="AW44" s="124"/>
      <c r="AX44" s="124"/>
      <c r="AY44" s="124"/>
      <c r="AZ44" s="124"/>
      <c r="BA44" s="124"/>
      <c r="BB44" s="124"/>
      <c r="BC44" s="124"/>
      <c r="BD44" s="124"/>
      <c r="BE44" s="124"/>
      <c r="BF44" s="124"/>
      <c r="BG44" s="124"/>
      <c r="BH44" s="124"/>
      <c r="BI44" s="124"/>
      <c r="BJ44" s="124"/>
      <c r="BK44" s="124"/>
      <c r="BL44" s="124"/>
      <c r="BM44" s="124"/>
      <c r="BN44" s="124"/>
      <c r="BO44" s="124"/>
      <c r="BP44" s="124"/>
      <c r="BQ44" s="124"/>
      <c r="BR44" s="124"/>
      <c r="BS44" s="124"/>
      <c r="BT44" s="124"/>
      <c r="BU44" s="124"/>
      <c r="BV44" s="124"/>
      <c r="BW44" s="124"/>
      <c r="BX44" s="124"/>
      <c r="BY44" s="124"/>
      <c r="BZ44" s="124"/>
      <c r="CA44" s="124"/>
      <c r="CB44" s="124"/>
      <c r="CC44" s="124"/>
      <c r="CD44" s="124"/>
      <c r="CE44" s="124"/>
      <c r="CF44" s="124"/>
      <c r="CG44" s="124"/>
      <c r="CH44" s="124"/>
      <c r="CI44" s="124"/>
      <c r="CJ44" s="124"/>
      <c r="CK44" s="124"/>
      <c r="CL44" s="124"/>
      <c r="CM44" s="124"/>
      <c r="CN44" s="124"/>
      <c r="CO44" s="124"/>
      <c r="CP44" s="124"/>
      <c r="CQ44" s="124"/>
      <c r="CR44" s="124"/>
      <c r="CS44" s="124"/>
      <c r="CT44" s="124"/>
      <c r="CU44" s="124"/>
      <c r="CV44" s="124"/>
      <c r="CW44" s="124"/>
      <c r="CX44" s="124"/>
      <c r="CY44" s="124"/>
      <c r="CZ44" s="124"/>
      <c r="DA44" s="124"/>
      <c r="DB44" s="124"/>
      <c r="DC44" s="124"/>
      <c r="DD44" s="124"/>
      <c r="DE44" s="124"/>
      <c r="DF44" s="124"/>
      <c r="DG44" s="124"/>
      <c r="DH44" s="124"/>
      <c r="DI44" s="124"/>
      <c r="DJ44" s="124"/>
      <c r="DK44" s="124"/>
      <c r="DL44" s="124"/>
      <c r="DM44" s="124"/>
      <c r="DN44" s="124"/>
      <c r="DO44" s="124"/>
      <c r="DP44" s="124"/>
      <c r="DQ44" s="124"/>
      <c r="DR44" s="124"/>
      <c r="DS44" s="124"/>
      <c r="DT44" s="124"/>
      <c r="DU44" s="124"/>
      <c r="DV44" s="124"/>
      <c r="DW44" s="124"/>
      <c r="DX44" s="124"/>
      <c r="DY44" s="124"/>
      <c r="DZ44" s="124"/>
      <c r="EA44" s="124"/>
      <c r="EB44" s="124"/>
      <c r="EC44" s="124"/>
      <c r="ED44" s="124"/>
      <c r="EE44" s="124"/>
      <c r="EF44" s="124"/>
      <c r="EG44" s="124"/>
      <c r="EH44" s="124"/>
    </row>
    <row r="45" spans="1:138" s="125" customFormat="1" ht="24.95" customHeight="1" x14ac:dyDescent="0.2">
      <c r="A45" s="149" t="s">
        <v>250</v>
      </c>
      <c r="B45" s="150" t="s">
        <v>375</v>
      </c>
      <c r="C45" s="346" t="s">
        <v>234</v>
      </c>
      <c r="D45" s="346"/>
      <c r="E45" s="346"/>
      <c r="F45" s="346"/>
      <c r="G45" s="143" t="s">
        <v>203</v>
      </c>
      <c r="H45" s="144">
        <v>815</v>
      </c>
      <c r="I45" s="218"/>
      <c r="J45" s="218">
        <f t="shared" ref="J45" si="21">H45*I45</f>
        <v>0</v>
      </c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4"/>
      <c r="AP45" s="124"/>
      <c r="AQ45" s="124"/>
      <c r="AR45" s="124"/>
      <c r="AS45" s="124"/>
      <c r="AT45" s="124"/>
      <c r="AU45" s="124"/>
      <c r="AV45" s="124"/>
      <c r="AW45" s="124"/>
      <c r="AX45" s="124"/>
      <c r="AY45" s="124"/>
      <c r="AZ45" s="124"/>
      <c r="BA45" s="124"/>
      <c r="BB45" s="124"/>
      <c r="BC45" s="124"/>
      <c r="BD45" s="124"/>
      <c r="BE45" s="124"/>
      <c r="BF45" s="124"/>
      <c r="BG45" s="124"/>
      <c r="BH45" s="124"/>
      <c r="BI45" s="124"/>
      <c r="BJ45" s="124"/>
      <c r="BK45" s="124"/>
      <c r="BL45" s="124"/>
      <c r="BM45" s="124"/>
      <c r="BN45" s="124"/>
      <c r="BO45" s="124"/>
      <c r="BP45" s="124"/>
      <c r="BQ45" s="124"/>
      <c r="BR45" s="124"/>
      <c r="BS45" s="124"/>
      <c r="BT45" s="124"/>
      <c r="BU45" s="124"/>
      <c r="BV45" s="124"/>
      <c r="BW45" s="124"/>
      <c r="BX45" s="124"/>
      <c r="BY45" s="124"/>
      <c r="BZ45" s="124"/>
      <c r="CA45" s="124"/>
      <c r="CB45" s="124"/>
      <c r="CC45" s="124"/>
      <c r="CD45" s="124"/>
      <c r="CE45" s="124"/>
      <c r="CF45" s="124"/>
      <c r="CG45" s="124"/>
      <c r="CH45" s="124"/>
      <c r="CI45" s="124"/>
      <c r="CJ45" s="124"/>
      <c r="CK45" s="124"/>
      <c r="CL45" s="124"/>
      <c r="CM45" s="124"/>
      <c r="CN45" s="124"/>
      <c r="CO45" s="124"/>
      <c r="CP45" s="124"/>
      <c r="CQ45" s="124"/>
      <c r="CR45" s="124"/>
      <c r="CS45" s="124"/>
      <c r="CT45" s="124"/>
      <c r="CU45" s="124"/>
      <c r="CV45" s="124"/>
      <c r="CW45" s="124"/>
      <c r="CX45" s="124"/>
      <c r="CY45" s="124"/>
      <c r="CZ45" s="124"/>
      <c r="DA45" s="124"/>
      <c r="DB45" s="124"/>
      <c r="DC45" s="124"/>
      <c r="DD45" s="124"/>
      <c r="DE45" s="124"/>
      <c r="DF45" s="124"/>
      <c r="DG45" s="124"/>
      <c r="DH45" s="124"/>
      <c r="DI45" s="124"/>
      <c r="DJ45" s="124"/>
      <c r="DK45" s="124"/>
      <c r="DL45" s="124"/>
      <c r="DM45" s="124"/>
      <c r="DN45" s="124"/>
      <c r="DO45" s="124"/>
      <c r="DP45" s="124"/>
      <c r="DQ45" s="124"/>
      <c r="DR45" s="124"/>
      <c r="DS45" s="124"/>
      <c r="DT45" s="124"/>
      <c r="DU45" s="124"/>
      <c r="DV45" s="124"/>
      <c r="DW45" s="124"/>
      <c r="DX45" s="124"/>
      <c r="DY45" s="124"/>
      <c r="DZ45" s="124"/>
      <c r="EA45" s="124"/>
      <c r="EB45" s="124"/>
      <c r="EC45" s="124"/>
      <c r="ED45" s="124"/>
      <c r="EE45" s="124"/>
      <c r="EF45" s="124"/>
      <c r="EG45" s="124"/>
      <c r="EH45" s="124"/>
    </row>
    <row r="46" spans="1:138" s="125" customFormat="1" ht="24.95" customHeight="1" x14ac:dyDescent="0.2">
      <c r="A46" s="149" t="s">
        <v>409</v>
      </c>
      <c r="B46" s="150" t="s">
        <v>375</v>
      </c>
      <c r="C46" s="346" t="s">
        <v>262</v>
      </c>
      <c r="D46" s="346"/>
      <c r="E46" s="346"/>
      <c r="F46" s="346"/>
      <c r="G46" s="143" t="s">
        <v>203</v>
      </c>
      <c r="H46" s="144">
        <v>800</v>
      </c>
      <c r="I46" s="218"/>
      <c r="J46" s="218">
        <f t="shared" ref="J46" si="22">H46*I46</f>
        <v>0</v>
      </c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4"/>
      <c r="AP46" s="124"/>
      <c r="AQ46" s="124"/>
      <c r="AR46" s="124"/>
      <c r="AS46" s="124"/>
      <c r="AT46" s="124"/>
      <c r="AU46" s="124"/>
      <c r="AV46" s="124"/>
      <c r="AW46" s="124"/>
      <c r="AX46" s="124"/>
      <c r="AY46" s="124"/>
      <c r="AZ46" s="124"/>
      <c r="BA46" s="124"/>
      <c r="BB46" s="124"/>
      <c r="BC46" s="124"/>
      <c r="BD46" s="124"/>
      <c r="BE46" s="124"/>
      <c r="BF46" s="124"/>
      <c r="BG46" s="124"/>
      <c r="BH46" s="124"/>
      <c r="BI46" s="124"/>
      <c r="BJ46" s="124"/>
      <c r="BK46" s="124"/>
      <c r="BL46" s="124"/>
      <c r="BM46" s="124"/>
      <c r="BN46" s="124"/>
      <c r="BO46" s="124"/>
      <c r="BP46" s="124"/>
      <c r="BQ46" s="124"/>
      <c r="BR46" s="124"/>
      <c r="BS46" s="124"/>
      <c r="BT46" s="124"/>
      <c r="BU46" s="124"/>
      <c r="BV46" s="124"/>
      <c r="BW46" s="124"/>
      <c r="BX46" s="124"/>
      <c r="BY46" s="124"/>
      <c r="BZ46" s="124"/>
      <c r="CA46" s="124"/>
      <c r="CB46" s="124"/>
      <c r="CC46" s="124"/>
      <c r="CD46" s="124"/>
      <c r="CE46" s="124"/>
      <c r="CF46" s="124"/>
      <c r="CG46" s="124"/>
      <c r="CH46" s="124"/>
      <c r="CI46" s="124"/>
      <c r="CJ46" s="124"/>
      <c r="CK46" s="124"/>
      <c r="CL46" s="124"/>
      <c r="CM46" s="124"/>
      <c r="CN46" s="124"/>
      <c r="CO46" s="124"/>
      <c r="CP46" s="124"/>
      <c r="CQ46" s="124"/>
      <c r="CR46" s="124"/>
      <c r="CS46" s="124"/>
      <c r="CT46" s="124"/>
      <c r="CU46" s="124"/>
      <c r="CV46" s="124"/>
      <c r="CW46" s="124"/>
      <c r="CX46" s="124"/>
      <c r="CY46" s="124"/>
      <c r="CZ46" s="124"/>
      <c r="DA46" s="124"/>
      <c r="DB46" s="124"/>
      <c r="DC46" s="124"/>
      <c r="DD46" s="124"/>
      <c r="DE46" s="124"/>
      <c r="DF46" s="124"/>
      <c r="DG46" s="124"/>
      <c r="DH46" s="124"/>
      <c r="DI46" s="124"/>
      <c r="DJ46" s="124"/>
      <c r="DK46" s="124"/>
      <c r="DL46" s="124"/>
      <c r="DM46" s="124"/>
      <c r="DN46" s="124"/>
      <c r="DO46" s="124"/>
      <c r="DP46" s="124"/>
      <c r="DQ46" s="124"/>
      <c r="DR46" s="124"/>
      <c r="DS46" s="124"/>
      <c r="DT46" s="124"/>
      <c r="DU46" s="124"/>
      <c r="DV46" s="124"/>
      <c r="DW46" s="124"/>
      <c r="DX46" s="124"/>
      <c r="DY46" s="124"/>
      <c r="DZ46" s="124"/>
      <c r="EA46" s="124"/>
      <c r="EB46" s="124"/>
      <c r="EC46" s="124"/>
      <c r="ED46" s="124"/>
      <c r="EE46" s="124"/>
      <c r="EF46" s="124"/>
      <c r="EG46" s="124"/>
      <c r="EH46" s="124"/>
    </row>
    <row r="47" spans="1:138" s="126" customFormat="1" ht="15" customHeight="1" x14ac:dyDescent="0.2">
      <c r="A47" s="141" t="s">
        <v>309</v>
      </c>
      <c r="B47" s="141" t="s">
        <v>235</v>
      </c>
      <c r="C47" s="341" t="s">
        <v>236</v>
      </c>
      <c r="D47" s="342"/>
      <c r="E47" s="342"/>
      <c r="F47" s="342"/>
      <c r="G47" s="342"/>
      <c r="H47" s="342"/>
      <c r="I47" s="342"/>
      <c r="J47" s="343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</row>
    <row r="48" spans="1:138" s="126" customFormat="1" ht="24.95" customHeight="1" x14ac:dyDescent="0.2">
      <c r="A48" s="149" t="s">
        <v>251</v>
      </c>
      <c r="B48" s="151" t="s">
        <v>235</v>
      </c>
      <c r="C48" s="353" t="s">
        <v>258</v>
      </c>
      <c r="D48" s="353"/>
      <c r="E48" s="353"/>
      <c r="F48" s="353"/>
      <c r="G48" s="143" t="s">
        <v>203</v>
      </c>
      <c r="H48" s="144">
        <v>50</v>
      </c>
      <c r="I48" s="218"/>
      <c r="J48" s="218">
        <f t="shared" ref="J48" si="23">H48*I48</f>
        <v>0</v>
      </c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</row>
    <row r="49" spans="1:40" s="126" customFormat="1" ht="24.95" customHeight="1" x14ac:dyDescent="0.2">
      <c r="A49" s="149" t="s">
        <v>323</v>
      </c>
      <c r="B49" s="151" t="s">
        <v>235</v>
      </c>
      <c r="C49" s="353" t="s">
        <v>288</v>
      </c>
      <c r="D49" s="353"/>
      <c r="E49" s="353"/>
      <c r="F49" s="353"/>
      <c r="G49" s="143" t="s">
        <v>203</v>
      </c>
      <c r="H49" s="144">
        <v>900</v>
      </c>
      <c r="I49" s="218"/>
      <c r="J49" s="218">
        <f t="shared" ref="J49" si="24">H49*I49</f>
        <v>0</v>
      </c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</row>
    <row r="50" spans="1:40" s="122" customFormat="1" ht="15" customHeight="1" x14ac:dyDescent="0.2">
      <c r="A50" s="141" t="s">
        <v>317</v>
      </c>
      <c r="B50" s="141" t="s">
        <v>237</v>
      </c>
      <c r="C50" s="341" t="s">
        <v>223</v>
      </c>
      <c r="D50" s="342"/>
      <c r="E50" s="342"/>
      <c r="F50" s="342"/>
      <c r="G50" s="342"/>
      <c r="H50" s="342"/>
      <c r="I50" s="342"/>
      <c r="J50" s="343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M50" s="137"/>
      <c r="AN50" s="137"/>
    </row>
    <row r="51" spans="1:40" s="127" customFormat="1" ht="30" customHeight="1" x14ac:dyDescent="0.2">
      <c r="A51" s="148" t="s">
        <v>252</v>
      </c>
      <c r="B51" s="172" t="s">
        <v>237</v>
      </c>
      <c r="C51" s="352" t="s">
        <v>396</v>
      </c>
      <c r="D51" s="352"/>
      <c r="E51" s="352"/>
      <c r="F51" s="352"/>
      <c r="G51" s="145" t="s">
        <v>203</v>
      </c>
      <c r="H51" s="146">
        <v>950</v>
      </c>
      <c r="I51" s="218"/>
      <c r="J51" s="218">
        <f t="shared" ref="J51" si="25">H51*I51</f>
        <v>0</v>
      </c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</row>
    <row r="52" spans="1:40" s="127" customFormat="1" ht="30" customHeight="1" x14ac:dyDescent="0.2">
      <c r="A52" s="148" t="s">
        <v>410</v>
      </c>
      <c r="B52" s="172" t="s">
        <v>237</v>
      </c>
      <c r="C52" s="352" t="s">
        <v>344</v>
      </c>
      <c r="D52" s="352"/>
      <c r="E52" s="352"/>
      <c r="F52" s="352"/>
      <c r="G52" s="145" t="s">
        <v>203</v>
      </c>
      <c r="H52" s="146">
        <v>50</v>
      </c>
      <c r="I52" s="218"/>
      <c r="J52" s="218">
        <f t="shared" ref="J52" si="26">H52*I52</f>
        <v>0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</row>
    <row r="53" spans="1:40" s="122" customFormat="1" ht="24.95" customHeight="1" x14ac:dyDescent="0.2">
      <c r="A53" s="340" t="s">
        <v>304</v>
      </c>
      <c r="B53" s="340"/>
      <c r="C53" s="340"/>
      <c r="D53" s="340"/>
      <c r="E53" s="340"/>
      <c r="F53" s="340"/>
      <c r="G53" s="340"/>
      <c r="H53" s="340"/>
      <c r="I53" s="340"/>
      <c r="J53" s="229">
        <f>J45+J46+J48+J49+J51+J52</f>
        <v>0</v>
      </c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6"/>
      <c r="AI53" s="216"/>
      <c r="AJ53" s="216"/>
      <c r="AK53" s="216"/>
      <c r="AL53" s="216"/>
    </row>
    <row r="54" spans="1:40" s="127" customFormat="1" ht="45" customHeight="1" x14ac:dyDescent="0.2">
      <c r="A54" s="136" t="s">
        <v>15</v>
      </c>
      <c r="B54" s="136" t="s">
        <v>214</v>
      </c>
      <c r="C54" s="347" t="s">
        <v>215</v>
      </c>
      <c r="D54" s="347"/>
      <c r="E54" s="347"/>
      <c r="F54" s="347"/>
      <c r="G54" s="347"/>
      <c r="H54" s="347"/>
      <c r="I54" s="347"/>
      <c r="J54" s="347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</row>
    <row r="55" spans="1:40" s="127" customFormat="1" ht="15" customHeight="1" x14ac:dyDescent="0.2">
      <c r="A55" s="141" t="s">
        <v>318</v>
      </c>
      <c r="B55" s="141" t="s">
        <v>325</v>
      </c>
      <c r="C55" s="341" t="s">
        <v>291</v>
      </c>
      <c r="D55" s="342"/>
      <c r="E55" s="342"/>
      <c r="F55" s="342"/>
      <c r="G55" s="342"/>
      <c r="H55" s="342"/>
      <c r="I55" s="342"/>
      <c r="J55" s="343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</row>
    <row r="56" spans="1:40" s="127" customFormat="1" ht="15" customHeight="1" x14ac:dyDescent="0.2">
      <c r="A56" s="150" t="s">
        <v>284</v>
      </c>
      <c r="B56" s="150" t="s">
        <v>325</v>
      </c>
      <c r="C56" s="352" t="s">
        <v>292</v>
      </c>
      <c r="D56" s="352"/>
      <c r="E56" s="352"/>
      <c r="F56" s="352"/>
      <c r="G56" s="145" t="s">
        <v>203</v>
      </c>
      <c r="H56" s="146">
        <v>90</v>
      </c>
      <c r="I56" s="218"/>
      <c r="J56" s="218">
        <f t="shared" ref="J56" si="27">H56*I56</f>
        <v>0</v>
      </c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</row>
    <row r="57" spans="1:40" s="127" customFormat="1" ht="15" customHeight="1" x14ac:dyDescent="0.2">
      <c r="A57" s="141" t="s">
        <v>319</v>
      </c>
      <c r="B57" s="141" t="s">
        <v>216</v>
      </c>
      <c r="C57" s="341" t="s">
        <v>217</v>
      </c>
      <c r="D57" s="342"/>
      <c r="E57" s="342"/>
      <c r="F57" s="342"/>
      <c r="G57" s="342"/>
      <c r="H57" s="342"/>
      <c r="I57" s="342"/>
      <c r="J57" s="343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</row>
    <row r="58" spans="1:40" s="127" customFormat="1" ht="15" customHeight="1" x14ac:dyDescent="0.2">
      <c r="A58" s="150" t="s">
        <v>254</v>
      </c>
      <c r="B58" s="150" t="s">
        <v>216</v>
      </c>
      <c r="C58" s="352" t="s">
        <v>306</v>
      </c>
      <c r="D58" s="352"/>
      <c r="E58" s="352"/>
      <c r="F58" s="352"/>
      <c r="G58" s="145" t="s">
        <v>203</v>
      </c>
      <c r="H58" s="146">
        <v>815</v>
      </c>
      <c r="I58" s="218"/>
      <c r="J58" s="218">
        <f t="shared" ref="J58" si="28">H58*I58</f>
        <v>0</v>
      </c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</row>
    <row r="59" spans="1:40" s="127" customFormat="1" ht="15" customHeight="1" x14ac:dyDescent="0.2">
      <c r="A59" s="150" t="s">
        <v>371</v>
      </c>
      <c r="B59" s="150" t="s">
        <v>216</v>
      </c>
      <c r="C59" s="352" t="s">
        <v>395</v>
      </c>
      <c r="D59" s="352"/>
      <c r="E59" s="352"/>
      <c r="F59" s="352"/>
      <c r="G59" s="145" t="s">
        <v>203</v>
      </c>
      <c r="H59" s="146">
        <v>800</v>
      </c>
      <c r="I59" s="218"/>
      <c r="J59" s="218">
        <f t="shared" ref="J59" si="29">H59*I59</f>
        <v>0</v>
      </c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</row>
    <row r="60" spans="1:40" s="122" customFormat="1" ht="24.95" customHeight="1" x14ac:dyDescent="0.2">
      <c r="A60" s="340" t="s">
        <v>303</v>
      </c>
      <c r="B60" s="340"/>
      <c r="C60" s="340"/>
      <c r="D60" s="340"/>
      <c r="E60" s="340"/>
      <c r="F60" s="340"/>
      <c r="G60" s="340"/>
      <c r="H60" s="340"/>
      <c r="I60" s="340"/>
      <c r="J60" s="229">
        <f>J56+J58+J59</f>
        <v>0</v>
      </c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16"/>
      <c r="Y60" s="216"/>
      <c r="Z60" s="216"/>
      <c r="AA60" s="216"/>
      <c r="AB60" s="216"/>
      <c r="AC60" s="216"/>
      <c r="AD60" s="216"/>
      <c r="AE60" s="216"/>
      <c r="AF60" s="216"/>
      <c r="AG60" s="216"/>
      <c r="AH60" s="216"/>
      <c r="AI60" s="216"/>
      <c r="AJ60" s="216"/>
      <c r="AK60" s="216"/>
      <c r="AL60" s="216"/>
    </row>
    <row r="61" spans="1:40" s="127" customFormat="1" ht="45" customHeight="1" x14ac:dyDescent="0.2">
      <c r="A61" s="136" t="s">
        <v>16</v>
      </c>
      <c r="B61" s="136" t="s">
        <v>218</v>
      </c>
      <c r="C61" s="347" t="s">
        <v>219</v>
      </c>
      <c r="D61" s="347"/>
      <c r="E61" s="347"/>
      <c r="F61" s="347"/>
      <c r="G61" s="347"/>
      <c r="H61" s="347"/>
      <c r="I61" s="347"/>
      <c r="J61" s="347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</row>
    <row r="62" spans="1:40" s="127" customFormat="1" ht="15" customHeight="1" x14ac:dyDescent="0.2">
      <c r="A62" s="141" t="s">
        <v>320</v>
      </c>
      <c r="B62" s="141" t="s">
        <v>419</v>
      </c>
      <c r="C62" s="341" t="s">
        <v>220</v>
      </c>
      <c r="D62" s="342"/>
      <c r="E62" s="342"/>
      <c r="F62" s="342"/>
      <c r="G62" s="342"/>
      <c r="H62" s="342"/>
      <c r="I62" s="342"/>
      <c r="J62" s="343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</row>
    <row r="63" spans="1:40" s="127" customFormat="1" ht="15" customHeight="1" x14ac:dyDescent="0.2">
      <c r="A63" s="150" t="s">
        <v>259</v>
      </c>
      <c r="B63" s="151" t="s">
        <v>283</v>
      </c>
      <c r="C63" s="351" t="s">
        <v>293</v>
      </c>
      <c r="D63" s="351"/>
      <c r="E63" s="351"/>
      <c r="F63" s="351"/>
      <c r="G63" s="143" t="s">
        <v>203</v>
      </c>
      <c r="H63" s="144">
        <v>200</v>
      </c>
      <c r="I63" s="218"/>
      <c r="J63" s="218">
        <f t="shared" ref="J63" si="30">H63*I63</f>
        <v>0</v>
      </c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</row>
    <row r="64" spans="1:40" s="127" customFormat="1" ht="15" customHeight="1" x14ac:dyDescent="0.2">
      <c r="A64" s="221" t="s">
        <v>324</v>
      </c>
      <c r="B64" s="148" t="s">
        <v>402</v>
      </c>
      <c r="C64" s="359" t="s">
        <v>401</v>
      </c>
      <c r="D64" s="359"/>
      <c r="E64" s="359"/>
      <c r="F64" s="359"/>
      <c r="G64" s="143" t="s">
        <v>203</v>
      </c>
      <c r="H64" s="144">
        <v>150</v>
      </c>
      <c r="I64" s="218"/>
      <c r="J64" s="218">
        <f t="shared" ref="J64" si="31">H64*I64</f>
        <v>0</v>
      </c>
      <c r="K64" s="121"/>
      <c r="L64" s="121"/>
      <c r="M64" s="121"/>
    </row>
    <row r="65" spans="1:41" s="122" customFormat="1" ht="24.95" customHeight="1" x14ac:dyDescent="0.2">
      <c r="A65" s="340" t="s">
        <v>302</v>
      </c>
      <c r="B65" s="340"/>
      <c r="C65" s="340"/>
      <c r="D65" s="340"/>
      <c r="E65" s="340"/>
      <c r="F65" s="340"/>
      <c r="G65" s="340"/>
      <c r="H65" s="340"/>
      <c r="I65" s="340"/>
      <c r="J65" s="229">
        <f>J63+J64</f>
        <v>0</v>
      </c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  <c r="AF65" s="216"/>
      <c r="AG65" s="216"/>
      <c r="AH65" s="216"/>
      <c r="AI65" s="216"/>
      <c r="AJ65" s="216"/>
      <c r="AK65" s="216"/>
      <c r="AL65" s="216"/>
    </row>
    <row r="66" spans="1:41" s="213" customFormat="1" ht="35.25" customHeight="1" x14ac:dyDescent="0.2">
      <c r="A66" s="215" t="s">
        <v>21</v>
      </c>
      <c r="B66" s="215" t="s">
        <v>356</v>
      </c>
      <c r="C66" s="362" t="s">
        <v>357</v>
      </c>
      <c r="D66" s="362"/>
      <c r="E66" s="362"/>
      <c r="F66" s="362"/>
      <c r="G66" s="362"/>
      <c r="H66" s="362"/>
      <c r="I66" s="362"/>
      <c r="J66" s="362"/>
      <c r="K66" s="121"/>
      <c r="L66" s="121"/>
      <c r="M66" s="121"/>
    </row>
    <row r="67" spans="1:41" s="213" customFormat="1" ht="15.75" customHeight="1" x14ac:dyDescent="0.2">
      <c r="A67" s="211">
        <v>14</v>
      </c>
      <c r="B67" s="212" t="s">
        <v>415</v>
      </c>
      <c r="C67" s="357" t="s">
        <v>414</v>
      </c>
      <c r="D67" s="358"/>
      <c r="E67" s="358"/>
      <c r="F67" s="358"/>
      <c r="G67" s="358"/>
      <c r="H67" s="358"/>
      <c r="I67" s="358"/>
      <c r="J67" s="358"/>
      <c r="K67" s="121"/>
      <c r="L67" s="121"/>
      <c r="M67" s="121"/>
    </row>
    <row r="68" spans="1:41" s="213" customFormat="1" ht="18" customHeight="1" x14ac:dyDescent="0.2">
      <c r="A68" s="179" t="s">
        <v>263</v>
      </c>
      <c r="B68" s="150" t="s">
        <v>415</v>
      </c>
      <c r="C68" s="354" t="s">
        <v>416</v>
      </c>
      <c r="D68" s="355"/>
      <c r="E68" s="355"/>
      <c r="F68" s="356"/>
      <c r="G68" s="145" t="s">
        <v>203</v>
      </c>
      <c r="H68" s="144">
        <v>2.5</v>
      </c>
      <c r="I68" s="218"/>
      <c r="J68" s="218">
        <f t="shared" ref="J68" si="32">H68*I68</f>
        <v>0</v>
      </c>
      <c r="K68" s="121"/>
    </row>
    <row r="69" spans="1:41" s="213" customFormat="1" ht="15" customHeight="1" x14ac:dyDescent="0.2">
      <c r="A69" s="214">
        <v>15</v>
      </c>
      <c r="B69" s="214" t="s">
        <v>358</v>
      </c>
      <c r="C69" s="357" t="s">
        <v>359</v>
      </c>
      <c r="D69" s="358"/>
      <c r="E69" s="358"/>
      <c r="F69" s="358"/>
      <c r="G69" s="358"/>
      <c r="H69" s="358"/>
      <c r="I69" s="358"/>
      <c r="J69" s="360"/>
      <c r="K69" s="121"/>
      <c r="L69" s="121"/>
      <c r="M69" s="121"/>
    </row>
    <row r="70" spans="1:41" s="213" customFormat="1" ht="16.5" customHeight="1" x14ac:dyDescent="0.2">
      <c r="A70" s="149" t="s">
        <v>261</v>
      </c>
      <c r="B70" s="150" t="s">
        <v>358</v>
      </c>
      <c r="C70" s="351" t="s">
        <v>360</v>
      </c>
      <c r="D70" s="351"/>
      <c r="E70" s="351"/>
      <c r="F70" s="351"/>
      <c r="G70" s="143" t="s">
        <v>206</v>
      </c>
      <c r="H70" s="144">
        <v>4</v>
      </c>
      <c r="I70" s="218"/>
      <c r="J70" s="218">
        <f t="shared" ref="J70" si="33">H70*I70</f>
        <v>0</v>
      </c>
      <c r="K70" s="121"/>
      <c r="L70" s="121"/>
      <c r="M70" s="121"/>
    </row>
    <row r="71" spans="1:41" s="122" customFormat="1" ht="24.95" customHeight="1" x14ac:dyDescent="0.2">
      <c r="A71" s="340" t="s">
        <v>305</v>
      </c>
      <c r="B71" s="340"/>
      <c r="C71" s="340"/>
      <c r="D71" s="340"/>
      <c r="E71" s="340"/>
      <c r="F71" s="340"/>
      <c r="G71" s="340"/>
      <c r="H71" s="340"/>
      <c r="I71" s="340"/>
      <c r="J71" s="229">
        <f>J70+J68</f>
        <v>0</v>
      </c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16"/>
      <c r="Y71" s="216"/>
      <c r="Z71" s="216"/>
      <c r="AA71" s="216"/>
      <c r="AB71" s="216"/>
      <c r="AC71" s="216"/>
      <c r="AD71" s="216"/>
      <c r="AE71" s="216"/>
      <c r="AF71" s="216"/>
      <c r="AG71" s="216"/>
      <c r="AH71" s="216"/>
      <c r="AI71" s="216"/>
      <c r="AJ71" s="216"/>
      <c r="AK71" s="216"/>
      <c r="AL71" s="216"/>
    </row>
    <row r="72" spans="1:41" s="127" customFormat="1" ht="44.25" customHeight="1" x14ac:dyDescent="0.2">
      <c r="A72" s="171" t="s">
        <v>1</v>
      </c>
      <c r="B72" s="171" t="s">
        <v>280</v>
      </c>
      <c r="C72" s="361" t="s">
        <v>281</v>
      </c>
      <c r="D72" s="361"/>
      <c r="E72" s="361"/>
      <c r="F72" s="361"/>
      <c r="G72" s="361"/>
      <c r="H72" s="361"/>
      <c r="I72" s="361"/>
      <c r="J72" s="361"/>
      <c r="K72" s="121"/>
      <c r="L72" s="170"/>
      <c r="M72" s="128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1"/>
      <c r="AL72" s="121"/>
      <c r="AM72" s="121"/>
      <c r="AN72" s="121"/>
    </row>
    <row r="73" spans="1:41" s="127" customFormat="1" ht="15" customHeight="1" x14ac:dyDescent="0.2">
      <c r="A73" s="141" t="s">
        <v>417</v>
      </c>
      <c r="B73" s="141" t="s">
        <v>346</v>
      </c>
      <c r="C73" s="341" t="s">
        <v>347</v>
      </c>
      <c r="D73" s="342"/>
      <c r="E73" s="342"/>
      <c r="F73" s="342"/>
      <c r="G73" s="342"/>
      <c r="H73" s="342"/>
      <c r="I73" s="342"/>
      <c r="J73" s="343"/>
      <c r="K73" s="121"/>
      <c r="L73" s="170"/>
      <c r="M73" s="128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</row>
    <row r="74" spans="1:41" s="127" customFormat="1" ht="15" customHeight="1" x14ac:dyDescent="0.2">
      <c r="A74" s="228" t="s">
        <v>372</v>
      </c>
      <c r="B74" s="172" t="s">
        <v>346</v>
      </c>
      <c r="C74" s="351" t="s">
        <v>349</v>
      </c>
      <c r="D74" s="351"/>
      <c r="E74" s="351"/>
      <c r="F74" s="351"/>
      <c r="G74" s="143" t="s">
        <v>205</v>
      </c>
      <c r="H74" s="144">
        <v>19</v>
      </c>
      <c r="I74" s="218"/>
      <c r="J74" s="227">
        <f t="shared" ref="J74" si="34">H74*I74</f>
        <v>0</v>
      </c>
      <c r="K74" s="121"/>
      <c r="L74" s="170"/>
      <c r="M74" s="128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1"/>
      <c r="AL74" s="121"/>
      <c r="AM74" s="121"/>
      <c r="AN74" s="121"/>
    </row>
    <row r="75" spans="1:41" s="213" customFormat="1" ht="15" customHeight="1" x14ac:dyDescent="0.2">
      <c r="A75" s="214">
        <v>17</v>
      </c>
      <c r="B75" s="212" t="s">
        <v>353</v>
      </c>
      <c r="C75" s="357" t="s">
        <v>354</v>
      </c>
      <c r="D75" s="358"/>
      <c r="E75" s="358"/>
      <c r="F75" s="358"/>
      <c r="G75" s="358"/>
      <c r="H75" s="358"/>
      <c r="I75" s="358"/>
      <c r="J75" s="360"/>
    </row>
    <row r="76" spans="1:41" s="213" customFormat="1" ht="15" customHeight="1" x14ac:dyDescent="0.2">
      <c r="A76" s="149" t="s">
        <v>345</v>
      </c>
      <c r="B76" s="150" t="s">
        <v>353</v>
      </c>
      <c r="C76" s="351" t="s">
        <v>355</v>
      </c>
      <c r="D76" s="351"/>
      <c r="E76" s="351"/>
      <c r="F76" s="351"/>
      <c r="G76" s="145" t="s">
        <v>203</v>
      </c>
      <c r="H76" s="146">
        <v>50</v>
      </c>
      <c r="I76" s="218"/>
      <c r="J76" s="227">
        <f t="shared" ref="J76" si="35">H76*I76</f>
        <v>0</v>
      </c>
    </row>
    <row r="77" spans="1:41" s="127" customFormat="1" ht="15" customHeight="1" x14ac:dyDescent="0.2">
      <c r="A77" s="141" t="s">
        <v>373</v>
      </c>
      <c r="B77" s="141" t="s">
        <v>350</v>
      </c>
      <c r="C77" s="341" t="s">
        <v>351</v>
      </c>
      <c r="D77" s="342"/>
      <c r="E77" s="342"/>
      <c r="F77" s="342"/>
      <c r="G77" s="342"/>
      <c r="H77" s="342"/>
      <c r="I77" s="342"/>
      <c r="J77" s="343"/>
      <c r="K77" s="121"/>
      <c r="L77"/>
      <c r="M77" s="128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</row>
    <row r="78" spans="1:41" s="127" customFormat="1" ht="15" customHeight="1" x14ac:dyDescent="0.2">
      <c r="A78" s="228" t="s">
        <v>348</v>
      </c>
      <c r="B78" s="173" t="s">
        <v>350</v>
      </c>
      <c r="C78" s="351" t="s">
        <v>352</v>
      </c>
      <c r="D78" s="351"/>
      <c r="E78" s="351"/>
      <c r="F78" s="351"/>
      <c r="G78" s="143" t="s">
        <v>205</v>
      </c>
      <c r="H78" s="144">
        <v>40</v>
      </c>
      <c r="I78" s="218"/>
      <c r="J78" s="227">
        <f t="shared" ref="J78" si="36">H78*I78</f>
        <v>0</v>
      </c>
      <c r="K78" s="121"/>
      <c r="L78"/>
      <c r="M78" s="128"/>
      <c r="N78" s="121"/>
      <c r="O78" s="121"/>
      <c r="P78" s="121"/>
      <c r="Q78" s="121"/>
      <c r="R78" s="121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  <c r="AI78" s="121"/>
      <c r="AJ78" s="121"/>
      <c r="AK78" s="121"/>
      <c r="AL78" s="121"/>
      <c r="AM78" s="121"/>
      <c r="AN78" s="121"/>
    </row>
    <row r="79" spans="1:41" x14ac:dyDescent="0.2">
      <c r="A79" s="141" t="s">
        <v>374</v>
      </c>
      <c r="B79" s="141" t="s">
        <v>397</v>
      </c>
      <c r="C79" s="341" t="s">
        <v>398</v>
      </c>
      <c r="D79" s="342"/>
      <c r="E79" s="342"/>
      <c r="F79" s="342"/>
      <c r="G79" s="342"/>
      <c r="H79" s="342"/>
      <c r="I79" s="342"/>
      <c r="J79" s="343"/>
      <c r="K79" s="226"/>
      <c r="L79" s="226"/>
      <c r="M79"/>
      <c r="N79" s="128"/>
      <c r="O79" s="226"/>
      <c r="P79" s="226"/>
      <c r="Q79" s="226"/>
      <c r="R79" s="226"/>
      <c r="S79" s="226"/>
      <c r="T79" s="226"/>
      <c r="U79" s="226"/>
      <c r="V79" s="226"/>
      <c r="W79" s="226"/>
      <c r="X79" s="226"/>
      <c r="Y79" s="226"/>
      <c r="Z79" s="226"/>
      <c r="AA79" s="226"/>
      <c r="AB79" s="226"/>
      <c r="AC79" s="226"/>
      <c r="AD79" s="226"/>
      <c r="AE79" s="226"/>
      <c r="AF79" s="226"/>
      <c r="AG79" s="226"/>
      <c r="AH79" s="226"/>
      <c r="AI79" s="226"/>
      <c r="AJ79" s="226"/>
      <c r="AK79" s="226"/>
      <c r="AL79" s="226"/>
      <c r="AM79" s="226"/>
      <c r="AN79" s="226"/>
      <c r="AO79" s="226"/>
    </row>
    <row r="80" spans="1:41" x14ac:dyDescent="0.2">
      <c r="A80" s="228" t="s">
        <v>418</v>
      </c>
      <c r="B80" s="173" t="s">
        <v>397</v>
      </c>
      <c r="C80" s="351" t="s">
        <v>399</v>
      </c>
      <c r="D80" s="351"/>
      <c r="E80" s="351"/>
      <c r="F80" s="351"/>
      <c r="G80" s="143" t="s">
        <v>205</v>
      </c>
      <c r="H80" s="144">
        <v>150</v>
      </c>
      <c r="I80" s="218"/>
      <c r="J80" s="227">
        <f t="shared" ref="J80" si="37">H80*I80</f>
        <v>0</v>
      </c>
      <c r="K80" s="226"/>
      <c r="L80" s="226"/>
      <c r="M80"/>
      <c r="N80" s="128"/>
      <c r="O80" s="226"/>
      <c r="P80" s="226"/>
      <c r="Q80" s="226"/>
      <c r="R80" s="226"/>
      <c r="S80" s="226"/>
      <c r="T80" s="226"/>
      <c r="U80" s="226"/>
      <c r="V80" s="226"/>
      <c r="W80" s="226"/>
      <c r="X80" s="226"/>
      <c r="Y80" s="226"/>
      <c r="Z80" s="226"/>
      <c r="AA80" s="226"/>
      <c r="AB80" s="226"/>
      <c r="AC80" s="226"/>
      <c r="AD80" s="226"/>
      <c r="AE80" s="226"/>
      <c r="AF80" s="226"/>
      <c r="AG80" s="226"/>
      <c r="AH80" s="226"/>
      <c r="AI80" s="226"/>
      <c r="AJ80" s="226"/>
      <c r="AK80" s="226"/>
      <c r="AL80" s="226"/>
      <c r="AM80" s="226"/>
      <c r="AN80" s="226"/>
      <c r="AO80" s="226"/>
    </row>
    <row r="81" spans="1:38" s="122" customFormat="1" ht="24.95" customHeight="1" thickBot="1" x14ac:dyDescent="0.25">
      <c r="A81" s="340" t="s">
        <v>24</v>
      </c>
      <c r="B81" s="340"/>
      <c r="C81" s="340"/>
      <c r="D81" s="340"/>
      <c r="E81" s="340"/>
      <c r="F81" s="340"/>
      <c r="G81" s="340"/>
      <c r="H81" s="340"/>
      <c r="I81" s="340"/>
      <c r="J81" s="220">
        <f>J74+J76+J78+J80</f>
        <v>0</v>
      </c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16"/>
      <c r="Y81" s="216"/>
      <c r="Z81" s="216"/>
      <c r="AA81" s="216"/>
      <c r="AB81" s="216"/>
      <c r="AC81" s="216"/>
      <c r="AD81" s="216"/>
      <c r="AE81" s="216"/>
      <c r="AF81" s="216"/>
      <c r="AG81" s="216"/>
      <c r="AH81" s="216"/>
      <c r="AI81" s="216"/>
      <c r="AJ81" s="216"/>
      <c r="AK81" s="216"/>
      <c r="AL81" s="216"/>
    </row>
    <row r="82" spans="1:38" ht="24.95" customHeight="1" thickBot="1" x14ac:dyDescent="0.25">
      <c r="A82" s="364" t="s">
        <v>412</v>
      </c>
      <c r="B82" s="364"/>
      <c r="C82" s="364"/>
      <c r="D82" s="364"/>
      <c r="E82" s="364"/>
      <c r="F82" s="364"/>
      <c r="G82" s="364"/>
      <c r="H82" s="364"/>
      <c r="I82" s="364"/>
      <c r="J82" s="219">
        <f>J81+J71+J65+J60+J53+J42+J35+J29+J11</f>
        <v>0</v>
      </c>
    </row>
    <row r="83" spans="1:38" ht="24.95" customHeight="1" thickBot="1" x14ac:dyDescent="0.25">
      <c r="A83" s="364" t="s">
        <v>285</v>
      </c>
      <c r="B83" s="364"/>
      <c r="C83" s="364"/>
      <c r="D83" s="364"/>
      <c r="E83" s="364"/>
      <c r="F83" s="364"/>
      <c r="G83" s="364"/>
      <c r="H83" s="364"/>
      <c r="I83" s="364"/>
      <c r="J83" s="219">
        <f>J84-J82</f>
        <v>0</v>
      </c>
    </row>
    <row r="84" spans="1:38" ht="24.95" customHeight="1" thickBot="1" x14ac:dyDescent="0.25">
      <c r="A84" s="364" t="s">
        <v>286</v>
      </c>
      <c r="B84" s="364"/>
      <c r="C84" s="364"/>
      <c r="D84" s="364"/>
      <c r="E84" s="364"/>
      <c r="F84" s="364"/>
      <c r="G84" s="364"/>
      <c r="H84" s="364"/>
      <c r="I84" s="364"/>
      <c r="J84" s="219">
        <f>J82*1.23</f>
        <v>0</v>
      </c>
    </row>
    <row r="85" spans="1:38" x14ac:dyDescent="0.2">
      <c r="F85" s="134"/>
      <c r="G85" s="139"/>
    </row>
    <row r="86" spans="1:38" x14ac:dyDescent="0.2">
      <c r="F86" s="134"/>
      <c r="G86" s="139"/>
    </row>
    <row r="87" spans="1:38" x14ac:dyDescent="0.2">
      <c r="F87" s="134"/>
      <c r="G87" s="139"/>
    </row>
    <row r="88" spans="1:38" x14ac:dyDescent="0.2">
      <c r="F88" s="134"/>
      <c r="G88" s="139"/>
    </row>
    <row r="89" spans="1:38" x14ac:dyDescent="0.2">
      <c r="F89" s="134"/>
      <c r="G89" s="139"/>
    </row>
    <row r="90" spans="1:38" x14ac:dyDescent="0.2">
      <c r="F90" s="134"/>
      <c r="G90" s="139"/>
    </row>
    <row r="91" spans="1:38" x14ac:dyDescent="0.2">
      <c r="F91" s="134"/>
      <c r="G91" s="139"/>
    </row>
    <row r="92" spans="1:38" x14ac:dyDescent="0.2">
      <c r="F92" s="134"/>
      <c r="G92" s="139"/>
    </row>
    <row r="93" spans="1:38" x14ac:dyDescent="0.2">
      <c r="F93" s="134"/>
      <c r="G93" s="139"/>
    </row>
    <row r="94" spans="1:38" x14ac:dyDescent="0.2">
      <c r="F94" s="134"/>
      <c r="G94" s="139"/>
    </row>
    <row r="95" spans="1:38" x14ac:dyDescent="0.2">
      <c r="F95" s="134"/>
      <c r="G95" s="139"/>
    </row>
    <row r="96" spans="1:38" x14ac:dyDescent="0.2">
      <c r="F96" s="134"/>
      <c r="G96" s="139"/>
    </row>
    <row r="97" spans="6:7" x14ac:dyDescent="0.2">
      <c r="F97" s="134"/>
      <c r="G97" s="139"/>
    </row>
    <row r="98" spans="6:7" x14ac:dyDescent="0.2">
      <c r="F98" s="134"/>
      <c r="G98" s="139"/>
    </row>
    <row r="99" spans="6:7" x14ac:dyDescent="0.2">
      <c r="F99" s="134"/>
      <c r="G99" s="139"/>
    </row>
    <row r="100" spans="6:7" x14ac:dyDescent="0.2">
      <c r="F100" s="134"/>
      <c r="G100" s="139"/>
    </row>
    <row r="101" spans="6:7" x14ac:dyDescent="0.2">
      <c r="F101" s="134"/>
      <c r="G101" s="139"/>
    </row>
    <row r="102" spans="6:7" x14ac:dyDescent="0.2">
      <c r="F102" s="134"/>
      <c r="G102" s="139"/>
    </row>
    <row r="103" spans="6:7" x14ac:dyDescent="0.2">
      <c r="F103" s="134"/>
      <c r="G103" s="139"/>
    </row>
    <row r="104" spans="6:7" x14ac:dyDescent="0.2">
      <c r="F104" s="134"/>
      <c r="G104" s="139"/>
    </row>
    <row r="105" spans="6:7" x14ac:dyDescent="0.2">
      <c r="F105" s="134"/>
      <c r="G105" s="139"/>
    </row>
    <row r="106" spans="6:7" x14ac:dyDescent="0.2">
      <c r="F106" s="134"/>
      <c r="G106" s="139"/>
    </row>
    <row r="107" spans="6:7" x14ac:dyDescent="0.2">
      <c r="F107" s="134"/>
      <c r="G107" s="139"/>
    </row>
    <row r="108" spans="6:7" x14ac:dyDescent="0.2">
      <c r="F108" s="134"/>
      <c r="G108" s="139"/>
    </row>
    <row r="109" spans="6:7" x14ac:dyDescent="0.2">
      <c r="F109" s="134"/>
      <c r="G109" s="139"/>
    </row>
    <row r="110" spans="6:7" x14ac:dyDescent="0.2">
      <c r="F110" s="134"/>
      <c r="G110" s="139"/>
    </row>
    <row r="111" spans="6:7" x14ac:dyDescent="0.2">
      <c r="F111" s="134"/>
      <c r="G111" s="139"/>
    </row>
    <row r="112" spans="6:7" x14ac:dyDescent="0.2">
      <c r="F112" s="134"/>
      <c r="G112" s="139"/>
    </row>
    <row r="113" spans="6:7" x14ac:dyDescent="0.2">
      <c r="F113" s="134"/>
      <c r="G113" s="139"/>
    </row>
    <row r="114" spans="6:7" x14ac:dyDescent="0.2">
      <c r="F114" s="134"/>
      <c r="G114" s="139"/>
    </row>
    <row r="115" spans="6:7" x14ac:dyDescent="0.2">
      <c r="F115" s="134"/>
      <c r="G115" s="139"/>
    </row>
    <row r="116" spans="6:7" x14ac:dyDescent="0.2">
      <c r="F116" s="134"/>
      <c r="G116" s="139"/>
    </row>
    <row r="117" spans="6:7" x14ac:dyDescent="0.2">
      <c r="F117" s="134"/>
      <c r="G117" s="139"/>
    </row>
    <row r="118" spans="6:7" x14ac:dyDescent="0.2">
      <c r="F118" s="134"/>
      <c r="G118" s="139"/>
    </row>
    <row r="119" spans="6:7" x14ac:dyDescent="0.2">
      <c r="F119" s="134"/>
      <c r="G119" s="139"/>
    </row>
    <row r="120" spans="6:7" x14ac:dyDescent="0.2">
      <c r="F120" s="134"/>
      <c r="G120" s="139"/>
    </row>
    <row r="121" spans="6:7" x14ac:dyDescent="0.2">
      <c r="F121" s="134"/>
      <c r="G121" s="139"/>
    </row>
    <row r="122" spans="6:7" x14ac:dyDescent="0.2">
      <c r="F122" s="134"/>
      <c r="G122" s="139"/>
    </row>
    <row r="123" spans="6:7" x14ac:dyDescent="0.2">
      <c r="F123" s="134"/>
      <c r="G123" s="139"/>
    </row>
    <row r="124" spans="6:7" x14ac:dyDescent="0.2">
      <c r="F124" s="134"/>
      <c r="G124" s="139"/>
    </row>
    <row r="125" spans="6:7" x14ac:dyDescent="0.2">
      <c r="F125" s="134"/>
      <c r="G125" s="139"/>
    </row>
    <row r="126" spans="6:7" x14ac:dyDescent="0.2">
      <c r="F126" s="134"/>
      <c r="G126" s="139"/>
    </row>
    <row r="127" spans="6:7" x14ac:dyDescent="0.2">
      <c r="F127" s="134"/>
      <c r="G127" s="139"/>
    </row>
    <row r="128" spans="6:7" x14ac:dyDescent="0.2">
      <c r="F128" s="134"/>
      <c r="G128" s="139"/>
    </row>
    <row r="129" spans="6:7" x14ac:dyDescent="0.2">
      <c r="F129" s="134"/>
      <c r="G129" s="139"/>
    </row>
    <row r="130" spans="6:7" x14ac:dyDescent="0.2">
      <c r="F130" s="134"/>
      <c r="G130" s="139"/>
    </row>
    <row r="131" spans="6:7" x14ac:dyDescent="0.2">
      <c r="F131" s="134"/>
      <c r="G131" s="139"/>
    </row>
    <row r="132" spans="6:7" x14ac:dyDescent="0.2">
      <c r="F132" s="134"/>
      <c r="G132" s="139"/>
    </row>
    <row r="133" spans="6:7" x14ac:dyDescent="0.2">
      <c r="F133" s="134"/>
      <c r="G133" s="139"/>
    </row>
    <row r="134" spans="6:7" x14ac:dyDescent="0.2">
      <c r="F134" s="134"/>
      <c r="G134" s="139"/>
    </row>
    <row r="135" spans="6:7" x14ac:dyDescent="0.2">
      <c r="F135" s="134"/>
      <c r="G135" s="139"/>
    </row>
    <row r="136" spans="6:7" x14ac:dyDescent="0.2">
      <c r="F136" s="134"/>
      <c r="G136" s="139"/>
    </row>
    <row r="137" spans="6:7" x14ac:dyDescent="0.2">
      <c r="F137" s="134"/>
      <c r="G137" s="139"/>
    </row>
    <row r="138" spans="6:7" x14ac:dyDescent="0.2">
      <c r="F138" s="134"/>
      <c r="G138" s="139"/>
    </row>
    <row r="139" spans="6:7" x14ac:dyDescent="0.2">
      <c r="F139" s="134"/>
      <c r="G139" s="139"/>
    </row>
    <row r="140" spans="6:7" x14ac:dyDescent="0.2">
      <c r="F140" s="134"/>
      <c r="G140" s="139"/>
    </row>
    <row r="141" spans="6:7" x14ac:dyDescent="0.2">
      <c r="F141" s="134"/>
      <c r="G141" s="139"/>
    </row>
    <row r="142" spans="6:7" x14ac:dyDescent="0.2">
      <c r="F142" s="134"/>
      <c r="G142" s="139"/>
    </row>
    <row r="143" spans="6:7" x14ac:dyDescent="0.2">
      <c r="F143" s="134"/>
      <c r="G143" s="139"/>
    </row>
    <row r="144" spans="6:7" x14ac:dyDescent="0.2">
      <c r="F144" s="134"/>
      <c r="G144" s="139"/>
    </row>
    <row r="145" spans="6:7" x14ac:dyDescent="0.2">
      <c r="F145" s="134"/>
      <c r="G145" s="139"/>
    </row>
    <row r="146" spans="6:7" x14ac:dyDescent="0.2">
      <c r="F146" s="134"/>
      <c r="G146" s="139"/>
    </row>
    <row r="147" spans="6:7" x14ac:dyDescent="0.2">
      <c r="F147" s="134"/>
      <c r="G147" s="139"/>
    </row>
    <row r="148" spans="6:7" x14ac:dyDescent="0.2">
      <c r="F148" s="134"/>
      <c r="G148" s="139"/>
    </row>
    <row r="149" spans="6:7" x14ac:dyDescent="0.2">
      <c r="F149" s="134"/>
      <c r="G149" s="139"/>
    </row>
    <row r="150" spans="6:7" x14ac:dyDescent="0.2">
      <c r="F150" s="134"/>
      <c r="G150" s="139"/>
    </row>
    <row r="151" spans="6:7" x14ac:dyDescent="0.2">
      <c r="F151" s="134"/>
      <c r="G151" s="139"/>
    </row>
    <row r="152" spans="6:7" x14ac:dyDescent="0.2">
      <c r="F152" s="134"/>
      <c r="G152" s="139"/>
    </row>
    <row r="153" spans="6:7" x14ac:dyDescent="0.2">
      <c r="F153" s="134"/>
      <c r="G153" s="139"/>
    </row>
    <row r="154" spans="6:7" x14ac:dyDescent="0.2">
      <c r="F154" s="134"/>
      <c r="G154" s="139"/>
    </row>
    <row r="155" spans="6:7" x14ac:dyDescent="0.2">
      <c r="F155" s="134"/>
      <c r="G155" s="139"/>
    </row>
    <row r="156" spans="6:7" x14ac:dyDescent="0.2">
      <c r="F156" s="134"/>
      <c r="G156" s="139"/>
    </row>
    <row r="157" spans="6:7" x14ac:dyDescent="0.2">
      <c r="F157" s="134"/>
      <c r="G157" s="139"/>
    </row>
    <row r="158" spans="6:7" x14ac:dyDescent="0.2">
      <c r="F158" s="134"/>
      <c r="G158" s="139"/>
    </row>
    <row r="159" spans="6:7" x14ac:dyDescent="0.2">
      <c r="F159" s="134"/>
      <c r="G159" s="139"/>
    </row>
    <row r="160" spans="6:7" x14ac:dyDescent="0.2">
      <c r="F160" s="134"/>
      <c r="G160" s="139"/>
    </row>
    <row r="161" spans="6:7" x14ac:dyDescent="0.2">
      <c r="F161" s="134"/>
      <c r="G161" s="139"/>
    </row>
    <row r="162" spans="6:7" x14ac:dyDescent="0.2">
      <c r="F162" s="134"/>
      <c r="G162" s="139"/>
    </row>
    <row r="163" spans="6:7" x14ac:dyDescent="0.2">
      <c r="F163" s="134"/>
      <c r="G163" s="139"/>
    </row>
    <row r="164" spans="6:7" x14ac:dyDescent="0.2">
      <c r="F164" s="134"/>
      <c r="G164" s="139"/>
    </row>
    <row r="165" spans="6:7" x14ac:dyDescent="0.2">
      <c r="F165" s="134"/>
      <c r="G165" s="139"/>
    </row>
    <row r="166" spans="6:7" x14ac:dyDescent="0.2">
      <c r="F166" s="134"/>
      <c r="G166" s="139"/>
    </row>
    <row r="167" spans="6:7" x14ac:dyDescent="0.2">
      <c r="F167" s="134"/>
      <c r="G167" s="139"/>
    </row>
    <row r="168" spans="6:7" x14ac:dyDescent="0.2">
      <c r="F168" s="134"/>
      <c r="G168" s="139"/>
    </row>
    <row r="169" spans="6:7" x14ac:dyDescent="0.2">
      <c r="F169" s="134"/>
      <c r="G169" s="139"/>
    </row>
    <row r="170" spans="6:7" x14ac:dyDescent="0.2">
      <c r="F170" s="134"/>
      <c r="G170" s="139"/>
    </row>
    <row r="171" spans="6:7" x14ac:dyDescent="0.2">
      <c r="F171" s="134"/>
      <c r="G171" s="139"/>
    </row>
    <row r="172" spans="6:7" x14ac:dyDescent="0.2">
      <c r="F172" s="134"/>
      <c r="G172" s="139"/>
    </row>
    <row r="173" spans="6:7" x14ac:dyDescent="0.2">
      <c r="F173" s="134"/>
      <c r="G173" s="139"/>
    </row>
    <row r="174" spans="6:7" x14ac:dyDescent="0.2">
      <c r="F174" s="134"/>
      <c r="G174" s="139"/>
    </row>
    <row r="175" spans="6:7" x14ac:dyDescent="0.2">
      <c r="F175" s="134"/>
      <c r="G175" s="139"/>
    </row>
    <row r="176" spans="6:7" x14ac:dyDescent="0.2">
      <c r="F176" s="134"/>
      <c r="G176" s="139"/>
    </row>
    <row r="177" spans="6:7" x14ac:dyDescent="0.2">
      <c r="F177" s="134"/>
      <c r="G177" s="139"/>
    </row>
    <row r="178" spans="6:7" x14ac:dyDescent="0.2">
      <c r="F178" s="134"/>
      <c r="G178" s="139"/>
    </row>
    <row r="179" spans="6:7" x14ac:dyDescent="0.2">
      <c r="F179" s="134"/>
      <c r="G179" s="139"/>
    </row>
    <row r="180" spans="6:7" x14ac:dyDescent="0.2">
      <c r="F180" s="134"/>
      <c r="G180" s="139"/>
    </row>
    <row r="181" spans="6:7" x14ac:dyDescent="0.2">
      <c r="F181" s="134"/>
      <c r="G181" s="139"/>
    </row>
    <row r="182" spans="6:7" x14ac:dyDescent="0.2">
      <c r="F182" s="134"/>
      <c r="G182" s="139"/>
    </row>
    <row r="183" spans="6:7" x14ac:dyDescent="0.2">
      <c r="F183" s="134"/>
      <c r="G183" s="139"/>
    </row>
    <row r="184" spans="6:7" x14ac:dyDescent="0.2">
      <c r="F184" s="134"/>
      <c r="G184" s="139"/>
    </row>
    <row r="185" spans="6:7" x14ac:dyDescent="0.2">
      <c r="F185" s="134"/>
      <c r="G185" s="139"/>
    </row>
    <row r="186" spans="6:7" x14ac:dyDescent="0.2">
      <c r="F186" s="134"/>
      <c r="G186" s="139"/>
    </row>
    <row r="187" spans="6:7" x14ac:dyDescent="0.2">
      <c r="F187" s="134"/>
      <c r="G187" s="139"/>
    </row>
    <row r="188" spans="6:7" x14ac:dyDescent="0.2">
      <c r="F188" s="134"/>
      <c r="G188" s="139"/>
    </row>
    <row r="189" spans="6:7" x14ac:dyDescent="0.2">
      <c r="F189" s="134"/>
      <c r="G189" s="139"/>
    </row>
    <row r="190" spans="6:7" x14ac:dyDescent="0.2">
      <c r="F190" s="134"/>
      <c r="G190" s="139"/>
    </row>
    <row r="191" spans="6:7" x14ac:dyDescent="0.2">
      <c r="F191" s="134"/>
      <c r="G191" s="139"/>
    </row>
    <row r="192" spans="6:7" x14ac:dyDescent="0.2">
      <c r="F192" s="134"/>
      <c r="G192" s="139"/>
    </row>
    <row r="193" spans="6:7" x14ac:dyDescent="0.2">
      <c r="F193" s="134"/>
      <c r="G193" s="139"/>
    </row>
    <row r="194" spans="6:7" x14ac:dyDescent="0.2">
      <c r="F194" s="134"/>
      <c r="G194" s="139"/>
    </row>
    <row r="195" spans="6:7" x14ac:dyDescent="0.2">
      <c r="F195" s="134"/>
      <c r="G195" s="139"/>
    </row>
    <row r="196" spans="6:7" x14ac:dyDescent="0.2">
      <c r="F196" s="134"/>
      <c r="G196" s="139"/>
    </row>
    <row r="197" spans="6:7" x14ac:dyDescent="0.2">
      <c r="F197" s="134"/>
      <c r="G197" s="139"/>
    </row>
    <row r="198" spans="6:7" x14ac:dyDescent="0.2">
      <c r="F198" s="134"/>
      <c r="G198" s="139"/>
    </row>
    <row r="199" spans="6:7" x14ac:dyDescent="0.2">
      <c r="F199" s="134"/>
      <c r="G199" s="139"/>
    </row>
    <row r="200" spans="6:7" x14ac:dyDescent="0.2">
      <c r="F200" s="134"/>
      <c r="G200" s="139"/>
    </row>
    <row r="201" spans="6:7" x14ac:dyDescent="0.2">
      <c r="F201" s="134"/>
      <c r="G201" s="139"/>
    </row>
    <row r="202" spans="6:7" x14ac:dyDescent="0.2">
      <c r="F202" s="134"/>
      <c r="G202" s="139"/>
    </row>
    <row r="203" spans="6:7" x14ac:dyDescent="0.2">
      <c r="F203" s="134"/>
      <c r="G203" s="139"/>
    </row>
    <row r="204" spans="6:7" x14ac:dyDescent="0.2">
      <c r="F204" s="134"/>
      <c r="G204" s="139"/>
    </row>
    <row r="205" spans="6:7" x14ac:dyDescent="0.2">
      <c r="F205" s="134"/>
      <c r="G205" s="139"/>
    </row>
    <row r="206" spans="6:7" x14ac:dyDescent="0.2">
      <c r="F206" s="134"/>
      <c r="G206" s="139"/>
    </row>
    <row r="207" spans="6:7" x14ac:dyDescent="0.2">
      <c r="F207" s="134"/>
      <c r="G207" s="139"/>
    </row>
    <row r="208" spans="6:7" x14ac:dyDescent="0.2">
      <c r="F208" s="134"/>
      <c r="G208" s="139"/>
    </row>
    <row r="209" spans="6:7" x14ac:dyDescent="0.2">
      <c r="F209" s="134"/>
      <c r="G209" s="139"/>
    </row>
    <row r="210" spans="6:7" x14ac:dyDescent="0.2">
      <c r="F210" s="134"/>
      <c r="G210" s="139"/>
    </row>
    <row r="211" spans="6:7" x14ac:dyDescent="0.2">
      <c r="F211" s="134"/>
      <c r="G211" s="139"/>
    </row>
    <row r="212" spans="6:7" x14ac:dyDescent="0.2">
      <c r="F212" s="134"/>
      <c r="G212" s="139"/>
    </row>
    <row r="213" spans="6:7" x14ac:dyDescent="0.2">
      <c r="F213" s="134"/>
      <c r="G213" s="139"/>
    </row>
    <row r="214" spans="6:7" x14ac:dyDescent="0.2">
      <c r="F214" s="134"/>
      <c r="G214" s="139"/>
    </row>
    <row r="215" spans="6:7" x14ac:dyDescent="0.2">
      <c r="F215" s="134"/>
      <c r="G215" s="139"/>
    </row>
    <row r="216" spans="6:7" x14ac:dyDescent="0.2">
      <c r="F216" s="134"/>
      <c r="G216" s="139"/>
    </row>
    <row r="217" spans="6:7" x14ac:dyDescent="0.2">
      <c r="F217" s="134"/>
      <c r="G217" s="139"/>
    </row>
    <row r="218" spans="6:7" x14ac:dyDescent="0.2">
      <c r="F218" s="134"/>
      <c r="G218" s="139"/>
    </row>
    <row r="219" spans="6:7" x14ac:dyDescent="0.2">
      <c r="F219" s="134"/>
      <c r="G219" s="139"/>
    </row>
    <row r="220" spans="6:7" x14ac:dyDescent="0.2">
      <c r="F220" s="134"/>
      <c r="G220" s="139"/>
    </row>
    <row r="221" spans="6:7" x14ac:dyDescent="0.2">
      <c r="F221" s="134"/>
      <c r="G221" s="139"/>
    </row>
    <row r="222" spans="6:7" x14ac:dyDescent="0.2">
      <c r="F222" s="134"/>
      <c r="G222" s="139"/>
    </row>
    <row r="223" spans="6:7" x14ac:dyDescent="0.2">
      <c r="F223" s="134"/>
      <c r="G223" s="139"/>
    </row>
    <row r="224" spans="6:7" x14ac:dyDescent="0.2">
      <c r="F224" s="134"/>
      <c r="G224" s="139"/>
    </row>
    <row r="225" spans="6:7" x14ac:dyDescent="0.2">
      <c r="F225" s="134"/>
      <c r="G225" s="139"/>
    </row>
    <row r="226" spans="6:7" x14ac:dyDescent="0.2">
      <c r="F226" s="134"/>
      <c r="G226" s="139"/>
    </row>
    <row r="227" spans="6:7" x14ac:dyDescent="0.2">
      <c r="F227" s="134"/>
      <c r="G227" s="139"/>
    </row>
    <row r="228" spans="6:7" x14ac:dyDescent="0.2">
      <c r="F228" s="134"/>
      <c r="G228" s="139"/>
    </row>
    <row r="229" spans="6:7" x14ac:dyDescent="0.2">
      <c r="F229" s="134"/>
      <c r="G229" s="139"/>
    </row>
    <row r="230" spans="6:7" x14ac:dyDescent="0.2">
      <c r="F230" s="134"/>
      <c r="G230" s="139"/>
    </row>
    <row r="231" spans="6:7" x14ac:dyDescent="0.2">
      <c r="F231" s="134"/>
      <c r="G231" s="139"/>
    </row>
    <row r="232" spans="6:7" x14ac:dyDescent="0.2">
      <c r="F232" s="134"/>
      <c r="G232" s="139"/>
    </row>
    <row r="233" spans="6:7" x14ac:dyDescent="0.2">
      <c r="F233" s="134"/>
      <c r="G233" s="139"/>
    </row>
    <row r="234" spans="6:7" x14ac:dyDescent="0.2">
      <c r="F234" s="134"/>
      <c r="G234" s="139"/>
    </row>
    <row r="235" spans="6:7" x14ac:dyDescent="0.2">
      <c r="F235" s="134"/>
      <c r="G235" s="139"/>
    </row>
    <row r="236" spans="6:7" x14ac:dyDescent="0.2">
      <c r="F236" s="134"/>
      <c r="G236" s="139"/>
    </row>
    <row r="237" spans="6:7" x14ac:dyDescent="0.2">
      <c r="F237" s="134"/>
      <c r="G237" s="139"/>
    </row>
    <row r="238" spans="6:7" x14ac:dyDescent="0.2">
      <c r="F238" s="134"/>
      <c r="G238" s="139"/>
    </row>
    <row r="239" spans="6:7" x14ac:dyDescent="0.2">
      <c r="F239" s="134"/>
      <c r="G239" s="139"/>
    </row>
    <row r="240" spans="6:7" x14ac:dyDescent="0.2">
      <c r="F240" s="134"/>
      <c r="G240" s="139"/>
    </row>
    <row r="241" spans="6:7" x14ac:dyDescent="0.2">
      <c r="F241" s="134"/>
      <c r="G241" s="139"/>
    </row>
    <row r="242" spans="6:7" x14ac:dyDescent="0.2">
      <c r="F242" s="134"/>
      <c r="G242" s="139"/>
    </row>
    <row r="243" spans="6:7" x14ac:dyDescent="0.2">
      <c r="F243" s="134"/>
      <c r="G243" s="139"/>
    </row>
    <row r="244" spans="6:7" x14ac:dyDescent="0.2">
      <c r="F244" s="134"/>
      <c r="G244" s="139"/>
    </row>
    <row r="245" spans="6:7" x14ac:dyDescent="0.2">
      <c r="F245" s="134"/>
      <c r="G245" s="139"/>
    </row>
    <row r="246" spans="6:7" x14ac:dyDescent="0.2">
      <c r="F246" s="134"/>
      <c r="G246" s="139"/>
    </row>
    <row r="247" spans="6:7" x14ac:dyDescent="0.2">
      <c r="F247" s="134"/>
      <c r="G247" s="139"/>
    </row>
    <row r="248" spans="6:7" x14ac:dyDescent="0.2">
      <c r="F248" s="134"/>
      <c r="G248" s="139"/>
    </row>
    <row r="249" spans="6:7" x14ac:dyDescent="0.2">
      <c r="F249" s="134"/>
      <c r="G249" s="139"/>
    </row>
    <row r="250" spans="6:7" x14ac:dyDescent="0.2">
      <c r="F250" s="134"/>
      <c r="G250" s="139"/>
    </row>
    <row r="251" spans="6:7" x14ac:dyDescent="0.2">
      <c r="F251" s="134"/>
      <c r="G251" s="139"/>
    </row>
    <row r="252" spans="6:7" x14ac:dyDescent="0.2">
      <c r="F252" s="134"/>
      <c r="G252" s="139"/>
    </row>
    <row r="253" spans="6:7" x14ac:dyDescent="0.2">
      <c r="F253" s="134"/>
      <c r="G253" s="139"/>
    </row>
    <row r="254" spans="6:7" x14ac:dyDescent="0.2">
      <c r="F254" s="134"/>
      <c r="G254" s="139"/>
    </row>
    <row r="255" spans="6:7" x14ac:dyDescent="0.2">
      <c r="F255" s="134"/>
      <c r="G255" s="139"/>
    </row>
    <row r="256" spans="6:7" x14ac:dyDescent="0.2">
      <c r="F256" s="134"/>
      <c r="G256" s="139"/>
    </row>
    <row r="257" spans="6:7" x14ac:dyDescent="0.2">
      <c r="F257" s="134"/>
      <c r="G257" s="139"/>
    </row>
    <row r="258" spans="6:7" x14ac:dyDescent="0.2">
      <c r="F258" s="134"/>
      <c r="G258" s="139"/>
    </row>
    <row r="259" spans="6:7" x14ac:dyDescent="0.2">
      <c r="F259" s="134"/>
      <c r="G259" s="139"/>
    </row>
    <row r="260" spans="6:7" x14ac:dyDescent="0.2">
      <c r="F260" s="134"/>
      <c r="G260" s="139"/>
    </row>
    <row r="261" spans="6:7" x14ac:dyDescent="0.2">
      <c r="F261" s="134"/>
      <c r="G261" s="139"/>
    </row>
    <row r="262" spans="6:7" x14ac:dyDescent="0.2">
      <c r="F262" s="134"/>
      <c r="G262" s="139"/>
    </row>
    <row r="263" spans="6:7" x14ac:dyDescent="0.2">
      <c r="F263" s="134"/>
      <c r="G263" s="139"/>
    </row>
    <row r="264" spans="6:7" x14ac:dyDescent="0.2">
      <c r="F264" s="134"/>
      <c r="G264" s="139"/>
    </row>
    <row r="265" spans="6:7" x14ac:dyDescent="0.2">
      <c r="F265" s="134"/>
      <c r="G265" s="139"/>
    </row>
    <row r="266" spans="6:7" x14ac:dyDescent="0.2">
      <c r="F266" s="134"/>
      <c r="G266" s="139"/>
    </row>
    <row r="267" spans="6:7" x14ac:dyDescent="0.2">
      <c r="F267" s="134"/>
      <c r="G267" s="139"/>
    </row>
    <row r="268" spans="6:7" x14ac:dyDescent="0.2">
      <c r="F268" s="134"/>
      <c r="G268" s="139"/>
    </row>
    <row r="269" spans="6:7" x14ac:dyDescent="0.2">
      <c r="F269" s="134"/>
      <c r="G269" s="139"/>
    </row>
    <row r="270" spans="6:7" x14ac:dyDescent="0.2">
      <c r="F270" s="134"/>
      <c r="G270" s="139"/>
    </row>
    <row r="271" spans="6:7" x14ac:dyDescent="0.2">
      <c r="F271" s="134"/>
      <c r="G271" s="139"/>
    </row>
    <row r="272" spans="6:7" x14ac:dyDescent="0.2">
      <c r="F272" s="134"/>
      <c r="G272" s="139"/>
    </row>
    <row r="273" spans="6:7" x14ac:dyDescent="0.2">
      <c r="F273" s="134"/>
      <c r="G273" s="139"/>
    </row>
    <row r="274" spans="6:7" x14ac:dyDescent="0.2">
      <c r="F274" s="134"/>
      <c r="G274" s="139"/>
    </row>
    <row r="275" spans="6:7" x14ac:dyDescent="0.2">
      <c r="F275" s="134"/>
      <c r="G275" s="139"/>
    </row>
    <row r="276" spans="6:7" x14ac:dyDescent="0.2">
      <c r="F276" s="134"/>
      <c r="G276" s="139"/>
    </row>
    <row r="277" spans="6:7" x14ac:dyDescent="0.2">
      <c r="F277" s="134"/>
      <c r="G277" s="139"/>
    </row>
    <row r="278" spans="6:7" x14ac:dyDescent="0.2">
      <c r="F278" s="134"/>
      <c r="G278" s="139"/>
    </row>
    <row r="279" spans="6:7" x14ac:dyDescent="0.2">
      <c r="F279" s="134"/>
      <c r="G279" s="139"/>
    </row>
    <row r="280" spans="6:7" x14ac:dyDescent="0.2">
      <c r="F280" s="134"/>
      <c r="G280" s="139"/>
    </row>
    <row r="281" spans="6:7" x14ac:dyDescent="0.2">
      <c r="F281" s="134"/>
      <c r="G281" s="139"/>
    </row>
    <row r="282" spans="6:7" x14ac:dyDescent="0.2">
      <c r="F282" s="134"/>
      <c r="G282" s="139"/>
    </row>
    <row r="283" spans="6:7" x14ac:dyDescent="0.2">
      <c r="F283" s="134"/>
      <c r="G283" s="139"/>
    </row>
    <row r="284" spans="6:7" x14ac:dyDescent="0.2">
      <c r="F284" s="134"/>
      <c r="G284" s="139"/>
    </row>
    <row r="285" spans="6:7" x14ac:dyDescent="0.2">
      <c r="F285" s="134"/>
      <c r="G285" s="139"/>
    </row>
    <row r="286" spans="6:7" x14ac:dyDescent="0.2">
      <c r="F286" s="134"/>
      <c r="G286" s="139"/>
    </row>
  </sheetData>
  <mergeCells count="84">
    <mergeCell ref="A1:J1"/>
    <mergeCell ref="A82:I82"/>
    <mergeCell ref="A83:I83"/>
    <mergeCell ref="A84:I84"/>
    <mergeCell ref="C4:F4"/>
    <mergeCell ref="A2:J2"/>
    <mergeCell ref="B5:J5"/>
    <mergeCell ref="C6:J6"/>
    <mergeCell ref="C3:F3"/>
    <mergeCell ref="C8:F8"/>
    <mergeCell ref="C27:F27"/>
    <mergeCell ref="C28:F28"/>
    <mergeCell ref="C20:F20"/>
    <mergeCell ref="C22:F22"/>
    <mergeCell ref="C23:F23"/>
    <mergeCell ref="C24:F24"/>
    <mergeCell ref="A81:I81"/>
    <mergeCell ref="A71:I71"/>
    <mergeCell ref="A65:I65"/>
    <mergeCell ref="A60:I60"/>
    <mergeCell ref="A53:I53"/>
    <mergeCell ref="C69:J69"/>
    <mergeCell ref="C73:J73"/>
    <mergeCell ref="C75:J75"/>
    <mergeCell ref="C77:J77"/>
    <mergeCell ref="C79:J79"/>
    <mergeCell ref="C80:F80"/>
    <mergeCell ref="C72:J72"/>
    <mergeCell ref="C66:J66"/>
    <mergeCell ref="C55:J55"/>
    <mergeCell ref="C57:J57"/>
    <mergeCell ref="C62:J62"/>
    <mergeCell ref="C21:J21"/>
    <mergeCell ref="C31:J31"/>
    <mergeCell ref="C37:J37"/>
    <mergeCell ref="C44:J44"/>
    <mergeCell ref="C68:F68"/>
    <mergeCell ref="C67:J67"/>
    <mergeCell ref="C49:F49"/>
    <mergeCell ref="C51:F51"/>
    <mergeCell ref="C52:F52"/>
    <mergeCell ref="C50:J50"/>
    <mergeCell ref="C61:J61"/>
    <mergeCell ref="C54:J54"/>
    <mergeCell ref="C63:F63"/>
    <mergeCell ref="C64:F64"/>
    <mergeCell ref="C56:F56"/>
    <mergeCell ref="C58:F58"/>
    <mergeCell ref="C25:F25"/>
    <mergeCell ref="C26:F26"/>
    <mergeCell ref="C74:F74"/>
    <mergeCell ref="C76:F76"/>
    <mergeCell ref="C78:F78"/>
    <mergeCell ref="C70:F70"/>
    <mergeCell ref="C59:F59"/>
    <mergeCell ref="C45:F45"/>
    <mergeCell ref="C46:F46"/>
    <mergeCell ref="C48:F48"/>
    <mergeCell ref="C38:F38"/>
    <mergeCell ref="C39:F39"/>
    <mergeCell ref="C40:F40"/>
    <mergeCell ref="C41:F41"/>
    <mergeCell ref="C47:J47"/>
    <mergeCell ref="A42:I42"/>
    <mergeCell ref="A35:I35"/>
    <mergeCell ref="A29:I29"/>
    <mergeCell ref="C43:J43"/>
    <mergeCell ref="C36:J36"/>
    <mergeCell ref="C32:F32"/>
    <mergeCell ref="C33:F33"/>
    <mergeCell ref="C34:F34"/>
    <mergeCell ref="C30:J30"/>
    <mergeCell ref="A11:I11"/>
    <mergeCell ref="C7:J7"/>
    <mergeCell ref="C14:J14"/>
    <mergeCell ref="C16:J16"/>
    <mergeCell ref="C19:J19"/>
    <mergeCell ref="C15:F15"/>
    <mergeCell ref="C17:F17"/>
    <mergeCell ref="C18:F18"/>
    <mergeCell ref="C13:J13"/>
    <mergeCell ref="C9:F9"/>
    <mergeCell ref="C10:F10"/>
    <mergeCell ref="B12:J12"/>
  </mergeCells>
  <printOptions gridLines="1"/>
  <pageMargins left="0.70866141732283472" right="0.70866141732283472" top="0.74803149606299213" bottom="0.74803149606299213" header="0.31496062992125984" footer="0.31496062992125984"/>
  <pageSetup paperSize="9" scale="75" fitToHeight="0" orientation="landscape" r:id="rId1"/>
  <rowBreaks count="3" manualBreakCount="3">
    <brk id="18" max="9" man="1"/>
    <brk id="42" max="9" man="1"/>
    <brk id="71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K78"/>
  <sheetViews>
    <sheetView workbookViewId="0"/>
    <sheetView workbookViewId="1"/>
  </sheetViews>
  <sheetFormatPr defaultRowHeight="12.75" x14ac:dyDescent="0.2"/>
  <cols>
    <col min="1" max="1" width="19.5703125" customWidth="1"/>
    <col min="4" max="4" width="16.85546875" customWidth="1"/>
    <col min="8" max="8" width="11.140625" customWidth="1"/>
    <col min="9" max="9" width="23.140625" customWidth="1"/>
  </cols>
  <sheetData>
    <row r="1" spans="1:9" x14ac:dyDescent="0.2">
      <c r="A1" s="1"/>
      <c r="B1" s="2"/>
      <c r="C1" s="3"/>
      <c r="D1" s="1"/>
      <c r="E1" s="4"/>
      <c r="F1" s="1"/>
      <c r="G1" s="5"/>
      <c r="H1" s="5"/>
      <c r="I1" s="5"/>
    </row>
    <row r="2" spans="1:9" x14ac:dyDescent="0.2">
      <c r="A2" s="1"/>
      <c r="B2" s="2"/>
      <c r="C2" s="3"/>
      <c r="D2" s="1"/>
      <c r="E2" s="4"/>
      <c r="F2" s="1"/>
      <c r="G2" s="5"/>
      <c r="H2" s="5"/>
      <c r="I2" s="5"/>
    </row>
    <row r="3" spans="1:9" ht="30" x14ac:dyDescent="0.2">
      <c r="A3" s="375" t="s">
        <v>135</v>
      </c>
      <c r="B3" s="375"/>
      <c r="C3" s="375"/>
      <c r="D3" s="375"/>
      <c r="E3" s="375"/>
      <c r="F3" s="375"/>
      <c r="G3" s="375"/>
      <c r="H3" s="375"/>
      <c r="I3" s="375"/>
    </row>
    <row r="4" spans="1:9" ht="96" customHeight="1" x14ac:dyDescent="0.45">
      <c r="A4" s="6"/>
      <c r="B4" s="6"/>
      <c r="C4" s="6"/>
      <c r="D4" s="6"/>
      <c r="E4" s="6"/>
      <c r="F4" s="6"/>
      <c r="G4" s="6"/>
      <c r="H4" s="6"/>
      <c r="I4" s="6"/>
    </row>
    <row r="5" spans="1:9" ht="64.5" customHeight="1" x14ac:dyDescent="0.2">
      <c r="A5" s="11" t="s">
        <v>143</v>
      </c>
      <c r="B5" s="376" t="str">
        <f>'5.2. Brzeziny - Dół Płn.'!C5</f>
        <v xml:space="preserve">
Droga gminna nr 107718 R Brzeziny – Dół Północny
km od 0+000 do km 4+927
</v>
      </c>
      <c r="C5" s="376"/>
      <c r="D5" s="376"/>
      <c r="E5" s="376"/>
      <c r="F5" s="376"/>
      <c r="G5" s="376"/>
      <c r="H5" s="376"/>
      <c r="I5" s="376"/>
    </row>
    <row r="6" spans="1:9" ht="20.25" customHeight="1" x14ac:dyDescent="0.2">
      <c r="A6" s="7"/>
      <c r="B6" s="7"/>
      <c r="C6" s="7"/>
      <c r="D6" s="7"/>
      <c r="E6" s="7"/>
      <c r="F6" s="7"/>
      <c r="G6" s="7"/>
      <c r="H6" s="7"/>
      <c r="I6" s="5"/>
    </row>
    <row r="7" spans="1:9" ht="60.75" customHeight="1" x14ac:dyDescent="0.2">
      <c r="A7" s="11" t="s">
        <v>144</v>
      </c>
      <c r="B7" s="372" t="s">
        <v>134</v>
      </c>
      <c r="C7" s="372"/>
      <c r="D7" s="372"/>
      <c r="E7" s="372"/>
      <c r="F7" s="372"/>
      <c r="G7" s="372"/>
      <c r="H7" s="372"/>
      <c r="I7" s="372"/>
    </row>
    <row r="8" spans="1:9" ht="21" customHeight="1" x14ac:dyDescent="0.2">
      <c r="A8" s="7"/>
      <c r="B8" s="7"/>
      <c r="C8" s="7"/>
      <c r="D8" s="7"/>
      <c r="E8" s="7"/>
      <c r="F8" s="7"/>
      <c r="G8" s="7"/>
      <c r="H8" s="7"/>
      <c r="I8" s="5"/>
    </row>
    <row r="9" spans="1:9" ht="47.25" customHeight="1" x14ac:dyDescent="0.2">
      <c r="A9" s="11" t="s">
        <v>4</v>
      </c>
      <c r="B9" s="372" t="s">
        <v>137</v>
      </c>
      <c r="C9" s="372"/>
      <c r="D9" s="372"/>
      <c r="E9" s="372"/>
      <c r="F9" s="372"/>
      <c r="G9" s="372"/>
      <c r="H9" s="372"/>
      <c r="I9" s="372"/>
    </row>
    <row r="10" spans="1:9" ht="20.25" customHeight="1" x14ac:dyDescent="0.2">
      <c r="A10" s="12"/>
      <c r="B10" s="7"/>
      <c r="C10" s="7"/>
      <c r="D10" s="7"/>
      <c r="E10" s="7"/>
      <c r="F10" s="7"/>
      <c r="G10" s="7"/>
      <c r="H10" s="7"/>
      <c r="I10" s="7"/>
    </row>
    <row r="11" spans="1:9" ht="38.25" customHeight="1" x14ac:dyDescent="0.2">
      <c r="A11" s="11" t="s">
        <v>114</v>
      </c>
      <c r="B11" s="372" t="s">
        <v>23</v>
      </c>
      <c r="C11" s="372"/>
      <c r="D11" s="372"/>
      <c r="E11" s="372"/>
      <c r="F11" s="372"/>
      <c r="G11" s="372"/>
      <c r="H11" s="372"/>
      <c r="I11" s="372"/>
    </row>
    <row r="12" spans="1:9" ht="20.25" x14ac:dyDescent="0.2">
      <c r="A12" s="8"/>
      <c r="B12" s="374"/>
      <c r="C12" s="374"/>
      <c r="D12" s="374"/>
      <c r="E12" s="374"/>
      <c r="F12" s="374"/>
      <c r="G12" s="374"/>
      <c r="H12" s="374"/>
      <c r="I12" s="374"/>
    </row>
    <row r="13" spans="1:9" ht="49.5" customHeight="1" x14ac:dyDescent="0.2">
      <c r="A13" s="11" t="s">
        <v>115</v>
      </c>
      <c r="B13" s="372" t="s">
        <v>113</v>
      </c>
      <c r="C13" s="372"/>
      <c r="D13" s="372"/>
      <c r="E13" s="372"/>
      <c r="F13" s="372"/>
      <c r="G13" s="372"/>
      <c r="H13" s="372"/>
      <c r="I13" s="372"/>
    </row>
    <row r="14" spans="1:9" x14ac:dyDescent="0.2">
      <c r="A14" s="1"/>
      <c r="B14" s="2"/>
      <c r="C14" s="3"/>
      <c r="D14" s="1"/>
      <c r="E14" s="4"/>
      <c r="F14" s="1"/>
      <c r="G14" s="5"/>
      <c r="H14" s="5"/>
      <c r="I14" s="5"/>
    </row>
    <row r="15" spans="1:9" ht="56.25" customHeight="1" x14ac:dyDescent="0.2">
      <c r="A15" s="11" t="s">
        <v>116</v>
      </c>
      <c r="B15" s="251" t="s">
        <v>145</v>
      </c>
      <c r="C15" s="251"/>
      <c r="D15" s="251"/>
      <c r="E15" s="251"/>
      <c r="F15" s="251"/>
      <c r="G15" s="251"/>
      <c r="H15" s="251"/>
      <c r="I15" s="251"/>
    </row>
    <row r="16" spans="1:9" ht="36" hidden="1" customHeight="1" x14ac:dyDescent="0.2">
      <c r="A16" s="373" t="s">
        <v>119</v>
      </c>
      <c r="B16" s="251" t="s">
        <v>120</v>
      </c>
      <c r="C16" s="251"/>
      <c r="D16" s="251"/>
      <c r="E16" s="251"/>
      <c r="F16" s="251"/>
      <c r="G16" s="251"/>
      <c r="H16" s="251"/>
      <c r="I16" s="251"/>
    </row>
    <row r="17" spans="1:9" ht="36.75" hidden="1" customHeight="1" x14ac:dyDescent="0.2">
      <c r="A17" s="373"/>
      <c r="B17" s="251" t="s">
        <v>19</v>
      </c>
      <c r="C17" s="251"/>
      <c r="D17" s="251"/>
      <c r="E17" s="251"/>
      <c r="F17" s="251"/>
      <c r="G17" s="251"/>
      <c r="H17" s="251"/>
      <c r="I17" s="251"/>
    </row>
    <row r="18" spans="1:9" ht="35.25" hidden="1" customHeight="1" x14ac:dyDescent="0.2">
      <c r="A18" s="373"/>
      <c r="B18" s="251" t="s">
        <v>20</v>
      </c>
      <c r="C18" s="251"/>
      <c r="D18" s="251"/>
      <c r="E18" s="251"/>
      <c r="F18" s="251"/>
      <c r="G18" s="251"/>
      <c r="H18" s="251"/>
      <c r="I18" s="251"/>
    </row>
    <row r="19" spans="1:9" ht="29.25" customHeight="1" x14ac:dyDescent="0.2">
      <c r="A19" s="369" t="s">
        <v>139</v>
      </c>
      <c r="B19" s="369"/>
      <c r="C19" s="369"/>
      <c r="D19" s="369"/>
      <c r="E19" s="370">
        <f>A66</f>
        <v>1475000</v>
      </c>
      <c r="F19" s="370"/>
      <c r="G19" s="370"/>
      <c r="H19" s="370"/>
      <c r="I19" s="370"/>
    </row>
    <row r="20" spans="1:9" ht="19.5" customHeight="1" x14ac:dyDescent="0.2">
      <c r="A20" s="89" t="s">
        <v>5</v>
      </c>
      <c r="B20" s="371" t="str">
        <f>E78</f>
        <v>jeden milion czterysta siedemdziesiąt pięć tysięcy zł 0/100</v>
      </c>
      <c r="C20" s="371"/>
      <c r="D20" s="371"/>
      <c r="E20" s="371"/>
      <c r="F20" s="371"/>
      <c r="G20" s="371"/>
      <c r="H20" s="371"/>
      <c r="I20" s="371"/>
    </row>
    <row r="21" spans="1:9" x14ac:dyDescent="0.2">
      <c r="A21" s="1"/>
      <c r="B21" s="2"/>
      <c r="C21" s="3"/>
      <c r="D21" s="1"/>
      <c r="E21" s="4"/>
      <c r="F21" s="1"/>
      <c r="G21" s="5"/>
      <c r="H21" s="5"/>
      <c r="I21" s="5"/>
    </row>
    <row r="22" spans="1:9" ht="18.75" x14ac:dyDescent="0.2">
      <c r="A22" s="369" t="s">
        <v>140</v>
      </c>
      <c r="B22" s="369"/>
      <c r="C22" s="369"/>
      <c r="D22" s="369">
        <f>[2]KI2!E26</f>
        <v>0</v>
      </c>
      <c r="E22" s="370">
        <f>'5.2. Brzeziny - Dół Płn.'!E28</f>
        <v>1814250</v>
      </c>
      <c r="F22" s="370"/>
      <c r="G22" s="370"/>
      <c r="H22" s="370"/>
      <c r="I22" s="370"/>
    </row>
    <row r="23" spans="1:9" x14ac:dyDescent="0.2">
      <c r="A23" s="1"/>
      <c r="B23" s="2"/>
      <c r="C23" s="3"/>
      <c r="D23" s="1"/>
      <c r="E23" s="4"/>
      <c r="F23" s="1"/>
      <c r="G23" s="5"/>
      <c r="H23" s="5"/>
      <c r="I23" s="5"/>
    </row>
    <row r="24" spans="1:9" ht="21" customHeight="1" x14ac:dyDescent="0.2">
      <c r="A24" s="89" t="s">
        <v>5</v>
      </c>
      <c r="B24" s="371" t="str">
        <f>'5.2. Brzeziny - Dół Płn.'!E82</f>
        <v>jeden milion osiemset czternaście tysięcy dwieście pięćdziesiąt zł 0/100</v>
      </c>
      <c r="C24" s="371"/>
      <c r="D24" s="371"/>
      <c r="E24" s="371"/>
      <c r="F24" s="371"/>
      <c r="G24" s="371"/>
      <c r="H24" s="371"/>
      <c r="I24" s="371"/>
    </row>
    <row r="25" spans="1:9" x14ac:dyDescent="0.2">
      <c r="A25" s="1"/>
      <c r="B25" s="2"/>
      <c r="C25" s="3"/>
      <c r="D25" s="1"/>
      <c r="E25" s="4"/>
      <c r="F25" s="1"/>
      <c r="G25" s="5"/>
      <c r="H25" s="5"/>
      <c r="I25" s="5"/>
    </row>
    <row r="33" spans="2:8" x14ac:dyDescent="0.2">
      <c r="B33" t="s">
        <v>117</v>
      </c>
      <c r="H33" t="s">
        <v>117</v>
      </c>
    </row>
    <row r="34" spans="2:8" x14ac:dyDescent="0.2">
      <c r="B34" s="245" t="s">
        <v>118</v>
      </c>
      <c r="C34" s="245"/>
      <c r="H34" s="101" t="s">
        <v>4</v>
      </c>
    </row>
    <row r="53" spans="1:11" x14ac:dyDescent="0.2">
      <c r="A53" s="77">
        <f>[3]KI3!I230</f>
        <v>292152.32000000001</v>
      </c>
      <c r="B53" s="78"/>
      <c r="C53" s="78"/>
      <c r="D53" s="78"/>
      <c r="E53" s="78"/>
      <c r="F53" s="78"/>
      <c r="G53" s="368" t="s">
        <v>108</v>
      </c>
      <c r="H53" s="368"/>
      <c r="I53" s="78"/>
      <c r="J53" s="78"/>
      <c r="K53" s="78"/>
    </row>
    <row r="54" spans="1:11" x14ac:dyDescent="0.2">
      <c r="A54" s="79"/>
      <c r="B54" s="78"/>
      <c r="C54" s="80" t="s">
        <v>109</v>
      </c>
      <c r="D54" s="81" t="s">
        <v>110</v>
      </c>
      <c r="E54" s="80" t="s">
        <v>109</v>
      </c>
      <c r="F54" s="81" t="s">
        <v>110</v>
      </c>
      <c r="G54" s="80" t="s">
        <v>109</v>
      </c>
      <c r="H54" s="81" t="s">
        <v>110</v>
      </c>
      <c r="I54" s="88" t="s">
        <v>111</v>
      </c>
      <c r="J54" s="82" t="s">
        <v>112</v>
      </c>
      <c r="K54" s="78"/>
    </row>
    <row r="55" spans="1:11" x14ac:dyDescent="0.2">
      <c r="A55" s="78">
        <f>INT(A$66/10000000)</f>
        <v>0</v>
      </c>
      <c r="B55" s="78"/>
      <c r="C55" s="83">
        <f>IF(AND(A55&gt;=0,A55&lt;=5),1,0)</f>
        <v>1</v>
      </c>
      <c r="D55" s="83">
        <f>IF(AND(A55&gt;=6,A55&lt;=9),1,0)</f>
        <v>0</v>
      </c>
      <c r="E55" s="84" t="str">
        <f>IF(A55=0,"",IF(A55=1,IF(A56=0,"dziesięć milionów ",""),IF(A55=2,"dwadzieścia ",IF(A55=3,"trzydzieści ",IF(A55=4,"czterdzieści ",IF(A55=5,"pięćdziesiąt ",""))))))</f>
        <v/>
      </c>
      <c r="F55" s="84" t="str">
        <f>IF(A55=6,"sześćdziesiąt ",IF(A55=7,"siedemdziesiąt ",IF(A55=8,"osiemdziesiąt ",IF(A55=9,"dziewięćdziesiąt ",""))))</f>
        <v/>
      </c>
      <c r="G55" s="78"/>
      <c r="H55" s="78"/>
      <c r="I55" s="78"/>
      <c r="J55" s="84" t="str">
        <f>IF(C55,E55&amp;I55,IF(D55,F55&amp;I55,""))</f>
        <v/>
      </c>
      <c r="K55" s="78"/>
    </row>
    <row r="56" spans="1:11" x14ac:dyDescent="0.2">
      <c r="A56" s="79">
        <f>INT(A$66/1000000)-A55*10</f>
        <v>1</v>
      </c>
      <c r="B56" s="78"/>
      <c r="C56" s="83">
        <f t="shared" ref="C56:C62" si="0">IF(AND(A56&gt;=0,A56&lt;=5),1,0)</f>
        <v>1</v>
      </c>
      <c r="D56" s="83">
        <f t="shared" ref="D56:D62" si="1">IF(AND(A56&gt;=6,A56&lt;=9),1,0)</f>
        <v>0</v>
      </c>
      <c r="E56" s="84" t="str">
        <f>IF(A56=0,IF(AND(A55&lt;&gt;0,A55&lt;&gt;1),"milionów ",""),IF(A56=1,IF(A55=0,"jeden milion ","jeden milionów "),IF(A56=2,"dwa miliony ",IF(A56=3,"trzy miliony ",IF(A56=4,"cztery miliony ",IF(A56=5,"pięć milionów ",""))))))</f>
        <v xml:space="preserve">jeden milion </v>
      </c>
      <c r="F56" s="84" t="str">
        <f>IF(A56=6,"sześć milionów ",IF(A56=7,"siedem milionów ",IF(A56=8,"osiem milionów ",IF(A56=9,"dziewięć milionów ",""))))</f>
        <v/>
      </c>
      <c r="G56" s="84" t="str">
        <f>IF(A56=0,"",IF(A56=1,"jedenaście milionów ",IF(A56=2,"dwanaście milionów ",IF(A56=3,"trzynaście milionów ",IF(A56=4,"czternaście milionów ",IF(A56=5,"piętnaście milionów ",""))))))</f>
        <v xml:space="preserve">jedenaście milionów </v>
      </c>
      <c r="H56" s="84" t="str">
        <f>IF(A56=6,"szesnaście milionów ",IF(A56=7,"siedemnaście milionów ",IF(A56=8,"osiemnaście milionów ",IF(A56=9,"dziewiętnaście milionów ",""))))</f>
        <v/>
      </c>
      <c r="I56" s="78"/>
      <c r="J56" s="84" t="str">
        <f>IF(A55=1,IF(C56,G56,IF(D56,H56)),IF(C56,E56,IF(D56,F56,"")))</f>
        <v xml:space="preserve">jeden milion </v>
      </c>
      <c r="K56" s="78"/>
    </row>
    <row r="57" spans="1:11" x14ac:dyDescent="0.2">
      <c r="A57" s="78">
        <f>INT(A$66/100000)-10*A56-100*A55</f>
        <v>4</v>
      </c>
      <c r="B57" s="78"/>
      <c r="C57" s="83">
        <f t="shared" si="0"/>
        <v>1</v>
      </c>
      <c r="D57" s="83">
        <f t="shared" si="1"/>
        <v>0</v>
      </c>
      <c r="E57" s="84" t="str">
        <f>IF(A57=0,"",IF(A57=1,"sto ",IF(A57=2,"dwieście ",IF(A57=3,"trzysta ",IF(A57=4,"czterysta ",IF(A57=5,"pięćset ",""))))))</f>
        <v xml:space="preserve">czterysta </v>
      </c>
      <c r="F57" s="84" t="str">
        <f>IF(A57=6,"sześćset ",IF(A57=7,"siedemset ",IF(A57=8,"osiemset ",IF(A57=9,"dziewięćset ",""))))</f>
        <v/>
      </c>
      <c r="G57" s="78"/>
      <c r="H57" s="78"/>
      <c r="I57" s="78"/>
      <c r="J57" s="84" t="str">
        <f>IF(C57,E57&amp;I57,IF(D57,F57&amp;I57,""))</f>
        <v xml:space="preserve">czterysta </v>
      </c>
      <c r="K57" s="78"/>
    </row>
    <row r="58" spans="1:11" x14ac:dyDescent="0.2">
      <c r="A58" s="78">
        <f>INT(A$66/10000)-10*A57-100*A56-1000*A55</f>
        <v>7</v>
      </c>
      <c r="B58" s="78"/>
      <c r="C58" s="83">
        <f t="shared" si="0"/>
        <v>0</v>
      </c>
      <c r="D58" s="83">
        <f t="shared" si="1"/>
        <v>1</v>
      </c>
      <c r="E58" s="84" t="str">
        <f>IF(A58=0,"",IF(A58=1,IF(A59=0,"dziesięć tysięcy ",""),IF(A58=2,"dwadzieścia ",IF(A58=3,"trzydzieści ",IF(A58=4,"czterdzieści ",IF(A58=5,"pięćdziesiąt ",""))))))</f>
        <v/>
      </c>
      <c r="F58" s="84" t="str">
        <f>IF(A58=6,"sześćdziesiąt ",IF(A58=7,"siedemdziesiąt ",IF(A58=8,"osiemdziesiąt ",IF(A58=9,"dziewięćdziesiąt ",""))))</f>
        <v xml:space="preserve">siedemdziesiąt </v>
      </c>
      <c r="G58" s="78"/>
      <c r="H58" s="78"/>
      <c r="I58" s="78"/>
      <c r="J58" s="84" t="str">
        <f>IF(C58,E58&amp;I58,IF(D58,F58&amp;I58,""))</f>
        <v xml:space="preserve">siedemdziesiąt </v>
      </c>
      <c r="K58" s="78"/>
    </row>
    <row r="59" spans="1:11" x14ac:dyDescent="0.2">
      <c r="A59" s="79">
        <f>INT(A$66/1000)-10*A58-100*A57-1000*A56-10000*A55</f>
        <v>5</v>
      </c>
      <c r="B59" s="78"/>
      <c r="C59" s="83">
        <f t="shared" si="0"/>
        <v>1</v>
      </c>
      <c r="D59" s="83">
        <f t="shared" si="1"/>
        <v>0</v>
      </c>
      <c r="E59" s="84" t="str">
        <f>IF(A59=0,IF(OR(AND(A58&lt;&gt;0,A58&lt;&gt;1),AND(A57&lt;&gt;0,A58=0)),"tysięcy ",""),IF(A59=1,IF(AND(A57=0,A58=0),"jeden tysiąc ","jeden tysięcy "),IF(A59=2,"dwa tysiące ",IF(A59=3,"trzy tysiące ",IF(A59=4,"cztery tysiące ",IF(A59=5,"pięć tysięcy ",""))))))</f>
        <v xml:space="preserve">pięć tysięcy </v>
      </c>
      <c r="F59" s="84" t="str">
        <f>IF(A59=6,"sześć tysięcy ",IF(A59=7,"siedem tysięcy ",IF(A59=8,"osiem tysięcy ",IF(A59=9,"dziewięć tysięcy ",""))))</f>
        <v/>
      </c>
      <c r="G59" s="84" t="str">
        <f>IF(A59=0,"",IF(A59=1,"jedenaście tysięcy ",IF(A59=2,"dwanaście tysięcy ",IF(A59=3,"trzynaście tysięcy ",IF(A59=4,"czternaście tysięcy ",IF(A59=5,"piętnaście tysięcy ",""))))))</f>
        <v xml:space="preserve">piętnaście tysięcy </v>
      </c>
      <c r="H59" s="84" t="str">
        <f>IF(A59=6,"szesnaście tysięcy ",IF(A59=7,"siedemnaście tysięcy ",IF(A59=8,"osiemnaście tysięcy ",IF(A59=9,"dziewiętnaście tysięcy ",""))))</f>
        <v/>
      </c>
      <c r="I59" s="78"/>
      <c r="J59" s="84" t="str">
        <f>IF(A58=1,IF(C59,G59,IF(D59,H59)),IF(C59,E59,IF(D59,F59,"")))</f>
        <v xml:space="preserve">pięć tysięcy </v>
      </c>
      <c r="K59" s="78"/>
    </row>
    <row r="60" spans="1:11" x14ac:dyDescent="0.2">
      <c r="A60" s="78">
        <f>INT(A$66/100)-10*A59-100*A58-1000*A57-10000*A56-100000*A55</f>
        <v>0</v>
      </c>
      <c r="B60" s="78"/>
      <c r="C60" s="83">
        <f t="shared" si="0"/>
        <v>1</v>
      </c>
      <c r="D60" s="83">
        <f t="shared" si="1"/>
        <v>0</v>
      </c>
      <c r="E60" s="84" t="str">
        <f>IF(A60=0,"",IF(A60=1,"sto ",IF(A60=2,"dwieście ",IF(A60=3,"trzysta ",IF(A60=4,"czterysta ",IF(A60=5,"pięćset ",""))))))</f>
        <v/>
      </c>
      <c r="F60" s="84" t="str">
        <f>IF(A60=6,"sześćset ",IF(A60=7,"siedemset ",IF(A60=8,"osiemset ",IF(A60=9,"dziewięćset ",""))))</f>
        <v/>
      </c>
      <c r="G60" s="78"/>
      <c r="H60" s="78"/>
      <c r="I60" s="78"/>
      <c r="J60" s="84" t="str">
        <f>IF(C60,E60&amp;I60,IF(D60,F60&amp;I60,""))</f>
        <v/>
      </c>
      <c r="K60" s="78"/>
    </row>
    <row r="61" spans="1:11" x14ac:dyDescent="0.2">
      <c r="A61" s="78">
        <f>INT(A$66/10)-10*A60-100*A59-1000*A58-10000*A57-100000*A56-1000000*A55</f>
        <v>0</v>
      </c>
      <c r="B61" s="78"/>
      <c r="C61" s="83">
        <f t="shared" si="0"/>
        <v>1</v>
      </c>
      <c r="D61" s="83">
        <f t="shared" si="1"/>
        <v>0</v>
      </c>
      <c r="E61" s="84" t="str">
        <f>IF(A61=0,"",IF(A61=1,IF(A62=0,"dziesięć ",""),IF(A61=2,"dwadzieścia ",IF(A61=3,"trzydzieści ",IF(A61=4,"czterdzieści ",IF(A61=5,"pięćdziesiąt ",""))))))</f>
        <v/>
      </c>
      <c r="F61" s="84" t="str">
        <f>IF(A61=6,"sześćdziesiąt ",IF(A61=7,"siedemdziesiąt ",IF(A61=8,"osiemdziesiąt ",IF(A61=9,"dziewięćdziesiąt ",""))))</f>
        <v/>
      </c>
      <c r="G61" s="78"/>
      <c r="H61" s="78"/>
      <c r="I61" s="78"/>
      <c r="J61" s="84" t="str">
        <f>IF(C61,E61&amp;I61,IF(D61,F61&amp;I61,""))</f>
        <v/>
      </c>
      <c r="K61" s="78"/>
    </row>
    <row r="62" spans="1:11" x14ac:dyDescent="0.2">
      <c r="A62" s="79">
        <f>INT(A$66)-10*A61-100*A60-1000*A59-10000*A58-100000*A57-1000000*A56-10000000*A55</f>
        <v>0</v>
      </c>
      <c r="B62" s="78"/>
      <c r="C62" s="83">
        <f t="shared" si="0"/>
        <v>1</v>
      </c>
      <c r="D62" s="83">
        <f t="shared" si="1"/>
        <v>0</v>
      </c>
      <c r="E62" s="84" t="str">
        <f>IF(A62=0,"",IF(A62=1,"jeden ",IF(A62=2,"dwa ",IF(A62=3,"trzy ",IF(A62=4,"cztery ",IF(A62=5,"pięć ",""))))))</f>
        <v/>
      </c>
      <c r="F62" s="84" t="str">
        <f>IF(A62=6,"sześć ",IF(A62=7,"siedem ",IF(A62=8,"osiem ",IF(A62=9,"dziewięć ",""))))</f>
        <v/>
      </c>
      <c r="G62" s="84" t="str">
        <f>IF(A62=0,"",IF(A62=1,"jedenaście ",IF(A62=2,"dwanaście ",IF(A62=3,"trzynaście ",IF(A62=4,"czternaście ",IF(A62=5,"piętnaście ",""))))))</f>
        <v/>
      </c>
      <c r="H62" s="84" t="str">
        <f>IF(A62=6,"szesnaście ",IF(A62=7,"siedemnaście ",IF(A62=8,"osiemnaście ",IF(A62=9,"dziewiętnaście ",""))))</f>
        <v/>
      </c>
      <c r="I62" s="78"/>
      <c r="J62" s="84" t="str">
        <f>IF(A61=1,IF(C62,G62,IF(D62,H62)),IF(C62,E62,IF(D62,F62,"")))</f>
        <v/>
      </c>
      <c r="K62" s="78"/>
    </row>
    <row r="63" spans="1:11" x14ac:dyDescent="0.2">
      <c r="A63" s="85">
        <f>ROUND((A53-TRUNC(A53,0))*100,0)</f>
        <v>32</v>
      </c>
      <c r="B63" s="78"/>
      <c r="C63" s="78"/>
      <c r="D63" s="78"/>
      <c r="E63" s="78"/>
      <c r="F63" s="78"/>
      <c r="G63" s="78"/>
      <c r="H63" s="78"/>
      <c r="I63" s="78"/>
      <c r="J63" s="84" t="str">
        <f>"zł "&amp;A63&amp;"/100"</f>
        <v>zł 32/100</v>
      </c>
      <c r="K63" s="78"/>
    </row>
    <row r="64" spans="1:11" x14ac:dyDescent="0.2">
      <c r="A64" s="78"/>
      <c r="B64" s="78"/>
      <c r="C64" s="78"/>
      <c r="D64" s="78"/>
      <c r="E64" s="82" t="s">
        <v>5</v>
      </c>
      <c r="F64" s="78"/>
      <c r="G64" s="78"/>
      <c r="H64" s="78"/>
      <c r="I64" s="78"/>
      <c r="J64" s="78"/>
      <c r="K64" s="78"/>
    </row>
    <row r="65" spans="1:11" x14ac:dyDescent="0.2">
      <c r="A65" s="77">
        <f>TRUNC(A53,1)</f>
        <v>292152.3</v>
      </c>
      <c r="B65" s="78"/>
      <c r="C65" s="78"/>
      <c r="D65" s="78"/>
      <c r="E65" s="84" t="str">
        <f>J55&amp;J56&amp;J57&amp;J58&amp;J59&amp;J60&amp;J61&amp;J62&amp;J63</f>
        <v>jeden milion czterysta siedemdziesiąt pięć tysięcy zł 32/100</v>
      </c>
      <c r="F65" s="84"/>
      <c r="G65" s="84"/>
      <c r="H65" s="84"/>
      <c r="I65" s="84"/>
      <c r="J65" s="84"/>
      <c r="K65" s="78"/>
    </row>
    <row r="66" spans="1:11" x14ac:dyDescent="0.2">
      <c r="A66" s="77">
        <f>'5.2. Brzeziny - Dół Płn.'!E26</f>
        <v>1475000</v>
      </c>
      <c r="B66" s="78"/>
      <c r="C66" s="78"/>
      <c r="D66" s="78"/>
      <c r="E66" s="78"/>
      <c r="F66" s="78"/>
      <c r="G66" s="368" t="s">
        <v>108</v>
      </c>
      <c r="H66" s="368"/>
      <c r="I66" s="78"/>
      <c r="J66" s="78"/>
      <c r="K66" s="78"/>
    </row>
    <row r="67" spans="1:11" x14ac:dyDescent="0.2">
      <c r="A67" s="79"/>
      <c r="B67" s="78"/>
      <c r="C67" s="80" t="s">
        <v>109</v>
      </c>
      <c r="D67" s="81" t="s">
        <v>110</v>
      </c>
      <c r="E67" s="80" t="s">
        <v>109</v>
      </c>
      <c r="F67" s="81" t="s">
        <v>110</v>
      </c>
      <c r="G67" s="80" t="s">
        <v>109</v>
      </c>
      <c r="H67" s="81" t="s">
        <v>110</v>
      </c>
      <c r="I67" s="88" t="s">
        <v>111</v>
      </c>
      <c r="J67" s="82" t="s">
        <v>112</v>
      </c>
      <c r="K67" s="78"/>
    </row>
    <row r="68" spans="1:11" x14ac:dyDescent="0.2">
      <c r="A68" s="78">
        <f>INT(A$66/10000000)</f>
        <v>0</v>
      </c>
      <c r="B68" s="78"/>
      <c r="C68" s="83">
        <f>IF(AND(A68&gt;=0,A68&lt;=5),1,0)</f>
        <v>1</v>
      </c>
      <c r="D68" s="83">
        <f>IF(AND(A68&gt;=6,A68&lt;=9),1,0)</f>
        <v>0</v>
      </c>
      <c r="E68" s="84" t="str">
        <f>IF(A68=0,"",IF(A68=1,IF(A69=0,"dziesięć milionów ",""),IF(A68=2,"dwadzieścia ",IF(A68=3,"trzydzieści ",IF(A68=4,"czterdzieści ",IF(A68=5,"pięćdziesiąt ",""))))))</f>
        <v/>
      </c>
      <c r="F68" s="84" t="str">
        <f>IF(A68=6,"sześćdziesiąt ",IF(A68=7,"siedemdziesiąt ",IF(A68=8,"osiemdziesiąt ",IF(A68=9,"dziewięćdziesiąt ",""))))</f>
        <v/>
      </c>
      <c r="G68" s="78"/>
      <c r="H68" s="78"/>
      <c r="I68" s="78"/>
      <c r="J68" s="84" t="str">
        <f>IF(C68,E68&amp;I68,IF(D68,F68&amp;I68,""))</f>
        <v/>
      </c>
      <c r="K68" s="78"/>
    </row>
    <row r="69" spans="1:11" x14ac:dyDescent="0.2">
      <c r="A69" s="79">
        <f>INT(A$66/1000000)-A68*10</f>
        <v>1</v>
      </c>
      <c r="B69" s="78"/>
      <c r="C69" s="83">
        <f t="shared" ref="C69:C75" si="2">IF(AND(A69&gt;=0,A69&lt;=5),1,0)</f>
        <v>1</v>
      </c>
      <c r="D69" s="83">
        <f t="shared" ref="D69:D75" si="3">IF(AND(A69&gt;=6,A69&lt;=9),1,0)</f>
        <v>0</v>
      </c>
      <c r="E69" s="84" t="str">
        <f>IF(A69=0,IF(AND(A68&lt;&gt;0,A68&lt;&gt;1),"milionów ",""),IF(A69=1,IF(A68=0,"jeden milion ","jeden milionów "),IF(A69=2,"dwa miliony ",IF(A69=3,"trzy miliony ",IF(A69=4,"cztery miliony ",IF(A69=5,"pięć milionów ",""))))))</f>
        <v xml:space="preserve">jeden milion </v>
      </c>
      <c r="F69" s="84" t="str">
        <f>IF(A69=6,"sześć milionów ",IF(A69=7,"siedem milionów ",IF(A69=8,"osiem milionów ",IF(A69=9,"dziewięć milionów ",""))))</f>
        <v/>
      </c>
      <c r="G69" s="84" t="str">
        <f>IF(A69=0,"",IF(A69=1,"jedenaście milionów ",IF(A69=2,"dwanaście milionów ",IF(A69=3,"trzynaście milionów ",IF(A69=4,"czternaście milionów ",IF(A69=5,"piętnaście milionów ",""))))))</f>
        <v xml:space="preserve">jedenaście milionów </v>
      </c>
      <c r="H69" s="84" t="str">
        <f>IF(A69=6,"szesnaście milionów ",IF(A69=7,"siedemnaście milionów ",IF(A69=8,"osiemnaście milionów ",IF(A69=9,"dziewiętnaście milionów ",""))))</f>
        <v/>
      </c>
      <c r="I69" s="78"/>
      <c r="J69" s="84" t="str">
        <f>IF(A68=1,IF(C69,G69,IF(D69,H69)),IF(C69,E69,IF(D69,F69,"")))</f>
        <v xml:space="preserve">jeden milion </v>
      </c>
      <c r="K69" s="78"/>
    </row>
    <row r="70" spans="1:11" x14ac:dyDescent="0.2">
      <c r="A70" s="78">
        <f>INT(A$66/100000)-10*A69-100*A68</f>
        <v>4</v>
      </c>
      <c r="B70" s="78"/>
      <c r="C70" s="83">
        <f t="shared" si="2"/>
        <v>1</v>
      </c>
      <c r="D70" s="83">
        <f t="shared" si="3"/>
        <v>0</v>
      </c>
      <c r="E70" s="84" t="str">
        <f>IF(A70=0,"",IF(A70=1,"sto ",IF(A70=2,"dwieście ",IF(A70=3,"trzysta ",IF(A70=4,"czterysta ",IF(A70=5,"pięćset ",""))))))</f>
        <v xml:space="preserve">czterysta </v>
      </c>
      <c r="F70" s="84" t="str">
        <f>IF(A70=6,"sześćset ",IF(A70=7,"siedemset ",IF(A70=8,"osiemset ",IF(A70=9,"dziewięćset ",""))))</f>
        <v/>
      </c>
      <c r="G70" s="78"/>
      <c r="H70" s="78"/>
      <c r="I70" s="78"/>
      <c r="J70" s="84" t="str">
        <f>IF(C70,E70&amp;I70,IF(D70,F70&amp;I70,""))</f>
        <v xml:space="preserve">czterysta </v>
      </c>
      <c r="K70" s="78"/>
    </row>
    <row r="71" spans="1:11" x14ac:dyDescent="0.2">
      <c r="A71" s="78">
        <f>INT(A$66/10000)-10*A70-100*A69-1000*A68</f>
        <v>7</v>
      </c>
      <c r="B71" s="78"/>
      <c r="C71" s="83">
        <f t="shared" si="2"/>
        <v>0</v>
      </c>
      <c r="D71" s="83">
        <f t="shared" si="3"/>
        <v>1</v>
      </c>
      <c r="E71" s="84" t="str">
        <f>IF(A71=0,"",IF(A71=1,IF(A72=0,"dziesięć tysięcy ",""),IF(A71=2,"dwadzieścia ",IF(A71=3,"trzydzieści ",IF(A71=4,"czterdzieści ",IF(A71=5,"pięćdziesiąt ",""))))))</f>
        <v/>
      </c>
      <c r="F71" s="84" t="str">
        <f>IF(A71=6,"sześćdziesiąt ",IF(A71=7,"siedemdziesiąt ",IF(A71=8,"osiemdziesiąt ",IF(A71=9,"dziewięćdziesiąt ",""))))</f>
        <v xml:space="preserve">siedemdziesiąt </v>
      </c>
      <c r="G71" s="78"/>
      <c r="H71" s="78"/>
      <c r="I71" s="78"/>
      <c r="J71" s="84" t="str">
        <f>IF(C71,E71&amp;I71,IF(D71,F71&amp;I71,""))</f>
        <v xml:space="preserve">siedemdziesiąt </v>
      </c>
      <c r="K71" s="78"/>
    </row>
    <row r="72" spans="1:11" x14ac:dyDescent="0.2">
      <c r="A72" s="79">
        <f>INT(A$66/1000)-10*A71-100*A70-1000*A69-10000*A68</f>
        <v>5</v>
      </c>
      <c r="B72" s="78"/>
      <c r="C72" s="83">
        <f t="shared" si="2"/>
        <v>1</v>
      </c>
      <c r="D72" s="83">
        <f t="shared" si="3"/>
        <v>0</v>
      </c>
      <c r="E72" s="84" t="str">
        <f>IF(A72=0,IF(OR(AND(A71&lt;&gt;0,A71&lt;&gt;1),AND(A70&lt;&gt;0,A71=0)),"tysięcy ",""),IF(A72=1,IF(AND(A70=0,A71=0),"jeden tysiąc ","jeden tysięcy "),IF(A72=2,"dwa tysiące ",IF(A72=3,"trzy tysiące ",IF(A72=4,"cztery tysiące ",IF(A72=5,"pięć tysięcy ",""))))))</f>
        <v xml:space="preserve">pięć tysięcy </v>
      </c>
      <c r="F72" s="84" t="str">
        <f>IF(A72=6,"sześć tysięcy ",IF(A72=7,"siedem tysięcy ",IF(A72=8,"osiem tysięcy ",IF(A72=9,"dziewięć tysięcy ",""))))</f>
        <v/>
      </c>
      <c r="G72" s="84" t="str">
        <f>IF(A72=0,"",IF(A72=1,"jedenaście tysięcy ",IF(A72=2,"dwanaście tysięcy ",IF(A72=3,"trzynaście tysięcy ",IF(A72=4,"czternaście tysięcy ",IF(A72=5,"piętnaście tysięcy ",""))))))</f>
        <v xml:space="preserve">piętnaście tysięcy </v>
      </c>
      <c r="H72" s="84" t="str">
        <f>IF(A72=6,"szesnaście tysięcy ",IF(A72=7,"siedemnaście tysięcy ",IF(A72=8,"osiemnaście tysięcy ",IF(A72=9,"dziewiętnaście tysięcy ",""))))</f>
        <v/>
      </c>
      <c r="I72" s="78"/>
      <c r="J72" s="84" t="str">
        <f>IF(A71=1,IF(C72,G72,IF(D72,H72)),IF(C72,E72,IF(D72,F72,"")))</f>
        <v xml:space="preserve">pięć tysięcy </v>
      </c>
      <c r="K72" s="78"/>
    </row>
    <row r="73" spans="1:11" x14ac:dyDescent="0.2">
      <c r="A73" s="78">
        <f>INT(A$66/100)-10*A72-100*A71-1000*A70-10000*A69-100000*A68</f>
        <v>0</v>
      </c>
      <c r="B73" s="78"/>
      <c r="C73" s="83">
        <f t="shared" si="2"/>
        <v>1</v>
      </c>
      <c r="D73" s="83">
        <f t="shared" si="3"/>
        <v>0</v>
      </c>
      <c r="E73" s="84" t="str">
        <f>IF(A73=0,"",IF(A73=1,"sto ",IF(A73=2,"dwieście ",IF(A73=3,"trzysta ",IF(A73=4,"czterysta ",IF(A73=5,"pięćset ",""))))))</f>
        <v/>
      </c>
      <c r="F73" s="84" t="str">
        <f>IF(A73=6,"sześćset ",IF(A73=7,"siedemset ",IF(A73=8,"osiemset ",IF(A73=9,"dziewięćset ",""))))</f>
        <v/>
      </c>
      <c r="G73" s="78"/>
      <c r="H73" s="78"/>
      <c r="I73" s="78"/>
      <c r="J73" s="84" t="str">
        <f>IF(C73,E73&amp;I73,IF(D73,F73&amp;I73,""))</f>
        <v/>
      </c>
      <c r="K73" s="78"/>
    </row>
    <row r="74" spans="1:11" x14ac:dyDescent="0.2">
      <c r="A74" s="78">
        <f>INT(A$66/10)-10*A73-100*A72-1000*A71-10000*A70-100000*A69-1000000*A68</f>
        <v>0</v>
      </c>
      <c r="B74" s="78"/>
      <c r="C74" s="83">
        <f t="shared" si="2"/>
        <v>1</v>
      </c>
      <c r="D74" s="83">
        <f t="shared" si="3"/>
        <v>0</v>
      </c>
      <c r="E74" s="84" t="str">
        <f>IF(A74=0,"",IF(A74=1,IF(A75=0,"dziesięć ",""),IF(A74=2,"dwadzieścia ",IF(A74=3,"trzydzieści ",IF(A74=4,"czterdzieści ",IF(A74=5,"pięćdziesiąt ",""))))))</f>
        <v/>
      </c>
      <c r="F74" s="84" t="str">
        <f>IF(A74=6,"sześćdziesiąt ",IF(A74=7,"siedemdziesiąt ",IF(A74=8,"osiemdziesiąt ",IF(A74=9,"dziewięćdziesiąt ",""))))</f>
        <v/>
      </c>
      <c r="G74" s="78"/>
      <c r="H74" s="78"/>
      <c r="I74" s="78"/>
      <c r="J74" s="84" t="str">
        <f>IF(C74,E74&amp;I74,IF(D74,F74&amp;I74,""))</f>
        <v/>
      </c>
      <c r="K74" s="78"/>
    </row>
    <row r="75" spans="1:11" x14ac:dyDescent="0.2">
      <c r="A75" s="79">
        <f>INT(A$66)-10*A74-100*A73-1000*A72-10000*A71-100000*A70-1000000*A69-10000000*A68</f>
        <v>0</v>
      </c>
      <c r="B75" s="78"/>
      <c r="C75" s="83">
        <f t="shared" si="2"/>
        <v>1</v>
      </c>
      <c r="D75" s="83">
        <f t="shared" si="3"/>
        <v>0</v>
      </c>
      <c r="E75" s="84" t="str">
        <f>IF(A75=0,"",IF(A75=1,"jeden ",IF(A75=2,"dwa ",IF(A75=3,"trzy ",IF(A75=4,"cztery ",IF(A75=5,"pięć ",""))))))</f>
        <v/>
      </c>
      <c r="F75" s="84" t="str">
        <f>IF(A75=6,"sześć ",IF(A75=7,"siedem ",IF(A75=8,"osiem ",IF(A75=9,"dziewięć ",""))))</f>
        <v/>
      </c>
      <c r="G75" s="84" t="str">
        <f>IF(A75=0,"",IF(A75=1,"jedenaście ",IF(A75=2,"dwanaście ",IF(A75=3,"trzynaście ",IF(A75=4,"czternaście ",IF(A75=5,"piętnaście ",""))))))</f>
        <v/>
      </c>
      <c r="H75" s="84" t="str">
        <f>IF(A75=6,"szesnaście ",IF(A75=7,"siedemnaście ",IF(A75=8,"osiemnaście ",IF(A75=9,"dziewiętnaście ",""))))</f>
        <v/>
      </c>
      <c r="I75" s="78"/>
      <c r="J75" s="84" t="str">
        <f>IF(A74=1,IF(C75,G75,IF(D75,H75)),IF(C75,E75,IF(D75,F75,"")))</f>
        <v/>
      </c>
      <c r="K75" s="78"/>
    </row>
    <row r="76" spans="1:11" x14ac:dyDescent="0.2">
      <c r="A76" s="85">
        <f>ROUND((A66-TRUNC(A66,0))*100,0)</f>
        <v>0</v>
      </c>
      <c r="B76" s="78"/>
      <c r="C76" s="78"/>
      <c r="D76" s="78"/>
      <c r="E76" s="78"/>
      <c r="F76" s="78"/>
      <c r="G76" s="78"/>
      <c r="H76" s="78"/>
      <c r="I76" s="78"/>
      <c r="J76" s="84" t="str">
        <f>"zł "&amp;A76&amp;"/100"</f>
        <v>zł 0/100</v>
      </c>
      <c r="K76" s="78"/>
    </row>
    <row r="77" spans="1:11" x14ac:dyDescent="0.2">
      <c r="A77" s="78"/>
      <c r="B77" s="78"/>
      <c r="C77" s="78"/>
      <c r="D77" s="78"/>
      <c r="E77" s="82" t="s">
        <v>5</v>
      </c>
      <c r="F77" s="78"/>
      <c r="G77" s="78"/>
      <c r="H77" s="78"/>
      <c r="I77" s="78"/>
      <c r="J77" s="78"/>
      <c r="K77" s="78"/>
    </row>
    <row r="78" spans="1:11" x14ac:dyDescent="0.2">
      <c r="A78" s="77">
        <f>TRUNC(A66,1)</f>
        <v>1475000</v>
      </c>
      <c r="B78" s="78"/>
      <c r="C78" s="78"/>
      <c r="D78" s="78"/>
      <c r="E78" s="84" t="str">
        <f>J68&amp;J69&amp;J70&amp;J71&amp;J72&amp;J73&amp;J74&amp;J75&amp;J76</f>
        <v>jeden milion czterysta siedemdziesiąt pięć tysięcy zł 0/100</v>
      </c>
      <c r="F78" s="84"/>
      <c r="G78" s="84"/>
      <c r="H78" s="84"/>
      <c r="I78" s="84"/>
      <c r="J78" s="84"/>
      <c r="K78" s="78"/>
    </row>
  </sheetData>
  <mergeCells count="21">
    <mergeCell ref="B12:I12"/>
    <mergeCell ref="A3:I3"/>
    <mergeCell ref="B5:I5"/>
    <mergeCell ref="B7:I7"/>
    <mergeCell ref="B9:I9"/>
    <mergeCell ref="B11:I11"/>
    <mergeCell ref="B13:I13"/>
    <mergeCell ref="B15:I15"/>
    <mergeCell ref="A16:A18"/>
    <mergeCell ref="B16:I16"/>
    <mergeCell ref="B17:I17"/>
    <mergeCell ref="B18:I18"/>
    <mergeCell ref="B34:C34"/>
    <mergeCell ref="G53:H53"/>
    <mergeCell ref="G66:H66"/>
    <mergeCell ref="A19:D19"/>
    <mergeCell ref="E19:I19"/>
    <mergeCell ref="B20:I20"/>
    <mergeCell ref="A22:D22"/>
    <mergeCell ref="E22:I22"/>
    <mergeCell ref="B24:I24"/>
  </mergeCells>
  <pageMargins left="0.7" right="0.7" top="0.75" bottom="0.75" header="0.3" footer="0.3"/>
  <pageSetup paperSize="9" scale="69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2:K83"/>
  <sheetViews>
    <sheetView workbookViewId="0"/>
    <sheetView workbookViewId="1"/>
  </sheetViews>
  <sheetFormatPr defaultRowHeight="12.75" x14ac:dyDescent="0.2"/>
  <cols>
    <col min="1" max="1" width="6.7109375" customWidth="1"/>
    <col min="2" max="2" width="14" customWidth="1"/>
    <col min="4" max="4" width="106.5703125" customWidth="1"/>
    <col min="5" max="5" width="29.140625" customWidth="1"/>
    <col min="7" max="7" width="30.42578125" customWidth="1"/>
  </cols>
  <sheetData>
    <row r="2" spans="1:8" ht="13.5" thickBot="1" x14ac:dyDescent="0.25"/>
    <row r="3" spans="1:8" ht="27" customHeight="1" thickBot="1" x14ac:dyDescent="0.25">
      <c r="A3" s="400" t="s">
        <v>121</v>
      </c>
      <c r="B3" s="401"/>
      <c r="C3" s="401"/>
      <c r="D3" s="401"/>
      <c r="E3" s="402"/>
    </row>
    <row r="4" spans="1:8" ht="18.75" x14ac:dyDescent="0.2">
      <c r="B4" s="333"/>
      <c r="C4" s="333"/>
      <c r="D4" s="333"/>
      <c r="E4" s="333"/>
    </row>
    <row r="5" spans="1:8" ht="93.75" customHeight="1" thickBot="1" x14ac:dyDescent="0.25">
      <c r="A5" s="403" t="s">
        <v>142</v>
      </c>
      <c r="B5" s="403"/>
      <c r="C5" s="404" t="s">
        <v>146</v>
      </c>
      <c r="D5" s="404"/>
      <c r="E5" s="404"/>
    </row>
    <row r="6" spans="1:8" ht="37.5" customHeight="1" x14ac:dyDescent="0.2">
      <c r="A6" s="13" t="s">
        <v>18</v>
      </c>
      <c r="B6" s="14" t="s">
        <v>6</v>
      </c>
      <c r="C6" s="405" t="s">
        <v>7</v>
      </c>
      <c r="D6" s="406"/>
      <c r="E6" s="19" t="s">
        <v>8</v>
      </c>
    </row>
    <row r="7" spans="1:8" ht="37.5" customHeight="1" x14ac:dyDescent="0.2">
      <c r="A7" s="93" t="s">
        <v>122</v>
      </c>
      <c r="B7" s="94" t="s">
        <v>1</v>
      </c>
      <c r="C7" s="398" t="s">
        <v>123</v>
      </c>
      <c r="D7" s="399"/>
      <c r="E7" s="95" t="s">
        <v>122</v>
      </c>
    </row>
    <row r="8" spans="1:8" ht="138.75" customHeight="1" x14ac:dyDescent="0.2">
      <c r="A8" s="97">
        <v>1</v>
      </c>
      <c r="B8" s="98" t="s">
        <v>12</v>
      </c>
      <c r="C8" s="378" t="s">
        <v>130</v>
      </c>
      <c r="D8" s="394"/>
      <c r="E8" s="21">
        <v>102000</v>
      </c>
    </row>
    <row r="9" spans="1:8" ht="37.5" customHeight="1" x14ac:dyDescent="0.2">
      <c r="A9" s="91"/>
      <c r="B9" s="92"/>
      <c r="C9" s="395" t="s">
        <v>24</v>
      </c>
      <c r="D9" s="384"/>
      <c r="E9" s="99">
        <f>E8</f>
        <v>102000</v>
      </c>
      <c r="F9" s="96"/>
      <c r="G9" s="96"/>
    </row>
    <row r="10" spans="1:8" ht="27.75" customHeight="1" x14ac:dyDescent="0.2">
      <c r="A10" s="15" t="s">
        <v>2</v>
      </c>
      <c r="B10" s="9" t="s">
        <v>3</v>
      </c>
      <c r="C10" s="391" t="s">
        <v>22</v>
      </c>
      <c r="D10" s="392"/>
      <c r="E10" s="20" t="s">
        <v>2</v>
      </c>
    </row>
    <row r="11" spans="1:8" ht="33" customHeight="1" x14ac:dyDescent="0.2">
      <c r="A11" s="16">
        <v>2</v>
      </c>
      <c r="B11" s="10" t="s">
        <v>13</v>
      </c>
      <c r="C11" s="396" t="s">
        <v>9</v>
      </c>
      <c r="D11" s="397"/>
      <c r="E11" s="21">
        <v>10500</v>
      </c>
    </row>
    <row r="12" spans="1:8" ht="24" customHeight="1" x14ac:dyDescent="0.2">
      <c r="A12" s="379" t="s">
        <v>25</v>
      </c>
      <c r="B12" s="380"/>
      <c r="C12" s="380"/>
      <c r="D12" s="384"/>
      <c r="E12" s="23">
        <f>E11</f>
        <v>10500</v>
      </c>
    </row>
    <row r="13" spans="1:8" ht="27.75" customHeight="1" x14ac:dyDescent="0.2">
      <c r="A13" s="15" t="s">
        <v>2</v>
      </c>
      <c r="B13" s="9" t="s">
        <v>3</v>
      </c>
      <c r="C13" s="391" t="s">
        <v>124</v>
      </c>
      <c r="D13" s="392"/>
      <c r="E13" s="20" t="s">
        <v>2</v>
      </c>
    </row>
    <row r="14" spans="1:8" ht="78" customHeight="1" x14ac:dyDescent="0.2">
      <c r="A14" s="16">
        <v>3</v>
      </c>
      <c r="B14" s="10" t="s">
        <v>14</v>
      </c>
      <c r="C14" s="387" t="s">
        <v>126</v>
      </c>
      <c r="D14" s="388"/>
      <c r="E14" s="21">
        <v>25000</v>
      </c>
    </row>
    <row r="15" spans="1:8" ht="41.25" customHeight="1" x14ac:dyDescent="0.2">
      <c r="A15" s="16">
        <v>4</v>
      </c>
      <c r="B15" s="10" t="s">
        <v>10</v>
      </c>
      <c r="C15" s="388" t="s">
        <v>125</v>
      </c>
      <c r="D15" s="393"/>
      <c r="E15" s="21">
        <v>30000</v>
      </c>
      <c r="G15" s="90"/>
      <c r="H15" s="86"/>
    </row>
    <row r="16" spans="1:8" ht="114.75" customHeight="1" x14ac:dyDescent="0.2">
      <c r="A16" s="16">
        <v>5</v>
      </c>
      <c r="B16" s="10" t="s">
        <v>11</v>
      </c>
      <c r="C16" s="388" t="s">
        <v>148</v>
      </c>
      <c r="D16" s="393"/>
      <c r="E16" s="21">
        <v>76000</v>
      </c>
    </row>
    <row r="17" spans="1:10" ht="67.5" customHeight="1" x14ac:dyDescent="0.2">
      <c r="A17" s="16">
        <v>6</v>
      </c>
      <c r="B17" s="10" t="s">
        <v>15</v>
      </c>
      <c r="C17" s="388" t="s">
        <v>150</v>
      </c>
      <c r="D17" s="393"/>
      <c r="E17" s="21">
        <f>585400-25100</f>
        <v>560300</v>
      </c>
    </row>
    <row r="18" spans="1:10" ht="90" customHeight="1" x14ac:dyDescent="0.2">
      <c r="A18" s="16">
        <v>7</v>
      </c>
      <c r="B18" s="10" t="s">
        <v>16</v>
      </c>
      <c r="C18" s="377" t="s">
        <v>147</v>
      </c>
      <c r="D18" s="378"/>
      <c r="E18" s="21">
        <v>500100</v>
      </c>
      <c r="I18" s="87"/>
    </row>
    <row r="19" spans="1:10" ht="60.75" customHeight="1" x14ac:dyDescent="0.2">
      <c r="A19" s="16">
        <v>8</v>
      </c>
      <c r="B19" s="10" t="s">
        <v>21</v>
      </c>
      <c r="C19" s="389" t="s">
        <v>151</v>
      </c>
      <c r="D19" s="390"/>
      <c r="E19" s="21">
        <v>41100</v>
      </c>
      <c r="I19" s="87"/>
    </row>
    <row r="20" spans="1:10" ht="89.25" customHeight="1" x14ac:dyDescent="0.2">
      <c r="A20" s="16">
        <v>9</v>
      </c>
      <c r="B20" s="10" t="s">
        <v>1</v>
      </c>
      <c r="C20" s="377" t="s">
        <v>149</v>
      </c>
      <c r="D20" s="378"/>
      <c r="E20" s="21">
        <v>110000</v>
      </c>
      <c r="I20" s="87"/>
    </row>
    <row r="21" spans="1:10" ht="75" customHeight="1" x14ac:dyDescent="0.2">
      <c r="A21" s="16">
        <v>10</v>
      </c>
      <c r="B21" s="100" t="s">
        <v>136</v>
      </c>
      <c r="C21" s="378" t="s">
        <v>127</v>
      </c>
      <c r="D21" s="383"/>
      <c r="E21" s="21">
        <v>8000</v>
      </c>
      <c r="H21" s="86"/>
    </row>
    <row r="22" spans="1:10" ht="27" customHeight="1" x14ac:dyDescent="0.2">
      <c r="A22" s="379" t="s">
        <v>131</v>
      </c>
      <c r="B22" s="380"/>
      <c r="C22" s="380"/>
      <c r="D22" s="384"/>
      <c r="E22" s="23">
        <f>SUM(E14:E21)</f>
        <v>1350500</v>
      </c>
    </row>
    <row r="23" spans="1:10" ht="39" customHeight="1" x14ac:dyDescent="0.2">
      <c r="A23" s="17" t="s">
        <v>2</v>
      </c>
      <c r="B23" s="18" t="s">
        <v>132</v>
      </c>
      <c r="C23" s="385" t="s">
        <v>128</v>
      </c>
      <c r="D23" s="386"/>
      <c r="E23" s="22" t="s">
        <v>2</v>
      </c>
    </row>
    <row r="24" spans="1:10" ht="32.25" customHeight="1" x14ac:dyDescent="0.2">
      <c r="A24" s="16">
        <v>11</v>
      </c>
      <c r="B24" s="10" t="s">
        <v>141</v>
      </c>
      <c r="C24" s="387" t="s">
        <v>129</v>
      </c>
      <c r="D24" s="388"/>
      <c r="E24" s="21">
        <v>12000</v>
      </c>
    </row>
    <row r="25" spans="1:10" ht="25.5" customHeight="1" x14ac:dyDescent="0.2">
      <c r="A25" s="379" t="s">
        <v>133</v>
      </c>
      <c r="B25" s="380"/>
      <c r="C25" s="380"/>
      <c r="D25" s="384"/>
      <c r="E25" s="23">
        <f>E24</f>
        <v>12000</v>
      </c>
    </row>
    <row r="26" spans="1:10" ht="25.5" customHeight="1" x14ac:dyDescent="0.2">
      <c r="A26" s="379" t="s">
        <v>152</v>
      </c>
      <c r="B26" s="380"/>
      <c r="C26" s="380"/>
      <c r="D26" s="380"/>
      <c r="E26" s="23">
        <f>E25+E22+E12+E9</f>
        <v>1475000</v>
      </c>
      <c r="G26" s="86">
        <f>E26-E9</f>
        <v>1373000</v>
      </c>
      <c r="H26">
        <f>G26*0.08</f>
        <v>109840</v>
      </c>
      <c r="J26" s="25"/>
    </row>
    <row r="27" spans="1:10" ht="23.25" customHeight="1" x14ac:dyDescent="0.2">
      <c r="A27" s="379" t="s">
        <v>17</v>
      </c>
      <c r="B27" s="380"/>
      <c r="C27" s="380"/>
      <c r="D27" s="380"/>
      <c r="E27" s="23">
        <f>E26*0.23</f>
        <v>339250</v>
      </c>
    </row>
    <row r="28" spans="1:10" ht="23.25" customHeight="1" thickBot="1" x14ac:dyDescent="0.25">
      <c r="A28" s="381" t="s">
        <v>138</v>
      </c>
      <c r="B28" s="382"/>
      <c r="C28" s="382"/>
      <c r="D28" s="382"/>
      <c r="E28" s="24">
        <f>E26+E27</f>
        <v>1814250</v>
      </c>
    </row>
    <row r="29" spans="1:10" ht="23.25" customHeight="1" x14ac:dyDescent="0.2"/>
    <row r="62" spans="7:7" x14ac:dyDescent="0.2">
      <c r="G62" s="88" t="s">
        <v>108</v>
      </c>
    </row>
    <row r="63" spans="7:7" x14ac:dyDescent="0.2">
      <c r="G63" s="80" t="s">
        <v>109</v>
      </c>
    </row>
    <row r="64" spans="7:7" x14ac:dyDescent="0.2">
      <c r="G64" s="78"/>
    </row>
    <row r="65" spans="1:11" x14ac:dyDescent="0.2">
      <c r="G65" s="84" t="str">
        <f>IF(A73=0,"",IF(A73=1,"jedenaście milionów ",IF(A73=2,"dwanaście milionów ",IF(A73=3,"trzynaście milionów ",IF(A73=4,"czternaście milionów ",IF(A73=5,"piętnaście milionów ",""))))))</f>
        <v xml:space="preserve">jedenaście milionów </v>
      </c>
    </row>
    <row r="66" spans="1:11" x14ac:dyDescent="0.2">
      <c r="G66" s="78"/>
    </row>
    <row r="67" spans="1:11" x14ac:dyDescent="0.2">
      <c r="G67" s="78"/>
    </row>
    <row r="68" spans="1:11" x14ac:dyDescent="0.2">
      <c r="G68" s="84" t="str">
        <f>IF(A76=0,"",IF(A76=1,"jedenaście tysięcy ",IF(A76=2,"dwanaście tysięcy ",IF(A76=3,"trzynaście tysięcy ",IF(A76=4,"czternaście tysięcy ",IF(A76=5,"piętnaście tysięcy ",""))))))</f>
        <v xml:space="preserve">czternaście tysięcy </v>
      </c>
    </row>
    <row r="69" spans="1:11" x14ac:dyDescent="0.2">
      <c r="G69" s="78"/>
    </row>
    <row r="70" spans="1:11" x14ac:dyDescent="0.2">
      <c r="A70" s="77">
        <f>E28</f>
        <v>1814250</v>
      </c>
      <c r="B70" s="78"/>
      <c r="C70" s="78"/>
      <c r="D70" s="78"/>
      <c r="E70" s="78"/>
      <c r="G70" s="78"/>
    </row>
    <row r="71" spans="1:11" x14ac:dyDescent="0.2">
      <c r="A71" s="79"/>
      <c r="B71" s="78"/>
      <c r="C71" s="80" t="s">
        <v>109</v>
      </c>
      <c r="D71" s="81" t="s">
        <v>110</v>
      </c>
      <c r="E71" s="80" t="s">
        <v>109</v>
      </c>
      <c r="F71" s="78"/>
      <c r="G71" s="84" t="str">
        <f>IF(A79=0,"",IF(A79=1,"jedenaście ",IF(A79=2,"dwanaście ",IF(A79=3,"trzynaście ",IF(A79=4,"czternaście ",IF(A79=5,"piętnaście ",""))))))</f>
        <v/>
      </c>
      <c r="H71" s="88"/>
      <c r="I71" s="78"/>
      <c r="J71" s="78"/>
      <c r="K71" s="78"/>
    </row>
    <row r="72" spans="1:11" x14ac:dyDescent="0.2">
      <c r="A72" s="78">
        <f>INT(A$70/10000000)</f>
        <v>0</v>
      </c>
      <c r="B72" s="78"/>
      <c r="C72" s="83">
        <f>IF(AND(A72&gt;=0,A72&lt;=5),1,0)</f>
        <v>1</v>
      </c>
      <c r="D72" s="83">
        <f>IF(AND(A72&gt;=6,A72&lt;=9),1,0)</f>
        <v>0</v>
      </c>
      <c r="E72" s="84" t="str">
        <f>IF(A72=0,"",IF(A72=1,IF(A73=0,"dziesięć milionów ",""),IF(A72=2,"dwadzieścia ",IF(A72=3,"trzydzieści ",IF(A72=4,"czterdzieści ",IF(A72=5,"pięćdziesiąt ",""))))))</f>
        <v/>
      </c>
      <c r="F72" s="81" t="s">
        <v>110</v>
      </c>
      <c r="G72" s="78"/>
      <c r="H72" s="81" t="s">
        <v>110</v>
      </c>
      <c r="I72" s="88" t="s">
        <v>111</v>
      </c>
      <c r="J72" s="82" t="s">
        <v>112</v>
      </c>
      <c r="K72" s="78"/>
    </row>
    <row r="73" spans="1:11" x14ac:dyDescent="0.2">
      <c r="A73" s="79">
        <f>INT(A$70/1000000)-A72*10</f>
        <v>1</v>
      </c>
      <c r="B73" s="78"/>
      <c r="C73" s="83">
        <f t="shared" ref="C73:C79" si="0">IF(AND(A73&gt;=0,A73&lt;=5),1,0)</f>
        <v>1</v>
      </c>
      <c r="D73" s="83">
        <f t="shared" ref="D73:D79" si="1">IF(AND(A73&gt;=6,A73&lt;=9),1,0)</f>
        <v>0</v>
      </c>
      <c r="E73" s="84" t="str">
        <f>IF(A73=0,IF(AND(A72&lt;&gt;0,A72&lt;&gt;1),"milionów ",""),IF(A73=1,IF(A72=0,"jeden milion ","jeden milionów "),IF(A73=2,"dwa miliony ",IF(A73=3,"trzy miliony ",IF(A73=4,"cztery miliony ",IF(A73=5,"pięć milionów ",""))))))</f>
        <v xml:space="preserve">jeden milion </v>
      </c>
      <c r="F73" s="84" t="str">
        <f>IF(A72=6,"sześćdziesiąt ",IF(A72=7,"siedemdziesiąt ",IF(A72=8,"osiemdziesiąt ",IF(A72=9,"dziewięćdziesiąt ",""))))</f>
        <v/>
      </c>
      <c r="G73" s="78"/>
      <c r="H73" s="78"/>
      <c r="I73" s="78"/>
      <c r="J73" s="84" t="str">
        <f>IF(C72,E72&amp;I73,IF(D72,F73&amp;I73,""))</f>
        <v/>
      </c>
      <c r="K73" s="78"/>
    </row>
    <row r="74" spans="1:11" x14ac:dyDescent="0.2">
      <c r="A74" s="78">
        <f>INT(A$70/100000)-10*A73-100*A72</f>
        <v>8</v>
      </c>
      <c r="B74" s="78"/>
      <c r="C74" s="83">
        <f t="shared" si="0"/>
        <v>0</v>
      </c>
      <c r="D74" s="83">
        <f t="shared" si="1"/>
        <v>1</v>
      </c>
      <c r="E74" s="84" t="str">
        <f>IF(A74=0,"",IF(A74=1,"sto ",IF(A74=2,"dwieście ",IF(A74=3,"trzysta ",IF(A74=4,"czterysta ",IF(A74=5,"pięćset ",""))))))</f>
        <v/>
      </c>
      <c r="F74" s="84" t="str">
        <f>IF(A73=6,"sześć milionów ",IF(A73=7,"siedem milionów ",IF(A73=8,"osiem milionów ",IF(A73=9,"dziewięć milionów ",""))))</f>
        <v/>
      </c>
      <c r="G74" s="84"/>
      <c r="H74" s="84" t="str">
        <f>IF(A73=6,"szesnaście milionów ",IF(A73=7,"siedemnaście milionów ",IF(A73=8,"osiemnaście milionów ",IF(A73=9,"dziewiętnaście milionów ",""))))</f>
        <v/>
      </c>
      <c r="I74" s="78"/>
      <c r="J74" s="84" t="str">
        <f>IF(A72=1,IF(C73,G65,IF(D73,H74)),IF(C73,E73,IF(D73,F74,"")))</f>
        <v xml:space="preserve">jeden milion </v>
      </c>
      <c r="K74" s="78"/>
    </row>
    <row r="75" spans="1:11" x14ac:dyDescent="0.2">
      <c r="A75" s="78">
        <f>INT(A$70/10000)-10*A74-100*A73-1000*A72</f>
        <v>1</v>
      </c>
      <c r="B75" s="78"/>
      <c r="C75" s="83">
        <f t="shared" si="0"/>
        <v>1</v>
      </c>
      <c r="D75" s="83">
        <f t="shared" si="1"/>
        <v>0</v>
      </c>
      <c r="E75" s="84" t="str">
        <f>IF(A75=0,"",IF(A75=1,IF(A76=0,"dziesięć tysięcy ",""),IF(A75=2,"dwadzieścia ",IF(A75=3,"trzydzieści ",IF(A75=4,"czterdzieści ",IF(A75=5,"pięćdziesiąt ",""))))))</f>
        <v/>
      </c>
      <c r="F75" s="84" t="str">
        <f>IF(A74=6,"sześćset ",IF(A74=7,"siedemset ",IF(A74=8,"osiemset ",IF(A74=9,"dziewięćset ",""))))</f>
        <v xml:space="preserve">osiemset </v>
      </c>
      <c r="H75" s="78"/>
      <c r="I75" s="78"/>
      <c r="J75" s="84" t="str">
        <f>IF(C74,E74&amp;I75,IF(D74,F75&amp;I75,""))</f>
        <v xml:space="preserve">osiemset </v>
      </c>
      <c r="K75" s="78"/>
    </row>
    <row r="76" spans="1:11" x14ac:dyDescent="0.2">
      <c r="A76" s="79">
        <f>INT(A$70/1000)-10*A75-100*A74-1000*A73-10000*A72</f>
        <v>4</v>
      </c>
      <c r="B76" s="78"/>
      <c r="C76" s="83">
        <f t="shared" si="0"/>
        <v>1</v>
      </c>
      <c r="D76" s="83">
        <f t="shared" si="1"/>
        <v>0</v>
      </c>
      <c r="E76" s="84" t="str">
        <f>IF(A76=0,IF(OR(AND(A75&lt;&gt;0,A75&lt;&gt;1),AND(A74&lt;&gt;0,A75=0)),"tysięcy ",""),IF(A76=1,IF(AND(A74=0,A75=0),"jeden tysiąc ","jeden tysięcy "),IF(A76=2,"dwa tysiące ",IF(A76=3,"trzy tysiące ",IF(A76=4,"cztery tysiące ",IF(A76=5,"pięć tysięcy ",""))))))</f>
        <v xml:space="preserve">cztery tysiące </v>
      </c>
      <c r="F76" s="84" t="str">
        <f>IF(A75=6,"sześćdziesiąt ",IF(A75=7,"siedemdziesiąt ",IF(A75=8,"osiemdziesiąt ",IF(A75=9,"dziewięćdziesiąt ",""))))</f>
        <v/>
      </c>
      <c r="H76" s="78"/>
      <c r="I76" s="78"/>
      <c r="J76" s="84" t="str">
        <f>IF(C75,E75&amp;I76,IF(D75,F76&amp;I76,""))</f>
        <v/>
      </c>
      <c r="K76" s="78"/>
    </row>
    <row r="77" spans="1:11" x14ac:dyDescent="0.2">
      <c r="A77" s="78">
        <f>INT(A$70/100)-10*A76-100*A75-1000*A74-10000*A73-100000*A72</f>
        <v>2</v>
      </c>
      <c r="B77" s="78"/>
      <c r="C77" s="83">
        <f t="shared" si="0"/>
        <v>1</v>
      </c>
      <c r="D77" s="83">
        <f t="shared" si="1"/>
        <v>0</v>
      </c>
      <c r="E77" s="84" t="str">
        <f>IF(A77=0,"",IF(A77=1,"sto ",IF(A77=2,"dwieście ",IF(A77=3,"trzysta ",IF(A77=4,"czterysta ",IF(A77=5,"pięćset ",""))))))</f>
        <v xml:space="preserve">dwieście </v>
      </c>
      <c r="F77" s="84" t="str">
        <f>IF(A76=6,"sześć tysięcy ",IF(A76=7,"siedem tysięcy ",IF(A76=8,"osiem tysięcy ",IF(A76=9,"dziewięć tysięcy ",""))))</f>
        <v/>
      </c>
      <c r="H77" s="84" t="str">
        <f>IF(A76=6,"szesnaście tysięcy ",IF(A76=7,"siedemnaście tysięcy ",IF(A76=8,"osiemnaście tysięcy ",IF(A76=9,"dziewiętnaście tysięcy ",""))))</f>
        <v/>
      </c>
      <c r="I77" s="78"/>
      <c r="J77" s="84" t="str">
        <f>IF(A75=1,IF(C76,G68,IF(D76,H77)),IF(C76,E76,IF(D76,F77,"")))</f>
        <v xml:space="preserve">czternaście tysięcy </v>
      </c>
      <c r="K77" s="78"/>
    </row>
    <row r="78" spans="1:11" x14ac:dyDescent="0.2">
      <c r="A78" s="78">
        <f>INT(A$70/10)-10*A77-100*A76-1000*A75-10000*A74-100000*A73-1000000*A72</f>
        <v>5</v>
      </c>
      <c r="B78" s="78"/>
      <c r="C78" s="83">
        <f t="shared" si="0"/>
        <v>1</v>
      </c>
      <c r="D78" s="83">
        <f t="shared" si="1"/>
        <v>0</v>
      </c>
      <c r="E78" s="84" t="str">
        <f>IF(A78=0,"",IF(A78=1,IF(A79=0,"dziesięć ",""),IF(A78=2,"dwadzieścia ",IF(A78=3,"trzydzieści ",IF(A78=4,"czterdzieści ",IF(A78=5,"pięćdziesiąt ",""))))))</f>
        <v xml:space="preserve">pięćdziesiąt </v>
      </c>
      <c r="F78" s="84" t="str">
        <f>IF(A77=6,"sześćset ",IF(A77=7,"siedemset ",IF(A77=8,"osiemset ",IF(A77=9,"dziewięćset ",""))))</f>
        <v/>
      </c>
      <c r="H78" s="78"/>
      <c r="I78" s="78"/>
      <c r="J78" s="84" t="str">
        <f>IF(C77,E77&amp;I78,IF(D77,F78&amp;I78,""))</f>
        <v xml:space="preserve">dwieście </v>
      </c>
      <c r="K78" s="78"/>
    </row>
    <row r="79" spans="1:11" x14ac:dyDescent="0.2">
      <c r="A79" s="79">
        <f>INT(A$70)-10*A78-100*A77-1000*A76-10000*A75-100000*A74-1000000*A73-10000000*A72</f>
        <v>0</v>
      </c>
      <c r="B79" s="78"/>
      <c r="C79" s="83">
        <f t="shared" si="0"/>
        <v>1</v>
      </c>
      <c r="D79" s="83">
        <f t="shared" si="1"/>
        <v>0</v>
      </c>
      <c r="E79" s="84" t="str">
        <f>IF(A79=0,"",IF(A79=1,"jeden ",IF(A79=2,"dwa ",IF(A79=3,"trzy ",IF(A79=4,"cztery ",IF(A79=5,"pięć ",""))))))</f>
        <v/>
      </c>
      <c r="F79" s="84" t="str">
        <f>IF(A78=6,"sześćdziesiąt ",IF(A78=7,"siedemdziesiąt ",IF(A78=8,"osiemdziesiąt ",IF(A78=9,"dziewięćdziesiąt ",""))))</f>
        <v/>
      </c>
      <c r="H79" s="78"/>
      <c r="I79" s="78"/>
      <c r="J79" s="84" t="str">
        <f>IF(C78,E78&amp;I79,IF(D78,F79&amp;I79,""))</f>
        <v xml:space="preserve">pięćdziesiąt </v>
      </c>
      <c r="K79" s="78"/>
    </row>
    <row r="80" spans="1:11" x14ac:dyDescent="0.2">
      <c r="A80" s="85">
        <f>ROUND((A70-TRUNC(A70,0))*100,0)</f>
        <v>0</v>
      </c>
      <c r="B80" s="78"/>
      <c r="C80" s="78"/>
      <c r="D80" s="78"/>
      <c r="E80" s="78"/>
      <c r="F80" s="84" t="str">
        <f>IF(A79=6,"sześć ",IF(A79=7,"siedem ",IF(A79=8,"osiem ",IF(A79=9,"dziewięć ",""))))</f>
        <v/>
      </c>
      <c r="H80" s="84" t="str">
        <f>IF(A79=6,"szesnaście ",IF(A79=7,"siedemnaście ",IF(A79=8,"osiemnaście ",IF(A79=9,"dziewiętnaście ",""))))</f>
        <v/>
      </c>
      <c r="I80" s="78"/>
      <c r="J80" s="84" t="str">
        <f>IF(A78=1,IF(C79,G71,IF(D79,H80)),IF(C79,E79,IF(D79,F80,"")))</f>
        <v/>
      </c>
      <c r="K80" s="78"/>
    </row>
    <row r="81" spans="1:11" x14ac:dyDescent="0.2">
      <c r="A81" s="78"/>
      <c r="B81" s="78"/>
      <c r="C81" s="78"/>
      <c r="D81" s="78"/>
      <c r="E81" s="82" t="s">
        <v>5</v>
      </c>
      <c r="F81" s="78"/>
      <c r="H81" s="78"/>
      <c r="I81" s="78"/>
      <c r="J81" s="84" t="str">
        <f>"zł "&amp;A80&amp;"/100"</f>
        <v>zł 0/100</v>
      </c>
      <c r="K81" s="78"/>
    </row>
    <row r="82" spans="1:11" x14ac:dyDescent="0.2">
      <c r="A82" s="77">
        <f>TRUNC(A70,1)</f>
        <v>1814250</v>
      </c>
      <c r="B82" s="78"/>
      <c r="C82" s="78"/>
      <c r="D82" s="78"/>
      <c r="E82" s="84" t="str">
        <f>J73&amp;J74&amp;J75&amp;J76&amp;J77&amp;J78&amp;J79&amp;J80&amp;J81</f>
        <v>jeden milion osiemset czternaście tysięcy dwieście pięćdziesiąt zł 0/100</v>
      </c>
      <c r="F82" s="78"/>
      <c r="H82" s="78"/>
      <c r="I82" s="78"/>
      <c r="J82" s="78"/>
      <c r="K82" s="78"/>
    </row>
    <row r="83" spans="1:11" x14ac:dyDescent="0.2">
      <c r="F83" s="84"/>
      <c r="H83" s="84"/>
      <c r="I83" s="84"/>
      <c r="J83" s="84"/>
      <c r="K83" s="78"/>
    </row>
  </sheetData>
  <mergeCells count="27">
    <mergeCell ref="C7:D7"/>
    <mergeCell ref="A3:E3"/>
    <mergeCell ref="B4:E4"/>
    <mergeCell ref="A5:B5"/>
    <mergeCell ref="C5:E5"/>
    <mergeCell ref="C6:D6"/>
    <mergeCell ref="C8:D8"/>
    <mergeCell ref="C9:D9"/>
    <mergeCell ref="C10:D10"/>
    <mergeCell ref="C11:D11"/>
    <mergeCell ref="A12:D12"/>
    <mergeCell ref="C13:D13"/>
    <mergeCell ref="C14:D14"/>
    <mergeCell ref="C15:D15"/>
    <mergeCell ref="C16:D16"/>
    <mergeCell ref="C17:D17"/>
    <mergeCell ref="C18:D18"/>
    <mergeCell ref="A26:D26"/>
    <mergeCell ref="A27:D27"/>
    <mergeCell ref="A28:D28"/>
    <mergeCell ref="C20:D20"/>
    <mergeCell ref="C21:D21"/>
    <mergeCell ref="A22:D22"/>
    <mergeCell ref="C23:D23"/>
    <mergeCell ref="C24:D24"/>
    <mergeCell ref="A25:D25"/>
    <mergeCell ref="C19:D19"/>
  </mergeCells>
  <pageMargins left="0.7" right="0.7" top="0.75" bottom="0.75" header="0.3" footer="0.3"/>
  <pageSetup paperSize="9" scale="49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59999389629810485"/>
  </sheetPr>
  <dimension ref="A1:I62"/>
  <sheetViews>
    <sheetView workbookViewId="0"/>
    <sheetView workbookViewId="1"/>
  </sheetViews>
  <sheetFormatPr defaultRowHeight="12.75" x14ac:dyDescent="0.2"/>
  <cols>
    <col min="4" max="4" width="9.5703125" customWidth="1"/>
    <col min="5" max="5" width="13.42578125" customWidth="1"/>
    <col min="6" max="6" width="12.28515625" customWidth="1"/>
    <col min="8" max="9" width="10.140625" customWidth="1"/>
  </cols>
  <sheetData>
    <row r="1" spans="1:9" x14ac:dyDescent="0.2">
      <c r="E1" s="421" t="s">
        <v>26</v>
      </c>
      <c r="F1" s="421"/>
    </row>
    <row r="2" spans="1:9" ht="9" customHeight="1" x14ac:dyDescent="0.2">
      <c r="E2" s="422"/>
      <c r="F2" s="422"/>
    </row>
    <row r="3" spans="1:9" ht="25.5" customHeight="1" x14ac:dyDescent="0.2">
      <c r="A3" s="423" t="s">
        <v>27</v>
      </c>
      <c r="B3" s="423"/>
      <c r="C3" s="423"/>
      <c r="D3" s="423"/>
      <c r="E3" s="423"/>
      <c r="F3" s="423"/>
      <c r="G3" s="27"/>
      <c r="H3" s="27"/>
      <c r="I3" s="27"/>
    </row>
    <row r="4" spans="1:9" ht="24" customHeight="1" x14ac:dyDescent="0.2">
      <c r="A4" s="424" t="s">
        <v>96</v>
      </c>
      <c r="B4" s="424"/>
      <c r="C4" s="424"/>
      <c r="D4" s="424"/>
      <c r="E4" s="424"/>
      <c r="F4" s="424"/>
      <c r="G4" s="28"/>
      <c r="H4" s="28"/>
      <c r="I4" s="28"/>
    </row>
    <row r="5" spans="1:9" ht="61.5" customHeight="1" x14ac:dyDescent="0.2">
      <c r="A5" s="424"/>
      <c r="B5" s="424"/>
      <c r="C5" s="424"/>
      <c r="D5" s="424"/>
      <c r="E5" s="424"/>
      <c r="F5" s="424"/>
      <c r="G5" s="28"/>
      <c r="H5" s="28"/>
      <c r="I5" s="28"/>
    </row>
    <row r="6" spans="1:9" ht="18" customHeight="1" x14ac:dyDescent="0.2">
      <c r="A6" s="425" t="s">
        <v>28</v>
      </c>
      <c r="B6" s="426"/>
      <c r="C6" s="426"/>
      <c r="D6" s="426"/>
      <c r="E6" s="426"/>
      <c r="F6" s="427"/>
      <c r="G6" s="28"/>
      <c r="H6" s="28"/>
      <c r="I6" s="28"/>
    </row>
    <row r="7" spans="1:9" ht="12.75" customHeight="1" x14ac:dyDescent="0.2">
      <c r="A7" s="412" t="s">
        <v>29</v>
      </c>
      <c r="B7" s="412" t="s">
        <v>30</v>
      </c>
      <c r="C7" s="412" t="s">
        <v>31</v>
      </c>
      <c r="D7" s="414" t="s">
        <v>32</v>
      </c>
      <c r="E7" s="414"/>
      <c r="F7" s="414"/>
    </row>
    <row r="8" spans="1:9" ht="12.75" customHeight="1" x14ac:dyDescent="0.2">
      <c r="A8" s="413"/>
      <c r="B8" s="413"/>
      <c r="C8" s="412"/>
      <c r="D8" s="412" t="s">
        <v>33</v>
      </c>
      <c r="E8" s="412" t="s">
        <v>34</v>
      </c>
      <c r="F8" s="412" t="s">
        <v>35</v>
      </c>
    </row>
    <row r="9" spans="1:9" ht="6" customHeight="1" x14ac:dyDescent="0.2">
      <c r="A9" s="413"/>
      <c r="B9" s="413"/>
      <c r="C9" s="412"/>
      <c r="D9" s="412"/>
      <c r="E9" s="412"/>
      <c r="F9" s="412"/>
    </row>
    <row r="10" spans="1:9" ht="4.5" customHeight="1" x14ac:dyDescent="0.2">
      <c r="A10" s="413"/>
      <c r="B10" s="413"/>
      <c r="C10" s="412"/>
      <c r="D10" s="412"/>
      <c r="E10" s="412"/>
      <c r="F10" s="412"/>
    </row>
    <row r="11" spans="1:9" x14ac:dyDescent="0.2">
      <c r="A11" s="420">
        <v>13</v>
      </c>
      <c r="B11" s="415">
        <v>780</v>
      </c>
      <c r="C11" s="30" t="s">
        <v>2</v>
      </c>
      <c r="D11" s="411">
        <v>2</v>
      </c>
      <c r="E11" s="31" t="s">
        <v>2</v>
      </c>
      <c r="F11" s="31" t="s">
        <v>2</v>
      </c>
      <c r="H11" s="407"/>
    </row>
    <row r="12" spans="1:9" x14ac:dyDescent="0.2">
      <c r="A12" s="420"/>
      <c r="B12" s="415"/>
      <c r="C12" s="416">
        <f>B13-B11</f>
        <v>2.4</v>
      </c>
      <c r="D12" s="411"/>
      <c r="E12" s="411">
        <f>SUM(0.5*D11,0.5*D13)</f>
        <v>1</v>
      </c>
      <c r="F12" s="411">
        <f>PRODUCT(C12,E12)</f>
        <v>2.4</v>
      </c>
      <c r="H12" s="407"/>
    </row>
    <row r="13" spans="1:9" x14ac:dyDescent="0.2">
      <c r="A13" s="420"/>
      <c r="B13" s="415">
        <v>782.4</v>
      </c>
      <c r="C13" s="416"/>
      <c r="D13" s="411">
        <v>0</v>
      </c>
      <c r="E13" s="411"/>
      <c r="F13" s="411"/>
      <c r="H13" s="407"/>
    </row>
    <row r="14" spans="1:9" x14ac:dyDescent="0.2">
      <c r="A14" s="420"/>
      <c r="B14" s="415"/>
      <c r="C14" s="416">
        <f>B15-B13</f>
        <v>28.9</v>
      </c>
      <c r="D14" s="411"/>
      <c r="E14" s="411">
        <f>SUM(0.5*D13,0.5*D15)</f>
        <v>1.33</v>
      </c>
      <c r="F14" s="411">
        <f>PRODUCT(C14,E14)</f>
        <v>38.44</v>
      </c>
      <c r="H14" s="407"/>
    </row>
    <row r="15" spans="1:9" x14ac:dyDescent="0.2">
      <c r="A15" s="420"/>
      <c r="B15" s="415">
        <v>811.3</v>
      </c>
      <c r="C15" s="416"/>
      <c r="D15" s="411">
        <v>2.65</v>
      </c>
      <c r="E15" s="411"/>
      <c r="F15" s="411"/>
      <c r="H15" s="407"/>
    </row>
    <row r="16" spans="1:9" x14ac:dyDescent="0.2">
      <c r="A16" s="420"/>
      <c r="B16" s="415"/>
      <c r="C16" s="416">
        <f>B17-B15</f>
        <v>18.7</v>
      </c>
      <c r="D16" s="411"/>
      <c r="E16" s="411">
        <f>SUM(0.5*D15,0.5*D17)</f>
        <v>2.7</v>
      </c>
      <c r="F16" s="411">
        <f>PRODUCT(C16,E16)</f>
        <v>50.49</v>
      </c>
      <c r="H16" s="407"/>
    </row>
    <row r="17" spans="1:8" x14ac:dyDescent="0.2">
      <c r="A17" s="420"/>
      <c r="B17" s="415">
        <v>830</v>
      </c>
      <c r="C17" s="416"/>
      <c r="D17" s="411">
        <v>2.75</v>
      </c>
      <c r="E17" s="411"/>
      <c r="F17" s="411"/>
      <c r="H17" s="407"/>
    </row>
    <row r="18" spans="1:8" x14ac:dyDescent="0.2">
      <c r="A18" s="420"/>
      <c r="B18" s="415"/>
      <c r="C18" s="416">
        <f>B19-B17</f>
        <v>31.6</v>
      </c>
      <c r="D18" s="411"/>
      <c r="E18" s="411">
        <f>SUM(0.5*D17,0.5*D19)</f>
        <v>2.93</v>
      </c>
      <c r="F18" s="411">
        <f>PRODUCT(C18,E18)</f>
        <v>92.59</v>
      </c>
      <c r="H18" s="407"/>
    </row>
    <row r="19" spans="1:8" x14ac:dyDescent="0.2">
      <c r="A19" s="420"/>
      <c r="B19" s="415">
        <v>861.6</v>
      </c>
      <c r="C19" s="416"/>
      <c r="D19" s="411">
        <v>3.1</v>
      </c>
      <c r="E19" s="411"/>
      <c r="F19" s="411"/>
      <c r="H19" s="407"/>
    </row>
    <row r="20" spans="1:8" x14ac:dyDescent="0.2">
      <c r="A20" s="420"/>
      <c r="B20" s="415"/>
      <c r="C20" s="416">
        <f>B21-B19</f>
        <v>18.399999999999999</v>
      </c>
      <c r="D20" s="411"/>
      <c r="E20" s="411">
        <f>SUM(0.5*D19,0.5*D21)</f>
        <v>3</v>
      </c>
      <c r="F20" s="411">
        <f>PRODUCT(C20,E20)</f>
        <v>55.2</v>
      </c>
      <c r="H20" s="407"/>
    </row>
    <row r="21" spans="1:8" x14ac:dyDescent="0.2">
      <c r="A21" s="420"/>
      <c r="B21" s="415">
        <v>880</v>
      </c>
      <c r="C21" s="416"/>
      <c r="D21" s="411">
        <v>2.9</v>
      </c>
      <c r="E21" s="411"/>
      <c r="F21" s="411"/>
      <c r="H21" s="407"/>
    </row>
    <row r="22" spans="1:8" x14ac:dyDescent="0.2">
      <c r="A22" s="420"/>
      <c r="B22" s="415"/>
      <c r="C22" s="416">
        <f>B23-B21</f>
        <v>23.7</v>
      </c>
      <c r="D22" s="411"/>
      <c r="E22" s="411">
        <f>SUM(0.5*D21,0.5*D23)</f>
        <v>1.45</v>
      </c>
      <c r="F22" s="411">
        <f>PRODUCT(C22,E22)</f>
        <v>34.369999999999997</v>
      </c>
      <c r="H22" s="407"/>
    </row>
    <row r="23" spans="1:8" x14ac:dyDescent="0.2">
      <c r="A23" s="420"/>
      <c r="B23" s="415">
        <v>903.7</v>
      </c>
      <c r="C23" s="416"/>
      <c r="D23" s="411">
        <v>0</v>
      </c>
      <c r="E23" s="411"/>
      <c r="F23" s="411"/>
      <c r="H23" s="407"/>
    </row>
    <row r="24" spans="1:8" x14ac:dyDescent="0.2">
      <c r="A24" s="420"/>
      <c r="B24" s="415"/>
      <c r="C24" s="416">
        <f>B25-B23</f>
        <v>34.299999999999997</v>
      </c>
      <c r="D24" s="411"/>
      <c r="E24" s="411">
        <f>SUM(0.5*D23,0.5*D25)</f>
        <v>1.63</v>
      </c>
      <c r="F24" s="411">
        <f>PRODUCT(C24,E24)</f>
        <v>55.91</v>
      </c>
      <c r="H24" s="407"/>
    </row>
    <row r="25" spans="1:8" x14ac:dyDescent="0.2">
      <c r="A25" s="420"/>
      <c r="B25" s="415">
        <v>938</v>
      </c>
      <c r="C25" s="416"/>
      <c r="D25" s="411">
        <v>3.25</v>
      </c>
      <c r="E25" s="411"/>
      <c r="F25" s="411"/>
      <c r="H25" s="407"/>
    </row>
    <row r="26" spans="1:8" ht="13.5" customHeight="1" x14ac:dyDescent="0.2">
      <c r="A26" s="420"/>
      <c r="B26" s="415"/>
      <c r="C26" s="30" t="s">
        <v>2</v>
      </c>
      <c r="D26" s="419"/>
      <c r="E26" s="57" t="s">
        <v>2</v>
      </c>
      <c r="F26" s="57" t="s">
        <v>2</v>
      </c>
      <c r="H26" s="407"/>
    </row>
    <row r="27" spans="1:8" ht="13.5" customHeight="1" x14ac:dyDescent="0.2">
      <c r="A27" s="61"/>
      <c r="B27" s="62"/>
      <c r="C27" s="63"/>
      <c r="D27" s="417" t="s">
        <v>37</v>
      </c>
      <c r="E27" s="417"/>
      <c r="F27" s="418">
        <f>F12+F14+F16+F18+F20+F22+F24</f>
        <v>329.4</v>
      </c>
      <c r="H27" s="43"/>
    </row>
    <row r="28" spans="1:8" ht="13.5" customHeight="1" x14ac:dyDescent="0.2">
      <c r="A28" s="64"/>
      <c r="B28" s="43"/>
      <c r="C28" s="65"/>
      <c r="D28" s="417"/>
      <c r="E28" s="417"/>
      <c r="F28" s="418"/>
      <c r="H28" s="43"/>
    </row>
    <row r="29" spans="1:8" ht="13.5" customHeight="1" x14ac:dyDescent="0.2">
      <c r="A29" s="64"/>
      <c r="B29" s="43"/>
      <c r="C29" s="65"/>
      <c r="D29" s="417" t="s">
        <v>38</v>
      </c>
      <c r="E29" s="417"/>
      <c r="F29" s="418">
        <f>-(I48+I49+I50)</f>
        <v>-56.03</v>
      </c>
      <c r="H29" s="43"/>
    </row>
    <row r="30" spans="1:8" ht="13.5" customHeight="1" x14ac:dyDescent="0.2">
      <c r="A30" s="64"/>
      <c r="B30" s="43"/>
      <c r="C30" s="65"/>
      <c r="D30" s="417"/>
      <c r="E30" s="417"/>
      <c r="F30" s="418"/>
      <c r="H30" s="43"/>
    </row>
    <row r="31" spans="1:8" ht="13.5" customHeight="1" x14ac:dyDescent="0.2">
      <c r="A31" s="64"/>
      <c r="B31" s="43"/>
      <c r="C31" s="65"/>
      <c r="D31" s="417" t="s">
        <v>97</v>
      </c>
      <c r="E31" s="417"/>
      <c r="F31" s="418">
        <f>F27+F29</f>
        <v>273.37</v>
      </c>
    </row>
    <row r="32" spans="1:8" ht="13.5" customHeight="1" x14ac:dyDescent="0.2">
      <c r="A32" s="64"/>
      <c r="B32" s="43"/>
      <c r="C32" s="65"/>
      <c r="D32" s="417"/>
      <c r="E32" s="417"/>
      <c r="F32" s="418"/>
    </row>
    <row r="33" spans="1:9" ht="13.5" customHeight="1" x14ac:dyDescent="0.2">
      <c r="A33" s="64"/>
      <c r="B33" s="43"/>
      <c r="C33" s="65"/>
      <c r="D33" s="67"/>
      <c r="E33" s="67"/>
      <c r="F33" s="68"/>
    </row>
    <row r="34" spans="1:9" ht="13.5" customHeight="1" x14ac:dyDescent="0.2">
      <c r="A34" s="431" t="s">
        <v>36</v>
      </c>
      <c r="B34" s="432"/>
      <c r="C34" s="432"/>
      <c r="D34" s="432"/>
      <c r="E34" s="432"/>
      <c r="F34" s="433"/>
    </row>
    <row r="35" spans="1:9" ht="13.5" customHeight="1" x14ac:dyDescent="0.2">
      <c r="A35" s="412" t="s">
        <v>29</v>
      </c>
      <c r="B35" s="412" t="s">
        <v>30</v>
      </c>
      <c r="C35" s="412" t="s">
        <v>31</v>
      </c>
      <c r="D35" s="414" t="s">
        <v>32</v>
      </c>
      <c r="E35" s="414"/>
      <c r="F35" s="414"/>
    </row>
    <row r="36" spans="1:9" ht="11.25" customHeight="1" x14ac:dyDescent="0.2">
      <c r="A36" s="413"/>
      <c r="B36" s="413"/>
      <c r="C36" s="412"/>
      <c r="D36" s="412" t="s">
        <v>33</v>
      </c>
      <c r="E36" s="412" t="s">
        <v>34</v>
      </c>
      <c r="F36" s="412" t="s">
        <v>35</v>
      </c>
    </row>
    <row r="37" spans="1:9" ht="6.75" customHeight="1" x14ac:dyDescent="0.2">
      <c r="A37" s="413"/>
      <c r="B37" s="413"/>
      <c r="C37" s="412"/>
      <c r="D37" s="412"/>
      <c r="E37" s="412"/>
      <c r="F37" s="412"/>
    </row>
    <row r="38" spans="1:9" ht="13.5" customHeight="1" x14ac:dyDescent="0.2">
      <c r="A38" s="413"/>
      <c r="B38" s="413"/>
      <c r="C38" s="412"/>
      <c r="D38" s="412"/>
      <c r="E38" s="412"/>
      <c r="F38" s="412"/>
    </row>
    <row r="39" spans="1:9" ht="13.5" customHeight="1" x14ac:dyDescent="0.2">
      <c r="A39" s="420">
        <v>0</v>
      </c>
      <c r="B39" s="434">
        <v>12</v>
      </c>
      <c r="C39" s="32" t="s">
        <v>2</v>
      </c>
      <c r="D39" s="435">
        <v>3.25</v>
      </c>
      <c r="E39" s="33" t="s">
        <v>2</v>
      </c>
      <c r="F39" s="33" t="s">
        <v>2</v>
      </c>
    </row>
    <row r="40" spans="1:9" ht="13.5" customHeight="1" x14ac:dyDescent="0.2">
      <c r="A40" s="420"/>
      <c r="B40" s="416"/>
      <c r="C40" s="416">
        <f>B41-B39</f>
        <v>5.7</v>
      </c>
      <c r="D40" s="419"/>
      <c r="E40" s="411">
        <f>SUM(0.5*D39,0.5*D41)</f>
        <v>3.4</v>
      </c>
      <c r="F40" s="411">
        <f>PRODUCT(C40,E40)</f>
        <v>19.38</v>
      </c>
    </row>
    <row r="41" spans="1:9" ht="13.5" customHeight="1" x14ac:dyDescent="0.2">
      <c r="A41" s="420"/>
      <c r="B41" s="416">
        <v>17.7</v>
      </c>
      <c r="C41" s="416"/>
      <c r="D41" s="411">
        <v>3.55</v>
      </c>
      <c r="E41" s="411"/>
      <c r="F41" s="411"/>
    </row>
    <row r="42" spans="1:9" ht="13.5" customHeight="1" x14ac:dyDescent="0.2">
      <c r="A42" s="420"/>
      <c r="B42" s="416"/>
      <c r="C42" s="409">
        <f>B43-B41</f>
        <v>17.3</v>
      </c>
      <c r="D42" s="419"/>
      <c r="E42" s="411">
        <f>SUM(0.5*D41,0.5*D43)</f>
        <v>3.53</v>
      </c>
      <c r="F42" s="411">
        <f>PRODUCT(C42,E42)</f>
        <v>61.07</v>
      </c>
    </row>
    <row r="43" spans="1:9" ht="13.5" customHeight="1" x14ac:dyDescent="0.2">
      <c r="A43" s="420"/>
      <c r="B43" s="416">
        <v>35</v>
      </c>
      <c r="C43" s="410"/>
      <c r="D43" s="411">
        <v>3.5</v>
      </c>
      <c r="E43" s="411"/>
      <c r="F43" s="411"/>
    </row>
    <row r="44" spans="1:9" ht="13.5" customHeight="1" x14ac:dyDescent="0.2">
      <c r="A44" s="420"/>
      <c r="B44" s="416"/>
      <c r="C44" s="409">
        <f>B45-B43</f>
        <v>17</v>
      </c>
      <c r="D44" s="419"/>
      <c r="E44" s="411">
        <f>SUM(0.5*D43,0.5*D45)</f>
        <v>3.49</v>
      </c>
      <c r="F44" s="411">
        <f>PRODUCT(C44,E44)</f>
        <v>59.33</v>
      </c>
    </row>
    <row r="45" spans="1:9" ht="13.5" customHeight="1" x14ac:dyDescent="0.2">
      <c r="A45" s="420"/>
      <c r="B45" s="416">
        <v>52</v>
      </c>
      <c r="C45" s="410"/>
      <c r="D45" s="411">
        <v>3.48</v>
      </c>
      <c r="E45" s="411"/>
      <c r="F45" s="411"/>
    </row>
    <row r="46" spans="1:9" ht="14.25" customHeight="1" x14ac:dyDescent="0.2">
      <c r="A46" s="420"/>
      <c r="B46" s="416"/>
      <c r="C46" s="30" t="s">
        <v>2</v>
      </c>
      <c r="D46" s="419"/>
      <c r="E46" s="57" t="s">
        <v>2</v>
      </c>
      <c r="F46" s="57" t="s">
        <v>2</v>
      </c>
    </row>
    <row r="47" spans="1:9" ht="13.5" customHeight="1" x14ac:dyDescent="0.2">
      <c r="D47" s="417" t="s">
        <v>37</v>
      </c>
      <c r="E47" s="417"/>
      <c r="F47" s="418">
        <f>F40+F42+F44</f>
        <v>139.78</v>
      </c>
    </row>
    <row r="48" spans="1:9" x14ac:dyDescent="0.2">
      <c r="D48" s="417"/>
      <c r="E48" s="417"/>
      <c r="F48" s="418"/>
      <c r="H48" t="s">
        <v>39</v>
      </c>
      <c r="I48">
        <v>14.012</v>
      </c>
    </row>
    <row r="49" spans="1:9" x14ac:dyDescent="0.2">
      <c r="D49" s="417" t="s">
        <v>38</v>
      </c>
      <c r="E49" s="417"/>
      <c r="F49" s="418">
        <f>-(I51+I52)</f>
        <v>-42.86</v>
      </c>
      <c r="H49" t="s">
        <v>40</v>
      </c>
      <c r="I49">
        <v>12.76</v>
      </c>
    </row>
    <row r="50" spans="1:9" x14ac:dyDescent="0.2">
      <c r="C50" s="35"/>
      <c r="D50" s="417"/>
      <c r="E50" s="417"/>
      <c r="F50" s="418"/>
      <c r="H50" t="s">
        <v>41</v>
      </c>
      <c r="I50">
        <v>29.26</v>
      </c>
    </row>
    <row r="51" spans="1:9" x14ac:dyDescent="0.2">
      <c r="D51" s="417" t="s">
        <v>98</v>
      </c>
      <c r="E51" s="417"/>
      <c r="F51" s="418">
        <f>F47+F49</f>
        <v>96.92</v>
      </c>
      <c r="H51" t="s">
        <v>42</v>
      </c>
      <c r="I51" s="36">
        <v>24.3</v>
      </c>
    </row>
    <row r="52" spans="1:9" x14ac:dyDescent="0.2">
      <c r="C52" s="26"/>
      <c r="D52" s="417"/>
      <c r="E52" s="417"/>
      <c r="F52" s="418"/>
      <c r="H52" t="s">
        <v>43</v>
      </c>
      <c r="I52">
        <v>18.559999999999999</v>
      </c>
    </row>
    <row r="53" spans="1:9" ht="22.5" customHeight="1" x14ac:dyDescent="0.2"/>
    <row r="54" spans="1:9" ht="27.75" customHeight="1" x14ac:dyDescent="0.2">
      <c r="A54" s="408" t="s">
        <v>101</v>
      </c>
      <c r="B54" s="408"/>
      <c r="C54" s="408"/>
      <c r="D54" s="408"/>
      <c r="E54" s="37">
        <f>'5. Humusowanie'!E57/0.1</f>
        <v>79.900000000000006</v>
      </c>
      <c r="F54" s="38" t="s">
        <v>44</v>
      </c>
      <c r="G54" s="36">
        <f>F51+F31</f>
        <v>370.29</v>
      </c>
      <c r="H54">
        <f>G54*0.15</f>
        <v>55.543500000000002</v>
      </c>
    </row>
    <row r="55" spans="1:9" ht="27.75" customHeight="1" x14ac:dyDescent="0.2">
      <c r="A55" s="408" t="s">
        <v>100</v>
      </c>
      <c r="B55" s="408"/>
      <c r="C55" s="408"/>
      <c r="D55" s="408"/>
      <c r="E55" s="37">
        <f>'5. Humusowanie'!E59/0.1</f>
        <v>23.5</v>
      </c>
      <c r="F55" s="38" t="s">
        <v>44</v>
      </c>
      <c r="G55" s="36"/>
    </row>
    <row r="56" spans="1:9" ht="30" customHeight="1" x14ac:dyDescent="0.2">
      <c r="A56" s="408" t="s">
        <v>103</v>
      </c>
      <c r="B56" s="408"/>
      <c r="C56" s="408"/>
      <c r="D56" s="408"/>
      <c r="E56" s="37">
        <f>F31-'5. Humusowanie'!F31</f>
        <v>193.44</v>
      </c>
      <c r="F56" s="38" t="s">
        <v>44</v>
      </c>
      <c r="H56" s="36">
        <f>F51+F31</f>
        <v>370.29</v>
      </c>
    </row>
    <row r="57" spans="1:9" ht="12.75" customHeight="1" x14ac:dyDescent="0.2">
      <c r="A57" s="408" t="s">
        <v>104</v>
      </c>
      <c r="B57" s="408"/>
      <c r="C57" s="408"/>
      <c r="D57" s="408"/>
      <c r="E57" s="428">
        <f>F51-'5. Humusowanie'!F52</f>
        <v>73.430000000000007</v>
      </c>
      <c r="F57" s="430" t="s">
        <v>44</v>
      </c>
    </row>
    <row r="58" spans="1:9" x14ac:dyDescent="0.2">
      <c r="A58" s="408"/>
      <c r="B58" s="408"/>
      <c r="C58" s="408"/>
      <c r="D58" s="408"/>
      <c r="E58" s="429"/>
      <c r="F58" s="430"/>
    </row>
    <row r="62" spans="1:9" x14ac:dyDescent="0.2">
      <c r="F62" s="36"/>
    </row>
  </sheetData>
  <mergeCells count="101">
    <mergeCell ref="A57:D58"/>
    <mergeCell ref="E57:E58"/>
    <mergeCell ref="F57:F58"/>
    <mergeCell ref="D27:E28"/>
    <mergeCell ref="F27:F28"/>
    <mergeCell ref="D29:E30"/>
    <mergeCell ref="F29:F30"/>
    <mergeCell ref="D31:E32"/>
    <mergeCell ref="F31:F32"/>
    <mergeCell ref="A34:F34"/>
    <mergeCell ref="A39:A46"/>
    <mergeCell ref="B39:B40"/>
    <mergeCell ref="D39:D40"/>
    <mergeCell ref="C40:C41"/>
    <mergeCell ref="E40:E41"/>
    <mergeCell ref="F40:F41"/>
    <mergeCell ref="B41:B42"/>
    <mergeCell ref="D41:D42"/>
    <mergeCell ref="E1:F2"/>
    <mergeCell ref="A3:F3"/>
    <mergeCell ref="A4:F5"/>
    <mergeCell ref="A6:F6"/>
    <mergeCell ref="A7:A10"/>
    <mergeCell ref="B7:B10"/>
    <mergeCell ref="C7:C10"/>
    <mergeCell ref="D7:F7"/>
    <mergeCell ref="D8:D10"/>
    <mergeCell ref="E8:E10"/>
    <mergeCell ref="F8:F10"/>
    <mergeCell ref="A11:A26"/>
    <mergeCell ref="B11:B12"/>
    <mergeCell ref="D11:D12"/>
    <mergeCell ref="C12:C13"/>
    <mergeCell ref="E12:E13"/>
    <mergeCell ref="F12:F13"/>
    <mergeCell ref="B13:B14"/>
    <mergeCell ref="D13:D14"/>
    <mergeCell ref="C14:C15"/>
    <mergeCell ref="E14:E15"/>
    <mergeCell ref="F14:F15"/>
    <mergeCell ref="B15:B16"/>
    <mergeCell ref="D15:D16"/>
    <mergeCell ref="C16:C17"/>
    <mergeCell ref="E16:E17"/>
    <mergeCell ref="F16:F17"/>
    <mergeCell ref="B17:B18"/>
    <mergeCell ref="D17:D18"/>
    <mergeCell ref="C18:C19"/>
    <mergeCell ref="F24:F25"/>
    <mergeCell ref="B25:B26"/>
    <mergeCell ref="D25:D26"/>
    <mergeCell ref="E18:E19"/>
    <mergeCell ref="F18:F19"/>
    <mergeCell ref="B19:B20"/>
    <mergeCell ref="D19:D20"/>
    <mergeCell ref="C20:C21"/>
    <mergeCell ref="E20:E21"/>
    <mergeCell ref="F20:F21"/>
    <mergeCell ref="B21:B22"/>
    <mergeCell ref="D21:D22"/>
    <mergeCell ref="C22:C23"/>
    <mergeCell ref="A56:D56"/>
    <mergeCell ref="D47:E48"/>
    <mergeCell ref="F47:F48"/>
    <mergeCell ref="D49:E50"/>
    <mergeCell ref="F49:F50"/>
    <mergeCell ref="D51:E52"/>
    <mergeCell ref="F51:F52"/>
    <mergeCell ref="A55:D55"/>
    <mergeCell ref="F42:F43"/>
    <mergeCell ref="B43:B44"/>
    <mergeCell ref="D43:D44"/>
    <mergeCell ref="C44:C45"/>
    <mergeCell ref="E44:E45"/>
    <mergeCell ref="F44:F45"/>
    <mergeCell ref="B45:B46"/>
    <mergeCell ref="D45:D46"/>
    <mergeCell ref="H23:H24"/>
    <mergeCell ref="H25:H26"/>
    <mergeCell ref="H11:H12"/>
    <mergeCell ref="H13:H14"/>
    <mergeCell ref="H15:H16"/>
    <mergeCell ref="H17:H18"/>
    <mergeCell ref="H19:H20"/>
    <mergeCell ref="H21:H22"/>
    <mergeCell ref="A54:D54"/>
    <mergeCell ref="C42:C43"/>
    <mergeCell ref="E42:E43"/>
    <mergeCell ref="A35:A38"/>
    <mergeCell ref="B35:B38"/>
    <mergeCell ref="C35:C38"/>
    <mergeCell ref="D35:F35"/>
    <mergeCell ref="D36:D38"/>
    <mergeCell ref="E36:E38"/>
    <mergeCell ref="F36:F38"/>
    <mergeCell ref="E22:E23"/>
    <mergeCell ref="F22:F23"/>
    <mergeCell ref="B23:B24"/>
    <mergeCell ref="D23:D24"/>
    <mergeCell ref="C24:C25"/>
    <mergeCell ref="E24:E25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0" orientation="portrait" horizontalDpi="4294967293" verticalDpi="4294967293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0.59999389629810485"/>
  </sheetPr>
  <dimension ref="A1:I62"/>
  <sheetViews>
    <sheetView workbookViewId="0"/>
    <sheetView workbookViewId="1"/>
  </sheetViews>
  <sheetFormatPr defaultRowHeight="12.75" x14ac:dyDescent="0.2"/>
  <cols>
    <col min="3" max="3" width="10.5703125" customWidth="1"/>
    <col min="4" max="4" width="10.140625" customWidth="1"/>
    <col min="5" max="5" width="13.42578125" customWidth="1"/>
    <col min="6" max="6" width="12.28515625" customWidth="1"/>
    <col min="8" max="9" width="10.140625" customWidth="1"/>
  </cols>
  <sheetData>
    <row r="1" spans="1:9" x14ac:dyDescent="0.2">
      <c r="E1" s="421" t="s">
        <v>45</v>
      </c>
      <c r="F1" s="421"/>
    </row>
    <row r="2" spans="1:9" ht="9.75" customHeight="1" x14ac:dyDescent="0.2">
      <c r="E2" s="422"/>
      <c r="F2" s="422"/>
    </row>
    <row r="3" spans="1:9" ht="25.5" customHeight="1" x14ac:dyDescent="0.2">
      <c r="A3" s="423" t="s">
        <v>46</v>
      </c>
      <c r="B3" s="423"/>
      <c r="C3" s="423"/>
      <c r="D3" s="423"/>
      <c r="E3" s="423"/>
      <c r="F3" s="423"/>
      <c r="G3" s="27"/>
      <c r="H3" s="27"/>
      <c r="I3" s="27"/>
    </row>
    <row r="4" spans="1:9" ht="24" customHeight="1" x14ac:dyDescent="0.2">
      <c r="A4" s="424" t="s">
        <v>96</v>
      </c>
      <c r="B4" s="424"/>
      <c r="C4" s="424"/>
      <c r="D4" s="424"/>
      <c r="E4" s="424"/>
      <c r="F4" s="424"/>
      <c r="G4" s="28"/>
      <c r="H4" s="28"/>
      <c r="I4" s="28"/>
    </row>
    <row r="5" spans="1:9" ht="48.75" customHeight="1" x14ac:dyDescent="0.2">
      <c r="A5" s="424"/>
      <c r="B5" s="424"/>
      <c r="C5" s="424"/>
      <c r="D5" s="424"/>
      <c r="E5" s="424"/>
      <c r="F5" s="424"/>
      <c r="G5" s="28"/>
      <c r="H5" s="28"/>
      <c r="I5" s="28"/>
    </row>
    <row r="6" spans="1:9" ht="18" customHeight="1" x14ac:dyDescent="0.2">
      <c r="A6" s="425" t="s">
        <v>28</v>
      </c>
      <c r="B6" s="426"/>
      <c r="C6" s="426"/>
      <c r="D6" s="426"/>
      <c r="E6" s="426"/>
      <c r="F6" s="427"/>
      <c r="G6" s="28"/>
      <c r="H6" s="28"/>
      <c r="I6" s="28"/>
    </row>
    <row r="7" spans="1:9" ht="12.75" customHeight="1" x14ac:dyDescent="0.2">
      <c r="A7" s="412" t="s">
        <v>29</v>
      </c>
      <c r="B7" s="412" t="s">
        <v>30</v>
      </c>
      <c r="C7" s="412" t="s">
        <v>31</v>
      </c>
      <c r="D7" s="414" t="s">
        <v>47</v>
      </c>
      <c r="E7" s="414"/>
      <c r="F7" s="414"/>
    </row>
    <row r="8" spans="1:9" ht="12.75" customHeight="1" x14ac:dyDescent="0.2">
      <c r="A8" s="413"/>
      <c r="B8" s="413"/>
      <c r="C8" s="412"/>
      <c r="D8" s="412" t="s">
        <v>33</v>
      </c>
      <c r="E8" s="412" t="s">
        <v>34</v>
      </c>
      <c r="F8" s="412" t="s">
        <v>35</v>
      </c>
    </row>
    <row r="9" spans="1:9" ht="6" customHeight="1" x14ac:dyDescent="0.2">
      <c r="A9" s="413"/>
      <c r="B9" s="413"/>
      <c r="C9" s="412"/>
      <c r="D9" s="412"/>
      <c r="E9" s="412"/>
      <c r="F9" s="412"/>
    </row>
    <row r="10" spans="1:9" ht="4.5" customHeight="1" x14ac:dyDescent="0.2">
      <c r="A10" s="413"/>
      <c r="B10" s="413"/>
      <c r="C10" s="412"/>
      <c r="D10" s="412"/>
      <c r="E10" s="412"/>
      <c r="F10" s="412"/>
    </row>
    <row r="11" spans="1:9" x14ac:dyDescent="0.2">
      <c r="A11" s="420">
        <v>13</v>
      </c>
      <c r="B11" s="416">
        <v>780</v>
      </c>
      <c r="C11" s="30" t="s">
        <v>2</v>
      </c>
      <c r="D11" s="411">
        <v>0</v>
      </c>
      <c r="E11" s="31" t="s">
        <v>2</v>
      </c>
      <c r="F11" s="31" t="s">
        <v>2</v>
      </c>
    </row>
    <row r="12" spans="1:9" x14ac:dyDescent="0.2">
      <c r="A12" s="420"/>
      <c r="B12" s="416"/>
      <c r="C12" s="416">
        <f>B13-B11</f>
        <v>2.4</v>
      </c>
      <c r="D12" s="411"/>
      <c r="E12" s="411">
        <f>SUM(0.5*D11,0.5*D13)</f>
        <v>0</v>
      </c>
      <c r="F12" s="411">
        <f>PRODUCT(C12,E12)</f>
        <v>0</v>
      </c>
    </row>
    <row r="13" spans="1:9" x14ac:dyDescent="0.2">
      <c r="A13" s="420"/>
      <c r="B13" s="416">
        <v>782.4</v>
      </c>
      <c r="C13" s="416"/>
      <c r="D13" s="411">
        <v>0</v>
      </c>
      <c r="E13" s="411"/>
      <c r="F13" s="411"/>
    </row>
    <row r="14" spans="1:9" x14ac:dyDescent="0.2">
      <c r="A14" s="420"/>
      <c r="B14" s="416"/>
      <c r="C14" s="416">
        <f>B15-B13</f>
        <v>28.9</v>
      </c>
      <c r="D14" s="411"/>
      <c r="E14" s="411">
        <f>SUM(0.5*D13,0.5*D15)</f>
        <v>0.3</v>
      </c>
      <c r="F14" s="411">
        <f>PRODUCT(C14,E14)</f>
        <v>8.67</v>
      </c>
    </row>
    <row r="15" spans="1:9" x14ac:dyDescent="0.2">
      <c r="A15" s="420"/>
      <c r="B15" s="416">
        <v>811.3</v>
      </c>
      <c r="C15" s="416"/>
      <c r="D15" s="411">
        <v>0.6</v>
      </c>
      <c r="E15" s="411"/>
      <c r="F15" s="411"/>
    </row>
    <row r="16" spans="1:9" x14ac:dyDescent="0.2">
      <c r="A16" s="420"/>
      <c r="B16" s="416"/>
      <c r="C16" s="416">
        <f>B17-B15</f>
        <v>18.7</v>
      </c>
      <c r="D16" s="411"/>
      <c r="E16" s="411">
        <f>SUM(0.5*D15,0.5*D17)</f>
        <v>0.63</v>
      </c>
      <c r="F16" s="411">
        <f>PRODUCT(C16,E16)</f>
        <v>11.78</v>
      </c>
    </row>
    <row r="17" spans="1:6" x14ac:dyDescent="0.2">
      <c r="A17" s="420"/>
      <c r="B17" s="416">
        <v>830</v>
      </c>
      <c r="C17" s="416"/>
      <c r="D17" s="411">
        <v>0.65</v>
      </c>
      <c r="E17" s="411"/>
      <c r="F17" s="411"/>
    </row>
    <row r="18" spans="1:6" x14ac:dyDescent="0.2">
      <c r="A18" s="420"/>
      <c r="B18" s="416"/>
      <c r="C18" s="416">
        <f>B19-B17</f>
        <v>31.6</v>
      </c>
      <c r="D18" s="411"/>
      <c r="E18" s="411">
        <f>SUM(0.5*D17,0.5*D19)</f>
        <v>0.78</v>
      </c>
      <c r="F18" s="411">
        <f>PRODUCT(C18,E18)</f>
        <v>24.65</v>
      </c>
    </row>
    <row r="19" spans="1:6" x14ac:dyDescent="0.2">
      <c r="A19" s="420"/>
      <c r="B19" s="416">
        <v>861.6</v>
      </c>
      <c r="C19" s="416"/>
      <c r="D19" s="411">
        <v>0.9</v>
      </c>
      <c r="E19" s="411"/>
      <c r="F19" s="411"/>
    </row>
    <row r="20" spans="1:6" x14ac:dyDescent="0.2">
      <c r="A20" s="420"/>
      <c r="B20" s="416"/>
      <c r="C20" s="416">
        <f>B21-B19</f>
        <v>18.399999999999999</v>
      </c>
      <c r="D20" s="411"/>
      <c r="E20" s="411">
        <f>SUM(0.5*D19,0.5*D21)</f>
        <v>0.95</v>
      </c>
      <c r="F20" s="411">
        <f>PRODUCT(C20,E20)</f>
        <v>17.48</v>
      </c>
    </row>
    <row r="21" spans="1:6" x14ac:dyDescent="0.2">
      <c r="A21" s="420"/>
      <c r="B21" s="416">
        <v>880</v>
      </c>
      <c r="C21" s="416"/>
      <c r="D21" s="411">
        <v>1</v>
      </c>
      <c r="E21" s="411"/>
      <c r="F21" s="411"/>
    </row>
    <row r="22" spans="1:6" x14ac:dyDescent="0.2">
      <c r="A22" s="420"/>
      <c r="B22" s="416"/>
      <c r="C22" s="416">
        <f>B23-B21</f>
        <v>23.7</v>
      </c>
      <c r="D22" s="411"/>
      <c r="E22" s="411">
        <f>SUM(0.5*D21,0.5*D23)</f>
        <v>0.5</v>
      </c>
      <c r="F22" s="411">
        <f>PRODUCT(C22,E22)</f>
        <v>11.85</v>
      </c>
    </row>
    <row r="23" spans="1:6" x14ac:dyDescent="0.2">
      <c r="A23" s="420"/>
      <c r="B23" s="416">
        <v>903.7</v>
      </c>
      <c r="C23" s="416"/>
      <c r="D23" s="411">
        <v>0</v>
      </c>
      <c r="E23" s="411"/>
      <c r="F23" s="411"/>
    </row>
    <row r="24" spans="1:6" x14ac:dyDescent="0.2">
      <c r="A24" s="420"/>
      <c r="B24" s="416"/>
      <c r="C24" s="416">
        <f>B25-B23</f>
        <v>34.299999999999997</v>
      </c>
      <c r="D24" s="411"/>
      <c r="E24" s="411">
        <f>SUM(0.5*D23,0.5*D25)</f>
        <v>0.65</v>
      </c>
      <c r="F24" s="411">
        <f>PRODUCT(C24,E24)</f>
        <v>22.3</v>
      </c>
    </row>
    <row r="25" spans="1:6" x14ac:dyDescent="0.2">
      <c r="A25" s="420"/>
      <c r="B25" s="416">
        <v>938</v>
      </c>
      <c r="C25" s="416"/>
      <c r="D25" s="411">
        <v>1.3</v>
      </c>
      <c r="E25" s="411"/>
      <c r="F25" s="411"/>
    </row>
    <row r="26" spans="1:6" ht="13.5" customHeight="1" x14ac:dyDescent="0.2">
      <c r="A26" s="420"/>
      <c r="B26" s="416"/>
      <c r="C26" s="30" t="s">
        <v>2</v>
      </c>
      <c r="D26" s="419"/>
      <c r="E26" s="57" t="s">
        <v>2</v>
      </c>
      <c r="F26" s="57" t="s">
        <v>2</v>
      </c>
    </row>
    <row r="27" spans="1:6" ht="13.5" customHeight="1" x14ac:dyDescent="0.2">
      <c r="A27" s="64"/>
      <c r="B27" s="65"/>
      <c r="C27" s="65"/>
      <c r="D27" s="417" t="s">
        <v>37</v>
      </c>
      <c r="E27" s="417"/>
      <c r="F27" s="418">
        <f>F12+F14+F16+F18+F20+F22+F24</f>
        <v>96.73</v>
      </c>
    </row>
    <row r="28" spans="1:6" ht="13.5" customHeight="1" x14ac:dyDescent="0.2">
      <c r="A28" s="64"/>
      <c r="B28" s="65"/>
      <c r="C28" s="65"/>
      <c r="D28" s="417"/>
      <c r="E28" s="417"/>
      <c r="F28" s="418"/>
    </row>
    <row r="29" spans="1:6" ht="13.5" customHeight="1" x14ac:dyDescent="0.2">
      <c r="A29" s="64"/>
      <c r="B29" s="65"/>
      <c r="C29" s="65"/>
      <c r="D29" s="417" t="s">
        <v>38</v>
      </c>
      <c r="E29" s="417"/>
      <c r="F29" s="418">
        <f>-(I50+I51+I52)</f>
        <v>-16.8</v>
      </c>
    </row>
    <row r="30" spans="1:6" ht="13.5" customHeight="1" x14ac:dyDescent="0.2">
      <c r="A30" s="64"/>
      <c r="B30" s="65"/>
      <c r="C30" s="65"/>
      <c r="D30" s="417"/>
      <c r="E30" s="417"/>
      <c r="F30" s="418"/>
    </row>
    <row r="31" spans="1:6" ht="13.5" customHeight="1" x14ac:dyDescent="0.2">
      <c r="A31" s="64"/>
      <c r="B31" s="65"/>
      <c r="C31" s="65"/>
      <c r="D31" s="417" t="s">
        <v>97</v>
      </c>
      <c r="E31" s="417"/>
      <c r="F31" s="418">
        <f>F27+F29</f>
        <v>79.930000000000007</v>
      </c>
    </row>
    <row r="32" spans="1:6" ht="13.5" customHeight="1" x14ac:dyDescent="0.2">
      <c r="A32" s="64"/>
      <c r="B32" s="65"/>
      <c r="C32" s="65"/>
      <c r="D32" s="417"/>
      <c r="E32" s="417"/>
      <c r="F32" s="418"/>
    </row>
    <row r="33" spans="1:8" ht="13.5" customHeight="1" x14ac:dyDescent="0.2">
      <c r="A33" s="64"/>
      <c r="B33" s="65"/>
      <c r="C33" s="65"/>
      <c r="D33" s="66"/>
      <c r="E33" s="66"/>
      <c r="F33" s="66"/>
    </row>
    <row r="34" spans="1:8" ht="13.5" customHeight="1" x14ac:dyDescent="0.2">
      <c r="A34" s="64"/>
      <c r="B34" s="65"/>
      <c r="C34" s="65"/>
      <c r="D34" s="66"/>
      <c r="E34" s="66"/>
      <c r="F34" s="66"/>
    </row>
    <row r="35" spans="1:8" ht="13.5" customHeight="1" x14ac:dyDescent="0.2">
      <c r="A35" s="431" t="s">
        <v>36</v>
      </c>
      <c r="B35" s="432"/>
      <c r="C35" s="432"/>
      <c r="D35" s="432"/>
      <c r="E35" s="432"/>
      <c r="F35" s="433"/>
      <c r="H35" s="36">
        <f>F31+F52</f>
        <v>103.42</v>
      </c>
    </row>
    <row r="36" spans="1:8" ht="13.5" customHeight="1" x14ac:dyDescent="0.2">
      <c r="A36" s="412" t="s">
        <v>29</v>
      </c>
      <c r="B36" s="412" t="s">
        <v>30</v>
      </c>
      <c r="C36" s="412" t="s">
        <v>31</v>
      </c>
      <c r="D36" s="414" t="s">
        <v>47</v>
      </c>
      <c r="E36" s="414"/>
      <c r="F36" s="414"/>
    </row>
    <row r="37" spans="1:8" ht="4.5" customHeight="1" x14ac:dyDescent="0.2">
      <c r="A37" s="413"/>
      <c r="B37" s="413"/>
      <c r="C37" s="412"/>
      <c r="D37" s="412" t="s">
        <v>33</v>
      </c>
      <c r="E37" s="412" t="s">
        <v>34</v>
      </c>
      <c r="F37" s="412" t="s">
        <v>35</v>
      </c>
    </row>
    <row r="38" spans="1:8" ht="11.25" customHeight="1" x14ac:dyDescent="0.2">
      <c r="A38" s="413"/>
      <c r="B38" s="413"/>
      <c r="C38" s="412"/>
      <c r="D38" s="412"/>
      <c r="E38" s="412"/>
      <c r="F38" s="412"/>
    </row>
    <row r="39" spans="1:8" ht="6.75" customHeight="1" x14ac:dyDescent="0.2">
      <c r="A39" s="413"/>
      <c r="B39" s="413"/>
      <c r="C39" s="412"/>
      <c r="D39" s="412"/>
      <c r="E39" s="412"/>
      <c r="F39" s="412"/>
    </row>
    <row r="40" spans="1:8" ht="13.5" customHeight="1" x14ac:dyDescent="0.2">
      <c r="A40" s="420">
        <v>0</v>
      </c>
      <c r="B40" s="434">
        <v>12</v>
      </c>
      <c r="C40" s="32" t="s">
        <v>2</v>
      </c>
      <c r="D40" s="435">
        <v>1.3</v>
      </c>
      <c r="E40" s="33" t="s">
        <v>2</v>
      </c>
      <c r="F40" s="33" t="s">
        <v>2</v>
      </c>
    </row>
    <row r="41" spans="1:8" ht="13.5" customHeight="1" x14ac:dyDescent="0.2">
      <c r="A41" s="420"/>
      <c r="B41" s="416"/>
      <c r="C41" s="416">
        <f>B42-B40</f>
        <v>5.7</v>
      </c>
      <c r="D41" s="419"/>
      <c r="E41" s="411">
        <f>SUM(0.5*D40,0.5*D42)</f>
        <v>1.23</v>
      </c>
      <c r="F41" s="411">
        <f>PRODUCT(C41,E41)</f>
        <v>7.01</v>
      </c>
    </row>
    <row r="42" spans="1:8" ht="13.5" customHeight="1" x14ac:dyDescent="0.2">
      <c r="A42" s="420"/>
      <c r="B42" s="416">
        <v>17.7</v>
      </c>
      <c r="C42" s="416"/>
      <c r="D42" s="411">
        <v>1.1499999999999999</v>
      </c>
      <c r="E42" s="411"/>
      <c r="F42" s="411"/>
    </row>
    <row r="43" spans="1:8" ht="13.5" customHeight="1" x14ac:dyDescent="0.2">
      <c r="A43" s="420"/>
      <c r="B43" s="416"/>
      <c r="C43" s="409">
        <f>B44-B42</f>
        <v>17.3</v>
      </c>
      <c r="D43" s="419"/>
      <c r="E43" s="411">
        <f>SUM(0.5*D42,0.5*D44)</f>
        <v>1.08</v>
      </c>
      <c r="F43" s="411">
        <f>PRODUCT(C43,E43)</f>
        <v>18.68</v>
      </c>
    </row>
    <row r="44" spans="1:8" ht="13.5" customHeight="1" x14ac:dyDescent="0.2">
      <c r="A44" s="420"/>
      <c r="B44" s="416">
        <v>35</v>
      </c>
      <c r="C44" s="410"/>
      <c r="D44" s="411">
        <v>1</v>
      </c>
      <c r="E44" s="411"/>
      <c r="F44" s="411"/>
    </row>
    <row r="45" spans="1:8" ht="13.5" customHeight="1" x14ac:dyDescent="0.2">
      <c r="A45" s="420"/>
      <c r="B45" s="416"/>
      <c r="C45" s="409">
        <f>B46-B44</f>
        <v>17</v>
      </c>
      <c r="D45" s="419"/>
      <c r="E45" s="411">
        <f>SUM(0.5*D44,0.5*D46)</f>
        <v>0.5</v>
      </c>
      <c r="F45" s="411">
        <f>PRODUCT(C45,E45)</f>
        <v>8.5</v>
      </c>
    </row>
    <row r="46" spans="1:8" ht="13.5" customHeight="1" x14ac:dyDescent="0.2">
      <c r="A46" s="420"/>
      <c r="B46" s="416">
        <v>52</v>
      </c>
      <c r="C46" s="410"/>
      <c r="D46" s="411">
        <v>0</v>
      </c>
      <c r="E46" s="411"/>
      <c r="F46" s="411"/>
    </row>
    <row r="47" spans="1:8" ht="13.5" customHeight="1" x14ac:dyDescent="0.2">
      <c r="A47" s="420"/>
      <c r="B47" s="416"/>
      <c r="C47" s="30" t="s">
        <v>2</v>
      </c>
      <c r="D47" s="419"/>
      <c r="E47" s="57" t="s">
        <v>2</v>
      </c>
      <c r="F47" s="57" t="s">
        <v>2</v>
      </c>
    </row>
    <row r="48" spans="1:8" ht="14.25" customHeight="1" x14ac:dyDescent="0.2">
      <c r="D48" s="417" t="s">
        <v>37</v>
      </c>
      <c r="E48" s="417"/>
      <c r="F48" s="418">
        <f>F41+F43+F45</f>
        <v>34.19</v>
      </c>
    </row>
    <row r="49" spans="1:9" ht="13.5" customHeight="1" thickBot="1" x14ac:dyDescent="0.25">
      <c r="D49" s="417"/>
      <c r="E49" s="417"/>
      <c r="F49" s="418"/>
    </row>
    <row r="50" spans="1:9" x14ac:dyDescent="0.2">
      <c r="D50" s="417" t="s">
        <v>38</v>
      </c>
      <c r="E50" s="417"/>
      <c r="F50" s="418">
        <f>-(I53+I54)</f>
        <v>-10.7</v>
      </c>
      <c r="H50" s="39" t="s">
        <v>39</v>
      </c>
      <c r="I50" s="40">
        <v>1.9</v>
      </c>
    </row>
    <row r="51" spans="1:9" x14ac:dyDescent="0.2">
      <c r="C51" s="35"/>
      <c r="D51" s="417"/>
      <c r="E51" s="417"/>
      <c r="F51" s="418"/>
      <c r="H51" s="41" t="s">
        <v>40</v>
      </c>
      <c r="I51" s="42">
        <v>5.9</v>
      </c>
    </row>
    <row r="52" spans="1:9" x14ac:dyDescent="0.2">
      <c r="D52" s="417" t="s">
        <v>98</v>
      </c>
      <c r="E52" s="417"/>
      <c r="F52" s="418">
        <f>F48+F50</f>
        <v>23.49</v>
      </c>
      <c r="H52" s="41" t="s">
        <v>41</v>
      </c>
      <c r="I52" s="42">
        <v>9</v>
      </c>
    </row>
    <row r="53" spans="1:9" x14ac:dyDescent="0.2">
      <c r="C53" s="26"/>
      <c r="D53" s="417"/>
      <c r="E53" s="417"/>
      <c r="F53" s="418"/>
      <c r="G53" s="43"/>
      <c r="H53" s="41" t="s">
        <v>42</v>
      </c>
      <c r="I53" s="44">
        <v>6.5</v>
      </c>
    </row>
    <row r="54" spans="1:9" ht="13.5" thickBot="1" x14ac:dyDescent="0.25">
      <c r="H54" s="45" t="s">
        <v>43</v>
      </c>
      <c r="I54" s="46">
        <v>4.2</v>
      </c>
    </row>
    <row r="55" spans="1:9" ht="12.75" customHeight="1" x14ac:dyDescent="0.2">
      <c r="A55" s="439" t="s">
        <v>48</v>
      </c>
      <c r="B55" s="440"/>
      <c r="C55" s="440"/>
      <c r="D55" s="441"/>
      <c r="E55" s="445">
        <f>('4.Zdjęcie humusu'!F31+'4.Zdjęcie humusu'!F51)*0.15</f>
        <v>55.54</v>
      </c>
      <c r="F55" s="447" t="s">
        <v>49</v>
      </c>
      <c r="G55" s="407">
        <f>'4.Zdjęcie humusu'!F51+'4.Zdjęcie humusu'!F31</f>
        <v>370.29</v>
      </c>
    </row>
    <row r="56" spans="1:9" x14ac:dyDescent="0.2">
      <c r="A56" s="442"/>
      <c r="B56" s="443"/>
      <c r="C56" s="443"/>
      <c r="D56" s="444"/>
      <c r="E56" s="446"/>
      <c r="F56" s="448"/>
      <c r="G56" s="450"/>
    </row>
    <row r="57" spans="1:9" x14ac:dyDescent="0.2">
      <c r="A57" s="442" t="s">
        <v>102</v>
      </c>
      <c r="B57" s="443"/>
      <c r="C57" s="443"/>
      <c r="D57" s="444"/>
      <c r="E57" s="446">
        <f>F31*0.1</f>
        <v>7.99</v>
      </c>
      <c r="F57" s="449" t="s">
        <v>49</v>
      </c>
      <c r="G57" s="407">
        <f>F31</f>
        <v>79.930000000000007</v>
      </c>
    </row>
    <row r="58" spans="1:9" x14ac:dyDescent="0.2">
      <c r="A58" s="442"/>
      <c r="B58" s="443"/>
      <c r="C58" s="443"/>
      <c r="D58" s="444"/>
      <c r="E58" s="446"/>
      <c r="F58" s="449"/>
      <c r="G58" s="450"/>
    </row>
    <row r="59" spans="1:9" ht="15" customHeight="1" x14ac:dyDescent="0.2">
      <c r="A59" s="442" t="s">
        <v>99</v>
      </c>
      <c r="B59" s="443"/>
      <c r="C59" s="443"/>
      <c r="D59" s="444"/>
      <c r="E59" s="446">
        <f>F52*0.1</f>
        <v>2.35</v>
      </c>
      <c r="F59" s="448" t="s">
        <v>49</v>
      </c>
      <c r="G59" s="407">
        <f>F52</f>
        <v>23.49</v>
      </c>
      <c r="H59" s="36">
        <f>E55-E57-E59</f>
        <v>45.2</v>
      </c>
    </row>
    <row r="60" spans="1:9" x14ac:dyDescent="0.2">
      <c r="A60" s="442"/>
      <c r="B60" s="443"/>
      <c r="C60" s="443"/>
      <c r="D60" s="444"/>
      <c r="E60" s="446"/>
      <c r="F60" s="448"/>
      <c r="G60" s="450"/>
      <c r="I60">
        <f>H59/0.15</f>
        <v>301.33333333333297</v>
      </c>
    </row>
    <row r="61" spans="1:9" ht="28.5" customHeight="1" x14ac:dyDescent="0.2">
      <c r="A61" s="436" t="s">
        <v>50</v>
      </c>
      <c r="B61" s="437"/>
      <c r="C61" s="437"/>
      <c r="D61" s="438"/>
      <c r="E61" s="74">
        <f>'4.Zdjęcie humusu'!F31+'4.Zdjęcie humusu'!F51-F31-F52</f>
        <v>266.87</v>
      </c>
      <c r="F61" s="75" t="s">
        <v>44</v>
      </c>
      <c r="G61" s="36">
        <f>G55-G57-G59</f>
        <v>266.87</v>
      </c>
    </row>
    <row r="62" spans="1:9" x14ac:dyDescent="0.2">
      <c r="E62" s="47"/>
      <c r="F62" s="38"/>
    </row>
  </sheetData>
  <mergeCells count="100">
    <mergeCell ref="G55:G56"/>
    <mergeCell ref="G57:G58"/>
    <mergeCell ref="G59:G60"/>
    <mergeCell ref="D27:E28"/>
    <mergeCell ref="F27:F28"/>
    <mergeCell ref="D29:E30"/>
    <mergeCell ref="F29:F30"/>
    <mergeCell ref="D31:E32"/>
    <mergeCell ref="F31:F32"/>
    <mergeCell ref="A35:F35"/>
    <mergeCell ref="A36:A39"/>
    <mergeCell ref="B36:B39"/>
    <mergeCell ref="C36:C39"/>
    <mergeCell ref="D36:F36"/>
    <mergeCell ref="D37:D39"/>
    <mergeCell ref="E37:E39"/>
    <mergeCell ref="E1:F2"/>
    <mergeCell ref="A3:F3"/>
    <mergeCell ref="A4:F5"/>
    <mergeCell ref="A6:F6"/>
    <mergeCell ref="A7:A10"/>
    <mergeCell ref="B7:B10"/>
    <mergeCell ref="C7:C10"/>
    <mergeCell ref="D7:F7"/>
    <mergeCell ref="D8:D10"/>
    <mergeCell ref="E8:E10"/>
    <mergeCell ref="F8:F10"/>
    <mergeCell ref="A11:A26"/>
    <mergeCell ref="B11:B12"/>
    <mergeCell ref="D11:D12"/>
    <mergeCell ref="C12:C13"/>
    <mergeCell ref="E12:E13"/>
    <mergeCell ref="B19:B20"/>
    <mergeCell ref="D19:D20"/>
    <mergeCell ref="C20:C21"/>
    <mergeCell ref="E20:E21"/>
    <mergeCell ref="F12:F13"/>
    <mergeCell ref="B13:B14"/>
    <mergeCell ref="D13:D14"/>
    <mergeCell ref="C14:C15"/>
    <mergeCell ref="E14:E15"/>
    <mergeCell ref="F14:F15"/>
    <mergeCell ref="B15:B16"/>
    <mergeCell ref="D15:D16"/>
    <mergeCell ref="C16:C17"/>
    <mergeCell ref="E16:E17"/>
    <mergeCell ref="F16:F17"/>
    <mergeCell ref="B17:B18"/>
    <mergeCell ref="D17:D18"/>
    <mergeCell ref="C18:C19"/>
    <mergeCell ref="E18:E19"/>
    <mergeCell ref="F18:F19"/>
    <mergeCell ref="F20:F21"/>
    <mergeCell ref="B21:B22"/>
    <mergeCell ref="D21:D22"/>
    <mergeCell ref="C22:C23"/>
    <mergeCell ref="E22:E23"/>
    <mergeCell ref="F22:F23"/>
    <mergeCell ref="B23:B24"/>
    <mergeCell ref="D23:D24"/>
    <mergeCell ref="C24:C25"/>
    <mergeCell ref="E24:E25"/>
    <mergeCell ref="F24:F25"/>
    <mergeCell ref="B25:B26"/>
    <mergeCell ref="D25:D26"/>
    <mergeCell ref="F37:F39"/>
    <mergeCell ref="F41:F42"/>
    <mergeCell ref="B42:B43"/>
    <mergeCell ref="D42:D43"/>
    <mergeCell ref="C43:C44"/>
    <mergeCell ref="E43:E44"/>
    <mergeCell ref="F43:F44"/>
    <mergeCell ref="A40:A47"/>
    <mergeCell ref="B40:B41"/>
    <mergeCell ref="D40:D41"/>
    <mergeCell ref="C41:C42"/>
    <mergeCell ref="E41:E42"/>
    <mergeCell ref="B44:B45"/>
    <mergeCell ref="D44:D45"/>
    <mergeCell ref="C45:C46"/>
    <mergeCell ref="E45:E46"/>
    <mergeCell ref="F45:F46"/>
    <mergeCell ref="B46:B47"/>
    <mergeCell ref="D46:D47"/>
    <mergeCell ref="D48:E49"/>
    <mergeCell ref="F48:F49"/>
    <mergeCell ref="D50:E51"/>
    <mergeCell ref="F50:F51"/>
    <mergeCell ref="D52:E53"/>
    <mergeCell ref="F52:F53"/>
    <mergeCell ref="A61:D61"/>
    <mergeCell ref="A55:D56"/>
    <mergeCell ref="E55:E56"/>
    <mergeCell ref="F55:F56"/>
    <mergeCell ref="A59:D60"/>
    <mergeCell ref="E59:E60"/>
    <mergeCell ref="F59:F60"/>
    <mergeCell ref="A57:D58"/>
    <mergeCell ref="E57:E58"/>
    <mergeCell ref="F57:F5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1" orientation="portrait" horizontalDpi="4294967293" verticalDpi="4294967293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-0.499984740745262"/>
    <pageSetUpPr fitToPage="1"/>
  </sheetPr>
  <dimension ref="A1:AO75"/>
  <sheetViews>
    <sheetView workbookViewId="0"/>
    <sheetView workbookViewId="1"/>
  </sheetViews>
  <sheetFormatPr defaultRowHeight="12.75" x14ac:dyDescent="0.2"/>
  <cols>
    <col min="1" max="1" width="7.85546875" customWidth="1"/>
    <col min="2" max="2" width="9.42578125" customWidth="1"/>
    <col min="8" max="8" width="9.85546875" bestFit="1" customWidth="1"/>
    <col min="9" max="9" width="9.140625" customWidth="1"/>
    <col min="10" max="10" width="8.42578125" customWidth="1"/>
    <col min="11" max="12" width="8.28515625" customWidth="1"/>
  </cols>
  <sheetData>
    <row r="1" spans="1:14" ht="17.25" customHeight="1" x14ac:dyDescent="0.2">
      <c r="M1" s="421" t="s">
        <v>95</v>
      </c>
      <c r="N1" s="421"/>
    </row>
    <row r="2" spans="1:14" ht="17.25" customHeight="1" x14ac:dyDescent="0.2">
      <c r="L2" s="48"/>
      <c r="M2" s="422"/>
      <c r="N2" s="422"/>
    </row>
    <row r="3" spans="1:14" ht="30.75" customHeight="1" x14ac:dyDescent="0.2">
      <c r="A3" s="423" t="s">
        <v>51</v>
      </c>
      <c r="B3" s="423"/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</row>
    <row r="4" spans="1:14" ht="23.25" customHeight="1" x14ac:dyDescent="0.2">
      <c r="A4" s="486" t="str">
        <f>'4.Zdjęcie humusu'!A4:F5</f>
        <v>PRZEBUDOWA DROGI WOJEWÓDZKIEJ NR 987 KOLBUSZOWA – SĘDZISZÓW MAŁOPOLSKI POLEGAJĄCA NA BUDOWIE CHODNIKA DLA PIESZYCH W KM 13+788 ÷ 13+940 STRONA LEWA W MIEJSCOWOŚCI CZARNA SĘDZISZOWSKA</v>
      </c>
      <c r="B4" s="486"/>
      <c r="C4" s="486"/>
      <c r="D4" s="486"/>
      <c r="E4" s="486"/>
      <c r="F4" s="486"/>
      <c r="G4" s="486"/>
      <c r="H4" s="486"/>
      <c r="I4" s="486"/>
      <c r="J4" s="486"/>
      <c r="K4" s="486"/>
      <c r="L4" s="486"/>
      <c r="M4" s="486"/>
      <c r="N4" s="486"/>
    </row>
    <row r="5" spans="1:14" ht="24.75" customHeight="1" x14ac:dyDescent="0.2">
      <c r="A5" s="486"/>
      <c r="B5" s="486"/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  <c r="N5" s="486"/>
    </row>
    <row r="6" spans="1:14" ht="24.75" customHeight="1" x14ac:dyDescent="0.2">
      <c r="A6" s="58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59"/>
    </row>
    <row r="7" spans="1:14" ht="21.75" customHeight="1" x14ac:dyDescent="0.2">
      <c r="A7" s="481" t="s">
        <v>28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2"/>
    </row>
    <row r="8" spans="1:14" x14ac:dyDescent="0.2">
      <c r="A8" s="412" t="s">
        <v>29</v>
      </c>
      <c r="B8" s="412" t="s">
        <v>30</v>
      </c>
      <c r="C8" s="412" t="s">
        <v>52</v>
      </c>
      <c r="D8" s="413"/>
      <c r="E8" s="412" t="s">
        <v>53</v>
      </c>
      <c r="F8" s="413"/>
      <c r="G8" s="412" t="s">
        <v>54</v>
      </c>
      <c r="H8" s="412" t="s">
        <v>55</v>
      </c>
      <c r="I8" s="413"/>
      <c r="J8" s="412" t="s">
        <v>56</v>
      </c>
      <c r="K8" s="412" t="s">
        <v>57</v>
      </c>
      <c r="L8" s="413"/>
      <c r="M8" s="412" t="s">
        <v>58</v>
      </c>
      <c r="N8" s="413"/>
    </row>
    <row r="9" spans="1:14" x14ac:dyDescent="0.2">
      <c r="A9" s="413"/>
      <c r="B9" s="413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</row>
    <row r="10" spans="1:14" x14ac:dyDescent="0.2">
      <c r="A10" s="413"/>
      <c r="B10" s="413"/>
      <c r="C10" s="29" t="s">
        <v>59</v>
      </c>
      <c r="D10" s="29" t="s">
        <v>60</v>
      </c>
      <c r="E10" s="29" t="s">
        <v>59</v>
      </c>
      <c r="F10" s="29" t="s">
        <v>60</v>
      </c>
      <c r="G10" s="413"/>
      <c r="H10" s="29" t="s">
        <v>59</v>
      </c>
      <c r="I10" s="29" t="s">
        <v>60</v>
      </c>
      <c r="J10" s="413"/>
      <c r="K10" s="29" t="s">
        <v>59</v>
      </c>
      <c r="L10" s="29" t="s">
        <v>60</v>
      </c>
      <c r="M10" s="49" t="s">
        <v>61</v>
      </c>
      <c r="N10" s="49" t="s">
        <v>62</v>
      </c>
    </row>
    <row r="11" spans="1:14" x14ac:dyDescent="0.2">
      <c r="A11" s="413"/>
      <c r="B11" s="413"/>
      <c r="C11" s="412" t="s">
        <v>63</v>
      </c>
      <c r="D11" s="412"/>
      <c r="E11" s="412" t="s">
        <v>63</v>
      </c>
      <c r="F11" s="412"/>
      <c r="G11" s="413"/>
      <c r="H11" s="412" t="s">
        <v>64</v>
      </c>
      <c r="I11" s="412"/>
      <c r="J11" s="413"/>
      <c r="K11" s="412" t="s">
        <v>64</v>
      </c>
      <c r="L11" s="412"/>
      <c r="M11" s="412" t="s">
        <v>64</v>
      </c>
      <c r="N11" s="412"/>
    </row>
    <row r="12" spans="1:14" x14ac:dyDescent="0.2">
      <c r="A12" s="462">
        <v>13</v>
      </c>
      <c r="B12" s="416">
        <v>780</v>
      </c>
      <c r="C12" s="416">
        <v>0</v>
      </c>
      <c r="D12" s="416">
        <v>0</v>
      </c>
      <c r="E12" s="30" t="s">
        <v>2</v>
      </c>
      <c r="F12" s="30" t="s">
        <v>2</v>
      </c>
      <c r="G12" s="30" t="s">
        <v>2</v>
      </c>
      <c r="H12" s="50" t="s">
        <v>65</v>
      </c>
      <c r="I12" s="50" t="s">
        <v>66</v>
      </c>
      <c r="J12" s="50" t="s">
        <v>67</v>
      </c>
      <c r="K12" s="50" t="s">
        <v>68</v>
      </c>
      <c r="L12" s="50" t="s">
        <v>69</v>
      </c>
      <c r="M12" s="50" t="s">
        <v>70</v>
      </c>
      <c r="N12" s="50" t="s">
        <v>71</v>
      </c>
    </row>
    <row r="13" spans="1:14" x14ac:dyDescent="0.2">
      <c r="A13" s="463"/>
      <c r="B13" s="416"/>
      <c r="C13" s="416"/>
      <c r="D13" s="416"/>
      <c r="E13" s="455">
        <f>SUM(0.5*C12,0.5*C14)</f>
        <v>0.83499999999999996</v>
      </c>
      <c r="F13" s="416">
        <f>SUM(0.5*D12,0.5*D14)</f>
        <v>0.23</v>
      </c>
      <c r="G13" s="416">
        <f>SUM(B14,-B12)</f>
        <v>2.4</v>
      </c>
      <c r="H13" s="416">
        <f>PRODUCT(E13,G13)</f>
        <v>2</v>
      </c>
      <c r="I13" s="416">
        <f>PRODUCT(F13,G13)</f>
        <v>0.55000000000000004</v>
      </c>
      <c r="J13" s="416">
        <f>MIN(H13:I14)</f>
        <v>0.55000000000000004</v>
      </c>
      <c r="K13" s="416">
        <f>IF(I13&lt;H13,(H13-I13),"")</f>
        <v>1.45</v>
      </c>
      <c r="L13" s="416" t="str">
        <f>IF(H13&lt;I13,(I13-H13),"")</f>
        <v/>
      </c>
      <c r="M13" s="416">
        <f>K13</f>
        <v>1.45</v>
      </c>
      <c r="N13" s="416" t="str">
        <f>L13</f>
        <v/>
      </c>
    </row>
    <row r="14" spans="1:14" x14ac:dyDescent="0.2">
      <c r="A14" s="463"/>
      <c r="B14" s="416">
        <v>782.4</v>
      </c>
      <c r="C14" s="416">
        <v>1.67</v>
      </c>
      <c r="D14" s="416">
        <v>0.46</v>
      </c>
      <c r="E14" s="455"/>
      <c r="F14" s="416"/>
      <c r="G14" s="416"/>
      <c r="H14" s="416"/>
      <c r="I14" s="416"/>
      <c r="J14" s="416"/>
      <c r="K14" s="416"/>
      <c r="L14" s="416"/>
      <c r="M14" s="416"/>
      <c r="N14" s="416"/>
    </row>
    <row r="15" spans="1:14" x14ac:dyDescent="0.2">
      <c r="A15" s="463"/>
      <c r="B15" s="416"/>
      <c r="C15" s="416"/>
      <c r="D15" s="416"/>
      <c r="E15" s="455">
        <f>SUM(0.5*C14,0.5*C16)</f>
        <v>1.0649999999999999</v>
      </c>
      <c r="F15" s="416">
        <f>SUM(0.5*D14,0.5*D16)</f>
        <v>0.61</v>
      </c>
      <c r="G15" s="416">
        <f>SUM(B16,-B14)</f>
        <v>28.9</v>
      </c>
      <c r="H15" s="416">
        <f>PRODUCT(E15,G15)</f>
        <v>30.78</v>
      </c>
      <c r="I15" s="416">
        <f>PRODUCT(F15,G15)</f>
        <v>17.63</v>
      </c>
      <c r="J15" s="416">
        <f>MIN(H15:I16)</f>
        <v>17.63</v>
      </c>
      <c r="K15" s="416">
        <f>IF(I15&lt;H15,(H15-I15),"")</f>
        <v>13.15</v>
      </c>
      <c r="L15" s="416" t="str">
        <f>IF(H15&lt;I15,(I15-H15),"")</f>
        <v/>
      </c>
      <c r="M15" s="416">
        <f>K15+M13</f>
        <v>14.6</v>
      </c>
      <c r="N15" s="416" t="str">
        <f>L15</f>
        <v/>
      </c>
    </row>
    <row r="16" spans="1:14" x14ac:dyDescent="0.2">
      <c r="A16" s="463"/>
      <c r="B16" s="416">
        <v>811.3</v>
      </c>
      <c r="C16" s="416">
        <v>0.46</v>
      </c>
      <c r="D16" s="416">
        <v>0.76</v>
      </c>
      <c r="E16" s="455"/>
      <c r="F16" s="416"/>
      <c r="G16" s="416"/>
      <c r="H16" s="416"/>
      <c r="I16" s="416"/>
      <c r="J16" s="416"/>
      <c r="K16" s="416"/>
      <c r="L16" s="416"/>
      <c r="M16" s="416"/>
      <c r="N16" s="416"/>
    </row>
    <row r="17" spans="1:41" x14ac:dyDescent="0.2">
      <c r="A17" s="463"/>
      <c r="B17" s="416"/>
      <c r="C17" s="416"/>
      <c r="D17" s="416"/>
      <c r="E17" s="416">
        <f>SUM(0.5*C16,0.5*C18)</f>
        <v>0.56999999999999995</v>
      </c>
      <c r="F17" s="416">
        <f>SUM(0.5*D16,0.5*D18)</f>
        <v>0.81</v>
      </c>
      <c r="G17" s="416">
        <f>SUM(B18,-B16)</f>
        <v>18.7</v>
      </c>
      <c r="H17" s="416">
        <f>PRODUCT(E17,G17)</f>
        <v>10.66</v>
      </c>
      <c r="I17" s="416">
        <f>PRODUCT(F17,G17)</f>
        <v>15.15</v>
      </c>
      <c r="J17" s="416">
        <f>MIN(H17:I18)</f>
        <v>10.66</v>
      </c>
      <c r="K17" s="416" t="str">
        <f>IF(I17&lt;H17,(H17-I17),"")</f>
        <v/>
      </c>
      <c r="L17" s="416">
        <f>IF(H17&lt;I17,(I17-H17),"")</f>
        <v>4.49</v>
      </c>
      <c r="M17" s="416">
        <f>M15-L17</f>
        <v>10.11</v>
      </c>
      <c r="N17" s="416"/>
    </row>
    <row r="18" spans="1:41" x14ac:dyDescent="0.2">
      <c r="A18" s="463"/>
      <c r="B18" s="416">
        <v>830</v>
      </c>
      <c r="C18" s="416">
        <v>0.68</v>
      </c>
      <c r="D18" s="416">
        <v>0.85</v>
      </c>
      <c r="E18" s="416"/>
      <c r="F18" s="416"/>
      <c r="G18" s="416"/>
      <c r="H18" s="416"/>
      <c r="I18" s="416"/>
      <c r="J18" s="416"/>
      <c r="K18" s="416"/>
      <c r="L18" s="416"/>
      <c r="M18" s="416"/>
      <c r="N18" s="416"/>
    </row>
    <row r="19" spans="1:41" x14ac:dyDescent="0.2">
      <c r="A19" s="463"/>
      <c r="B19" s="416"/>
      <c r="C19" s="416"/>
      <c r="D19" s="416"/>
      <c r="E19" s="416">
        <f>SUM(0.5*C18,0.5*C20)</f>
        <v>0.84</v>
      </c>
      <c r="F19" s="416">
        <f>SUM(0.5*D18,0.5*D20)</f>
        <v>1.1399999999999999</v>
      </c>
      <c r="G19" s="416">
        <f>SUM(B20,-B18)</f>
        <v>31.6</v>
      </c>
      <c r="H19" s="416">
        <f>PRODUCT(E19,G19)</f>
        <v>26.54</v>
      </c>
      <c r="I19" s="416">
        <f>PRODUCT(F19,G19)</f>
        <v>36.020000000000003</v>
      </c>
      <c r="J19" s="416">
        <f>MIN(H19:I20)</f>
        <v>26.54</v>
      </c>
      <c r="K19" s="416" t="str">
        <f>IF(I19&lt;H19,(H19-I19),"")</f>
        <v/>
      </c>
      <c r="L19" s="416">
        <f>IF(H19&lt;I19,(I19-H19),"")</f>
        <v>9.48</v>
      </c>
      <c r="M19" s="416"/>
      <c r="N19" s="484">
        <f>M17-L19</f>
        <v>0.63</v>
      </c>
    </row>
    <row r="20" spans="1:41" x14ac:dyDescent="0.2">
      <c r="A20" s="463"/>
      <c r="B20" s="416">
        <v>861.6</v>
      </c>
      <c r="C20" s="416">
        <v>1</v>
      </c>
      <c r="D20" s="416">
        <v>1.43</v>
      </c>
      <c r="E20" s="416"/>
      <c r="F20" s="416"/>
      <c r="G20" s="416"/>
      <c r="H20" s="416"/>
      <c r="I20" s="416"/>
      <c r="J20" s="416"/>
      <c r="K20" s="416"/>
      <c r="L20" s="416"/>
      <c r="M20" s="416"/>
      <c r="N20" s="485"/>
    </row>
    <row r="21" spans="1:41" x14ac:dyDescent="0.2">
      <c r="A21" s="463"/>
      <c r="B21" s="416"/>
      <c r="C21" s="416"/>
      <c r="D21" s="416"/>
      <c r="E21" s="416">
        <f>SUM(0.5*C20,0.5*C22)</f>
        <v>1.03</v>
      </c>
      <c r="F21" s="416">
        <f>SUM(0.5*D20,0.5*D22)</f>
        <v>1.32</v>
      </c>
      <c r="G21" s="416">
        <f>SUM(B22,-B20)</f>
        <v>18.399999999999999</v>
      </c>
      <c r="H21" s="416">
        <f>PRODUCT(E21,G21)</f>
        <v>18.95</v>
      </c>
      <c r="I21" s="416">
        <f>PRODUCT(F21,G21)</f>
        <v>24.29</v>
      </c>
      <c r="J21" s="416">
        <f>MIN(H21:I22)</f>
        <v>18.95</v>
      </c>
      <c r="K21" s="416" t="str">
        <f>IF(I21&lt;H21,(H21-I21),"")</f>
        <v/>
      </c>
      <c r="L21" s="416">
        <f>IF(H21&lt;I21,(I21-H21),"")</f>
        <v>5.34</v>
      </c>
      <c r="M21" s="416"/>
      <c r="N21" s="416">
        <f>N19-L21</f>
        <v>-4.71</v>
      </c>
    </row>
    <row r="22" spans="1:41" x14ac:dyDescent="0.2">
      <c r="A22" s="463"/>
      <c r="B22" s="416">
        <v>880</v>
      </c>
      <c r="C22" s="416">
        <v>1.05</v>
      </c>
      <c r="D22" s="416">
        <v>1.2</v>
      </c>
      <c r="E22" s="416"/>
      <c r="F22" s="416"/>
      <c r="G22" s="416"/>
      <c r="H22" s="416"/>
      <c r="I22" s="416"/>
      <c r="J22" s="416"/>
      <c r="K22" s="416"/>
      <c r="L22" s="416"/>
      <c r="M22" s="416"/>
      <c r="N22" s="416"/>
    </row>
    <row r="23" spans="1:41" x14ac:dyDescent="0.2">
      <c r="A23" s="463"/>
      <c r="B23" s="416"/>
      <c r="C23" s="416"/>
      <c r="D23" s="416"/>
      <c r="E23" s="416">
        <f>SUM(0.5*C22,0.5*C24)</f>
        <v>0.88</v>
      </c>
      <c r="F23" s="416">
        <f>SUM(0.5*D22,0.5*D24)</f>
        <v>0.85</v>
      </c>
      <c r="G23" s="416">
        <f>SUM(B24,-B22)</f>
        <v>23.7</v>
      </c>
      <c r="H23" s="416">
        <f>PRODUCT(E23,G23)</f>
        <v>20.86</v>
      </c>
      <c r="I23" s="416">
        <f>PRODUCT(F23,G23)</f>
        <v>20.149999999999999</v>
      </c>
      <c r="J23" s="416">
        <f>MIN(H23:I24)</f>
        <v>20.149999999999999</v>
      </c>
      <c r="K23" s="416">
        <f>IF(I23&lt;H23,(H23-I23),"")</f>
        <v>0.71</v>
      </c>
      <c r="L23" s="416" t="str">
        <f>IF(H23&lt;I23,(I23-H23),"")</f>
        <v/>
      </c>
      <c r="M23" s="416"/>
      <c r="N23" s="416">
        <f>N21+K23</f>
        <v>-4</v>
      </c>
    </row>
    <row r="24" spans="1:41" x14ac:dyDescent="0.2">
      <c r="A24" s="463"/>
      <c r="B24" s="416">
        <v>903.7</v>
      </c>
      <c r="C24" s="416">
        <v>0.7</v>
      </c>
      <c r="D24" s="416">
        <v>0.5</v>
      </c>
      <c r="E24" s="416"/>
      <c r="F24" s="416"/>
      <c r="G24" s="416"/>
      <c r="H24" s="416"/>
      <c r="I24" s="416"/>
      <c r="J24" s="416"/>
      <c r="K24" s="416"/>
      <c r="L24" s="416"/>
      <c r="M24" s="416"/>
      <c r="N24" s="416"/>
    </row>
    <row r="25" spans="1:41" x14ac:dyDescent="0.2">
      <c r="A25" s="463"/>
      <c r="B25" s="416"/>
      <c r="C25" s="416"/>
      <c r="D25" s="416"/>
      <c r="E25" s="416">
        <f>SUM(0.5*C24,0.5*C26)</f>
        <v>0.9</v>
      </c>
      <c r="F25" s="416">
        <f>SUM(0.5*D24,0.5*D26)</f>
        <v>0.75</v>
      </c>
      <c r="G25" s="416">
        <f>SUM(B26,-B24)</f>
        <v>34.299999999999997</v>
      </c>
      <c r="H25" s="416">
        <f>PRODUCT(E25,G25)</f>
        <v>30.87</v>
      </c>
      <c r="I25" s="416">
        <f>PRODUCT(F25,G25)</f>
        <v>25.73</v>
      </c>
      <c r="J25" s="416">
        <f>MIN(H25:I26)</f>
        <v>25.73</v>
      </c>
      <c r="K25" s="416">
        <f>IF(I25&lt;H25,(H25-I25),"")</f>
        <v>5.14</v>
      </c>
      <c r="L25" s="416" t="str">
        <f>IF(H25&lt;I25,(I25-H25),"")</f>
        <v/>
      </c>
      <c r="M25" s="416"/>
      <c r="N25" s="416">
        <f>N23+K25</f>
        <v>1.1399999999999999</v>
      </c>
    </row>
    <row r="26" spans="1:41" ht="3.75" customHeight="1" x14ac:dyDescent="0.2">
      <c r="A26" s="463"/>
      <c r="B26" s="416">
        <v>938</v>
      </c>
      <c r="C26" s="416">
        <v>1.1000000000000001</v>
      </c>
      <c r="D26" s="416">
        <v>1</v>
      </c>
      <c r="E26" s="416"/>
      <c r="F26" s="416"/>
      <c r="G26" s="416"/>
      <c r="H26" s="416"/>
      <c r="I26" s="416"/>
      <c r="J26" s="416"/>
      <c r="K26" s="416"/>
      <c r="L26" s="416"/>
      <c r="M26" s="416"/>
      <c r="N26" s="416"/>
    </row>
    <row r="27" spans="1:41" ht="18.75" customHeight="1" x14ac:dyDescent="0.2">
      <c r="A27" s="463"/>
      <c r="B27" s="416"/>
      <c r="C27" s="416"/>
      <c r="D27" s="416"/>
      <c r="E27" s="34" t="s">
        <v>2</v>
      </c>
      <c r="F27" s="34" t="s">
        <v>2</v>
      </c>
      <c r="G27" s="34" t="s">
        <v>2</v>
      </c>
      <c r="H27" s="34" t="s">
        <v>2</v>
      </c>
      <c r="I27" s="34" t="s">
        <v>2</v>
      </c>
      <c r="J27" s="34" t="s">
        <v>2</v>
      </c>
      <c r="K27" s="34" t="s">
        <v>2</v>
      </c>
      <c r="L27" s="34" t="s">
        <v>2</v>
      </c>
      <c r="M27" s="52"/>
      <c r="N27" s="34">
        <f>N25</f>
        <v>1.1399999999999999</v>
      </c>
    </row>
    <row r="28" spans="1:41" ht="18.75" customHeight="1" x14ac:dyDescent="0.2">
      <c r="A28" s="463"/>
      <c r="B28" s="416" t="s">
        <v>2</v>
      </c>
      <c r="C28" s="416" t="s">
        <v>2</v>
      </c>
      <c r="D28" s="416" t="s">
        <v>2</v>
      </c>
      <c r="E28" s="460" t="s">
        <v>72</v>
      </c>
      <c r="F28" s="460"/>
      <c r="G28" s="460"/>
      <c r="H28" s="460">
        <f>SUM(H13:H26)</f>
        <v>140.66</v>
      </c>
      <c r="I28" s="460">
        <f>SUM(I13:I26)</f>
        <v>139.52000000000001</v>
      </c>
      <c r="J28" s="460">
        <f>SUM(J13:J26)</f>
        <v>120.21</v>
      </c>
      <c r="K28" s="460">
        <f>SUM(K13:K26)</f>
        <v>20.45</v>
      </c>
      <c r="L28" s="460">
        <f>SUM(L15:L22)</f>
        <v>19.309999999999999</v>
      </c>
      <c r="M28" s="460"/>
      <c r="N28" s="460">
        <f>N27</f>
        <v>1.1399999999999999</v>
      </c>
    </row>
    <row r="29" spans="1:41" ht="18.75" customHeight="1" x14ac:dyDescent="0.2">
      <c r="A29" s="464"/>
      <c r="B29" s="416"/>
      <c r="C29" s="416"/>
      <c r="D29" s="416"/>
      <c r="E29" s="460"/>
      <c r="F29" s="460"/>
      <c r="G29" s="460"/>
      <c r="H29" s="460"/>
      <c r="I29" s="460"/>
      <c r="J29" s="460"/>
      <c r="K29" s="460"/>
      <c r="L29" s="460"/>
      <c r="M29" s="460"/>
      <c r="N29" s="461"/>
    </row>
    <row r="30" spans="1:41" s="70" customFormat="1" ht="18.75" customHeight="1" x14ac:dyDescent="0.2">
      <c r="A30" s="61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9"/>
      <c r="N30" s="63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ht="18.75" customHeight="1" x14ac:dyDescent="0.2">
      <c r="A31" s="481" t="s">
        <v>36</v>
      </c>
      <c r="B31" s="483"/>
      <c r="C31" s="483"/>
      <c r="D31" s="483"/>
      <c r="E31" s="483"/>
      <c r="F31" s="483"/>
      <c r="G31" s="483"/>
      <c r="H31" s="483"/>
      <c r="I31" s="483"/>
      <c r="J31" s="483"/>
      <c r="K31" s="483"/>
      <c r="L31" s="483"/>
      <c r="M31" s="483"/>
      <c r="N31" s="482"/>
    </row>
    <row r="32" spans="1:41" ht="12.75" customHeight="1" x14ac:dyDescent="0.2">
      <c r="A32" s="412" t="s">
        <v>29</v>
      </c>
      <c r="B32" s="412" t="s">
        <v>30</v>
      </c>
      <c r="C32" s="412" t="s">
        <v>52</v>
      </c>
      <c r="D32" s="413"/>
      <c r="E32" s="412" t="s">
        <v>53</v>
      </c>
      <c r="F32" s="413"/>
      <c r="G32" s="412" t="s">
        <v>54</v>
      </c>
      <c r="H32" s="412" t="s">
        <v>55</v>
      </c>
      <c r="I32" s="413"/>
      <c r="J32" s="412" t="s">
        <v>56</v>
      </c>
      <c r="K32" s="412" t="s">
        <v>57</v>
      </c>
      <c r="L32" s="413"/>
      <c r="M32" s="412" t="s">
        <v>58</v>
      </c>
      <c r="N32" s="413"/>
    </row>
    <row r="33" spans="1:16" x14ac:dyDescent="0.2">
      <c r="A33" s="413"/>
      <c r="B33" s="413"/>
      <c r="C33" s="413"/>
      <c r="D33" s="413"/>
      <c r="E33" s="413"/>
      <c r="F33" s="413"/>
      <c r="G33" s="413"/>
      <c r="H33" s="413"/>
      <c r="I33" s="413"/>
      <c r="J33" s="413"/>
      <c r="K33" s="413"/>
      <c r="L33" s="413"/>
      <c r="M33" s="413"/>
      <c r="N33" s="413"/>
    </row>
    <row r="34" spans="1:16" x14ac:dyDescent="0.2">
      <c r="A34" s="413"/>
      <c r="B34" s="413"/>
      <c r="C34" s="29" t="s">
        <v>59</v>
      </c>
      <c r="D34" s="29" t="s">
        <v>60</v>
      </c>
      <c r="E34" s="29" t="s">
        <v>59</v>
      </c>
      <c r="F34" s="29" t="s">
        <v>60</v>
      </c>
      <c r="G34" s="413"/>
      <c r="H34" s="29" t="s">
        <v>59</v>
      </c>
      <c r="I34" s="29" t="s">
        <v>60</v>
      </c>
      <c r="J34" s="413"/>
      <c r="K34" s="29" t="s">
        <v>59</v>
      </c>
      <c r="L34" s="29" t="s">
        <v>60</v>
      </c>
      <c r="M34" s="49" t="s">
        <v>61</v>
      </c>
      <c r="N34" s="49" t="s">
        <v>62</v>
      </c>
    </row>
    <row r="35" spans="1:16" x14ac:dyDescent="0.2">
      <c r="A35" s="413"/>
      <c r="B35" s="413"/>
      <c r="C35" s="412" t="s">
        <v>63</v>
      </c>
      <c r="D35" s="412"/>
      <c r="E35" s="412" t="s">
        <v>63</v>
      </c>
      <c r="F35" s="412"/>
      <c r="G35" s="413"/>
      <c r="H35" s="412" t="s">
        <v>64</v>
      </c>
      <c r="I35" s="412"/>
      <c r="J35" s="413"/>
      <c r="K35" s="412" t="s">
        <v>64</v>
      </c>
      <c r="L35" s="412"/>
      <c r="M35" s="412" t="s">
        <v>64</v>
      </c>
      <c r="N35" s="412"/>
    </row>
    <row r="36" spans="1:16" x14ac:dyDescent="0.2">
      <c r="A36" s="462">
        <v>0</v>
      </c>
      <c r="B36" s="434">
        <v>12</v>
      </c>
      <c r="C36" s="416">
        <v>1.1000000000000001</v>
      </c>
      <c r="D36" s="416">
        <v>1</v>
      </c>
      <c r="E36" s="53"/>
      <c r="F36" s="53"/>
      <c r="G36" s="53"/>
      <c r="H36" s="53"/>
      <c r="I36" s="53"/>
      <c r="J36" s="53"/>
      <c r="K36" s="53"/>
      <c r="L36" s="53"/>
      <c r="M36" s="53"/>
      <c r="N36" s="53"/>
    </row>
    <row r="37" spans="1:16" x14ac:dyDescent="0.2">
      <c r="A37" s="463"/>
      <c r="B37" s="416"/>
      <c r="C37" s="416"/>
      <c r="D37" s="416"/>
      <c r="E37" s="416">
        <f>SUM(0.5*C36,0.5*C38)</f>
        <v>0.91</v>
      </c>
      <c r="F37" s="416">
        <f>SUM(0.5*D36,0.5*D38)</f>
        <v>0.9</v>
      </c>
      <c r="G37" s="416">
        <f>SUM(B38,-B36)</f>
        <v>5.7</v>
      </c>
      <c r="H37" s="416">
        <f>PRODUCT(E37,G37)</f>
        <v>5.19</v>
      </c>
      <c r="I37" s="416">
        <f>PRODUCT(F37,G37)</f>
        <v>5.13</v>
      </c>
      <c r="J37" s="416">
        <f>MIN(H37:I38)</f>
        <v>5.13</v>
      </c>
      <c r="K37" s="416">
        <f>IF(I37&lt;H37,(H37-I37),"")</f>
        <v>0.06</v>
      </c>
      <c r="L37" s="416" t="str">
        <f>IF(H37&lt;I37,(I37-H37),"")</f>
        <v/>
      </c>
      <c r="M37" s="416"/>
      <c r="N37" s="416">
        <f>N27+K37</f>
        <v>1.2</v>
      </c>
    </row>
    <row r="38" spans="1:16" x14ac:dyDescent="0.2">
      <c r="A38" s="463"/>
      <c r="B38" s="416">
        <v>17.7</v>
      </c>
      <c r="C38" s="416">
        <v>0.72</v>
      </c>
      <c r="D38" s="416">
        <v>0.8</v>
      </c>
      <c r="E38" s="416"/>
      <c r="F38" s="416"/>
      <c r="G38" s="416"/>
      <c r="H38" s="416"/>
      <c r="I38" s="416"/>
      <c r="J38" s="416"/>
      <c r="K38" s="416"/>
      <c r="L38" s="416"/>
      <c r="M38" s="416"/>
      <c r="N38" s="416"/>
    </row>
    <row r="39" spans="1:16" x14ac:dyDescent="0.2">
      <c r="A39" s="463"/>
      <c r="B39" s="416"/>
      <c r="C39" s="416"/>
      <c r="D39" s="416"/>
      <c r="E39" s="416">
        <f>SUM(0.5*C38,0.5*C40)</f>
        <v>0.76</v>
      </c>
      <c r="F39" s="416">
        <f>SUM(0.5*D38,0.5*D40)</f>
        <v>0.73</v>
      </c>
      <c r="G39" s="416">
        <f>SUM(B40,-B38)</f>
        <v>17.3</v>
      </c>
      <c r="H39" s="416">
        <f>PRODUCT(E39,G39)</f>
        <v>13.15</v>
      </c>
      <c r="I39" s="416">
        <f>PRODUCT(F39,G39)</f>
        <v>12.63</v>
      </c>
      <c r="J39" s="416">
        <f>MIN(H39:I40)</f>
        <v>12.63</v>
      </c>
      <c r="K39" s="416">
        <f>IF(I39&lt;H39,(H39-I39),"")</f>
        <v>0.52</v>
      </c>
      <c r="L39" s="416" t="str">
        <f>IF(H39&lt;I39,(I39-H39),"")</f>
        <v/>
      </c>
      <c r="M39" s="416"/>
      <c r="N39" s="416">
        <f>N37+K39</f>
        <v>1.72</v>
      </c>
    </row>
    <row r="40" spans="1:16" x14ac:dyDescent="0.2">
      <c r="A40" s="463"/>
      <c r="B40" s="416">
        <v>35</v>
      </c>
      <c r="C40" s="416">
        <v>0.8</v>
      </c>
      <c r="D40" s="416">
        <v>0.65</v>
      </c>
      <c r="E40" s="416"/>
      <c r="F40" s="416"/>
      <c r="G40" s="416"/>
      <c r="H40" s="416"/>
      <c r="I40" s="416"/>
      <c r="J40" s="416"/>
      <c r="K40" s="416"/>
      <c r="L40" s="416"/>
      <c r="M40" s="416"/>
      <c r="N40" s="416"/>
    </row>
    <row r="41" spans="1:16" x14ac:dyDescent="0.2">
      <c r="A41" s="463"/>
      <c r="B41" s="416"/>
      <c r="C41" s="416"/>
      <c r="D41" s="416"/>
      <c r="E41" s="416">
        <f>SUM(0.5*C40,0.5*C42)</f>
        <v>0.4</v>
      </c>
      <c r="F41" s="416">
        <f>SUM(0.5*D40,0.5*D42)</f>
        <v>0.33</v>
      </c>
      <c r="G41" s="416">
        <f>SUM(B42,-B40)</f>
        <v>17</v>
      </c>
      <c r="H41" s="416">
        <f>PRODUCT(E41,G41)</f>
        <v>6.8</v>
      </c>
      <c r="I41" s="416">
        <f>PRODUCT(F41,G41)</f>
        <v>5.61</v>
      </c>
      <c r="J41" s="416">
        <f>MIN(H41:I42)</f>
        <v>5.61</v>
      </c>
      <c r="K41" s="416">
        <f>IF(I41&lt;H41,(H41-I41),"")</f>
        <v>1.19</v>
      </c>
      <c r="L41" s="416" t="str">
        <f>IF(H41&lt;I41,(I41-H41),"")</f>
        <v/>
      </c>
      <c r="M41" s="416">
        <f>N39+K41</f>
        <v>2.91</v>
      </c>
      <c r="N41" s="416"/>
    </row>
    <row r="42" spans="1:16" x14ac:dyDescent="0.2">
      <c r="A42" s="463"/>
      <c r="B42" s="416">
        <v>52</v>
      </c>
      <c r="C42" s="416">
        <v>0</v>
      </c>
      <c r="D42" s="416">
        <v>0</v>
      </c>
      <c r="E42" s="416"/>
      <c r="F42" s="416"/>
      <c r="G42" s="416"/>
      <c r="H42" s="416"/>
      <c r="I42" s="416"/>
      <c r="J42" s="416"/>
      <c r="K42" s="416"/>
      <c r="L42" s="416"/>
      <c r="M42" s="416"/>
      <c r="N42" s="416"/>
    </row>
    <row r="43" spans="1:16" ht="17.25" customHeight="1" x14ac:dyDescent="0.2">
      <c r="A43" s="463"/>
      <c r="B43" s="416"/>
      <c r="C43" s="416"/>
      <c r="D43" s="416"/>
      <c r="E43" s="30" t="s">
        <v>2</v>
      </c>
      <c r="F43" s="30" t="s">
        <v>2</v>
      </c>
      <c r="G43" s="30" t="s">
        <v>2</v>
      </c>
      <c r="H43" s="30" t="s">
        <v>2</v>
      </c>
      <c r="I43" s="30" t="s">
        <v>2</v>
      </c>
      <c r="J43" s="30" t="s">
        <v>2</v>
      </c>
      <c r="K43" s="30" t="s">
        <v>2</v>
      </c>
      <c r="L43" s="30" t="s">
        <v>2</v>
      </c>
      <c r="M43" s="30">
        <f>M41</f>
        <v>2.91</v>
      </c>
      <c r="N43" s="30"/>
    </row>
    <row r="44" spans="1:16" ht="12.75" customHeight="1" x14ac:dyDescent="0.2">
      <c r="A44" s="463"/>
      <c r="B44" s="416" t="s">
        <v>2</v>
      </c>
      <c r="C44" s="416" t="s">
        <v>2</v>
      </c>
      <c r="D44" s="416" t="s">
        <v>2</v>
      </c>
      <c r="E44" s="460" t="s">
        <v>72</v>
      </c>
      <c r="F44" s="460"/>
      <c r="G44" s="460"/>
      <c r="H44" s="460">
        <f>SUM(H37:H43)</f>
        <v>25.14</v>
      </c>
      <c r="I44" s="460">
        <f>SUM(I37:I43)</f>
        <v>23.37</v>
      </c>
      <c r="J44" s="460">
        <f>SUM(J13:J43)</f>
        <v>263.79000000000002</v>
      </c>
      <c r="K44" s="460">
        <f>SUM(K13:K43)</f>
        <v>42.67</v>
      </c>
      <c r="L44" s="460">
        <f>SUM(L13:L43)</f>
        <v>38.619999999999997</v>
      </c>
      <c r="M44" s="460">
        <f>M43</f>
        <v>2.91</v>
      </c>
      <c r="N44" s="460"/>
    </row>
    <row r="45" spans="1:16" ht="13.5" customHeight="1" x14ac:dyDescent="0.2">
      <c r="A45" s="464"/>
      <c r="B45" s="416"/>
      <c r="C45" s="416"/>
      <c r="D45" s="416"/>
      <c r="E45" s="460"/>
      <c r="F45" s="460"/>
      <c r="G45" s="460"/>
      <c r="H45" s="460"/>
      <c r="I45" s="460"/>
      <c r="J45" s="460"/>
      <c r="K45" s="460"/>
      <c r="L45" s="460"/>
      <c r="M45" s="460"/>
      <c r="N45" s="460"/>
    </row>
    <row r="46" spans="1:16" ht="14.25" customHeight="1" x14ac:dyDescent="0.2"/>
    <row r="47" spans="1:16" ht="43.5" customHeight="1" x14ac:dyDescent="0.2">
      <c r="B47" s="473" t="s">
        <v>105</v>
      </c>
      <c r="C47" s="474"/>
      <c r="D47" s="474"/>
      <c r="E47" s="474"/>
      <c r="F47" s="474"/>
      <c r="G47" s="475"/>
      <c r="H47" s="479" t="s">
        <v>73</v>
      </c>
      <c r="I47" s="479" t="s">
        <v>74</v>
      </c>
      <c r="J47" s="481" t="s">
        <v>75</v>
      </c>
      <c r="K47" s="482"/>
      <c r="P47" s="36"/>
    </row>
    <row r="48" spans="1:16" ht="15.75" customHeight="1" x14ac:dyDescent="0.2">
      <c r="B48" s="476"/>
      <c r="C48" s="477"/>
      <c r="D48" s="477"/>
      <c r="E48" s="477"/>
      <c r="F48" s="477"/>
      <c r="G48" s="478"/>
      <c r="H48" s="480"/>
      <c r="I48" s="480"/>
      <c r="J48" s="51" t="s">
        <v>61</v>
      </c>
      <c r="K48" s="51" t="s">
        <v>62</v>
      </c>
      <c r="P48" s="36"/>
    </row>
    <row r="49" spans="2:11" ht="30.75" customHeight="1" x14ac:dyDescent="0.2">
      <c r="B49" s="468" t="s">
        <v>76</v>
      </c>
      <c r="C49" s="468"/>
      <c r="D49" s="468"/>
      <c r="E49" s="468"/>
      <c r="F49" s="468"/>
      <c r="G49" s="468"/>
      <c r="H49" s="469">
        <f>(3.14*1*1)*1.6+(3.14*1*1)*1.66+(3.14*1*1)*1.67+(3.14*1*1)*1.18</f>
        <v>19.190000000000001</v>
      </c>
      <c r="I49" s="469">
        <f>H49-((3.14*0.6*0.6)*1.6+(3.14*0.6*0.6)*1.66+(3.14*0.6*0.6)*1.67+(3.14*0.6*0.6)*1.18)</f>
        <v>12.28</v>
      </c>
      <c r="J49" s="416">
        <f>IF(I49&lt;H49,(H49-I49),"")</f>
        <v>6.91</v>
      </c>
      <c r="K49" s="470" t="str">
        <f>IF(H49&lt;I49,(H49-I49),"")</f>
        <v/>
      </c>
    </row>
    <row r="50" spans="2:11" ht="24" customHeight="1" x14ac:dyDescent="0.2">
      <c r="B50" s="468"/>
      <c r="C50" s="468"/>
      <c r="D50" s="468"/>
      <c r="E50" s="468"/>
      <c r="F50" s="468"/>
      <c r="G50" s="468"/>
      <c r="H50" s="469"/>
      <c r="I50" s="469"/>
      <c r="J50" s="416"/>
      <c r="K50" s="471"/>
    </row>
    <row r="51" spans="2:11" x14ac:dyDescent="0.2">
      <c r="B51" s="468" t="s">
        <v>77</v>
      </c>
      <c r="C51" s="468"/>
      <c r="D51" s="468"/>
      <c r="E51" s="468"/>
      <c r="F51" s="468"/>
      <c r="G51" s="468"/>
      <c r="H51" s="469">
        <f>1.1*(3.14*1.25*1.25)</f>
        <v>5.4</v>
      </c>
      <c r="I51" s="472">
        <f>H51-(1.1*(3.14*0.75*0.75))</f>
        <v>3.457125</v>
      </c>
      <c r="J51" s="416">
        <f>IF(I51&lt;H51,(H51-I51),"")</f>
        <v>1.94</v>
      </c>
      <c r="K51" s="470" t="str">
        <f>IF(H51&lt;I51,(H51-I51),"")</f>
        <v/>
      </c>
    </row>
    <row r="52" spans="2:11" ht="20.25" customHeight="1" x14ac:dyDescent="0.2">
      <c r="B52" s="468"/>
      <c r="C52" s="468"/>
      <c r="D52" s="468"/>
      <c r="E52" s="468"/>
      <c r="F52" s="468"/>
      <c r="G52" s="468"/>
      <c r="H52" s="469"/>
      <c r="I52" s="472"/>
      <c r="J52" s="416"/>
      <c r="K52" s="471"/>
    </row>
    <row r="53" spans="2:11" ht="16.5" customHeight="1" x14ac:dyDescent="0.2">
      <c r="B53" s="468" t="s">
        <v>78</v>
      </c>
      <c r="C53" s="468"/>
      <c r="D53" s="468"/>
      <c r="E53" s="468"/>
      <c r="F53" s="468"/>
      <c r="G53" s="468"/>
      <c r="H53" s="472">
        <f>1*0.5*11</f>
        <v>5.5</v>
      </c>
      <c r="I53" s="469">
        <f>0.8*0.5*11</f>
        <v>4.4000000000000004</v>
      </c>
      <c r="J53" s="416">
        <f>IF(I53&lt;H53,(H53-I53),"")</f>
        <v>1.1000000000000001</v>
      </c>
      <c r="K53" s="470" t="str">
        <f>IF(H53&lt;I53,(H53-I53),"")</f>
        <v/>
      </c>
    </row>
    <row r="54" spans="2:11" ht="7.5" customHeight="1" x14ac:dyDescent="0.2">
      <c r="B54" s="468"/>
      <c r="C54" s="468"/>
      <c r="D54" s="468"/>
      <c r="E54" s="468"/>
      <c r="F54" s="468"/>
      <c r="G54" s="468"/>
      <c r="H54" s="472"/>
      <c r="I54" s="469"/>
      <c r="J54" s="416"/>
      <c r="K54" s="471"/>
    </row>
    <row r="55" spans="2:11" x14ac:dyDescent="0.2">
      <c r="B55" s="468" t="s">
        <v>79</v>
      </c>
      <c r="C55" s="468"/>
      <c r="D55" s="468"/>
      <c r="E55" s="468"/>
      <c r="F55" s="468"/>
      <c r="G55" s="468"/>
      <c r="H55" s="469">
        <f>1*1*1.7*4</f>
        <v>6.8</v>
      </c>
      <c r="I55" s="469">
        <f>H55-(0.25*0.25*3.14)*1.7*4</f>
        <v>5.47</v>
      </c>
      <c r="J55" s="416">
        <f>IF(I55&lt;H55,(H55-I55),"")</f>
        <v>1.33</v>
      </c>
      <c r="K55" s="470" t="str">
        <f>IF(H55&lt;I55,(H55-I55),"")</f>
        <v/>
      </c>
    </row>
    <row r="56" spans="2:11" x14ac:dyDescent="0.2">
      <c r="B56" s="468"/>
      <c r="C56" s="468"/>
      <c r="D56" s="468"/>
      <c r="E56" s="468"/>
      <c r="F56" s="468"/>
      <c r="G56" s="468"/>
      <c r="H56" s="469"/>
      <c r="I56" s="469"/>
      <c r="J56" s="416"/>
      <c r="K56" s="471"/>
    </row>
    <row r="57" spans="2:11" ht="21" customHeight="1" x14ac:dyDescent="0.2">
      <c r="I57" s="54" t="s">
        <v>0</v>
      </c>
      <c r="J57" s="55">
        <f>SUM(J49:J56)</f>
        <v>11.28</v>
      </c>
      <c r="K57" s="55">
        <f>SUM(K49:K56)</f>
        <v>0</v>
      </c>
    </row>
    <row r="60" spans="2:11" ht="13.5" thickBot="1" x14ac:dyDescent="0.25"/>
    <row r="61" spans="2:11" ht="15" customHeight="1" x14ac:dyDescent="0.2">
      <c r="B61" s="465" t="s">
        <v>106</v>
      </c>
      <c r="C61" s="466"/>
      <c r="D61" s="466"/>
      <c r="E61" s="466"/>
      <c r="F61" s="466"/>
      <c r="G61" s="466"/>
      <c r="H61" s="466"/>
      <c r="I61" s="467"/>
    </row>
    <row r="62" spans="2:11" ht="12.75" customHeight="1" x14ac:dyDescent="0.2">
      <c r="B62" s="451" t="s">
        <v>80</v>
      </c>
      <c r="C62" s="452"/>
      <c r="D62" s="452"/>
      <c r="E62" s="452"/>
      <c r="F62" s="452"/>
      <c r="G62" s="452"/>
      <c r="H62" s="453">
        <f>H28+J57</f>
        <v>151.94</v>
      </c>
      <c r="I62" s="454"/>
    </row>
    <row r="63" spans="2:11" x14ac:dyDescent="0.2">
      <c r="B63" s="451"/>
      <c r="C63" s="452"/>
      <c r="D63" s="452"/>
      <c r="E63" s="452"/>
      <c r="F63" s="452"/>
      <c r="G63" s="452"/>
      <c r="H63" s="455"/>
      <c r="I63" s="454"/>
    </row>
    <row r="64" spans="2:11" ht="12.75" customHeight="1" x14ac:dyDescent="0.2">
      <c r="B64" s="451" t="s">
        <v>81</v>
      </c>
      <c r="C64" s="452"/>
      <c r="D64" s="452"/>
      <c r="E64" s="452"/>
      <c r="F64" s="452"/>
      <c r="G64" s="452"/>
      <c r="H64" s="453">
        <f>I28</f>
        <v>139.52000000000001</v>
      </c>
      <c r="I64" s="454"/>
    </row>
    <row r="65" spans="2:9" x14ac:dyDescent="0.2">
      <c r="B65" s="451"/>
      <c r="C65" s="452"/>
      <c r="D65" s="452"/>
      <c r="E65" s="452"/>
      <c r="F65" s="452"/>
      <c r="G65" s="452"/>
      <c r="H65" s="455"/>
      <c r="I65" s="454"/>
    </row>
    <row r="66" spans="2:9" ht="12.75" customHeight="1" x14ac:dyDescent="0.2">
      <c r="B66" s="451" t="s">
        <v>82</v>
      </c>
      <c r="C66" s="452"/>
      <c r="D66" s="452"/>
      <c r="E66" s="452"/>
      <c r="F66" s="452"/>
      <c r="G66" s="452"/>
      <c r="H66" s="453">
        <f>H62-H64</f>
        <v>12.42</v>
      </c>
      <c r="I66" s="454"/>
    </row>
    <row r="67" spans="2:9" ht="18" customHeight="1" thickBot="1" x14ac:dyDescent="0.25">
      <c r="B67" s="456"/>
      <c r="C67" s="457"/>
      <c r="D67" s="457"/>
      <c r="E67" s="457"/>
      <c r="F67" s="457"/>
      <c r="G67" s="457"/>
      <c r="H67" s="458"/>
      <c r="I67" s="459"/>
    </row>
    <row r="68" spans="2:9" ht="13.5" thickBot="1" x14ac:dyDescent="0.25"/>
    <row r="69" spans="2:9" ht="15" x14ac:dyDescent="0.2">
      <c r="B69" s="465" t="s">
        <v>107</v>
      </c>
      <c r="C69" s="466"/>
      <c r="D69" s="466"/>
      <c r="E69" s="466"/>
      <c r="F69" s="466"/>
      <c r="G69" s="466"/>
      <c r="H69" s="466"/>
      <c r="I69" s="467"/>
    </row>
    <row r="70" spans="2:9" x14ac:dyDescent="0.2">
      <c r="B70" s="451" t="s">
        <v>80</v>
      </c>
      <c r="C70" s="452"/>
      <c r="D70" s="452"/>
      <c r="E70" s="452"/>
      <c r="F70" s="452"/>
      <c r="G70" s="452"/>
      <c r="H70" s="453">
        <f>H44</f>
        <v>25.14</v>
      </c>
      <c r="I70" s="454"/>
    </row>
    <row r="71" spans="2:9" x14ac:dyDescent="0.2">
      <c r="B71" s="451"/>
      <c r="C71" s="452"/>
      <c r="D71" s="452"/>
      <c r="E71" s="452"/>
      <c r="F71" s="452"/>
      <c r="G71" s="452"/>
      <c r="H71" s="455"/>
      <c r="I71" s="454"/>
    </row>
    <row r="72" spans="2:9" x14ac:dyDescent="0.2">
      <c r="B72" s="451" t="s">
        <v>81</v>
      </c>
      <c r="C72" s="452"/>
      <c r="D72" s="452"/>
      <c r="E72" s="452"/>
      <c r="F72" s="452"/>
      <c r="G72" s="452"/>
      <c r="H72" s="453">
        <f>I44</f>
        <v>23.37</v>
      </c>
      <c r="I72" s="454"/>
    </row>
    <row r="73" spans="2:9" x14ac:dyDescent="0.2">
      <c r="B73" s="451"/>
      <c r="C73" s="452"/>
      <c r="D73" s="452"/>
      <c r="E73" s="452"/>
      <c r="F73" s="452"/>
      <c r="G73" s="452"/>
      <c r="H73" s="455"/>
      <c r="I73" s="454"/>
    </row>
    <row r="74" spans="2:9" x14ac:dyDescent="0.2">
      <c r="B74" s="451" t="s">
        <v>82</v>
      </c>
      <c r="C74" s="452"/>
      <c r="D74" s="452"/>
      <c r="E74" s="452"/>
      <c r="F74" s="452"/>
      <c r="G74" s="452"/>
      <c r="H74" s="453">
        <f>H70-H72</f>
        <v>1.77</v>
      </c>
      <c r="I74" s="454"/>
    </row>
    <row r="75" spans="2:9" ht="13.5" thickBot="1" x14ac:dyDescent="0.25">
      <c r="B75" s="456"/>
      <c r="C75" s="457"/>
      <c r="D75" s="457"/>
      <c r="E75" s="457"/>
      <c r="F75" s="457"/>
      <c r="G75" s="457"/>
      <c r="H75" s="458"/>
      <c r="I75" s="459"/>
    </row>
  </sheetData>
  <mergeCells count="231">
    <mergeCell ref="J8:J11"/>
    <mergeCell ref="K8:L9"/>
    <mergeCell ref="M8:N9"/>
    <mergeCell ref="C11:D11"/>
    <mergeCell ref="E11:F11"/>
    <mergeCell ref="H11:I11"/>
    <mergeCell ref="K11:L11"/>
    <mergeCell ref="M11:N11"/>
    <mergeCell ref="M1:N2"/>
    <mergeCell ref="A3:N3"/>
    <mergeCell ref="A4:N5"/>
    <mergeCell ref="A7:N7"/>
    <mergeCell ref="A8:A11"/>
    <mergeCell ref="B8:B11"/>
    <mergeCell ref="C8:D9"/>
    <mergeCell ref="E8:F9"/>
    <mergeCell ref="G8:G11"/>
    <mergeCell ref="H8:I9"/>
    <mergeCell ref="M13:M14"/>
    <mergeCell ref="N13:N14"/>
    <mergeCell ref="B14:B15"/>
    <mergeCell ref="C14:C15"/>
    <mergeCell ref="D14:D15"/>
    <mergeCell ref="E15:E16"/>
    <mergeCell ref="F15:F16"/>
    <mergeCell ref="G15:G16"/>
    <mergeCell ref="H15:H16"/>
    <mergeCell ref="I15:I16"/>
    <mergeCell ref="G13:G14"/>
    <mergeCell ref="H13:H14"/>
    <mergeCell ref="I13:I14"/>
    <mergeCell ref="J13:J14"/>
    <mergeCell ref="K13:K14"/>
    <mergeCell ref="L13:L14"/>
    <mergeCell ref="B12:B13"/>
    <mergeCell ref="C12:C13"/>
    <mergeCell ref="D12:D13"/>
    <mergeCell ref="E13:E14"/>
    <mergeCell ref="F13:F14"/>
    <mergeCell ref="J15:J16"/>
    <mergeCell ref="K15:K16"/>
    <mergeCell ref="L15:L16"/>
    <mergeCell ref="M15:M16"/>
    <mergeCell ref="N15:N16"/>
    <mergeCell ref="B16:B17"/>
    <mergeCell ref="C16:C17"/>
    <mergeCell ref="D16:D17"/>
    <mergeCell ref="E17:E18"/>
    <mergeCell ref="F17:F18"/>
    <mergeCell ref="M17:M18"/>
    <mergeCell ref="N17:N18"/>
    <mergeCell ref="B18:B19"/>
    <mergeCell ref="C18:C19"/>
    <mergeCell ref="D18:D19"/>
    <mergeCell ref="E19:E20"/>
    <mergeCell ref="F19:F20"/>
    <mergeCell ref="G19:G20"/>
    <mergeCell ref="H19:H20"/>
    <mergeCell ref="I19:I20"/>
    <mergeCell ref="G17:G18"/>
    <mergeCell ref="H17:H18"/>
    <mergeCell ref="I17:I18"/>
    <mergeCell ref="J17:J18"/>
    <mergeCell ref="K17:K18"/>
    <mergeCell ref="L17:L18"/>
    <mergeCell ref="N19:N20"/>
    <mergeCell ref="F23:F24"/>
    <mergeCell ref="G23:G24"/>
    <mergeCell ref="K23:K24"/>
    <mergeCell ref="H23:H24"/>
    <mergeCell ref="I23:I24"/>
    <mergeCell ref="D24:D25"/>
    <mergeCell ref="E25:E26"/>
    <mergeCell ref="F25:F26"/>
    <mergeCell ref="C20:C21"/>
    <mergeCell ref="D20:D21"/>
    <mergeCell ref="E21:E22"/>
    <mergeCell ref="F21:F22"/>
    <mergeCell ref="I21:I22"/>
    <mergeCell ref="J21:J22"/>
    <mergeCell ref="J19:J20"/>
    <mergeCell ref="K19:K20"/>
    <mergeCell ref="N23:N24"/>
    <mergeCell ref="B24:B25"/>
    <mergeCell ref="C24:C25"/>
    <mergeCell ref="K25:K26"/>
    <mergeCell ref="L25:L26"/>
    <mergeCell ref="J23:J24"/>
    <mergeCell ref="L23:L24"/>
    <mergeCell ref="G21:G22"/>
    <mergeCell ref="H21:H22"/>
    <mergeCell ref="M23:M24"/>
    <mergeCell ref="M25:M26"/>
    <mergeCell ref="M21:M22"/>
    <mergeCell ref="N21:N22"/>
    <mergeCell ref="K21:K22"/>
    <mergeCell ref="L21:L22"/>
    <mergeCell ref="N25:N26"/>
    <mergeCell ref="B26:B27"/>
    <mergeCell ref="B20:B21"/>
    <mergeCell ref="B22:B23"/>
    <mergeCell ref="L19:L20"/>
    <mergeCell ref="M19:M20"/>
    <mergeCell ref="C22:C23"/>
    <mergeCell ref="D22:D23"/>
    <mergeCell ref="E23:E24"/>
    <mergeCell ref="M32:N33"/>
    <mergeCell ref="C35:D35"/>
    <mergeCell ref="E35:F35"/>
    <mergeCell ref="H35:I35"/>
    <mergeCell ref="K35:L35"/>
    <mergeCell ref="M35:N35"/>
    <mergeCell ref="A31:N31"/>
    <mergeCell ref="G25:G26"/>
    <mergeCell ref="H25:H26"/>
    <mergeCell ref="I25:I26"/>
    <mergeCell ref="J25:J26"/>
    <mergeCell ref="A32:A35"/>
    <mergeCell ref="B32:B35"/>
    <mergeCell ref="C32:D33"/>
    <mergeCell ref="E32:F33"/>
    <mergeCell ref="G32:G35"/>
    <mergeCell ref="C26:C27"/>
    <mergeCell ref="D26:D27"/>
    <mergeCell ref="A36:A45"/>
    <mergeCell ref="B36:B37"/>
    <mergeCell ref="C36:C37"/>
    <mergeCell ref="D36:D37"/>
    <mergeCell ref="E37:E38"/>
    <mergeCell ref="F37:F38"/>
    <mergeCell ref="H32:I33"/>
    <mergeCell ref="J32:J35"/>
    <mergeCell ref="K32:L33"/>
    <mergeCell ref="E41:E42"/>
    <mergeCell ref="F41:F42"/>
    <mergeCell ref="I44:I45"/>
    <mergeCell ref="J44:J45"/>
    <mergeCell ref="K44:K45"/>
    <mergeCell ref="L44:L45"/>
    <mergeCell ref="M37:M38"/>
    <mergeCell ref="N37:N38"/>
    <mergeCell ref="B38:B39"/>
    <mergeCell ref="C38:C39"/>
    <mergeCell ref="D38:D39"/>
    <mergeCell ref="E39:E40"/>
    <mergeCell ref="F39:F40"/>
    <mergeCell ref="G39:G40"/>
    <mergeCell ref="H39:H40"/>
    <mergeCell ref="I39:I40"/>
    <mergeCell ref="G37:G38"/>
    <mergeCell ref="H37:H38"/>
    <mergeCell ref="I37:I38"/>
    <mergeCell ref="J37:J38"/>
    <mergeCell ref="K37:K38"/>
    <mergeCell ref="L37:L38"/>
    <mergeCell ref="J39:J40"/>
    <mergeCell ref="K39:K40"/>
    <mergeCell ref="L39:L40"/>
    <mergeCell ref="M39:M40"/>
    <mergeCell ref="N39:N40"/>
    <mergeCell ref="B40:B41"/>
    <mergeCell ref="C40:C41"/>
    <mergeCell ref="D40:D41"/>
    <mergeCell ref="M44:M45"/>
    <mergeCell ref="N44:N45"/>
    <mergeCell ref="M41:M42"/>
    <mergeCell ref="N41:N42"/>
    <mergeCell ref="B42:B43"/>
    <mergeCell ref="C42:C43"/>
    <mergeCell ref="D42:D43"/>
    <mergeCell ref="B44:B45"/>
    <mergeCell ref="C44:C45"/>
    <mergeCell ref="D44:D45"/>
    <mergeCell ref="E44:G45"/>
    <mergeCell ref="H44:H45"/>
    <mergeCell ref="G41:G42"/>
    <mergeCell ref="H41:H42"/>
    <mergeCell ref="I41:I42"/>
    <mergeCell ref="J41:J42"/>
    <mergeCell ref="K41:K42"/>
    <mergeCell ref="L41:L42"/>
    <mergeCell ref="B47:G48"/>
    <mergeCell ref="H47:H48"/>
    <mergeCell ref="I47:I48"/>
    <mergeCell ref="J47:K47"/>
    <mergeCell ref="B49:G50"/>
    <mergeCell ref="H49:H50"/>
    <mergeCell ref="I49:I50"/>
    <mergeCell ref="J49:J50"/>
    <mergeCell ref="K49:K50"/>
    <mergeCell ref="H66:I67"/>
    <mergeCell ref="B55:G56"/>
    <mergeCell ref="H55:H56"/>
    <mergeCell ref="I55:I56"/>
    <mergeCell ref="J55:J56"/>
    <mergeCell ref="K55:K56"/>
    <mergeCell ref="B61:I61"/>
    <mergeCell ref="B51:G52"/>
    <mergeCell ref="H51:H52"/>
    <mergeCell ref="I51:I52"/>
    <mergeCell ref="J51:J52"/>
    <mergeCell ref="K51:K52"/>
    <mergeCell ref="B53:G54"/>
    <mergeCell ref="H53:H54"/>
    <mergeCell ref="I53:I54"/>
    <mergeCell ref="J53:J54"/>
    <mergeCell ref="K53:K54"/>
    <mergeCell ref="B72:G73"/>
    <mergeCell ref="H72:I73"/>
    <mergeCell ref="B74:G75"/>
    <mergeCell ref="H74:I75"/>
    <mergeCell ref="N28:N29"/>
    <mergeCell ref="A12:A29"/>
    <mergeCell ref="I28:I29"/>
    <mergeCell ref="J28:J29"/>
    <mergeCell ref="K28:K29"/>
    <mergeCell ref="L28:L29"/>
    <mergeCell ref="M28:M29"/>
    <mergeCell ref="D28:D29"/>
    <mergeCell ref="E28:G29"/>
    <mergeCell ref="B28:B29"/>
    <mergeCell ref="C28:C29"/>
    <mergeCell ref="H28:H29"/>
    <mergeCell ref="B69:I69"/>
    <mergeCell ref="B70:G71"/>
    <mergeCell ref="H70:I71"/>
    <mergeCell ref="B62:G63"/>
    <mergeCell ref="H62:I63"/>
    <mergeCell ref="B64:G65"/>
    <mergeCell ref="H64:I65"/>
    <mergeCell ref="B66:G67"/>
  </mergeCells>
  <printOptions horizontalCentered="1"/>
  <pageMargins left="0.74803149606299213" right="0.74803149606299213" top="0.98425196850393704" bottom="0.98425196850393704" header="0.51181102362204722" footer="0.51181102362204722"/>
  <pageSetup paperSize="8" scale="92" fitToWidth="0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13</vt:i4>
      </vt:variant>
    </vt:vector>
  </HeadingPairs>
  <TitlesOfParts>
    <vt:vector size="26" baseType="lpstr">
      <vt:lpstr>strona tyt KI</vt:lpstr>
      <vt:lpstr>01.0_ST KO</vt:lpstr>
      <vt:lpstr>02.2_ZZK</vt:lpstr>
      <vt:lpstr>02.3_KI</vt:lpstr>
      <vt:lpstr>5.1. Brzeziny - Dół Płn.</vt:lpstr>
      <vt:lpstr>5.2. Brzeziny - Dół Płn.</vt:lpstr>
      <vt:lpstr>4.Zdjęcie humusu</vt:lpstr>
      <vt:lpstr>5. Humusowanie</vt:lpstr>
      <vt:lpstr>6.Wykopy-Nasypy</vt:lpstr>
      <vt:lpstr>7.Koryto</vt:lpstr>
      <vt:lpstr>8.odcinająca</vt:lpstr>
      <vt:lpstr>9.wiążąca</vt:lpstr>
      <vt:lpstr>10.ścieralna</vt:lpstr>
      <vt:lpstr>'01.0_ST KO'!Obszar_wydruku</vt:lpstr>
      <vt:lpstr>'02.2_ZZK'!Obszar_wydruku</vt:lpstr>
      <vt:lpstr>'02.3_KI'!Obszar_wydruku</vt:lpstr>
      <vt:lpstr>'10.ścieralna'!Obszar_wydruku</vt:lpstr>
      <vt:lpstr>'4.Zdjęcie humusu'!Obszar_wydruku</vt:lpstr>
      <vt:lpstr>'5. Humusowanie'!Obszar_wydruku</vt:lpstr>
      <vt:lpstr>'5.1. Brzeziny - Dół Płn.'!Obszar_wydruku</vt:lpstr>
      <vt:lpstr>'5.2. Brzeziny - Dół Płn.'!Obszar_wydruku</vt:lpstr>
      <vt:lpstr>'6.Wykopy-Nasypy'!Obszar_wydruku</vt:lpstr>
      <vt:lpstr>'7.Koryto'!Obszar_wydruku</vt:lpstr>
      <vt:lpstr>'8.odcinająca'!Obszar_wydruku</vt:lpstr>
      <vt:lpstr>'9.wiążąca'!Obszar_wydruku</vt:lpstr>
      <vt:lpstr>'strona tyt 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RC15</dc:creator>
  <cp:lastModifiedBy>Mikołaj Wójcik</cp:lastModifiedBy>
  <cp:lastPrinted>2024-06-04T09:35:10Z</cp:lastPrinted>
  <dcterms:created xsi:type="dcterms:W3CDTF">1997-02-26T13:46:56Z</dcterms:created>
  <dcterms:modified xsi:type="dcterms:W3CDTF">2024-07-18T12:16:11Z</dcterms:modified>
</cp:coreProperties>
</file>