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625" windowWidth="10320" windowHeight="1170" tabRatio="602" activeTab="3"/>
  </bookViews>
  <sheets>
    <sheet name="BIAŁO_603" sheetId="1" r:id="rId1"/>
    <sheet name="BIAŁO_604" sheetId="2" r:id="rId2"/>
    <sheet name="ZEGRZPŁD_466" sheetId="3" r:id="rId3"/>
    <sheet name="POMIECH_731" sheetId="4" r:id="rId4"/>
  </sheets>
  <definedNames/>
  <calcPr fullCalcOnLoad="1"/>
</workbook>
</file>

<file path=xl/comments1.xml><?xml version="1.0" encoding="utf-8"?>
<comments xmlns="http://schemas.openxmlformats.org/spreadsheetml/2006/main">
  <authors>
    <author>Andrzej Gościcki</author>
    <author>Gościcki Andrzej</author>
    <author>dm</author>
    <author>Dariusz Sznajder</author>
  </authors>
  <commentList>
    <comment ref="T20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dlaczego ???</t>
        </r>
      </text>
    </comment>
    <comment ref="B22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nr 17 i 18 to korekty ???</t>
        </r>
      </text>
    </comment>
    <comment ref="AA22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2784,87</t>
        </r>
      </text>
    </comment>
    <comment ref="AA24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2579,25</t>
        </r>
      </text>
    </comment>
    <comment ref="AA30" authorId="1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2916,26</t>
        </r>
      </text>
    </comment>
    <comment ref="AA40" authorId="2">
      <text>
        <r>
          <rPr>
            <b/>
            <sz val="8"/>
            <rFont val="Tahoma"/>
            <family val="2"/>
          </rPr>
          <t>dm:</t>
        </r>
        <r>
          <rPr>
            <sz val="8"/>
            <rFont val="Tahoma"/>
            <family val="2"/>
          </rPr>
          <t xml:space="preserve">
,65</t>
        </r>
      </text>
    </comment>
    <comment ref="AA47" authorId="3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,36</t>
        </r>
      </text>
    </comment>
    <comment ref="AA49" authorId="3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,59</t>
        </r>
      </text>
    </comment>
    <comment ref="AA51" authorId="3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,64</t>
        </r>
      </text>
    </comment>
    <comment ref="AA57" authorId="1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2767,95</t>
        </r>
      </text>
    </comment>
  </commentList>
</comments>
</file>

<file path=xl/comments2.xml><?xml version="1.0" encoding="utf-8"?>
<comments xmlns="http://schemas.openxmlformats.org/spreadsheetml/2006/main">
  <authors>
    <author>Andrzej Gościcki</author>
    <author>Dariusz Sznajder</author>
  </authors>
  <commentList>
    <comment ref="T20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dlaczego ???</t>
        </r>
      </text>
    </comment>
    <comment ref="AA20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606,24</t>
        </r>
      </text>
    </comment>
    <comment ref="B22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17 i18 to korekty ???</t>
        </r>
      </text>
    </comment>
    <comment ref="AA32" authorId="1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677,56</t>
        </r>
      </text>
    </comment>
  </commentList>
</comments>
</file>

<file path=xl/comments3.xml><?xml version="1.0" encoding="utf-8"?>
<comments xmlns="http://schemas.openxmlformats.org/spreadsheetml/2006/main">
  <authors>
    <author>Andrzej Gościcki</author>
    <author>Dariusz Sznajder</author>
    <author>Gościcki Andrzej</author>
    <author>dm</author>
  </authors>
  <commentList>
    <comment ref="AA20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3486,72</t>
        </r>
      </text>
    </comment>
    <comment ref="R21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w frze 0,692</t>
        </r>
      </text>
    </comment>
    <comment ref="AA22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3897,75</t>
        </r>
      </text>
    </comment>
    <comment ref="AA28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3998,65</t>
        </r>
      </text>
    </comment>
    <comment ref="AA32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3931,96</t>
        </r>
      </text>
    </comment>
    <comment ref="AA34" authorId="1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3395,72</t>
        </r>
      </text>
    </comment>
    <comment ref="X37" authorId="2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p b 70</t>
        </r>
      </text>
    </comment>
    <comment ref="AA36" authorId="2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3688,59</t>
        </r>
      </text>
    </comment>
    <comment ref="AA40" authorId="1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2879,56</t>
        </r>
      </text>
    </comment>
    <comment ref="AA42" authorId="1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2828,41</t>
        </r>
      </text>
    </comment>
    <comment ref="AA44" authorId="3">
      <text>
        <r>
          <rPr>
            <b/>
            <sz val="8"/>
            <rFont val="Tahoma"/>
            <family val="2"/>
          </rPr>
          <t>dm:</t>
        </r>
        <r>
          <rPr>
            <sz val="8"/>
            <rFont val="Tahoma"/>
            <family val="2"/>
          </rPr>
          <t xml:space="preserve">
2816,02</t>
        </r>
      </text>
    </comment>
    <comment ref="AA46" authorId="3">
      <text>
        <r>
          <rPr>
            <b/>
            <sz val="8"/>
            <rFont val="Tahoma"/>
            <family val="2"/>
          </rPr>
          <t>dm:</t>
        </r>
        <r>
          <rPr>
            <sz val="8"/>
            <rFont val="Tahoma"/>
            <family val="2"/>
          </rPr>
          <t xml:space="preserve">
3 308,74</t>
        </r>
      </text>
    </comment>
    <comment ref="AA48" authorId="1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,02</t>
        </r>
      </text>
    </comment>
    <comment ref="AA50" authorId="3">
      <text>
        <r>
          <rPr>
            <b/>
            <sz val="8"/>
            <rFont val="Tahoma"/>
            <family val="2"/>
          </rPr>
          <t>dm:</t>
        </r>
        <r>
          <rPr>
            <sz val="8"/>
            <rFont val="Tahoma"/>
            <family val="2"/>
          </rPr>
          <t xml:space="preserve">
,15</t>
        </r>
      </text>
    </comment>
    <comment ref="AA57" authorId="1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,44</t>
        </r>
      </text>
    </comment>
  </commentList>
</comments>
</file>

<file path=xl/comments4.xml><?xml version="1.0" encoding="utf-8"?>
<comments xmlns="http://schemas.openxmlformats.org/spreadsheetml/2006/main">
  <authors>
    <author>Andrzej Gościcki</author>
    <author>Dariusz Sznajder</author>
    <author>Gościcki Andrzej</author>
    <author>dm</author>
  </authors>
  <commentList>
    <comment ref="AA21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1903,86</t>
        </r>
      </text>
    </comment>
    <comment ref="AA25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1886,69</t>
        </r>
      </text>
    </comment>
    <comment ref="AA29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1692,36</t>
        </r>
      </text>
    </comment>
    <comment ref="AA33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1799,72</t>
        </r>
      </text>
    </comment>
    <comment ref="AA37" authorId="1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1660,62</t>
        </r>
      </text>
    </comment>
    <comment ref="AA41" authorId="2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1729,86</t>
        </r>
      </text>
    </comment>
    <comment ref="AA45" authorId="1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1612,42</t>
        </r>
      </text>
    </comment>
    <comment ref="AA49" authorId="1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1597,89</t>
        </r>
      </text>
    </comment>
    <comment ref="AA53" authorId="3">
      <text>
        <r>
          <rPr>
            <b/>
            <sz val="8"/>
            <rFont val="Tahoma"/>
            <family val="2"/>
          </rPr>
          <t>dm:</t>
        </r>
        <r>
          <rPr>
            <sz val="8"/>
            <rFont val="Tahoma"/>
            <family val="2"/>
          </rPr>
          <t xml:space="preserve">
1643,17</t>
        </r>
      </text>
    </comment>
    <comment ref="AA57" authorId="1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2 010,32</t>
        </r>
      </text>
    </comment>
    <comment ref="AA61" authorId="1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2 104,66</t>
        </r>
      </text>
    </comment>
    <comment ref="AA72" authorId="1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,53</t>
        </r>
      </text>
    </comment>
    <comment ref="AA76" authorId="3">
      <text>
        <r>
          <rPr>
            <b/>
            <sz val="8"/>
            <rFont val="Tahoma"/>
            <family val="2"/>
          </rPr>
          <t>dm:</t>
        </r>
        <r>
          <rPr>
            <sz val="8"/>
            <rFont val="Tahoma"/>
            <family val="2"/>
          </rPr>
          <t xml:space="preserve">
,29</t>
        </r>
      </text>
    </comment>
    <comment ref="AA92" authorId="2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1594,13</t>
        </r>
      </text>
    </comment>
  </commentList>
</comments>
</file>

<file path=xl/sharedStrings.xml><?xml version="1.0" encoding="utf-8"?>
<sst xmlns="http://schemas.openxmlformats.org/spreadsheetml/2006/main" count="1037" uniqueCount="403">
  <si>
    <t xml:space="preserve">Pp = </t>
  </si>
  <si>
    <t xml:space="preserve"> </t>
  </si>
  <si>
    <t>Lp.</t>
  </si>
  <si>
    <t>Energia czynna</t>
  </si>
  <si>
    <t>Opłaty</t>
  </si>
  <si>
    <t>Łączne</t>
  </si>
  <si>
    <t xml:space="preserve">Moc </t>
  </si>
  <si>
    <t>za</t>
  </si>
  <si>
    <t>wydatki</t>
  </si>
  <si>
    <t>Średnia</t>
  </si>
  <si>
    <t>Moc</t>
  </si>
  <si>
    <t>przekro-</t>
  </si>
  <si>
    <t>za energię</t>
  </si>
  <si>
    <t xml:space="preserve">cena </t>
  </si>
  <si>
    <t>umowna</t>
  </si>
  <si>
    <t xml:space="preserve">Stan </t>
  </si>
  <si>
    <t>Ilość</t>
  </si>
  <si>
    <t>Cena</t>
  </si>
  <si>
    <t>Wartość</t>
  </si>
  <si>
    <t>abona-</t>
  </si>
  <si>
    <t>czenie</t>
  </si>
  <si>
    <t>elektryczną</t>
  </si>
  <si>
    <t>płacona</t>
  </si>
  <si>
    <t>Pu</t>
  </si>
  <si>
    <t>licznika</t>
  </si>
  <si>
    <t>stawka</t>
  </si>
  <si>
    <t>wartość</t>
  </si>
  <si>
    <t>sprzedaży</t>
  </si>
  <si>
    <t>zł/kW/m-c</t>
  </si>
  <si>
    <t>kWh</t>
  </si>
  <si>
    <t>zł/kWh</t>
  </si>
  <si>
    <t>zł</t>
  </si>
  <si>
    <t>kW</t>
  </si>
  <si>
    <t>mnożna</t>
  </si>
  <si>
    <t>130 kW</t>
  </si>
  <si>
    <t>zużyta</t>
  </si>
  <si>
    <r>
      <t>Adres ..</t>
    </r>
    <r>
      <rPr>
        <b/>
        <sz val="11"/>
        <color indexed="12"/>
        <rFont val="Arial CE"/>
        <family val="2"/>
      </rPr>
      <t>05-180 Pomiechówek.</t>
    </r>
    <r>
      <rPr>
        <b/>
        <sz val="11"/>
        <rFont val="Arial CE"/>
        <family val="2"/>
      </rPr>
      <t xml:space="preserve">...Al. </t>
    </r>
    <r>
      <rPr>
        <b/>
        <sz val="11"/>
        <color indexed="12"/>
        <rFont val="Arial CE"/>
        <family val="2"/>
      </rPr>
      <t>Wojska Polskiego</t>
    </r>
    <r>
      <rPr>
        <b/>
        <sz val="11"/>
        <rFont val="Arial CE"/>
        <family val="2"/>
      </rPr>
      <t>...kk 117</t>
    </r>
  </si>
  <si>
    <t>Energia bierna</t>
  </si>
  <si>
    <t>oddana</t>
  </si>
  <si>
    <t>REJESTR zużycia ENERGII ELEKTRYCZNEJ</t>
  </si>
  <si>
    <t>80 kW</t>
  </si>
  <si>
    <t>st. 1255</t>
  </si>
  <si>
    <t>PL_ZEWD_1408002307_08</t>
  </si>
  <si>
    <t>PL_ZEWD_1414001058_01</t>
  </si>
  <si>
    <t>Rodzaj przyłącza:</t>
  </si>
  <si>
    <t>Stacja transformatorowa:</t>
  </si>
  <si>
    <t>SN/nN</t>
  </si>
  <si>
    <t>zasilane budynki nr:</t>
  </si>
  <si>
    <r>
      <t>Adres ..</t>
    </r>
    <r>
      <rPr>
        <b/>
        <sz val="11"/>
        <color indexed="12"/>
        <rFont val="Arial CE"/>
        <family val="2"/>
      </rPr>
      <t>05-130 Zegrze Południowe.</t>
    </r>
    <r>
      <rPr>
        <b/>
        <sz val="11"/>
        <rFont val="Arial CE"/>
        <family val="2"/>
      </rPr>
      <t>...ul. Warszawska 22   kk 152</t>
    </r>
  </si>
  <si>
    <t>dystrybucji</t>
  </si>
  <si>
    <t>Wskazanie</t>
  </si>
  <si>
    <t>poprzednie</t>
  </si>
  <si>
    <t>bieżące</t>
  </si>
  <si>
    <t>Wartość netto</t>
  </si>
  <si>
    <t>ZN</t>
  </si>
  <si>
    <t>B21</t>
  </si>
  <si>
    <t>580 kW</t>
  </si>
  <si>
    <t>PL_ZEWD_1408003531_06</t>
  </si>
  <si>
    <t>PL_ZEWD_1408003532_08</t>
  </si>
  <si>
    <t>Licznik nr 50451603</t>
  </si>
  <si>
    <t>kVarh</t>
  </si>
  <si>
    <t>tg ϕ</t>
  </si>
  <si>
    <t>1, 2, 4, 46, 47-bez kotłowni,69, 97, 98, 105, część obwodnicy</t>
  </si>
  <si>
    <t>30.09.16</t>
  </si>
  <si>
    <t>31.12.16.</t>
  </si>
  <si>
    <r>
      <t>Razem</t>
    </r>
    <r>
      <rPr>
        <sz val="10"/>
        <rFont val="Arial CE"/>
        <family val="2"/>
      </rPr>
      <t xml:space="preserve"> za okres obrachunkowy 2017 r.</t>
    </r>
  </si>
  <si>
    <t>05.01.17</t>
  </si>
  <si>
    <t>31.12.16</t>
  </si>
  <si>
    <t>23.01.17.</t>
  </si>
  <si>
    <t>OSD/57214/73W/FZ/2017</t>
  </si>
  <si>
    <t>31.01.17.</t>
  </si>
  <si>
    <t>14.02.17</t>
  </si>
  <si>
    <t>31.01.17</t>
  </si>
  <si>
    <t>15.02.17.</t>
  </si>
  <si>
    <t>OSD/84747/19W/FZ/2017</t>
  </si>
  <si>
    <t>145111802/34R/2017</t>
  </si>
  <si>
    <t>145111802/35R/2017</t>
  </si>
  <si>
    <t>20.02.17</t>
  </si>
  <si>
    <t>OSD/84747/16W/FZ/2017</t>
  </si>
  <si>
    <t>145111894/16R/2017</t>
  </si>
  <si>
    <t>145111894/17R/2017</t>
  </si>
  <si>
    <t>145111895/16R/2017</t>
  </si>
  <si>
    <t>145111895/17R/2017</t>
  </si>
  <si>
    <t>OSD/57214/72W/FZ/2017</t>
  </si>
  <si>
    <t>08.03.17</t>
  </si>
  <si>
    <t>OSD/57214/74W/FZ/2017</t>
  </si>
  <si>
    <t>28.02.17.</t>
  </si>
  <si>
    <t>28.02.17</t>
  </si>
  <si>
    <t>14.03.17.</t>
  </si>
  <si>
    <t>OSD/84747/20W/FZ/2017</t>
  </si>
  <si>
    <t>145111802/36R/2017</t>
  </si>
  <si>
    <t>145111894/18R/2017</t>
  </si>
  <si>
    <t>145111895/18R/2017</t>
  </si>
  <si>
    <t>23.03.17</t>
  </si>
  <si>
    <t>OSD/57214/75F/FZ/2017</t>
  </si>
  <si>
    <t>24.03.17</t>
  </si>
  <si>
    <t>OSD/57214/76F/FZ/2017</t>
  </si>
  <si>
    <t>12.04.17</t>
  </si>
  <si>
    <t>OSD/57214/89W/FZ/2017</t>
  </si>
  <si>
    <t>31.03.17.</t>
  </si>
  <si>
    <t>31.03.17</t>
  </si>
  <si>
    <t>13.04.17.</t>
  </si>
  <si>
    <t>OSD/84747/21W/FZ/2017</t>
  </si>
  <si>
    <t>13.04.17</t>
  </si>
  <si>
    <t>145111802/37R/2017</t>
  </si>
  <si>
    <t>145111894/19R/2017</t>
  </si>
  <si>
    <t>145111895/19R/2017</t>
  </si>
  <si>
    <t>12.05.17.</t>
  </si>
  <si>
    <t>OSD/84747/22W/FZ/2017</t>
  </si>
  <si>
    <t>30.04.17.</t>
  </si>
  <si>
    <t>OSD/57214/91W/FZ/2017</t>
  </si>
  <si>
    <t>30.04.17</t>
  </si>
  <si>
    <t>17.05.17</t>
  </si>
  <si>
    <t>30.04.18</t>
  </si>
  <si>
    <t>18.05.17</t>
  </si>
  <si>
    <t>145111802/38R/2017</t>
  </si>
  <si>
    <t>145111894/20R/2017</t>
  </si>
  <si>
    <t>145111895/20R/2017</t>
  </si>
  <si>
    <t>OSD/57214/103W/FZ/2017</t>
  </si>
  <si>
    <t>31.05.17.</t>
  </si>
  <si>
    <t>14.06.17</t>
  </si>
  <si>
    <t>31.05.17</t>
  </si>
  <si>
    <t>31.05.18</t>
  </si>
  <si>
    <t>16.06.17</t>
  </si>
  <si>
    <t>26.06.17.</t>
  </si>
  <si>
    <t>OSD/84747/23W/FZ/2017</t>
  </si>
  <si>
    <t>145111802/39R/2017</t>
  </si>
  <si>
    <t>145111894/21R/2017</t>
  </si>
  <si>
    <t>145111895/21R/2017</t>
  </si>
  <si>
    <t>30.06.17</t>
  </si>
  <si>
    <t>13.07.17.</t>
  </si>
  <si>
    <t>30.06.17.</t>
  </si>
  <si>
    <t>OSD/84747/24W/FZ/2017</t>
  </si>
  <si>
    <t>OSD/57214/228W/FZ/2017</t>
  </si>
  <si>
    <t>28.07.17</t>
  </si>
  <si>
    <t>31.07.17</t>
  </si>
  <si>
    <t>30.06.18</t>
  </si>
  <si>
    <t>01.08.17</t>
  </si>
  <si>
    <t>145111802/40R/2017</t>
  </si>
  <si>
    <t>145111894/22R/2017</t>
  </si>
  <si>
    <t>145111895/22R/2017</t>
  </si>
  <si>
    <t>OSD/57214/349W/FZ/2017</t>
  </si>
  <si>
    <t>22.08.17.</t>
  </si>
  <si>
    <t>OSD/84747/25W/FZ/2017</t>
  </si>
  <si>
    <t>31.07.17.</t>
  </si>
  <si>
    <t>29.08.17</t>
  </si>
  <si>
    <t>31.07.18</t>
  </si>
  <si>
    <t>30.08.17</t>
  </si>
  <si>
    <t>145111802/41R/2017</t>
  </si>
  <si>
    <t>145111894/23R/2017</t>
  </si>
  <si>
    <t>145111895/23R/2017</t>
  </si>
  <si>
    <t>08.01.18</t>
  </si>
  <si>
    <t>31.08.17.</t>
  </si>
  <si>
    <t>OSD/84747/26W/FZ/2017</t>
  </si>
  <si>
    <t>31.08.17</t>
  </si>
  <si>
    <t>OSD/57214/350W/FZ/2017</t>
  </si>
  <si>
    <t>OSD/57214/372W/FZ/2017</t>
  </si>
  <si>
    <t>OSD/57214/374W/FZ/2017</t>
  </si>
  <si>
    <t>30.09.17</t>
  </si>
  <si>
    <t>31.10.17</t>
  </si>
  <si>
    <t>OSD/57214/388W/FZ/2017</t>
  </si>
  <si>
    <t>30.11.17</t>
  </si>
  <si>
    <t>15/1712/00000540</t>
  </si>
  <si>
    <t>18.01.18</t>
  </si>
  <si>
    <t>31.08.18</t>
  </si>
  <si>
    <t>20.01.18</t>
  </si>
  <si>
    <t>145111802/42R/2017</t>
  </si>
  <si>
    <t>23.01.18</t>
  </si>
  <si>
    <t>31.09.17</t>
  </si>
  <si>
    <t>145111802/43R/2017</t>
  </si>
  <si>
    <t>30.10.17</t>
  </si>
  <si>
    <t>145111802/44R/2017</t>
  </si>
  <si>
    <t>31.11.17</t>
  </si>
  <si>
    <t>145111894/24R/2017</t>
  </si>
  <si>
    <t>145111895/24R/2017</t>
  </si>
  <si>
    <t>27.01.18</t>
  </si>
  <si>
    <t>OSD/84747/372W/FZ/2017</t>
  </si>
  <si>
    <t>30.09.17.</t>
  </si>
  <si>
    <t>31.01.18</t>
  </si>
  <si>
    <t>30.09.18</t>
  </si>
  <si>
    <t>145111894/25R/2017</t>
  </si>
  <si>
    <t>145111895/25R/2017</t>
  </si>
  <si>
    <t>07.02.18</t>
  </si>
  <si>
    <t>OSD/84747/374W/FZ/2017</t>
  </si>
  <si>
    <t>31.10.17.</t>
  </si>
  <si>
    <t>08.02.18</t>
  </si>
  <si>
    <t>31.10.18</t>
  </si>
  <si>
    <t>145111894/26R/2017</t>
  </si>
  <si>
    <t>145111895/26R/2017</t>
  </si>
  <si>
    <t>OSD/84747/388W/FZ/2017</t>
  </si>
  <si>
    <t>14.02.18</t>
  </si>
  <si>
    <t>30.11.17.</t>
  </si>
  <si>
    <t>15.02.18</t>
  </si>
  <si>
    <t>30.11.18</t>
  </si>
  <si>
    <t>28.06.17</t>
  </si>
  <si>
    <t>KOREKTY 150-153f</t>
  </si>
  <si>
    <t>z 84 na 70 (4*18-)</t>
  </si>
  <si>
    <t>15 (8+7)</t>
  </si>
  <si>
    <t>28.02.18</t>
  </si>
  <si>
    <t>OSD/57214/149F/FZ/2017</t>
  </si>
  <si>
    <t>umowa dystrybucji nr 05230/GD/2015/URD z PGE Dystrybucja S.A. ..........26. WOG…........</t>
  </si>
  <si>
    <t>umowa dystrybucji nr 05230/GD/2015/URD z PGE Dystrybucja S.A...........26. WOG…........</t>
  </si>
  <si>
    <t>umowa dystrybucji nr 01188/GD/2014/URD z PGE Dystrybucja S.A.  ..........26. WOG…........</t>
  </si>
  <si>
    <t>145111829/31F/2017</t>
  </si>
  <si>
    <t>OSD/57214/389W/FZ/2017</t>
  </si>
  <si>
    <t>31.12.17</t>
  </si>
  <si>
    <t>umowa dystrybucji nr 01203/GD/2014/URD z PGE Dystrybucja S.A...........26. WOG…........</t>
  </si>
  <si>
    <t>04.04.18</t>
  </si>
  <si>
    <t>31.12.17.</t>
  </si>
  <si>
    <t>31.12.18</t>
  </si>
  <si>
    <t>390W/FZ/2018</t>
  </si>
  <si>
    <t>391W/FZ/2018</t>
  </si>
  <si>
    <t>18.04.18</t>
  </si>
  <si>
    <t>cała fv:</t>
  </si>
  <si>
    <t>19.04.18</t>
  </si>
  <si>
    <t>20.04.18</t>
  </si>
  <si>
    <t>21.04.18</t>
  </si>
  <si>
    <t>zmiana cen</t>
  </si>
  <si>
    <t>24.04.18</t>
  </si>
  <si>
    <t>31.03.18</t>
  </si>
  <si>
    <t>20.02.18</t>
  </si>
  <si>
    <t>ZMIANA LICZ.</t>
  </si>
  <si>
    <t>25.04.18</t>
  </si>
  <si>
    <t>394W/FZ/2018</t>
  </si>
  <si>
    <t>16.05.18</t>
  </si>
  <si>
    <t>17.05.18</t>
  </si>
  <si>
    <t>23.05.18</t>
  </si>
  <si>
    <t>395W/FZ/2018</t>
  </si>
  <si>
    <t>19.06.18</t>
  </si>
  <si>
    <t>396W/FZ/2018</t>
  </si>
  <si>
    <t>22.06.18</t>
  </si>
  <si>
    <t>25.06.18</t>
  </si>
  <si>
    <t>27.07.18</t>
  </si>
  <si>
    <t>397W/FZ/2018</t>
  </si>
  <si>
    <t>01.08.18</t>
  </si>
  <si>
    <t>maks.</t>
  </si>
  <si>
    <t>Nr FV</t>
  </si>
  <si>
    <t>Data odczytu</t>
  </si>
  <si>
    <t>opł. sieciowa</t>
  </si>
  <si>
    <t>opł. jakościowa systemowa</t>
  </si>
  <si>
    <t>mentowa</t>
  </si>
  <si>
    <t>opłata</t>
  </si>
  <si>
    <t xml:space="preserve">pobrana / </t>
  </si>
  <si>
    <t>Opłaty za Pu</t>
  </si>
  <si>
    <t>Opłaty za kWh</t>
  </si>
  <si>
    <t xml:space="preserve">taryfa: </t>
  </si>
  <si>
    <t>Wartość przekroczenia</t>
  </si>
  <si>
    <t>Opłaty za energię bierną</t>
  </si>
  <si>
    <t>10.08.18</t>
  </si>
  <si>
    <t>398W/FZ/2018</t>
  </si>
  <si>
    <t>Db.+Sp.</t>
  </si>
  <si>
    <t>27.08.18</t>
  </si>
  <si>
    <t>28.08.18</t>
  </si>
  <si>
    <t>400W/FZ/2018</t>
  </si>
  <si>
    <t>18.09.18</t>
  </si>
  <si>
    <t>03.10.18</t>
  </si>
  <si>
    <t>05.10.18</t>
  </si>
  <si>
    <t>zasilane budynki nr: 38, pole antenowe</t>
  </si>
  <si>
    <t>401W/FZ/2018</t>
  </si>
  <si>
    <t>14.11.18</t>
  </si>
  <si>
    <t>15.11.18</t>
  </si>
  <si>
    <t>16.11.18</t>
  </si>
  <si>
    <t>19.11.18</t>
  </si>
  <si>
    <t>402W/FZ/2018</t>
  </si>
  <si>
    <t>29.11.18</t>
  </si>
  <si>
    <t>17.12.18</t>
  </si>
  <si>
    <t>TYS.</t>
  </si>
  <si>
    <t>403W/FZ/2018</t>
  </si>
  <si>
    <t>31.10.19</t>
  </si>
  <si>
    <r>
      <t>Razem</t>
    </r>
    <r>
      <rPr>
        <sz val="10"/>
        <rFont val="Arial CE"/>
        <family val="2"/>
      </rPr>
      <t xml:space="preserve"> za okres obrachunkowy 2019 r.</t>
    </r>
  </si>
  <si>
    <t>404W/FZ/2018</t>
  </si>
  <si>
    <t>30.11.19</t>
  </si>
  <si>
    <r>
      <t>Razem</t>
    </r>
    <r>
      <rPr>
        <sz val="10"/>
        <rFont val="Arial CE"/>
        <family val="2"/>
      </rPr>
      <t xml:space="preserve"> za okres 2019 r.</t>
    </r>
  </si>
  <si>
    <t>TYS</t>
  </si>
  <si>
    <t>31.12.19</t>
  </si>
  <si>
    <t>korekta</t>
  </si>
  <si>
    <t>31.01.19</t>
  </si>
  <si>
    <t>suma D</t>
  </si>
  <si>
    <t>28.02.19</t>
  </si>
  <si>
    <t>kogen</t>
  </si>
  <si>
    <t>kogen.</t>
  </si>
  <si>
    <t>31.03.19</t>
  </si>
  <si>
    <t>410W/FZ/</t>
  </si>
  <si>
    <t>411W/FZ/</t>
  </si>
  <si>
    <t>405W/FZ/2019</t>
  </si>
  <si>
    <t>405W</t>
  </si>
  <si>
    <t>410W</t>
  </si>
  <si>
    <t>405W/</t>
  </si>
  <si>
    <t>410W/</t>
  </si>
  <si>
    <t>411W/</t>
  </si>
  <si>
    <t>411W</t>
  </si>
  <si>
    <t>30.04.19</t>
  </si>
  <si>
    <t>06.04.19</t>
  </si>
  <si>
    <t>412W/FZ/</t>
  </si>
  <si>
    <t>01.05.19</t>
  </si>
  <si>
    <t>412W</t>
  </si>
  <si>
    <t>412W/</t>
  </si>
  <si>
    <t>30.06.19</t>
  </si>
  <si>
    <t>413W</t>
  </si>
  <si>
    <t>31.05.19</t>
  </si>
  <si>
    <t>413W/FZ/</t>
  </si>
  <si>
    <t>421W</t>
  </si>
  <si>
    <t>413W/</t>
  </si>
  <si>
    <t>421W/FZ/</t>
  </si>
  <si>
    <t>421W/</t>
  </si>
  <si>
    <t>429W</t>
  </si>
  <si>
    <t>31.07.19</t>
  </si>
  <si>
    <t>429W/FZ/</t>
  </si>
  <si>
    <t>C21…C23</t>
  </si>
  <si>
    <t>zmiana tar. i licz.</t>
  </si>
  <si>
    <t>29.07.19</t>
  </si>
  <si>
    <t>Licznik nr …4141405…2248466</t>
  </si>
  <si>
    <t>430W</t>
  </si>
  <si>
    <t>31.08.19</t>
  </si>
  <si>
    <t>430W/FZ/</t>
  </si>
  <si>
    <t>30.09.19</t>
  </si>
  <si>
    <r>
      <t>Razem</t>
    </r>
    <r>
      <rPr>
        <sz val="10"/>
        <rFont val="Arial CE"/>
        <family val="2"/>
      </rPr>
      <t xml:space="preserve"> za okres 2018 r. (tys.)</t>
    </r>
  </si>
  <si>
    <t>432W/</t>
  </si>
  <si>
    <t>432W/FZ/</t>
  </si>
  <si>
    <t>432W</t>
  </si>
  <si>
    <t>437W/</t>
  </si>
  <si>
    <t>437W</t>
  </si>
  <si>
    <t>448W</t>
  </si>
  <si>
    <t>437W/FZ/</t>
  </si>
  <si>
    <t>448W/FZ/</t>
  </si>
  <si>
    <t>438F</t>
  </si>
  <si>
    <t>439F</t>
  </si>
  <si>
    <t>440F</t>
  </si>
  <si>
    <t>441F</t>
  </si>
  <si>
    <t>80/60</t>
  </si>
  <si>
    <t>445F</t>
  </si>
  <si>
    <t>447F</t>
  </si>
  <si>
    <t>31.01.20</t>
  </si>
  <si>
    <r>
      <t>Razem</t>
    </r>
    <r>
      <rPr>
        <sz val="10"/>
        <rFont val="Arial CE"/>
        <family val="2"/>
      </rPr>
      <t xml:space="preserve"> za okres obrachunkowy 2020 r.</t>
    </r>
  </si>
  <si>
    <r>
      <t>Razem</t>
    </r>
    <r>
      <rPr>
        <sz val="10"/>
        <rFont val="Arial CE"/>
        <family val="2"/>
      </rPr>
      <t xml:space="preserve"> za okres 2020 r.</t>
    </r>
  </si>
  <si>
    <t>450W/FZ/</t>
  </si>
  <si>
    <t>451W/FZ/</t>
  </si>
  <si>
    <t>04-1718 (bud. 140)</t>
  </si>
  <si>
    <t>450W</t>
  </si>
  <si>
    <t>451W</t>
  </si>
  <si>
    <t>452W/FZ/</t>
  </si>
  <si>
    <t>29.02.20</t>
  </si>
  <si>
    <t>zmiana tar.</t>
  </si>
  <si>
    <t>452W</t>
  </si>
  <si>
    <t>19.02.20</t>
  </si>
  <si>
    <t>taryfa: C22a…C23</t>
  </si>
  <si>
    <t>31.03.20</t>
  </si>
  <si>
    <t>453W</t>
  </si>
  <si>
    <t>453W/FZ/</t>
  </si>
  <si>
    <t>30.04.20</t>
  </si>
  <si>
    <t>454W</t>
  </si>
  <si>
    <t>454W/FZ/</t>
  </si>
  <si>
    <r>
      <t>Razem</t>
    </r>
    <r>
      <rPr>
        <sz val="10"/>
        <rFont val="Arial CE"/>
        <family val="2"/>
      </rPr>
      <t xml:space="preserve"> za 2017 r. (tys.)</t>
    </r>
  </si>
  <si>
    <t>zas. bud. nr: 38, pole antenowe</t>
  </si>
  <si>
    <t>15-17, 19, 23, 30, 31-33, 40, 52, 53, 64, 76, 77, 78</t>
  </si>
  <si>
    <t>st. 0107 (słup.)</t>
  </si>
  <si>
    <t>Licznik nr 50451604</t>
  </si>
  <si>
    <t>Licznik nr…908675…4142731</t>
  </si>
  <si>
    <t>455W</t>
  </si>
  <si>
    <t>31.05.20</t>
  </si>
  <si>
    <t>455W/FZ/</t>
  </si>
  <si>
    <t>465W</t>
  </si>
  <si>
    <t>30.06.20</t>
  </si>
  <si>
    <t>465W/FZ/</t>
  </si>
  <si>
    <t>31.07.20</t>
  </si>
  <si>
    <t>467W</t>
  </si>
  <si>
    <t>467W/FZ/</t>
  </si>
  <si>
    <t>630 kVA</t>
  </si>
  <si>
    <t>400 kVA</t>
  </si>
  <si>
    <t>200 kVA</t>
  </si>
  <si>
    <t>468W/FZ/</t>
  </si>
  <si>
    <t>31.08.20</t>
  </si>
  <si>
    <t>468W</t>
  </si>
  <si>
    <r>
      <t>Adres ..</t>
    </r>
    <r>
      <rPr>
        <b/>
        <sz val="11"/>
        <color indexed="12"/>
        <rFont val="Arial CE"/>
        <family val="2"/>
      </rPr>
      <t>05-127 Białobrzegi.</t>
    </r>
    <r>
      <rPr>
        <b/>
        <sz val="11"/>
        <rFont val="Arial CE"/>
        <family val="2"/>
      </rPr>
      <t>...ul. Osiedle Wojskowe 93   kk 134  stacja bazowa WSŁS</t>
    </r>
  </si>
  <si>
    <t>Adres ..05-127 Białobrzegi....ul. Osiedle Wojskowe 93   kk 134  stacja bazowa WSŁS</t>
  </si>
  <si>
    <t>30.09.20</t>
  </si>
  <si>
    <t>469W</t>
  </si>
  <si>
    <t>469W/FZ/</t>
  </si>
  <si>
    <t>471W/FZ/</t>
  </si>
  <si>
    <t>31.10.20</t>
  </si>
  <si>
    <t>471W</t>
  </si>
  <si>
    <t>30.11.20</t>
  </si>
  <si>
    <t>472W</t>
  </si>
  <si>
    <t>472W/FZ/</t>
  </si>
  <si>
    <r>
      <t>Razem</t>
    </r>
    <r>
      <rPr>
        <sz val="10"/>
        <rFont val="Arial CE"/>
        <family val="2"/>
      </rPr>
      <t xml:space="preserve"> za okres 2021 r.</t>
    </r>
  </si>
  <si>
    <t>zasilanie dwustronne-przełącza się automatycznie</t>
  </si>
  <si>
    <t>suma opłat:</t>
  </si>
  <si>
    <t>31.12.20</t>
  </si>
  <si>
    <t>31.01.21</t>
  </si>
  <si>
    <t>473W/FZ/</t>
  </si>
  <si>
    <t>473W</t>
  </si>
  <si>
    <t>umowa sprzedaży nr 239/006/2020 z Enea</t>
  </si>
  <si>
    <t>474W</t>
  </si>
  <si>
    <t>OZE</t>
  </si>
  <si>
    <t>475W</t>
  </si>
  <si>
    <t>28.02.21</t>
  </si>
  <si>
    <t>15/2012/00002292</t>
  </si>
  <si>
    <t>oze</t>
  </si>
  <si>
    <t>476W/FZ/</t>
  </si>
  <si>
    <t>opł.mocowa/opł. przejściowa /opł. stała za dystryb.</t>
  </si>
  <si>
    <t>474W/FZ/</t>
  </si>
  <si>
    <t>475W/FZ/</t>
  </si>
  <si>
    <t>31.03.21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</si>
</sst>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0.00000"/>
    <numFmt numFmtId="170" formatCode="0.00000000"/>
    <numFmt numFmtId="171" formatCode="0.0000000"/>
    <numFmt numFmtId="172" formatCode="0.000000"/>
    <numFmt numFmtId="173" formatCode="0.0%"/>
    <numFmt numFmtId="174" formatCode="0E+00"/>
    <numFmt numFmtId="175" formatCode="0.000%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_-* #,##0.0\ _z_ł_-;\-* #,##0.0\ _z_ł_-;_-* &quot;-&quot;??\ _z_ł_-;_-@_-"/>
    <numFmt numFmtId="182" formatCode="_-* #,##0\ _z_ł_-;\-* #,##0\ _z_ł_-;_-* &quot;-&quot;??\ _z_ł_-;_-@_-"/>
    <numFmt numFmtId="183" formatCode="#,##0.000"/>
    <numFmt numFmtId="184" formatCode="#,##0.0000"/>
    <numFmt numFmtId="185" formatCode="#,##0.00_ ;[Red]\-#,##0.00\ "/>
    <numFmt numFmtId="186" formatCode="0.000000000"/>
    <numFmt numFmtId="187" formatCode="0.0000000000"/>
    <numFmt numFmtId="188" formatCode="#,##0.000000"/>
  </numFmts>
  <fonts count="8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1"/>
      <color indexed="12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2"/>
      <color indexed="12"/>
      <name val="Arial CE"/>
      <family val="2"/>
    </font>
    <font>
      <b/>
      <sz val="12"/>
      <name val="Arial"/>
      <family val="2"/>
    </font>
    <font>
      <strike/>
      <sz val="11"/>
      <name val="Calibri"/>
      <family val="2"/>
    </font>
    <font>
      <b/>
      <sz val="14"/>
      <name val="Arial CE"/>
      <family val="2"/>
    </font>
    <font>
      <b/>
      <sz val="14"/>
      <color indexed="12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Arial CE"/>
      <family val="2"/>
    </font>
    <font>
      <b/>
      <sz val="10"/>
      <color indexed="30"/>
      <name val="Arial CE"/>
      <family val="2"/>
    </font>
    <font>
      <i/>
      <sz val="11"/>
      <color indexed="10"/>
      <name val="Arial CE"/>
      <family val="0"/>
    </font>
    <font>
      <i/>
      <sz val="10"/>
      <color indexed="30"/>
      <name val="Arial CE"/>
      <family val="2"/>
    </font>
    <font>
      <sz val="10"/>
      <color indexed="10"/>
      <name val="Calibri"/>
      <family val="2"/>
    </font>
    <font>
      <b/>
      <sz val="12"/>
      <color indexed="10"/>
      <name val="Arial CE"/>
      <family val="2"/>
    </font>
    <font>
      <sz val="11"/>
      <color indexed="30"/>
      <name val="Calibri"/>
      <family val="2"/>
    </font>
    <font>
      <i/>
      <sz val="10"/>
      <color indexed="40"/>
      <name val="Arial CE"/>
      <family val="2"/>
    </font>
    <font>
      <sz val="10"/>
      <color indexed="40"/>
      <name val="Arial CE"/>
      <family val="0"/>
    </font>
    <font>
      <b/>
      <sz val="11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Arial CE"/>
      <family val="2"/>
    </font>
    <font>
      <sz val="10"/>
      <color rgb="FFFF0000"/>
      <name val="Arial CE"/>
      <family val="0"/>
    </font>
    <font>
      <b/>
      <sz val="11"/>
      <color rgb="FFFF0000"/>
      <name val="Arial CE"/>
      <family val="2"/>
    </font>
    <font>
      <b/>
      <sz val="10"/>
      <color rgb="FFFF0000"/>
      <name val="Arial CE"/>
      <family val="2"/>
    </font>
    <font>
      <b/>
      <sz val="10"/>
      <color rgb="FF0070C0"/>
      <name val="Arial CE"/>
      <family val="2"/>
    </font>
    <font>
      <i/>
      <sz val="11"/>
      <color rgb="FFFF0000"/>
      <name val="Arial CE"/>
      <family val="0"/>
    </font>
    <font>
      <i/>
      <sz val="10"/>
      <color rgb="FF0070C0"/>
      <name val="Arial CE"/>
      <family val="2"/>
    </font>
    <font>
      <sz val="10"/>
      <color rgb="FFFF0000"/>
      <name val="Calibri"/>
      <family val="2"/>
    </font>
    <font>
      <b/>
      <sz val="12"/>
      <color rgb="FFFF0000"/>
      <name val="Arial CE"/>
      <family val="2"/>
    </font>
    <font>
      <sz val="11"/>
      <color rgb="FF0070C0"/>
      <name val="Calibri"/>
      <family val="2"/>
    </font>
    <font>
      <i/>
      <sz val="10"/>
      <color rgb="FF00B0F0"/>
      <name val="Arial CE"/>
      <family val="2"/>
    </font>
    <font>
      <sz val="10"/>
      <color rgb="FF00B0F0"/>
      <name val="Arial CE"/>
      <family val="0"/>
    </font>
    <font>
      <b/>
      <sz val="11"/>
      <color rgb="FF0070C0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/>
    </xf>
    <xf numFmtId="2" fontId="7" fillId="0" borderId="2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67" fontId="8" fillId="0" borderId="23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6" xfId="0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166" fontId="7" fillId="0" borderId="16" xfId="0" applyNumberFormat="1" applyFont="1" applyBorder="1" applyAlignment="1">
      <alignment/>
    </xf>
    <xf numFmtId="166" fontId="7" fillId="0" borderId="26" xfId="0" applyNumberFormat="1" applyFont="1" applyBorder="1" applyAlignment="1">
      <alignment horizontal="right"/>
    </xf>
    <xf numFmtId="166" fontId="7" fillId="0" borderId="16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166" fontId="7" fillId="0" borderId="27" xfId="0" applyNumberFormat="1" applyFont="1" applyBorder="1" applyAlignment="1">
      <alignment horizontal="right"/>
    </xf>
    <xf numFmtId="167" fontId="7" fillId="0" borderId="26" xfId="0" applyNumberFormat="1" applyFont="1" applyBorder="1" applyAlignment="1">
      <alignment horizontal="right"/>
    </xf>
    <xf numFmtId="167" fontId="7" fillId="0" borderId="16" xfId="0" applyNumberFormat="1" applyFont="1" applyBorder="1" applyAlignment="1">
      <alignment horizontal="right"/>
    </xf>
    <xf numFmtId="166" fontId="7" fillId="0" borderId="27" xfId="0" applyNumberFormat="1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7" fillId="0" borderId="16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2" fontId="7" fillId="0" borderId="16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right"/>
    </xf>
    <xf numFmtId="167" fontId="7" fillId="0" borderId="14" xfId="0" applyNumberFormat="1" applyFont="1" applyBorder="1" applyAlignment="1">
      <alignment horizontal="center"/>
    </xf>
    <xf numFmtId="166" fontId="8" fillId="0" borderId="2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" fontId="7" fillId="0" borderId="17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" fontId="8" fillId="0" borderId="23" xfId="0" applyNumberFormat="1" applyFont="1" applyBorder="1" applyAlignment="1">
      <alignment horizontal="center"/>
    </xf>
    <xf numFmtId="167" fontId="7" fillId="0" borderId="16" xfId="0" applyNumberFormat="1" applyFont="1" applyBorder="1" applyAlignment="1">
      <alignment/>
    </xf>
    <xf numFmtId="2" fontId="7" fillId="0" borderId="26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166" fontId="7" fillId="0" borderId="26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66" fontId="7" fillId="0" borderId="26" xfId="0" applyNumberFormat="1" applyFont="1" applyFill="1" applyBorder="1" applyAlignment="1">
      <alignment horizontal="right"/>
    </xf>
    <xf numFmtId="2" fontId="7" fillId="0" borderId="26" xfId="0" applyNumberFormat="1" applyFont="1" applyFill="1" applyBorder="1" applyAlignment="1">
      <alignment horizontal="right"/>
    </xf>
    <xf numFmtId="167" fontId="7" fillId="0" borderId="17" xfId="0" applyNumberFormat="1" applyFont="1" applyFill="1" applyBorder="1" applyAlignment="1">
      <alignment horizontal="right"/>
    </xf>
    <xf numFmtId="2" fontId="7" fillId="0" borderId="16" xfId="0" applyNumberFormat="1" applyFont="1" applyBorder="1" applyAlignment="1">
      <alignment/>
    </xf>
    <xf numFmtId="2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0" fillId="0" borderId="28" xfId="0" applyBorder="1" applyAlignment="1">
      <alignment horizontal="center" vertical="center"/>
    </xf>
    <xf numFmtId="1" fontId="7" fillId="0" borderId="16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7" fillId="0" borderId="14" xfId="0" applyFont="1" applyBorder="1" applyAlignment="1">
      <alignment horizontal="left"/>
    </xf>
    <xf numFmtId="167" fontId="7" fillId="0" borderId="14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0" fontId="0" fillId="0" borderId="14" xfId="0" applyFont="1" applyFill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7" fillId="0" borderId="29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30" xfId="0" applyNumberFormat="1" applyFont="1" applyBorder="1" applyAlignment="1">
      <alignment horizontal="right"/>
    </xf>
    <xf numFmtId="166" fontId="7" fillId="0" borderId="16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0" fillId="0" borderId="0" xfId="0" applyFill="1" applyAlignment="1">
      <alignment/>
    </xf>
    <xf numFmtId="0" fontId="14" fillId="0" borderId="14" xfId="0" applyFont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 horizontal="right" vertical="center"/>
    </xf>
    <xf numFmtId="0" fontId="0" fillId="0" borderId="31" xfId="0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/>
    </xf>
    <xf numFmtId="166" fontId="7" fillId="0" borderId="14" xfId="0" applyNumberFormat="1" applyFont="1" applyFill="1" applyBorder="1" applyAlignment="1">
      <alignment/>
    </xf>
    <xf numFmtId="3" fontId="8" fillId="0" borderId="23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167" fontId="7" fillId="0" borderId="27" xfId="0" applyNumberFormat="1" applyFont="1" applyFill="1" applyBorder="1" applyAlignment="1">
      <alignment/>
    </xf>
    <xf numFmtId="167" fontId="7" fillId="0" borderId="26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7" fillId="0" borderId="16" xfId="0" applyNumberFormat="1" applyFont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right"/>
    </xf>
    <xf numFmtId="2" fontId="7" fillId="0" borderId="16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 horizontal="right"/>
    </xf>
    <xf numFmtId="167" fontId="7" fillId="0" borderId="26" xfId="0" applyNumberFormat="1" applyFont="1" applyBorder="1" applyAlignment="1">
      <alignment/>
    </xf>
    <xf numFmtId="0" fontId="7" fillId="0" borderId="14" xfId="0" applyFont="1" applyBorder="1" applyAlignment="1">
      <alignment horizontal="right" vertical="center"/>
    </xf>
    <xf numFmtId="167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167" fontId="7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7" fillId="0" borderId="14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167" fontId="7" fillId="0" borderId="14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4" fontId="70" fillId="0" borderId="16" xfId="0" applyNumberFormat="1" applyFont="1" applyBorder="1" applyAlignment="1">
      <alignment horizontal="center"/>
    </xf>
    <xf numFmtId="2" fontId="70" fillId="0" borderId="16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0" fontId="71" fillId="0" borderId="14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4" fontId="70" fillId="0" borderId="14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/>
    </xf>
    <xf numFmtId="2" fontId="7" fillId="0" borderId="20" xfId="0" applyNumberFormat="1" applyFont="1" applyFill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7" fillId="0" borderId="27" xfId="0" applyFont="1" applyBorder="1" applyAlignment="1">
      <alignment horizontal="right" vertical="center"/>
    </xf>
    <xf numFmtId="166" fontId="7" fillId="0" borderId="16" xfId="0" applyNumberFormat="1" applyFont="1" applyFill="1" applyBorder="1" applyAlignment="1">
      <alignment/>
    </xf>
    <xf numFmtId="1" fontId="70" fillId="0" borderId="17" xfId="0" applyNumberFormat="1" applyFont="1" applyFill="1" applyBorder="1" applyAlignment="1">
      <alignment horizontal="center"/>
    </xf>
    <xf numFmtId="2" fontId="70" fillId="0" borderId="16" xfId="0" applyNumberFormat="1" applyFont="1" applyFill="1" applyBorder="1" applyAlignment="1">
      <alignment horizontal="center"/>
    </xf>
    <xf numFmtId="4" fontId="70" fillId="0" borderId="14" xfId="0" applyNumberFormat="1" applyFont="1" applyFill="1" applyBorder="1" applyAlignment="1">
      <alignment/>
    </xf>
    <xf numFmtId="166" fontId="7" fillId="0" borderId="14" xfId="0" applyNumberFormat="1" applyFont="1" applyFill="1" applyBorder="1" applyAlignment="1">
      <alignment horizontal="right"/>
    </xf>
    <xf numFmtId="166" fontId="7" fillId="0" borderId="14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 horizontal="right"/>
    </xf>
    <xf numFmtId="166" fontId="7" fillId="0" borderId="16" xfId="0" applyNumberFormat="1" applyFont="1" applyFill="1" applyBorder="1" applyAlignment="1">
      <alignment horizontal="right"/>
    </xf>
    <xf numFmtId="167" fontId="7" fillId="0" borderId="16" xfId="0" applyNumberFormat="1" applyFont="1" applyFill="1" applyBorder="1" applyAlignment="1">
      <alignment horizontal="right"/>
    </xf>
    <xf numFmtId="2" fontId="7" fillId="0" borderId="16" xfId="0" applyNumberFormat="1" applyFont="1" applyFill="1" applyBorder="1" applyAlignment="1">
      <alignment horizontal="right"/>
    </xf>
    <xf numFmtId="0" fontId="72" fillId="0" borderId="0" xfId="0" applyFont="1" applyAlignment="1">
      <alignment horizontal="left"/>
    </xf>
    <xf numFmtId="0" fontId="0" fillId="0" borderId="14" xfId="0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66" fontId="7" fillId="0" borderId="27" xfId="0" applyNumberFormat="1" applyFont="1" applyFill="1" applyBorder="1" applyAlignment="1">
      <alignment horizontal="right"/>
    </xf>
    <xf numFmtId="2" fontId="7" fillId="0" borderId="16" xfId="0" applyNumberFormat="1" applyFont="1" applyFill="1" applyBorder="1" applyAlignment="1">
      <alignment horizontal="right"/>
    </xf>
    <xf numFmtId="166" fontId="7" fillId="0" borderId="15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/>
    </xf>
    <xf numFmtId="2" fontId="70" fillId="0" borderId="14" xfId="0" applyNumberFormat="1" applyFont="1" applyFill="1" applyBorder="1" applyAlignment="1">
      <alignment/>
    </xf>
    <xf numFmtId="2" fontId="70" fillId="0" borderId="16" xfId="0" applyNumberFormat="1" applyFont="1" applyFill="1" applyBorder="1" applyAlignment="1">
      <alignment/>
    </xf>
    <xf numFmtId="166" fontId="7" fillId="0" borderId="14" xfId="0" applyNumberFormat="1" applyFont="1" applyFill="1" applyBorder="1" applyAlignment="1">
      <alignment horizontal="right"/>
    </xf>
    <xf numFmtId="167" fontId="7" fillId="0" borderId="14" xfId="0" applyNumberFormat="1" applyFont="1" applyFill="1" applyBorder="1" applyAlignment="1">
      <alignment horizontal="right"/>
    </xf>
    <xf numFmtId="166" fontId="7" fillId="0" borderId="16" xfId="0" applyNumberFormat="1" applyFont="1" applyFill="1" applyBorder="1" applyAlignment="1">
      <alignment horizontal="right"/>
    </xf>
    <xf numFmtId="0" fontId="70" fillId="0" borderId="16" xfId="0" applyFont="1" applyBorder="1" applyAlignment="1">
      <alignment horizontal="right" vertical="center"/>
    </xf>
    <xf numFmtId="2" fontId="70" fillId="0" borderId="14" xfId="0" applyNumberFormat="1" applyFont="1" applyBorder="1" applyAlignment="1">
      <alignment horizontal="center"/>
    </xf>
    <xf numFmtId="2" fontId="70" fillId="0" borderId="20" xfId="0" applyNumberFormat="1" applyFont="1" applyBorder="1" applyAlignment="1">
      <alignment horizontal="right"/>
    </xf>
    <xf numFmtId="2" fontId="7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4" fontId="70" fillId="0" borderId="16" xfId="0" applyNumberFormat="1" applyFont="1" applyFill="1" applyBorder="1" applyAlignment="1">
      <alignment horizontal="right"/>
    </xf>
    <xf numFmtId="1" fontId="70" fillId="0" borderId="16" xfId="0" applyNumberFormat="1" applyFont="1" applyFill="1" applyBorder="1" applyAlignment="1">
      <alignment horizontal="right"/>
    </xf>
    <xf numFmtId="166" fontId="70" fillId="0" borderId="16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73" fillId="0" borderId="23" xfId="0" applyNumberFormat="1" applyFont="1" applyBorder="1" applyAlignment="1">
      <alignment horizontal="center"/>
    </xf>
    <xf numFmtId="10" fontId="0" fillId="0" borderId="14" xfId="54" applyNumberFormat="1" applyFont="1" applyBorder="1" applyAlignment="1">
      <alignment/>
    </xf>
    <xf numFmtId="0" fontId="0" fillId="0" borderId="33" xfId="0" applyBorder="1" applyAlignment="1">
      <alignment horizontal="center" vertical="center"/>
    </xf>
    <xf numFmtId="1" fontId="70" fillId="0" borderId="13" xfId="0" applyNumberFormat="1" applyFont="1" applyFill="1" applyBorder="1" applyAlignment="1">
      <alignment horizontal="center"/>
    </xf>
    <xf numFmtId="1" fontId="70" fillId="0" borderId="17" xfId="0" applyNumberFormat="1" applyFont="1" applyBorder="1" applyAlignment="1">
      <alignment horizontal="center"/>
    </xf>
    <xf numFmtId="1" fontId="70" fillId="0" borderId="13" xfId="0" applyNumberFormat="1" applyFont="1" applyBorder="1" applyAlignment="1">
      <alignment horizontal="center"/>
    </xf>
    <xf numFmtId="166" fontId="70" fillId="0" borderId="16" xfId="0" applyNumberFormat="1" applyFont="1" applyBorder="1" applyAlignment="1">
      <alignment horizontal="center"/>
    </xf>
    <xf numFmtId="2" fontId="70" fillId="0" borderId="16" xfId="0" applyNumberFormat="1" applyFont="1" applyBorder="1" applyAlignment="1">
      <alignment horizontal="right"/>
    </xf>
    <xf numFmtId="2" fontId="70" fillId="0" borderId="16" xfId="0" applyNumberFormat="1" applyFont="1" applyBorder="1" applyAlignment="1">
      <alignment horizontal="right"/>
    </xf>
    <xf numFmtId="2" fontId="7" fillId="0" borderId="16" xfId="0" applyNumberFormat="1" applyFont="1" applyFill="1" applyBorder="1" applyAlignment="1">
      <alignment/>
    </xf>
    <xf numFmtId="4" fontId="73" fillId="0" borderId="23" xfId="0" applyNumberFormat="1" applyFont="1" applyFill="1" applyBorder="1" applyAlignment="1">
      <alignment horizontal="center"/>
    </xf>
    <xf numFmtId="0" fontId="71" fillId="0" borderId="16" xfId="0" applyFont="1" applyBorder="1" applyAlignment="1">
      <alignment horizontal="right"/>
    </xf>
    <xf numFmtId="4" fontId="70" fillId="0" borderId="14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167" fontId="7" fillId="0" borderId="2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right"/>
    </xf>
    <xf numFmtId="167" fontId="7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4" fontId="70" fillId="0" borderId="29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/>
    </xf>
    <xf numFmtId="4" fontId="7" fillId="0" borderId="29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2" fontId="70" fillId="0" borderId="14" xfId="0" applyNumberFormat="1" applyFont="1" applyFill="1" applyBorder="1" applyAlignment="1">
      <alignment horizontal="center"/>
    </xf>
    <xf numFmtId="4" fontId="7" fillId="0" borderId="34" xfId="0" applyNumberFormat="1" applyFont="1" applyBorder="1" applyAlignment="1">
      <alignment horizontal="right"/>
    </xf>
    <xf numFmtId="4" fontId="70" fillId="0" borderId="30" xfId="0" applyNumberFormat="1" applyFont="1" applyBorder="1" applyAlignment="1">
      <alignment horizontal="right"/>
    </xf>
    <xf numFmtId="166" fontId="0" fillId="0" borderId="14" xfId="0" applyNumberFormat="1" applyBorder="1" applyAlignment="1">
      <alignment/>
    </xf>
    <xf numFmtId="0" fontId="70" fillId="0" borderId="0" xfId="0" applyFont="1" applyBorder="1" applyAlignment="1">
      <alignment horizontal="right" vertical="center"/>
    </xf>
    <xf numFmtId="0" fontId="71" fillId="0" borderId="11" xfId="0" applyFont="1" applyBorder="1" applyAlignment="1">
      <alignment horizontal="right"/>
    </xf>
    <xf numFmtId="4" fontId="70" fillId="0" borderId="14" xfId="0" applyNumberFormat="1" applyFont="1" applyBorder="1" applyAlignment="1">
      <alignment horizontal="right"/>
    </xf>
    <xf numFmtId="167" fontId="7" fillId="0" borderId="35" xfId="0" applyNumberFormat="1" applyFont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4" fontId="70" fillId="0" borderId="31" xfId="0" applyNumberFormat="1" applyFont="1" applyBorder="1" applyAlignment="1">
      <alignment horizontal="center"/>
    </xf>
    <xf numFmtId="166" fontId="70" fillId="0" borderId="16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4" fontId="70" fillId="0" borderId="26" xfId="0" applyNumberFormat="1" applyFont="1" applyFill="1" applyBorder="1" applyAlignment="1">
      <alignment horizontal="center"/>
    </xf>
    <xf numFmtId="4" fontId="70" fillId="0" borderId="27" xfId="0" applyNumberFormat="1" applyFont="1" applyBorder="1" applyAlignment="1">
      <alignment horizontal="center"/>
    </xf>
    <xf numFmtId="4" fontId="70" fillId="0" borderId="14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6" fontId="8" fillId="0" borderId="11" xfId="0" applyNumberFormat="1" applyFont="1" applyBorder="1" applyAlignment="1">
      <alignment horizontal="center"/>
    </xf>
    <xf numFmtId="9" fontId="0" fillId="0" borderId="11" xfId="54" applyFont="1" applyBorder="1" applyAlignment="1">
      <alignment/>
    </xf>
    <xf numFmtId="0" fontId="7" fillId="0" borderId="0" xfId="0" applyFont="1" applyBorder="1" applyAlignment="1">
      <alignment/>
    </xf>
    <xf numFmtId="4" fontId="71" fillId="0" borderId="2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" fontId="7" fillId="0" borderId="27" xfId="0" applyNumberFormat="1" applyFont="1" applyBorder="1" applyAlignment="1">
      <alignment horizontal="center"/>
    </xf>
    <xf numFmtId="166" fontId="74" fillId="0" borderId="23" xfId="0" applyNumberFormat="1" applyFont="1" applyBorder="1" applyAlignment="1">
      <alignment horizontal="center"/>
    </xf>
    <xf numFmtId="167" fontId="74" fillId="0" borderId="23" xfId="0" applyNumberFormat="1" applyFont="1" applyBorder="1" applyAlignment="1">
      <alignment horizontal="center"/>
    </xf>
    <xf numFmtId="4" fontId="74" fillId="0" borderId="23" xfId="0" applyNumberFormat="1" applyFont="1" applyBorder="1" applyAlignment="1">
      <alignment horizontal="center"/>
    </xf>
    <xf numFmtId="10" fontId="0" fillId="0" borderId="14" xfId="54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0" fontId="4" fillId="0" borderId="0" xfId="0" applyFont="1" applyFill="1" applyAlignment="1">
      <alignment horizontal="left"/>
    </xf>
    <xf numFmtId="166" fontId="71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183" fontId="73" fillId="0" borderId="23" xfId="0" applyNumberFormat="1" applyFont="1" applyFill="1" applyBorder="1" applyAlignment="1">
      <alignment horizontal="center"/>
    </xf>
    <xf numFmtId="166" fontId="8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/>
    </xf>
    <xf numFmtId="4" fontId="73" fillId="0" borderId="23" xfId="0" applyNumberFormat="1" applyFont="1" applyFill="1" applyBorder="1" applyAlignment="1">
      <alignment horizontal="center"/>
    </xf>
    <xf numFmtId="167" fontId="7" fillId="0" borderId="26" xfId="0" applyNumberFormat="1" applyFont="1" applyFill="1" applyBorder="1" applyAlignment="1">
      <alignment horizontal="right"/>
    </xf>
    <xf numFmtId="0" fontId="7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" fontId="8" fillId="0" borderId="11" xfId="0" applyNumberFormat="1" applyFont="1" applyBorder="1" applyAlignment="1">
      <alignment horizontal="center"/>
    </xf>
    <xf numFmtId="167" fontId="76" fillId="0" borderId="14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167" fontId="7" fillId="0" borderId="14" xfId="0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center"/>
    </xf>
    <xf numFmtId="4" fontId="76" fillId="0" borderId="16" xfId="0" applyNumberFormat="1" applyFont="1" applyBorder="1" applyAlignment="1">
      <alignment horizontal="center"/>
    </xf>
    <xf numFmtId="167" fontId="76" fillId="0" borderId="26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right"/>
    </xf>
    <xf numFmtId="4" fontId="70" fillId="0" borderId="14" xfId="0" applyNumberFormat="1" applyFont="1" applyFill="1" applyBorder="1" applyAlignment="1">
      <alignment horizontal="right"/>
    </xf>
    <xf numFmtId="167" fontId="76" fillId="0" borderId="26" xfId="0" applyNumberFormat="1" applyFont="1" applyFill="1" applyBorder="1" applyAlignment="1">
      <alignment horizontal="center"/>
    </xf>
    <xf numFmtId="167" fontId="76" fillId="0" borderId="14" xfId="0" applyNumberFormat="1" applyFont="1" applyFill="1" applyBorder="1" applyAlignment="1">
      <alignment horizontal="center"/>
    </xf>
    <xf numFmtId="4" fontId="7" fillId="0" borderId="26" xfId="0" applyNumberFormat="1" applyFont="1" applyFill="1" applyBorder="1" applyAlignment="1">
      <alignment horizontal="center"/>
    </xf>
    <xf numFmtId="2" fontId="70" fillId="0" borderId="20" xfId="0" applyNumberFormat="1" applyFont="1" applyFill="1" applyBorder="1" applyAlignment="1">
      <alignment horizontal="right"/>
    </xf>
    <xf numFmtId="2" fontId="70" fillId="0" borderId="16" xfId="0" applyNumberFormat="1" applyFont="1" applyFill="1" applyBorder="1" applyAlignment="1">
      <alignment horizontal="right"/>
    </xf>
    <xf numFmtId="4" fontId="7" fillId="0" borderId="30" xfId="0" applyNumberFormat="1" applyFont="1" applyBorder="1" applyAlignment="1">
      <alignment/>
    </xf>
    <xf numFmtId="166" fontId="76" fillId="0" borderId="16" xfId="0" applyNumberFormat="1" applyFont="1" applyFill="1" applyBorder="1" applyAlignment="1">
      <alignment horizontal="right"/>
    </xf>
    <xf numFmtId="4" fontId="76" fillId="0" borderId="27" xfId="0" applyNumberFormat="1" applyFont="1" applyBorder="1" applyAlignment="1">
      <alignment horizontal="center"/>
    </xf>
    <xf numFmtId="166" fontId="76" fillId="0" borderId="16" xfId="0" applyNumberFormat="1" applyFont="1" applyBorder="1" applyAlignment="1">
      <alignment horizontal="right"/>
    </xf>
    <xf numFmtId="166" fontId="76" fillId="0" borderId="26" xfId="0" applyNumberFormat="1" applyFont="1" applyBorder="1" applyAlignment="1">
      <alignment horizontal="right"/>
    </xf>
    <xf numFmtId="4" fontId="76" fillId="0" borderId="26" xfId="0" applyNumberFormat="1" applyFont="1" applyBorder="1" applyAlignment="1">
      <alignment horizontal="right"/>
    </xf>
    <xf numFmtId="4" fontId="76" fillId="0" borderId="27" xfId="0" applyNumberFormat="1" applyFont="1" applyBorder="1" applyAlignment="1">
      <alignment horizontal="right"/>
    </xf>
    <xf numFmtId="166" fontId="76" fillId="0" borderId="16" xfId="0" applyNumberFormat="1" applyFont="1" applyBorder="1" applyAlignment="1">
      <alignment horizontal="center"/>
    </xf>
    <xf numFmtId="4" fontId="76" fillId="0" borderId="14" xfId="0" applyNumberFormat="1" applyFont="1" applyBorder="1" applyAlignment="1">
      <alignment horizontal="center"/>
    </xf>
    <xf numFmtId="166" fontId="71" fillId="0" borderId="11" xfId="0" applyNumberFormat="1" applyFont="1" applyFill="1" applyBorder="1" applyAlignment="1">
      <alignment/>
    </xf>
    <xf numFmtId="4" fontId="70" fillId="0" borderId="16" xfId="0" applyNumberFormat="1" applyFont="1" applyFill="1" applyBorder="1" applyAlignment="1">
      <alignment horizontal="right"/>
    </xf>
    <xf numFmtId="0" fontId="77" fillId="0" borderId="14" xfId="0" applyFont="1" applyBorder="1" applyAlignment="1">
      <alignment horizontal="center"/>
    </xf>
    <xf numFmtId="0" fontId="70" fillId="0" borderId="27" xfId="0" applyFont="1" applyBorder="1" applyAlignment="1">
      <alignment horizontal="right" vertical="center"/>
    </xf>
    <xf numFmtId="4" fontId="73" fillId="0" borderId="11" xfId="0" applyNumberFormat="1" applyFont="1" applyBorder="1" applyAlignment="1">
      <alignment horizontal="center"/>
    </xf>
    <xf numFmtId="167" fontId="70" fillId="0" borderId="11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right"/>
    </xf>
    <xf numFmtId="4" fontId="8" fillId="0" borderId="23" xfId="0" applyNumberFormat="1" applyFont="1" applyFill="1" applyBorder="1" applyAlignment="1">
      <alignment horizontal="center"/>
    </xf>
    <xf numFmtId="173" fontId="0" fillId="0" borderId="14" xfId="54" applyNumberFormat="1" applyFont="1" applyFill="1" applyBorder="1" applyAlignment="1">
      <alignment/>
    </xf>
    <xf numFmtId="10" fontId="71" fillId="0" borderId="14" xfId="54" applyNumberFormat="1" applyFont="1" applyFill="1" applyBorder="1" applyAlignment="1">
      <alignment horizontal="right"/>
    </xf>
    <xf numFmtId="10" fontId="0" fillId="0" borderId="14" xfId="54" applyNumberFormat="1" applyFont="1" applyFill="1" applyBorder="1" applyAlignment="1">
      <alignment horizontal="right"/>
    </xf>
    <xf numFmtId="0" fontId="0" fillId="0" borderId="36" xfId="0" applyBorder="1" applyAlignment="1">
      <alignment/>
    </xf>
    <xf numFmtId="2" fontId="71" fillId="0" borderId="11" xfId="0" applyNumberFormat="1" applyFont="1" applyBorder="1" applyAlignment="1">
      <alignment/>
    </xf>
    <xf numFmtId="167" fontId="7" fillId="0" borderId="31" xfId="0" applyNumberFormat="1" applyFont="1" applyFill="1" applyBorder="1" applyAlignment="1">
      <alignment horizontal="right"/>
    </xf>
    <xf numFmtId="1" fontId="70" fillId="0" borderId="31" xfId="0" applyNumberFormat="1" applyFont="1" applyFill="1" applyBorder="1" applyAlignment="1">
      <alignment horizontal="right"/>
    </xf>
    <xf numFmtId="9" fontId="7" fillId="0" borderId="12" xfId="55" applyFont="1" applyBorder="1" applyAlignment="1">
      <alignment horizontal="center"/>
    </xf>
    <xf numFmtId="9" fontId="70" fillId="0" borderId="12" xfId="55" applyFont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4" fontId="7" fillId="0" borderId="31" xfId="0" applyNumberFormat="1" applyFont="1" applyBorder="1" applyAlignment="1">
      <alignment horizontal="right"/>
    </xf>
    <xf numFmtId="4" fontId="7" fillId="0" borderId="37" xfId="0" applyNumberFormat="1" applyFont="1" applyBorder="1" applyAlignment="1">
      <alignment horizontal="right"/>
    </xf>
    <xf numFmtId="0" fontId="14" fillId="33" borderId="16" xfId="0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center"/>
    </xf>
    <xf numFmtId="167" fontId="7" fillId="0" borderId="16" xfId="0" applyNumberFormat="1" applyFont="1" applyFill="1" applyBorder="1" applyAlignment="1">
      <alignment/>
    </xf>
    <xf numFmtId="4" fontId="7" fillId="0" borderId="31" xfId="0" applyNumberFormat="1" applyFont="1" applyFill="1" applyBorder="1" applyAlignment="1">
      <alignment horizontal="center"/>
    </xf>
    <xf numFmtId="4" fontId="0" fillId="0" borderId="31" xfId="0" applyNumberForma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1" xfId="0" applyBorder="1" applyAlignment="1">
      <alignment/>
    </xf>
    <xf numFmtId="166" fontId="71" fillId="0" borderId="0" xfId="0" applyNumberFormat="1" applyFont="1" applyAlignment="1">
      <alignment/>
    </xf>
    <xf numFmtId="4" fontId="70" fillId="0" borderId="16" xfId="0" applyNumberFormat="1" applyFont="1" applyBorder="1" applyAlignment="1">
      <alignment horizontal="center"/>
    </xf>
    <xf numFmtId="0" fontId="78" fillId="0" borderId="0" xfId="0" applyFont="1" applyFill="1" applyAlignment="1">
      <alignment horizontal="left"/>
    </xf>
    <xf numFmtId="1" fontId="70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71" fillId="0" borderId="14" xfId="0" applyFont="1" applyBorder="1" applyAlignment="1">
      <alignment/>
    </xf>
    <xf numFmtId="0" fontId="70" fillId="0" borderId="14" xfId="0" applyFont="1" applyBorder="1" applyAlignment="1">
      <alignment horizontal="right" vertical="center"/>
    </xf>
    <xf numFmtId="166" fontId="7" fillId="0" borderId="20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14" fillId="33" borderId="38" xfId="0" applyFont="1" applyFill="1" applyBorder="1" applyAlignment="1">
      <alignment horizontal="center"/>
    </xf>
    <xf numFmtId="0" fontId="7" fillId="0" borderId="39" xfId="0" applyFont="1" applyBorder="1" applyAlignment="1">
      <alignment horizontal="right" vertical="center"/>
    </xf>
    <xf numFmtId="0" fontId="70" fillId="0" borderId="40" xfId="0" applyFont="1" applyBorder="1" applyAlignment="1">
      <alignment horizontal="right" vertical="center"/>
    </xf>
    <xf numFmtId="0" fontId="14" fillId="34" borderId="4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166" fontId="7" fillId="0" borderId="31" xfId="0" applyNumberFormat="1" applyFont="1" applyBorder="1" applyAlignment="1">
      <alignment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4" fontId="70" fillId="0" borderId="14" xfId="0" applyNumberFormat="1" applyFont="1" applyFill="1" applyBorder="1" applyAlignment="1">
      <alignment horizontal="center"/>
    </xf>
    <xf numFmtId="2" fontId="70" fillId="0" borderId="14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/>
    </xf>
    <xf numFmtId="4" fontId="7" fillId="0" borderId="14" xfId="0" applyNumberFormat="1" applyFont="1" applyFill="1" applyBorder="1" applyAlignment="1">
      <alignment horizontal="right"/>
    </xf>
    <xf numFmtId="2" fontId="0" fillId="0" borderId="11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183" fontId="8" fillId="0" borderId="23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4" fontId="8" fillId="0" borderId="23" xfId="0" applyNumberFormat="1" applyFont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184" fontId="74" fillId="0" borderId="23" xfId="0" applyNumberFormat="1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4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33" borderId="41" xfId="0" applyFont="1" applyFill="1" applyBorder="1" applyAlignment="1">
      <alignment horizontal="center"/>
    </xf>
    <xf numFmtId="49" fontId="79" fillId="0" borderId="14" xfId="0" applyNumberFormat="1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7" fillId="0" borderId="44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1" fontId="7" fillId="0" borderId="26" xfId="0" applyNumberFormat="1" applyFont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1" fontId="7" fillId="0" borderId="16" xfId="0" applyNumberFormat="1" applyFont="1" applyBorder="1" applyAlignment="1">
      <alignment horizontal="center"/>
    </xf>
    <xf numFmtId="1" fontId="7" fillId="0" borderId="14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6" fillId="0" borderId="16" xfId="0" applyNumberFormat="1" applyFont="1" applyBorder="1" applyAlignment="1">
      <alignment horizontal="center"/>
    </xf>
    <xf numFmtId="168" fontId="7" fillId="0" borderId="15" xfId="0" applyNumberFormat="1" applyFont="1" applyFill="1" applyBorder="1" applyAlignment="1">
      <alignment horizontal="right"/>
    </xf>
    <xf numFmtId="0" fontId="22" fillId="0" borderId="0" xfId="0" applyFont="1" applyAlignment="1">
      <alignment vertical="center"/>
    </xf>
    <xf numFmtId="168" fontId="7" fillId="0" borderId="1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2" fontId="7" fillId="0" borderId="15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right" vertical="center"/>
    </xf>
    <xf numFmtId="0" fontId="75" fillId="34" borderId="0" xfId="0" applyFont="1" applyFill="1" applyAlignment="1">
      <alignment/>
    </xf>
    <xf numFmtId="3" fontId="7" fillId="0" borderId="14" xfId="0" applyNumberFormat="1" applyFont="1" applyFill="1" applyBorder="1" applyAlignment="1">
      <alignment/>
    </xf>
    <xf numFmtId="2" fontId="7" fillId="0" borderId="31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1" fontId="7" fillId="0" borderId="20" xfId="0" applyNumberFormat="1" applyFont="1" applyBorder="1" applyAlignment="1">
      <alignment horizontal="center"/>
    </xf>
    <xf numFmtId="3" fontId="74" fillId="0" borderId="23" xfId="0" applyNumberFormat="1" applyFont="1" applyBorder="1" applyAlignment="1">
      <alignment horizontal="center"/>
    </xf>
    <xf numFmtId="3" fontId="71" fillId="0" borderId="0" xfId="0" applyNumberFormat="1" applyFont="1" applyAlignment="1">
      <alignment/>
    </xf>
    <xf numFmtId="3" fontId="7" fillId="0" borderId="36" xfId="0" applyNumberFormat="1" applyFont="1" applyFill="1" applyBorder="1" applyAlignment="1">
      <alignment horizontal="right"/>
    </xf>
    <xf numFmtId="3" fontId="71" fillId="0" borderId="0" xfId="0" applyNumberFormat="1" applyFont="1" applyAlignment="1">
      <alignment/>
    </xf>
    <xf numFmtId="1" fontId="0" fillId="0" borderId="23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 shrinkToFit="1"/>
    </xf>
    <xf numFmtId="0" fontId="0" fillId="0" borderId="14" xfId="0" applyFill="1" applyBorder="1" applyAlignment="1">
      <alignment horizontal="center"/>
    </xf>
    <xf numFmtId="2" fontId="71" fillId="0" borderId="0" xfId="0" applyNumberFormat="1" applyFont="1" applyAlignment="1">
      <alignment/>
    </xf>
    <xf numFmtId="4" fontId="0" fillId="0" borderId="14" xfId="0" applyNumberFormat="1" applyBorder="1" applyAlignment="1">
      <alignment/>
    </xf>
    <xf numFmtId="3" fontId="76" fillId="0" borderId="14" xfId="0" applyNumberFormat="1" applyFont="1" applyBorder="1" applyAlignment="1">
      <alignment horizontal="center"/>
    </xf>
    <xf numFmtId="3" fontId="76" fillId="0" borderId="16" xfId="0" applyNumberFormat="1" applyFont="1" applyBorder="1" applyAlignment="1">
      <alignment horizontal="center"/>
    </xf>
    <xf numFmtId="176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1" fontId="7" fillId="0" borderId="27" xfId="0" applyNumberFormat="1" applyFont="1" applyBorder="1" applyAlignment="1">
      <alignment horizontal="right"/>
    </xf>
    <xf numFmtId="3" fontId="76" fillId="0" borderId="26" xfId="0" applyNumberFormat="1" applyFont="1" applyBorder="1" applyAlignment="1">
      <alignment horizontal="right"/>
    </xf>
    <xf numFmtId="3" fontId="76" fillId="0" borderId="16" xfId="0" applyNumberFormat="1" applyFont="1" applyBorder="1" applyAlignment="1">
      <alignment horizontal="right"/>
    </xf>
    <xf numFmtId="3" fontId="76" fillId="0" borderId="16" xfId="0" applyNumberFormat="1" applyFont="1" applyFill="1" applyBorder="1" applyAlignment="1">
      <alignment horizontal="right"/>
    </xf>
    <xf numFmtId="3" fontId="7" fillId="0" borderId="20" xfId="0" applyNumberFormat="1" applyFont="1" applyBorder="1" applyAlignment="1">
      <alignment horizontal="center"/>
    </xf>
    <xf numFmtId="1" fontId="80" fillId="0" borderId="17" xfId="0" applyNumberFormat="1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70" fillId="0" borderId="46" xfId="0" applyFont="1" applyBorder="1" applyAlignment="1">
      <alignment horizontal="right" vertical="center"/>
    </xf>
    <xf numFmtId="0" fontId="81" fillId="0" borderId="20" xfId="0" applyFont="1" applyFill="1" applyBorder="1" applyAlignment="1">
      <alignment horizontal="center"/>
    </xf>
    <xf numFmtId="4" fontId="80" fillId="0" borderId="30" xfId="0" applyNumberFormat="1" applyFont="1" applyBorder="1" applyAlignment="1">
      <alignment horizontal="right"/>
    </xf>
    <xf numFmtId="0" fontId="7" fillId="0" borderId="31" xfId="0" applyFont="1" applyBorder="1" applyAlignment="1">
      <alignment/>
    </xf>
    <xf numFmtId="1" fontId="80" fillId="0" borderId="17" xfId="0" applyNumberFormat="1" applyFont="1" applyFill="1" applyBorder="1" applyAlignment="1">
      <alignment horizontal="center"/>
    </xf>
    <xf numFmtId="1" fontId="80" fillId="0" borderId="13" xfId="0" applyNumberFormat="1" applyFont="1" applyBorder="1" applyAlignment="1">
      <alignment horizontal="center"/>
    </xf>
    <xf numFmtId="4" fontId="80" fillId="0" borderId="30" xfId="0" applyNumberFormat="1" applyFont="1" applyBorder="1" applyAlignment="1">
      <alignment horizontal="right"/>
    </xf>
    <xf numFmtId="0" fontId="7" fillId="0" borderId="20" xfId="0" applyFont="1" applyBorder="1" applyAlignment="1">
      <alignment horizontal="left"/>
    </xf>
    <xf numFmtId="1" fontId="80" fillId="0" borderId="13" xfId="0" applyNumberFormat="1" applyFont="1" applyFill="1" applyBorder="1" applyAlignment="1">
      <alignment horizontal="center"/>
    </xf>
    <xf numFmtId="4" fontId="80" fillId="0" borderId="30" xfId="0" applyNumberFormat="1" applyFont="1" applyBorder="1" applyAlignment="1">
      <alignment horizontal="center"/>
    </xf>
    <xf numFmtId="1" fontId="76" fillId="0" borderId="13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1" fontId="76" fillId="0" borderId="17" xfId="0" applyNumberFormat="1" applyFont="1" applyBorder="1" applyAlignment="1">
      <alignment horizontal="center"/>
    </xf>
    <xf numFmtId="4" fontId="76" fillId="0" borderId="29" xfId="0" applyNumberFormat="1" applyFont="1" applyBorder="1" applyAlignment="1">
      <alignment horizontal="right"/>
    </xf>
    <xf numFmtId="4" fontId="80" fillId="0" borderId="29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/>
    </xf>
    <xf numFmtId="0" fontId="70" fillId="0" borderId="47" xfId="0" applyFont="1" applyBorder="1" applyAlignment="1">
      <alignment horizontal="right" vertical="center"/>
    </xf>
    <xf numFmtId="0" fontId="14" fillId="33" borderId="21" xfId="0" applyFont="1" applyFill="1" applyBorder="1" applyAlignment="1">
      <alignment horizontal="center"/>
    </xf>
    <xf numFmtId="0" fontId="7" fillId="0" borderId="11" xfId="0" applyFont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/>
    </xf>
    <xf numFmtId="2" fontId="7" fillId="0" borderId="17" xfId="0" applyNumberFormat="1" applyFont="1" applyBorder="1" applyAlignment="1">
      <alignment/>
    </xf>
    <xf numFmtId="0" fontId="14" fillId="33" borderId="48" xfId="0" applyFont="1" applyFill="1" applyBorder="1" applyAlignment="1">
      <alignment horizontal="center"/>
    </xf>
    <xf numFmtId="0" fontId="7" fillId="0" borderId="15" xfId="0" applyFont="1" applyBorder="1" applyAlignment="1">
      <alignment horizontal="right" vertical="center"/>
    </xf>
    <xf numFmtId="0" fontId="0" fillId="0" borderId="27" xfId="0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0" fillId="0" borderId="43" xfId="0" applyFont="1" applyBorder="1" applyAlignment="1">
      <alignment horizontal="right" vertical="center"/>
    </xf>
    <xf numFmtId="2" fontId="7" fillId="0" borderId="13" xfId="0" applyNumberFormat="1" applyFont="1" applyBorder="1" applyAlignment="1">
      <alignment/>
    </xf>
    <xf numFmtId="2" fontId="7" fillId="0" borderId="13" xfId="0" applyNumberFormat="1" applyFont="1" applyFill="1" applyBorder="1" applyAlignment="1">
      <alignment/>
    </xf>
    <xf numFmtId="3" fontId="7" fillId="0" borderId="49" xfId="0" applyNumberFormat="1" applyFont="1" applyBorder="1" applyAlignment="1">
      <alignment horizontal="center"/>
    </xf>
    <xf numFmtId="0" fontId="7" fillId="0" borderId="35" xfId="0" applyFont="1" applyBorder="1" applyAlignment="1">
      <alignment/>
    </xf>
    <xf numFmtId="4" fontId="7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" fontId="70" fillId="0" borderId="31" xfId="0" applyNumberFormat="1" applyFont="1" applyFill="1" applyBorder="1" applyAlignment="1">
      <alignment horizontal="center"/>
    </xf>
    <xf numFmtId="0" fontId="0" fillId="0" borderId="36" xfId="0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" fontId="76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/>
    </xf>
    <xf numFmtId="4" fontId="76" fillId="0" borderId="30" xfId="0" applyNumberFormat="1" applyFont="1" applyBorder="1" applyAlignment="1">
      <alignment horizontal="right"/>
    </xf>
    <xf numFmtId="167" fontId="7" fillId="0" borderId="15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center"/>
    </xf>
    <xf numFmtId="4" fontId="70" fillId="0" borderId="16" xfId="0" applyNumberFormat="1" applyFont="1" applyFill="1" applyBorder="1" applyAlignment="1">
      <alignment/>
    </xf>
    <xf numFmtId="0" fontId="70" fillId="0" borderId="28" xfId="0" applyFont="1" applyBorder="1" applyAlignment="1">
      <alignment horizontal="right" vertical="center"/>
    </xf>
    <xf numFmtId="2" fontId="7" fillId="0" borderId="36" xfId="0" applyNumberFormat="1" applyFont="1" applyFill="1" applyBorder="1" applyAlignment="1">
      <alignment/>
    </xf>
    <xf numFmtId="0" fontId="14" fillId="34" borderId="26" xfId="0" applyFont="1" applyFill="1" applyBorder="1" applyAlignment="1">
      <alignment horizontal="center"/>
    </xf>
    <xf numFmtId="4" fontId="70" fillId="0" borderId="23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4" fontId="7" fillId="0" borderId="37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70" fillId="0" borderId="20" xfId="0" applyNumberFormat="1" applyFont="1" applyFill="1" applyBorder="1" applyAlignment="1">
      <alignment horizontal="right"/>
    </xf>
    <xf numFmtId="168" fontId="7" fillId="0" borderId="14" xfId="0" applyNumberFormat="1" applyFont="1" applyFill="1" applyBorder="1" applyAlignment="1">
      <alignment horizontal="right"/>
    </xf>
    <xf numFmtId="168" fontId="7" fillId="0" borderId="14" xfId="0" applyNumberFormat="1" applyFont="1" applyFill="1" applyBorder="1" applyAlignment="1">
      <alignment horizontal="right"/>
    </xf>
    <xf numFmtId="2" fontId="70" fillId="0" borderId="31" xfId="0" applyNumberFormat="1" applyFont="1" applyFill="1" applyBorder="1" applyAlignment="1">
      <alignment horizontal="right"/>
    </xf>
    <xf numFmtId="1" fontId="70" fillId="0" borderId="35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right"/>
    </xf>
    <xf numFmtId="2" fontId="70" fillId="0" borderId="31" xfId="0" applyNumberFormat="1" applyFont="1" applyBorder="1" applyAlignment="1">
      <alignment horizontal="right"/>
    </xf>
    <xf numFmtId="167" fontId="7" fillId="0" borderId="35" xfId="0" applyNumberFormat="1" applyFont="1" applyFill="1" applyBorder="1" applyAlignment="1">
      <alignment horizontal="right"/>
    </xf>
    <xf numFmtId="2" fontId="7" fillId="0" borderId="15" xfId="0" applyNumberFormat="1" applyFont="1" applyFill="1" applyBorder="1" applyAlignment="1">
      <alignment horizontal="center"/>
    </xf>
    <xf numFmtId="3" fontId="7" fillId="34" borderId="27" xfId="0" applyNumberFormat="1" applyFont="1" applyFill="1" applyBorder="1" applyAlignment="1">
      <alignment horizontal="center"/>
    </xf>
    <xf numFmtId="166" fontId="7" fillId="34" borderId="26" xfId="0" applyNumberFormat="1" applyFont="1" applyFill="1" applyBorder="1" applyAlignment="1">
      <alignment horizontal="center"/>
    </xf>
    <xf numFmtId="4" fontId="7" fillId="34" borderId="27" xfId="0" applyNumberFormat="1" applyFont="1" applyFill="1" applyBorder="1" applyAlignment="1">
      <alignment horizontal="center"/>
    </xf>
    <xf numFmtId="4" fontId="7" fillId="34" borderId="26" xfId="0" applyNumberFormat="1" applyFont="1" applyFill="1" applyBorder="1" applyAlignment="1">
      <alignment horizontal="center"/>
    </xf>
    <xf numFmtId="4" fontId="7" fillId="34" borderId="14" xfId="0" applyNumberFormat="1" applyFont="1" applyFill="1" applyBorder="1" applyAlignment="1">
      <alignment horizontal="center"/>
    </xf>
    <xf numFmtId="4" fontId="7" fillId="34" borderId="16" xfId="0" applyNumberFormat="1" applyFont="1" applyFill="1" applyBorder="1" applyAlignment="1">
      <alignment horizontal="center"/>
    </xf>
    <xf numFmtId="1" fontId="7" fillId="0" borderId="50" xfId="0" applyNumberFormat="1" applyFont="1" applyFill="1" applyBorder="1" applyAlignment="1">
      <alignment horizontal="center"/>
    </xf>
    <xf numFmtId="0" fontId="70" fillId="0" borderId="51" xfId="0" applyFont="1" applyBorder="1" applyAlignment="1">
      <alignment horizontal="right" vertical="center"/>
    </xf>
    <xf numFmtId="1" fontId="80" fillId="0" borderId="35" xfId="0" applyNumberFormat="1" applyFont="1" applyFill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7" fillId="0" borderId="36" xfId="0" applyFont="1" applyBorder="1" applyAlignment="1">
      <alignment horizontal="right" vertical="center"/>
    </xf>
    <xf numFmtId="0" fontId="14" fillId="34" borderId="14" xfId="0" applyFont="1" applyFill="1" applyBorder="1" applyAlignment="1">
      <alignment horizontal="center"/>
    </xf>
    <xf numFmtId="4" fontId="7" fillId="0" borderId="52" xfId="0" applyNumberFormat="1" applyFont="1" applyBorder="1" applyAlignment="1">
      <alignment horizontal="right"/>
    </xf>
    <xf numFmtId="2" fontId="7" fillId="0" borderId="36" xfId="0" applyNumberFormat="1" applyFont="1" applyFill="1" applyBorder="1" applyAlignment="1">
      <alignment horizontal="center"/>
    </xf>
    <xf numFmtId="4" fontId="7" fillId="0" borderId="53" xfId="0" applyNumberFormat="1" applyFont="1" applyFill="1" applyBorder="1" applyAlignment="1">
      <alignment horizontal="center"/>
    </xf>
    <xf numFmtId="167" fontId="7" fillId="0" borderId="36" xfId="0" applyNumberFormat="1" applyFont="1" applyFill="1" applyBorder="1" applyAlignment="1">
      <alignment/>
    </xf>
    <xf numFmtId="4" fontId="7" fillId="0" borderId="36" xfId="0" applyNumberFormat="1" applyFont="1" applyFill="1" applyBorder="1" applyAlignment="1">
      <alignment horizontal="center"/>
    </xf>
    <xf numFmtId="166" fontId="7" fillId="0" borderId="36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4" fontId="0" fillId="0" borderId="53" xfId="0" applyNumberFormat="1" applyFill="1" applyBorder="1" applyAlignment="1">
      <alignment/>
    </xf>
    <xf numFmtId="166" fontId="7" fillId="0" borderId="36" xfId="0" applyNumberFormat="1" applyFont="1" applyFill="1" applyBorder="1" applyAlignment="1">
      <alignment/>
    </xf>
    <xf numFmtId="2" fontId="70" fillId="0" borderId="36" xfId="0" applyNumberFormat="1" applyFont="1" applyFill="1" applyBorder="1" applyAlignment="1">
      <alignment/>
    </xf>
    <xf numFmtId="0" fontId="0" fillId="0" borderId="54" xfId="0" applyFont="1" applyBorder="1" applyAlignment="1">
      <alignment/>
    </xf>
    <xf numFmtId="0" fontId="0" fillId="0" borderId="36" xfId="0" applyFont="1" applyBorder="1" applyAlignment="1">
      <alignment/>
    </xf>
    <xf numFmtId="2" fontId="7" fillId="0" borderId="36" xfId="0" applyNumberFormat="1" applyFont="1" applyBorder="1" applyAlignment="1">
      <alignment/>
    </xf>
    <xf numFmtId="166" fontId="7" fillId="0" borderId="36" xfId="0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right"/>
    </xf>
    <xf numFmtId="2" fontId="70" fillId="0" borderId="37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4" fontId="70" fillId="0" borderId="14" xfId="0" applyNumberFormat="1" applyFont="1" applyBorder="1" applyAlignment="1">
      <alignment horizontal="center"/>
    </xf>
    <xf numFmtId="4" fontId="70" fillId="0" borderId="20" xfId="0" applyNumberFormat="1" applyFont="1" applyBorder="1" applyAlignment="1">
      <alignment horizontal="center"/>
    </xf>
    <xf numFmtId="3" fontId="76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3" fontId="76" fillId="0" borderId="27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" fillId="34" borderId="0" xfId="0" applyFont="1" applyFill="1" applyAlignment="1">
      <alignment horizontal="right" vertical="center"/>
    </xf>
    <xf numFmtId="3" fontId="70" fillId="0" borderId="26" xfId="0" applyNumberFormat="1" applyFont="1" applyBorder="1" applyAlignment="1">
      <alignment horizontal="center"/>
    </xf>
    <xf numFmtId="3" fontId="70" fillId="0" borderId="27" xfId="0" applyNumberFormat="1" applyFont="1" applyBorder="1" applyAlignment="1">
      <alignment horizontal="center"/>
    </xf>
    <xf numFmtId="4" fontId="76" fillId="0" borderId="55" xfId="0" applyNumberFormat="1" applyFont="1" applyBorder="1" applyAlignment="1">
      <alignment horizontal="center"/>
    </xf>
    <xf numFmtId="4" fontId="76" fillId="0" borderId="55" xfId="0" applyNumberFormat="1" applyFont="1" applyBorder="1" applyAlignment="1">
      <alignment horizontal="right"/>
    </xf>
    <xf numFmtId="2" fontId="7" fillId="0" borderId="31" xfId="0" applyNumberFormat="1" applyFont="1" applyBorder="1" applyAlignment="1">
      <alignment/>
    </xf>
    <xf numFmtId="1" fontId="7" fillId="0" borderId="31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4" fontId="70" fillId="0" borderId="23" xfId="0" applyNumberFormat="1" applyFont="1" applyFill="1" applyBorder="1" applyAlignment="1">
      <alignment horizontal="right"/>
    </xf>
    <xf numFmtId="4" fontId="70" fillId="0" borderId="23" xfId="0" applyNumberFormat="1" applyFont="1" applyBorder="1" applyAlignment="1">
      <alignment horizontal="center"/>
    </xf>
    <xf numFmtId="4" fontId="70" fillId="0" borderId="23" xfId="0" applyNumberFormat="1" applyFont="1" applyBorder="1" applyAlignment="1">
      <alignment horizontal="center"/>
    </xf>
    <xf numFmtId="4" fontId="70" fillId="0" borderId="23" xfId="0" applyNumberFormat="1" applyFont="1" applyFill="1" applyBorder="1" applyAlignment="1">
      <alignment horizontal="right"/>
    </xf>
    <xf numFmtId="4" fontId="25" fillId="0" borderId="56" xfId="0" applyNumberFormat="1" applyFont="1" applyBorder="1" applyAlignment="1">
      <alignment horizontal="center"/>
    </xf>
    <xf numFmtId="4" fontId="8" fillId="0" borderId="57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3" fontId="7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6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82" fillId="0" borderId="0" xfId="0" applyFont="1" applyAlignment="1">
      <alignment horizont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1"/>
  <sheetViews>
    <sheetView zoomScale="90" zoomScaleNormal="90" zoomScalePageLayoutView="0" workbookViewId="0" topLeftCell="B1">
      <selection activeCell="AB15" sqref="AB15"/>
    </sheetView>
  </sheetViews>
  <sheetFormatPr defaultColWidth="9.00390625" defaultRowHeight="12.75"/>
  <cols>
    <col min="1" max="1" width="3.875" style="0" hidden="1" customWidth="1"/>
    <col min="2" max="2" width="24.00390625" style="0" customWidth="1"/>
    <col min="3" max="3" width="9.75390625" style="0" customWidth="1"/>
    <col min="4" max="4" width="10.875" style="0" customWidth="1"/>
    <col min="5" max="5" width="9.00390625" style="0" customWidth="1"/>
    <col min="6" max="6" width="9.25390625" style="0" customWidth="1"/>
    <col min="7" max="7" width="7.875" style="0" customWidth="1"/>
    <col min="8" max="8" width="10.25390625" style="0" customWidth="1"/>
    <col min="9" max="9" width="8.875" style="0" customWidth="1"/>
    <col min="10" max="10" width="10.00390625" style="0" customWidth="1"/>
    <col min="11" max="11" width="7.875" style="0" customWidth="1"/>
    <col min="12" max="12" width="10.75390625" style="0" customWidth="1"/>
    <col min="13" max="13" width="9.00390625" style="0" customWidth="1"/>
    <col min="14" max="14" width="9.625" style="0" customWidth="1"/>
    <col min="15" max="15" width="8.875" style="0" customWidth="1"/>
    <col min="16" max="16" width="10.375" style="0" customWidth="1"/>
    <col min="17" max="17" width="9.875" style="0" customWidth="1"/>
    <col min="18" max="18" width="8.75390625" style="0" customWidth="1"/>
    <col min="19" max="19" width="8.25390625" style="0" customWidth="1"/>
    <col min="20" max="20" width="11.00390625" style="0" customWidth="1"/>
    <col min="21" max="21" width="10.375" style="0" customWidth="1"/>
    <col min="22" max="22" width="11.25390625" style="0" customWidth="1"/>
    <col min="23" max="23" width="9.25390625" style="0" customWidth="1"/>
    <col min="24" max="24" width="7.25390625" style="0" customWidth="1"/>
    <col min="25" max="25" width="6.875" style="0" customWidth="1"/>
    <col min="26" max="26" width="8.00390625" style="0" customWidth="1"/>
    <col min="27" max="27" width="11.125" style="0" customWidth="1"/>
    <col min="28" max="28" width="10.00390625" style="0" customWidth="1"/>
    <col min="29" max="29" width="8.75390625" style="0" customWidth="1"/>
    <col min="30" max="30" width="10.75390625" style="0" customWidth="1"/>
  </cols>
  <sheetData>
    <row r="1" spans="1:25" ht="15">
      <c r="A1" s="549" t="s">
        <v>373</v>
      </c>
      <c r="B1" s="549"/>
      <c r="C1" s="549"/>
      <c r="D1" s="549"/>
      <c r="E1" s="549"/>
      <c r="F1" s="549"/>
      <c r="G1" s="549"/>
      <c r="H1" s="549"/>
      <c r="I1" s="549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234"/>
      <c r="X1" s="234"/>
      <c r="Y1" s="234"/>
    </row>
    <row r="2" spans="1:25" ht="15.75">
      <c r="A2" s="107"/>
      <c r="B2" s="235" t="s">
        <v>44</v>
      </c>
      <c r="C2" s="236" t="s">
        <v>54</v>
      </c>
      <c r="D2" s="107"/>
      <c r="E2" s="107"/>
      <c r="F2" s="107"/>
      <c r="G2" s="237"/>
      <c r="H2" s="236"/>
      <c r="I2" s="361" t="s">
        <v>337</v>
      </c>
      <c r="J2" s="107"/>
      <c r="L2" t="s">
        <v>367</v>
      </c>
      <c r="M2" s="107"/>
      <c r="N2" s="268" t="s">
        <v>385</v>
      </c>
      <c r="P2" s="384"/>
      <c r="Q2" s="385"/>
      <c r="R2" s="383"/>
      <c r="S2" s="383"/>
      <c r="T2" s="383"/>
      <c r="U2" s="383"/>
      <c r="V2" s="384"/>
      <c r="W2" s="385"/>
      <c r="X2" s="234"/>
      <c r="Y2" s="234"/>
    </row>
    <row r="3" spans="1:25" ht="15.75">
      <c r="A3" s="107"/>
      <c r="D3" s="505" t="s">
        <v>257</v>
      </c>
      <c r="E3" s="238"/>
      <c r="F3" s="238"/>
      <c r="G3" s="238"/>
      <c r="H3" s="238"/>
      <c r="J3" s="342"/>
      <c r="L3" s="239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4"/>
      <c r="X3" s="234"/>
      <c r="Y3" s="236"/>
    </row>
    <row r="4" spans="1:30" ht="15" customHeight="1">
      <c r="A4" s="550" t="s">
        <v>39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</row>
    <row r="5" spans="1:30" s="3" customFormat="1" ht="15" customHeight="1">
      <c r="A5" s="533" t="s">
        <v>59</v>
      </c>
      <c r="B5" s="533"/>
      <c r="C5" s="533"/>
      <c r="D5" s="63"/>
      <c r="E5" s="63"/>
      <c r="F5" s="1"/>
      <c r="H5" s="239"/>
      <c r="I5" s="24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B5" s="7"/>
      <c r="AC5" s="1"/>
      <c r="AD5" s="2"/>
    </row>
    <row r="6" spans="1:28" s="3" customFormat="1" ht="14.25">
      <c r="A6" s="549" t="s">
        <v>391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</row>
    <row r="7" spans="1:28" s="3" customFormat="1" ht="14.25">
      <c r="A7" s="551" t="s">
        <v>200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1"/>
      <c r="AA7" s="551"/>
      <c r="AB7" s="551"/>
    </row>
    <row r="8" spans="1:30" s="3" customFormat="1" ht="18">
      <c r="A8" s="552" t="s">
        <v>245</v>
      </c>
      <c r="B8" s="552"/>
      <c r="C8" s="552"/>
      <c r="D8" s="552"/>
      <c r="E8" s="55" t="s">
        <v>55</v>
      </c>
      <c r="F8" s="55"/>
      <c r="G8" s="503" t="s">
        <v>0</v>
      </c>
      <c r="H8" s="504" t="s">
        <v>56</v>
      </c>
      <c r="I8" s="355"/>
      <c r="J8" s="356"/>
      <c r="K8" s="354"/>
      <c r="O8" s="1"/>
      <c r="P8" s="2"/>
      <c r="R8" s="1"/>
      <c r="S8" s="1"/>
      <c r="T8" s="172" t="s">
        <v>57</v>
      </c>
      <c r="U8" s="1"/>
      <c r="V8" s="1"/>
      <c r="W8" s="1"/>
      <c r="X8" s="1"/>
      <c r="Y8" s="2"/>
      <c r="Z8" s="1"/>
      <c r="AA8" s="1"/>
      <c r="AD8" s="1"/>
    </row>
    <row r="9" spans="1:27" s="3" customFormat="1" ht="15" thickBot="1">
      <c r="A9" s="3" t="s">
        <v>1</v>
      </c>
      <c r="B9" s="4"/>
      <c r="C9" s="9"/>
      <c r="D9" s="2"/>
      <c r="G9" s="10"/>
      <c r="H9" s="4"/>
      <c r="I9" s="9"/>
      <c r="J9" s="2"/>
      <c r="N9" s="4"/>
      <c r="O9" s="9"/>
      <c r="P9" s="9"/>
      <c r="Q9" s="9"/>
      <c r="R9" s="9"/>
      <c r="S9" s="9"/>
      <c r="T9" s="2"/>
      <c r="U9" s="11"/>
      <c r="V9" s="12"/>
      <c r="X9" s="357" t="s">
        <v>33</v>
      </c>
      <c r="Y9" s="256">
        <v>1</v>
      </c>
      <c r="Z9" s="70"/>
      <c r="AA9" s="12"/>
    </row>
    <row r="10" spans="1:27" ht="12.75" customHeight="1">
      <c r="A10" s="558" t="s">
        <v>2</v>
      </c>
      <c r="B10" s="13"/>
      <c r="C10" s="561" t="s">
        <v>237</v>
      </c>
      <c r="D10" s="13"/>
      <c r="E10" s="537" t="s">
        <v>3</v>
      </c>
      <c r="F10" s="538"/>
      <c r="G10" s="538"/>
      <c r="H10" s="539"/>
      <c r="I10" s="553" t="s">
        <v>243</v>
      </c>
      <c r="J10" s="554"/>
      <c r="K10" s="553" t="s">
        <v>244</v>
      </c>
      <c r="L10" s="555"/>
      <c r="M10" s="555"/>
      <c r="N10" s="554"/>
      <c r="O10" s="13"/>
      <c r="P10" s="537" t="s">
        <v>37</v>
      </c>
      <c r="Q10" s="538"/>
      <c r="R10" s="538"/>
      <c r="S10" s="538"/>
      <c r="T10" s="539"/>
      <c r="U10" s="14" t="s">
        <v>4</v>
      </c>
      <c r="V10" s="15" t="s">
        <v>5</v>
      </c>
      <c r="W10" s="14" t="s">
        <v>9</v>
      </c>
      <c r="X10" s="14" t="s">
        <v>10</v>
      </c>
      <c r="Y10" s="16"/>
      <c r="Z10" s="546" t="s">
        <v>246</v>
      </c>
      <c r="AA10" s="534" t="s">
        <v>53</v>
      </c>
    </row>
    <row r="11" spans="1:27" ht="12.75" customHeight="1">
      <c r="A11" s="559"/>
      <c r="B11" s="18"/>
      <c r="C11" s="562"/>
      <c r="D11" s="18"/>
      <c r="E11" s="20"/>
      <c r="F11" s="20"/>
      <c r="G11" s="20"/>
      <c r="H11" s="20"/>
      <c r="I11" s="540" t="s">
        <v>399</v>
      </c>
      <c r="J11" s="541"/>
      <c r="K11" s="540" t="s">
        <v>238</v>
      </c>
      <c r="L11" s="541"/>
      <c r="M11" s="540" t="s">
        <v>239</v>
      </c>
      <c r="N11" s="541"/>
      <c r="O11" s="195"/>
      <c r="P11" s="21"/>
      <c r="Q11" s="21"/>
      <c r="R11" s="152"/>
      <c r="S11" s="151"/>
      <c r="T11" s="556" t="s">
        <v>247</v>
      </c>
      <c r="U11" s="22" t="s">
        <v>7</v>
      </c>
      <c r="V11" s="22" t="s">
        <v>8</v>
      </c>
      <c r="W11" s="21" t="s">
        <v>13</v>
      </c>
      <c r="X11" s="18" t="s">
        <v>14</v>
      </c>
      <c r="Y11" s="19"/>
      <c r="Z11" s="547"/>
      <c r="AA11" s="535"/>
    </row>
    <row r="12" spans="1:27" ht="12.75" customHeight="1">
      <c r="A12" s="559"/>
      <c r="B12" s="109"/>
      <c r="C12" s="562"/>
      <c r="D12" s="18"/>
      <c r="E12" s="18"/>
      <c r="F12" s="18"/>
      <c r="G12" s="18"/>
      <c r="H12" s="18"/>
      <c r="I12" s="542"/>
      <c r="J12" s="543"/>
      <c r="K12" s="542"/>
      <c r="L12" s="543"/>
      <c r="M12" s="542"/>
      <c r="N12" s="543"/>
      <c r="O12" s="22" t="s">
        <v>241</v>
      </c>
      <c r="P12" s="22" t="s">
        <v>50</v>
      </c>
      <c r="Q12" s="22" t="s">
        <v>50</v>
      </c>
      <c r="R12" s="22" t="s">
        <v>16</v>
      </c>
      <c r="T12" s="557"/>
      <c r="U12" s="23" t="s">
        <v>11</v>
      </c>
      <c r="V12" s="18" t="s">
        <v>12</v>
      </c>
      <c r="W12" s="21" t="s">
        <v>22</v>
      </c>
      <c r="X12" s="17" t="s">
        <v>23</v>
      </c>
      <c r="Y12" s="22" t="s">
        <v>6</v>
      </c>
      <c r="Z12" s="547"/>
      <c r="AA12" s="535"/>
    </row>
    <row r="13" spans="1:27" ht="12.75" customHeight="1">
      <c r="A13" s="559" t="s">
        <v>2</v>
      </c>
      <c r="B13" s="18" t="s">
        <v>236</v>
      </c>
      <c r="C13" s="562"/>
      <c r="D13" s="18" t="s">
        <v>15</v>
      </c>
      <c r="E13" s="22" t="s">
        <v>16</v>
      </c>
      <c r="F13" s="22" t="s">
        <v>16</v>
      </c>
      <c r="G13" s="22" t="s">
        <v>17</v>
      </c>
      <c r="H13" s="22" t="s">
        <v>18</v>
      </c>
      <c r="I13" s="542"/>
      <c r="J13" s="543"/>
      <c r="K13" s="542"/>
      <c r="L13" s="543"/>
      <c r="M13" s="542"/>
      <c r="N13" s="543"/>
      <c r="O13" s="18" t="s">
        <v>19</v>
      </c>
      <c r="P13" s="22" t="s">
        <v>51</v>
      </c>
      <c r="Q13" s="22" t="s">
        <v>52</v>
      </c>
      <c r="R13" s="100" t="s">
        <v>242</v>
      </c>
      <c r="S13" s="195" t="s">
        <v>26</v>
      </c>
      <c r="T13" s="557"/>
      <c r="U13" s="18" t="s">
        <v>20</v>
      </c>
      <c r="V13" s="18" t="s">
        <v>21</v>
      </c>
      <c r="X13" s="19"/>
      <c r="Y13" s="21" t="s">
        <v>235</v>
      </c>
      <c r="Z13" s="547"/>
      <c r="AA13" s="535"/>
    </row>
    <row r="14" spans="1:27" ht="12.75">
      <c r="A14" s="559"/>
      <c r="B14" s="18"/>
      <c r="C14" s="562"/>
      <c r="D14" s="18" t="s">
        <v>24</v>
      </c>
      <c r="E14" s="18" t="s">
        <v>49</v>
      </c>
      <c r="F14" s="18" t="s">
        <v>27</v>
      </c>
      <c r="G14" s="18"/>
      <c r="H14" s="18"/>
      <c r="I14" s="544"/>
      <c r="J14" s="545"/>
      <c r="K14" s="544"/>
      <c r="L14" s="545"/>
      <c r="M14" s="544"/>
      <c r="N14" s="545"/>
      <c r="O14" s="18" t="s">
        <v>240</v>
      </c>
      <c r="P14" s="18"/>
      <c r="Q14" s="18"/>
      <c r="R14" s="22" t="s">
        <v>38</v>
      </c>
      <c r="S14" s="195" t="s">
        <v>61</v>
      </c>
      <c r="T14" s="557"/>
      <c r="U14" s="18" t="s">
        <v>23</v>
      </c>
      <c r="V14" s="24"/>
      <c r="W14" s="21"/>
      <c r="X14" s="17"/>
      <c r="Y14" s="17" t="s">
        <v>35</v>
      </c>
      <c r="Z14" s="547"/>
      <c r="AA14" s="535"/>
    </row>
    <row r="15" spans="1:27" ht="12.75">
      <c r="A15" s="559"/>
      <c r="B15" s="18"/>
      <c r="C15" s="562"/>
      <c r="D15" s="18"/>
      <c r="E15" s="18"/>
      <c r="F15" s="18"/>
      <c r="G15" s="18"/>
      <c r="H15" s="18"/>
      <c r="I15" s="18" t="s">
        <v>25</v>
      </c>
      <c r="J15" s="18" t="s">
        <v>26</v>
      </c>
      <c r="K15" s="18" t="s">
        <v>25</v>
      </c>
      <c r="L15" s="18" t="s">
        <v>26</v>
      </c>
      <c r="M15" s="18" t="s">
        <v>25</v>
      </c>
      <c r="N15" s="18" t="s">
        <v>26</v>
      </c>
      <c r="O15" s="396" t="s">
        <v>279</v>
      </c>
      <c r="P15" s="18"/>
      <c r="Q15" s="18"/>
      <c r="R15" s="22"/>
      <c r="T15" s="557"/>
      <c r="U15" s="18"/>
      <c r="V15" s="24"/>
      <c r="W15" s="21"/>
      <c r="X15" s="25"/>
      <c r="Y15" s="25"/>
      <c r="Z15" s="547"/>
      <c r="AA15" s="535"/>
    </row>
    <row r="16" spans="1:27" ht="15">
      <c r="A16" s="559"/>
      <c r="B16" s="108"/>
      <c r="C16" s="562"/>
      <c r="E16" s="18"/>
      <c r="F16" s="18"/>
      <c r="G16" s="18"/>
      <c r="H16" s="18"/>
      <c r="J16" s="18"/>
      <c r="K16" s="18"/>
      <c r="L16" s="18"/>
      <c r="M16" s="18"/>
      <c r="N16" s="18"/>
      <c r="O16" s="18" t="s">
        <v>393</v>
      </c>
      <c r="P16" s="195"/>
      <c r="Q16" s="195"/>
      <c r="R16" s="22"/>
      <c r="S16" s="291"/>
      <c r="T16" s="557"/>
      <c r="U16" s="26"/>
      <c r="V16" s="359" t="s">
        <v>250</v>
      </c>
      <c r="W16" s="27"/>
      <c r="X16" s="25"/>
      <c r="Y16" s="25"/>
      <c r="Z16" s="547"/>
      <c r="AA16" s="535"/>
    </row>
    <row r="17" spans="1:27" ht="12.75">
      <c r="A17" s="560"/>
      <c r="B17" s="28"/>
      <c r="C17" s="563"/>
      <c r="D17" s="18"/>
      <c r="E17" s="28" t="s">
        <v>29</v>
      </c>
      <c r="F17" s="28" t="s">
        <v>29</v>
      </c>
      <c r="G17" s="28" t="s">
        <v>30</v>
      </c>
      <c r="H17" s="28" t="s">
        <v>31</v>
      </c>
      <c r="I17" s="28" t="s">
        <v>28</v>
      </c>
      <c r="J17" s="28" t="s">
        <v>31</v>
      </c>
      <c r="K17" s="28" t="s">
        <v>30</v>
      </c>
      <c r="L17" s="28" t="s">
        <v>31</v>
      </c>
      <c r="M17" s="28" t="s">
        <v>30</v>
      </c>
      <c r="N17" s="28" t="s">
        <v>31</v>
      </c>
      <c r="O17" s="28" t="s">
        <v>31</v>
      </c>
      <c r="P17" s="196"/>
      <c r="Q17" s="196"/>
      <c r="R17" s="343" t="s">
        <v>60</v>
      </c>
      <c r="S17" s="153"/>
      <c r="T17" s="153" t="s">
        <v>31</v>
      </c>
      <c r="U17" s="28" t="s">
        <v>31</v>
      </c>
      <c r="V17" s="28" t="s">
        <v>31</v>
      </c>
      <c r="W17" s="28" t="s">
        <v>30</v>
      </c>
      <c r="X17" s="30" t="s">
        <v>32</v>
      </c>
      <c r="Y17" s="30" t="s">
        <v>32</v>
      </c>
      <c r="Z17" s="548"/>
      <c r="AA17" s="536"/>
    </row>
    <row r="18" spans="1:27" ht="13.5" thickBot="1">
      <c r="A18" s="31">
        <v>1</v>
      </c>
      <c r="B18" s="32">
        <v>2</v>
      </c>
      <c r="C18" s="32">
        <v>3</v>
      </c>
      <c r="D18" s="346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2">
        <v>10</v>
      </c>
      <c r="K18" s="32">
        <v>11</v>
      </c>
      <c r="L18" s="32">
        <v>12</v>
      </c>
      <c r="M18" s="32">
        <v>13</v>
      </c>
      <c r="N18" s="32">
        <v>14</v>
      </c>
      <c r="O18" s="32">
        <v>15</v>
      </c>
      <c r="P18" s="32">
        <v>16</v>
      </c>
      <c r="Q18" s="32">
        <v>17</v>
      </c>
      <c r="R18" s="32">
        <v>18</v>
      </c>
      <c r="S18" s="32">
        <v>19</v>
      </c>
      <c r="T18" s="32">
        <v>20</v>
      </c>
      <c r="U18" s="32">
        <v>21</v>
      </c>
      <c r="V18" s="32">
        <v>22</v>
      </c>
      <c r="W18" s="32">
        <v>23</v>
      </c>
      <c r="X18" s="32">
        <v>27</v>
      </c>
      <c r="Y18" s="32">
        <v>28</v>
      </c>
      <c r="Z18" s="32">
        <v>29</v>
      </c>
      <c r="AA18" s="145">
        <v>30</v>
      </c>
    </row>
    <row r="19" spans="1:27" ht="12.75" hidden="1">
      <c r="A19" s="525">
        <v>1</v>
      </c>
      <c r="B19" s="109" t="s">
        <v>68</v>
      </c>
      <c r="C19" s="137"/>
      <c r="D19" s="178"/>
      <c r="E19" s="83"/>
      <c r="F19" s="83"/>
      <c r="G19" s="272" t="s">
        <v>79</v>
      </c>
      <c r="H19" s="84"/>
      <c r="I19" s="167">
        <f>2.1*1.23</f>
        <v>2.583</v>
      </c>
      <c r="J19" s="210"/>
      <c r="K19" s="263"/>
      <c r="L19" s="84"/>
      <c r="M19" s="263"/>
      <c r="N19" s="84"/>
      <c r="O19" s="131">
        <f>E20*2.51*1.23</f>
        <v>45.74452409999999</v>
      </c>
      <c r="P19" s="165">
        <v>0.0032</v>
      </c>
      <c r="Q19" s="165">
        <v>0.0033</v>
      </c>
      <c r="R19" s="183">
        <f aca="true" t="shared" si="0" ref="R19:R24">(Q19-P19)</f>
        <v>9.999999999999983E-05</v>
      </c>
      <c r="S19" s="131">
        <f>R19/E20</f>
        <v>6.749004521833018E-06</v>
      </c>
      <c r="T19" s="274"/>
      <c r="U19" s="190"/>
      <c r="V19" s="174"/>
      <c r="W19" s="175"/>
      <c r="X19" s="191"/>
      <c r="Y19" s="191"/>
      <c r="Z19" s="191"/>
      <c r="AA19" s="218"/>
    </row>
    <row r="20" spans="1:27" ht="12.75" hidden="1">
      <c r="A20" s="524"/>
      <c r="B20" s="160" t="s">
        <v>78</v>
      </c>
      <c r="C20" s="64" t="s">
        <v>64</v>
      </c>
      <c r="D20" s="169">
        <v>122.6387</v>
      </c>
      <c r="E20" s="176">
        <v>14.817</v>
      </c>
      <c r="F20" s="281">
        <v>14.817</v>
      </c>
      <c r="G20" s="75">
        <f>0.2147*1.23</f>
        <v>0.264081</v>
      </c>
      <c r="H20" s="282">
        <f>F20*G20*1000</f>
        <v>3912.8881770000003</v>
      </c>
      <c r="I20" s="171">
        <f>9.39*1.23</f>
        <v>11.549700000000001</v>
      </c>
      <c r="J20" s="122">
        <f>X20*(I19+I20)</f>
        <v>706.6350000000001</v>
      </c>
      <c r="K20" s="170">
        <f>0.03145*1.23</f>
        <v>0.038683499999999996</v>
      </c>
      <c r="L20" s="62">
        <f>(E20)*K20*1000</f>
        <v>573.1734194999999</v>
      </c>
      <c r="M20" s="170">
        <f>0.01294*1.23</f>
        <v>0.0159162</v>
      </c>
      <c r="N20" s="62">
        <f>(E20)*M20*1000</f>
        <v>235.83033539999997</v>
      </c>
      <c r="O20" s="177">
        <f>27*1.23</f>
        <v>33.21</v>
      </c>
      <c r="P20" s="185">
        <v>90.1308</v>
      </c>
      <c r="Q20" s="185">
        <v>98.9312</v>
      </c>
      <c r="R20" s="185">
        <f t="shared" si="0"/>
        <v>8.80040000000001</v>
      </c>
      <c r="S20" s="177"/>
      <c r="T20" s="290">
        <f>0*1.23</f>
        <v>0</v>
      </c>
      <c r="U20" s="192"/>
      <c r="V20" s="129">
        <f>J20+L19+L20+N19+N20+O19+O20+T19+T20+U20</f>
        <v>1594.5932790000002</v>
      </c>
      <c r="W20" s="170">
        <f>(H19+H20+V20)/(E19+E20)/1000</f>
        <v>0.3717001725045556</v>
      </c>
      <c r="X20" s="71">
        <v>50</v>
      </c>
      <c r="Y20" s="71">
        <v>27</v>
      </c>
      <c r="Z20" s="193"/>
      <c r="AA20" s="219">
        <f>V20/1.23</f>
        <v>1296.4173</v>
      </c>
    </row>
    <row r="21" spans="1:27" ht="12.75" hidden="1">
      <c r="A21" s="525">
        <v>2</v>
      </c>
      <c r="B21" s="109" t="s">
        <v>73</v>
      </c>
      <c r="C21" s="137"/>
      <c r="D21" s="178"/>
      <c r="E21" s="83"/>
      <c r="F21" s="83"/>
      <c r="G21" s="272" t="s">
        <v>80</v>
      </c>
      <c r="H21" s="84"/>
      <c r="I21" s="167">
        <f>3.8*1.23</f>
        <v>4.6739999999999995</v>
      </c>
      <c r="J21" s="210"/>
      <c r="K21" s="263"/>
      <c r="L21" s="84"/>
      <c r="M21" s="263"/>
      <c r="N21" s="84"/>
      <c r="O21" s="131">
        <f>E22*3.7*1.23</f>
        <v>79.42723769999996</v>
      </c>
      <c r="P21" s="165">
        <v>0.0033</v>
      </c>
      <c r="Q21" s="165">
        <v>0.0033</v>
      </c>
      <c r="R21" s="183">
        <f t="shared" si="0"/>
        <v>0</v>
      </c>
      <c r="S21" s="131">
        <f>R21/E22</f>
        <v>0</v>
      </c>
      <c r="T21" s="274"/>
      <c r="U21" s="190"/>
      <c r="V21" s="174"/>
      <c r="W21" s="175"/>
      <c r="X21" s="179"/>
      <c r="Y21" s="179"/>
      <c r="Z21" s="191"/>
      <c r="AA21" s="218"/>
    </row>
    <row r="22" spans="1:27" ht="12.75" hidden="1">
      <c r="A22" s="524"/>
      <c r="B22" s="160" t="s">
        <v>74</v>
      </c>
      <c r="C22" s="64" t="s">
        <v>70</v>
      </c>
      <c r="D22" s="169">
        <v>140.0914</v>
      </c>
      <c r="E22" s="176">
        <f>(D22-D20)*Y$9</f>
        <v>17.452699999999993</v>
      </c>
      <c r="F22" s="281">
        <v>17.453</v>
      </c>
      <c r="G22" s="75">
        <f>0.2147*1.23</f>
        <v>0.264081</v>
      </c>
      <c r="H22" s="282">
        <f>F22*G22*1000</f>
        <v>4609.005693</v>
      </c>
      <c r="I22" s="171">
        <f>9.1*1.23</f>
        <v>11.193</v>
      </c>
      <c r="J22" s="122">
        <f>X22*(I21+I22)</f>
        <v>793.3499999999999</v>
      </c>
      <c r="K22" s="170">
        <f>0.03561*1.23</f>
        <v>0.0438003</v>
      </c>
      <c r="L22" s="62">
        <f>(E22)*K22*1000</f>
        <v>764.4334958099997</v>
      </c>
      <c r="M22" s="170">
        <f>0.0127*1.23</f>
        <v>0.015621</v>
      </c>
      <c r="N22" s="62">
        <f>(E22)*M22*1000</f>
        <v>272.62862669999987</v>
      </c>
      <c r="O22" s="177">
        <f>23*1.23</f>
        <v>28.29</v>
      </c>
      <c r="P22" s="185">
        <v>98.9312</v>
      </c>
      <c r="Q22" s="185">
        <v>106.0438</v>
      </c>
      <c r="R22" s="185">
        <f t="shared" si="0"/>
        <v>7.1126000000000005</v>
      </c>
      <c r="S22" s="177"/>
      <c r="T22" s="290">
        <f>1209.14*1.23</f>
        <v>1487.2422000000001</v>
      </c>
      <c r="U22" s="192"/>
      <c r="V22" s="129">
        <f>J22+L21+L22+N21+N22+O21+O22+T21+T22+U22</f>
        <v>3425.3715602099996</v>
      </c>
      <c r="W22" s="170">
        <f>(H21+H22+V22)/(E21+E22)/1000</f>
        <v>0.4603515360494366</v>
      </c>
      <c r="X22" s="71">
        <v>50</v>
      </c>
      <c r="Y22" s="71">
        <v>30</v>
      </c>
      <c r="Z22" s="193"/>
      <c r="AA22" s="219">
        <f>V22/1.23</f>
        <v>2784.854927</v>
      </c>
    </row>
    <row r="23" spans="1:27" ht="12.75" hidden="1">
      <c r="A23" s="525">
        <v>3</v>
      </c>
      <c r="B23" s="109" t="s">
        <v>88</v>
      </c>
      <c r="C23" s="137"/>
      <c r="D23" s="178"/>
      <c r="E23" s="83"/>
      <c r="F23" s="83"/>
      <c r="G23" s="272" t="s">
        <v>91</v>
      </c>
      <c r="H23" s="84"/>
      <c r="I23" s="167">
        <f>3.8*1.23</f>
        <v>4.6739999999999995</v>
      </c>
      <c r="J23" s="210"/>
      <c r="K23" s="263"/>
      <c r="L23" s="84"/>
      <c r="M23" s="263"/>
      <c r="N23" s="84"/>
      <c r="O23" s="131">
        <f>E24*3.7*1.23</f>
        <v>71.38562069999999</v>
      </c>
      <c r="P23" s="165">
        <v>0.0033</v>
      </c>
      <c r="Q23" s="165">
        <v>0.0034</v>
      </c>
      <c r="R23" s="183">
        <f t="shared" si="0"/>
        <v>9.999999999999983E-05</v>
      </c>
      <c r="S23" s="131">
        <f>R23/E24</f>
        <v>6.375233492926669E-06</v>
      </c>
      <c r="T23" s="274"/>
      <c r="U23" s="190"/>
      <c r="V23" s="174"/>
      <c r="W23" s="175"/>
      <c r="X23" s="179"/>
      <c r="Y23" s="179"/>
      <c r="Z23" s="191"/>
      <c r="AA23" s="218"/>
    </row>
    <row r="24" spans="1:27" ht="12.75" hidden="1">
      <c r="A24" s="524"/>
      <c r="B24" s="160" t="s">
        <v>89</v>
      </c>
      <c r="C24" s="64" t="s">
        <v>86</v>
      </c>
      <c r="D24" s="169">
        <v>155.7771</v>
      </c>
      <c r="E24" s="176">
        <f>(D24-D22)*Y$9</f>
        <v>15.685699999999997</v>
      </c>
      <c r="F24" s="281">
        <v>15.686</v>
      </c>
      <c r="G24" s="75">
        <f>0.2147*1.23</f>
        <v>0.264081</v>
      </c>
      <c r="H24" s="282">
        <f>F24*G24*1000</f>
        <v>4142.374566</v>
      </c>
      <c r="I24" s="171">
        <f>9.1*1.23</f>
        <v>11.193</v>
      </c>
      <c r="J24" s="122">
        <f>X24*(I23+I24)</f>
        <v>793.3499999999999</v>
      </c>
      <c r="K24" s="170">
        <f>0.03561*1.23</f>
        <v>0.0438003</v>
      </c>
      <c r="L24" s="62">
        <f>(E24)*K24*1000</f>
        <v>687.0383657099999</v>
      </c>
      <c r="M24" s="170">
        <f>0.0127*1.23</f>
        <v>0.015621</v>
      </c>
      <c r="N24" s="62">
        <f>(E24)*M24*1000</f>
        <v>245.02631969999993</v>
      </c>
      <c r="O24" s="177">
        <f>23*1.23</f>
        <v>28.29</v>
      </c>
      <c r="P24" s="185">
        <v>106.0438</v>
      </c>
      <c r="Q24" s="185">
        <v>112.488</v>
      </c>
      <c r="R24" s="185">
        <f t="shared" si="0"/>
        <v>6.444199999999995</v>
      </c>
      <c r="S24" s="177"/>
      <c r="T24" s="290">
        <f>1095.42*1.23</f>
        <v>1347.3666</v>
      </c>
      <c r="U24" s="192"/>
      <c r="V24" s="129">
        <f>J24+L23+L24+N23+N24+O23+O24+T23+T24+U24</f>
        <v>3172.4569061099996</v>
      </c>
      <c r="W24" s="170">
        <f>(H23+H24+V24)/(E23+E24)/1000</f>
        <v>0.4663375859610984</v>
      </c>
      <c r="X24" s="71">
        <v>50</v>
      </c>
      <c r="Y24" s="71">
        <v>29</v>
      </c>
      <c r="Z24" s="193"/>
      <c r="AA24" s="219">
        <f>V24/1.23</f>
        <v>2579.233257</v>
      </c>
    </row>
    <row r="25" spans="1:27" ht="12.75" hidden="1">
      <c r="A25" s="525">
        <v>4</v>
      </c>
      <c r="B25" s="109" t="s">
        <v>101</v>
      </c>
      <c r="C25" s="137"/>
      <c r="D25" s="178"/>
      <c r="E25" s="83"/>
      <c r="F25" s="83"/>
      <c r="G25" s="272" t="s">
        <v>105</v>
      </c>
      <c r="H25" s="84"/>
      <c r="I25" s="167">
        <f>3.8*1.23</f>
        <v>4.6739999999999995</v>
      </c>
      <c r="J25" s="210"/>
      <c r="K25" s="263"/>
      <c r="L25" s="84"/>
      <c r="M25" s="263"/>
      <c r="N25" s="84"/>
      <c r="O25" s="131">
        <f>E26*3.7*1.23</f>
        <v>72.2889942000001</v>
      </c>
      <c r="P25" s="165">
        <v>0.0034</v>
      </c>
      <c r="Q25" s="165">
        <v>0.0034</v>
      </c>
      <c r="R25" s="183">
        <f aca="true" t="shared" si="1" ref="R25:R30">(Q25-P25)</f>
        <v>0</v>
      </c>
      <c r="S25" s="131">
        <f>R25/E26</f>
        <v>0</v>
      </c>
      <c r="T25" s="274"/>
      <c r="U25" s="190"/>
      <c r="V25" s="174"/>
      <c r="W25" s="175"/>
      <c r="X25" s="179"/>
      <c r="Y25" s="179"/>
      <c r="Z25" s="191"/>
      <c r="AA25" s="218"/>
    </row>
    <row r="26" spans="1:27" ht="12.75" hidden="1">
      <c r="A26" s="524"/>
      <c r="B26" s="160" t="s">
        <v>102</v>
      </c>
      <c r="C26" s="64" t="s">
        <v>99</v>
      </c>
      <c r="D26" s="169">
        <v>171.6613</v>
      </c>
      <c r="E26" s="176">
        <f>(D26-D24)*Y$9</f>
        <v>15.884200000000021</v>
      </c>
      <c r="F26" s="281">
        <v>15.884</v>
      </c>
      <c r="G26" s="75">
        <f>0.2147*1.23</f>
        <v>0.264081</v>
      </c>
      <c r="H26" s="282">
        <f>F26*G26*1000</f>
        <v>4194.662604</v>
      </c>
      <c r="I26" s="171">
        <f>9.1*1.23</f>
        <v>11.193</v>
      </c>
      <c r="J26" s="122">
        <f>X26*(I25+I26)</f>
        <v>793.3499999999999</v>
      </c>
      <c r="K26" s="170">
        <f>0.03561*1.23</f>
        <v>0.0438003</v>
      </c>
      <c r="L26" s="62">
        <f>(E26)*K26*1000</f>
        <v>695.732725260001</v>
      </c>
      <c r="M26" s="170">
        <f>0.0127*1.23</f>
        <v>0.015621</v>
      </c>
      <c r="N26" s="62">
        <f>(E26)*M26*1000</f>
        <v>248.12708820000032</v>
      </c>
      <c r="O26" s="177">
        <f>23*1.23</f>
        <v>28.29</v>
      </c>
      <c r="P26" s="185">
        <v>112.488</v>
      </c>
      <c r="Q26" s="185">
        <v>120.3512</v>
      </c>
      <c r="R26" s="185">
        <f t="shared" si="1"/>
        <v>7.863200000000006</v>
      </c>
      <c r="S26" s="177"/>
      <c r="T26" s="290">
        <f>1336.63*1.23</f>
        <v>1644.0549</v>
      </c>
      <c r="U26" s="192"/>
      <c r="V26" s="129">
        <f>J26+L25+L26+N25+N26+O25+O26+T25+T26+U26</f>
        <v>3481.843707660001</v>
      </c>
      <c r="W26" s="170">
        <f>(H25+H26+V26)/(E25+E26)/1000</f>
        <v>0.48327937898414725</v>
      </c>
      <c r="X26" s="71">
        <v>50</v>
      </c>
      <c r="Y26" s="71">
        <v>27</v>
      </c>
      <c r="Z26" s="193"/>
      <c r="AA26" s="219">
        <f>V26/1.23</f>
        <v>2830.767242000001</v>
      </c>
    </row>
    <row r="27" spans="1:27" ht="12.75" hidden="1">
      <c r="A27" s="525">
        <v>5</v>
      </c>
      <c r="B27" s="109" t="s">
        <v>107</v>
      </c>
      <c r="C27" s="137"/>
      <c r="D27" s="178"/>
      <c r="E27" s="83"/>
      <c r="F27" s="83"/>
      <c r="G27" s="272" t="s">
        <v>116</v>
      </c>
      <c r="H27" s="84"/>
      <c r="I27" s="167">
        <f>3.8*1.23</f>
        <v>4.6739999999999995</v>
      </c>
      <c r="J27" s="210"/>
      <c r="K27" s="263"/>
      <c r="L27" s="84"/>
      <c r="M27" s="263"/>
      <c r="N27" s="84"/>
      <c r="O27" s="131">
        <f>E28*3.7*1.23</f>
        <v>65.63907300000001</v>
      </c>
      <c r="P27" s="165">
        <v>0.0034</v>
      </c>
      <c r="Q27" s="165">
        <v>0.0034</v>
      </c>
      <c r="R27" s="183">
        <f t="shared" si="1"/>
        <v>0</v>
      </c>
      <c r="S27" s="131">
        <f>R27/E28</f>
        <v>0</v>
      </c>
      <c r="T27" s="274"/>
      <c r="U27" s="190"/>
      <c r="V27" s="174"/>
      <c r="W27" s="175"/>
      <c r="X27" s="179"/>
      <c r="Y27" s="179"/>
      <c r="Z27" s="191"/>
      <c r="AA27" s="218"/>
    </row>
    <row r="28" spans="1:27" ht="12.75" hidden="1">
      <c r="A28" s="524"/>
      <c r="B28" s="160" t="s">
        <v>108</v>
      </c>
      <c r="C28" s="64" t="s">
        <v>109</v>
      </c>
      <c r="D28" s="169">
        <v>186.0843</v>
      </c>
      <c r="E28" s="176">
        <f>(D28-D26)*Y$9</f>
        <v>14.423000000000002</v>
      </c>
      <c r="F28" s="281">
        <v>14.423</v>
      </c>
      <c r="G28" s="75">
        <f>0.2147*1.23</f>
        <v>0.264081</v>
      </c>
      <c r="H28" s="282">
        <f>F28*G28*1000</f>
        <v>3808.840263</v>
      </c>
      <c r="I28" s="171">
        <f>9.1*1.23</f>
        <v>11.193</v>
      </c>
      <c r="J28" s="122">
        <f>X28*(I27+I28)</f>
        <v>793.3499999999999</v>
      </c>
      <c r="K28" s="170">
        <f>0.03561*1.23</f>
        <v>0.0438003</v>
      </c>
      <c r="L28" s="62">
        <f>(E28)*K28*1000</f>
        <v>631.7317269000001</v>
      </c>
      <c r="M28" s="170">
        <f>0.0127*1.23</f>
        <v>0.015621</v>
      </c>
      <c r="N28" s="62">
        <f>(E28)*M28*1000</f>
        <v>225.30168300000003</v>
      </c>
      <c r="O28" s="177">
        <f>23*1.23</f>
        <v>28.29</v>
      </c>
      <c r="P28" s="185">
        <v>120.3512</v>
      </c>
      <c r="Q28" s="185">
        <v>128.8344</v>
      </c>
      <c r="R28" s="185">
        <f t="shared" si="1"/>
        <v>8.483199999999982</v>
      </c>
      <c r="S28" s="177"/>
      <c r="T28" s="290">
        <f>1442.03*1.23</f>
        <v>1773.6969</v>
      </c>
      <c r="U28" s="192"/>
      <c r="V28" s="129">
        <f>J28+L27+L28+N27+N28+O27+O28+T27+T28+U28</f>
        <v>3518.0093828999998</v>
      </c>
      <c r="W28" s="170">
        <f>(H27+H28+V28)/(E27+E28)/1000</f>
        <v>0.5079976181030298</v>
      </c>
      <c r="X28" s="71">
        <v>50</v>
      </c>
      <c r="Y28" s="71">
        <v>27</v>
      </c>
      <c r="Z28" s="193"/>
      <c r="AA28" s="219">
        <f>V28/1.23</f>
        <v>2860.1702299999997</v>
      </c>
    </row>
    <row r="29" spans="1:27" ht="12.75" hidden="1">
      <c r="A29" s="525">
        <v>6</v>
      </c>
      <c r="B29" s="109" t="s">
        <v>124</v>
      </c>
      <c r="C29" s="137"/>
      <c r="D29" s="178"/>
      <c r="E29" s="83"/>
      <c r="F29" s="83"/>
      <c r="G29" s="272" t="s">
        <v>127</v>
      </c>
      <c r="H29" s="84"/>
      <c r="I29" s="167">
        <f>3.8*1.23</f>
        <v>4.6739999999999995</v>
      </c>
      <c r="J29" s="210"/>
      <c r="K29" s="263"/>
      <c r="L29" s="84"/>
      <c r="M29" s="263"/>
      <c r="N29" s="84"/>
      <c r="O29" s="131">
        <f>E30*3.7*1.23</f>
        <v>68.07658859999995</v>
      </c>
      <c r="P29" s="165">
        <v>0.0034</v>
      </c>
      <c r="Q29" s="165">
        <v>0.0034</v>
      </c>
      <c r="R29" s="183">
        <f t="shared" si="1"/>
        <v>0</v>
      </c>
      <c r="S29" s="131">
        <f>R29/E30</f>
        <v>0</v>
      </c>
      <c r="T29" s="274"/>
      <c r="U29" s="190"/>
      <c r="V29" s="174"/>
      <c r="W29" s="175"/>
      <c r="X29" s="179"/>
      <c r="Y29" s="179"/>
      <c r="Z29" s="191"/>
      <c r="AA29" s="218"/>
    </row>
    <row r="30" spans="1:27" ht="12.75" hidden="1">
      <c r="A30" s="524"/>
      <c r="B30" s="160" t="s">
        <v>125</v>
      </c>
      <c r="C30" s="64" t="s">
        <v>119</v>
      </c>
      <c r="D30" s="169">
        <v>201.0429</v>
      </c>
      <c r="E30" s="176">
        <f>(D30-D28)*Y$9</f>
        <v>14.95859999999999</v>
      </c>
      <c r="F30" s="281">
        <v>14.959</v>
      </c>
      <c r="G30" s="75">
        <f>0.2147*1.23</f>
        <v>0.264081</v>
      </c>
      <c r="H30" s="282">
        <f>F30*G30*1000</f>
        <v>3950.387679</v>
      </c>
      <c r="I30" s="171">
        <f>9.1*1.23</f>
        <v>11.193</v>
      </c>
      <c r="J30" s="122">
        <f>X30*(I29+I30)</f>
        <v>793.3499999999999</v>
      </c>
      <c r="K30" s="170">
        <f>0.03561*1.23</f>
        <v>0.0438003</v>
      </c>
      <c r="L30" s="62">
        <f>(E30)*K30*1000</f>
        <v>655.1911675799995</v>
      </c>
      <c r="M30" s="170">
        <f>0.0127*1.23</f>
        <v>0.015621</v>
      </c>
      <c r="N30" s="62">
        <f>(E30)*M30*1000</f>
        <v>233.66829059999984</v>
      </c>
      <c r="O30" s="177">
        <f>23*1.23</f>
        <v>28.29</v>
      </c>
      <c r="P30" s="185">
        <v>128.8344</v>
      </c>
      <c r="Q30" s="185">
        <v>137.4833</v>
      </c>
      <c r="R30" s="185">
        <f t="shared" si="1"/>
        <v>8.648900000000026</v>
      </c>
      <c r="S30" s="177"/>
      <c r="T30" s="290">
        <f>1470.24*1.23</f>
        <v>1808.3952</v>
      </c>
      <c r="U30" s="192"/>
      <c r="V30" s="129">
        <f>J30+L29+L30+N29+N30+O29+O30+T29+T30+U30</f>
        <v>3586.971246779999</v>
      </c>
      <c r="W30" s="170">
        <f>(H29+H30+V30)/(E29+E30)/1000</f>
        <v>0.5038813074605916</v>
      </c>
      <c r="X30" s="71">
        <v>50</v>
      </c>
      <c r="Y30" s="71">
        <v>27</v>
      </c>
      <c r="Z30" s="193"/>
      <c r="AA30" s="219">
        <f>V30/1.23</f>
        <v>2916.2367859999995</v>
      </c>
    </row>
    <row r="31" spans="1:27" ht="12.75" hidden="1">
      <c r="A31" s="525">
        <v>7</v>
      </c>
      <c r="B31" s="109" t="s">
        <v>130</v>
      </c>
      <c r="C31" s="137"/>
      <c r="D31" s="178"/>
      <c r="E31" s="83"/>
      <c r="F31" s="83"/>
      <c r="G31" s="272" t="s">
        <v>139</v>
      </c>
      <c r="H31" s="84"/>
      <c r="I31" s="167">
        <f>3.8*1.23</f>
        <v>4.6739999999999995</v>
      </c>
      <c r="J31" s="210"/>
      <c r="K31" s="263"/>
      <c r="L31" s="84"/>
      <c r="M31" s="263"/>
      <c r="N31" s="84"/>
      <c r="O31" s="131">
        <f>E32*3.7*1.23</f>
        <v>65.45293710000004</v>
      </c>
      <c r="P31" s="165">
        <v>0.0034</v>
      </c>
      <c r="Q31" s="165">
        <v>0.0034</v>
      </c>
      <c r="R31" s="183">
        <f aca="true" t="shared" si="2" ref="R31:R36">(Q31-P31)</f>
        <v>0</v>
      </c>
      <c r="S31" s="131">
        <f>R31/E32</f>
        <v>0</v>
      </c>
      <c r="T31" s="274"/>
      <c r="U31" s="190"/>
      <c r="V31" s="174"/>
      <c r="W31" s="175"/>
      <c r="X31" s="179"/>
      <c r="Y31" s="179"/>
      <c r="Z31" s="191"/>
      <c r="AA31" s="218"/>
    </row>
    <row r="32" spans="1:27" ht="12.75" hidden="1">
      <c r="A32" s="524"/>
      <c r="B32" s="160" t="s">
        <v>132</v>
      </c>
      <c r="C32" s="64" t="s">
        <v>131</v>
      </c>
      <c r="D32" s="169">
        <v>215.425</v>
      </c>
      <c r="E32" s="176">
        <f>(D32-D30)*Y$9</f>
        <v>14.382100000000008</v>
      </c>
      <c r="F32" s="281">
        <v>14.382</v>
      </c>
      <c r="G32" s="75">
        <f>0.2147*1.23</f>
        <v>0.264081</v>
      </c>
      <c r="H32" s="282">
        <f>F32*G32*1000</f>
        <v>3798.0129420000003</v>
      </c>
      <c r="I32" s="171">
        <f>9.1*1.23</f>
        <v>11.193</v>
      </c>
      <c r="J32" s="122">
        <f>X32*(I31+I32)</f>
        <v>793.3499999999999</v>
      </c>
      <c r="K32" s="170">
        <f>0.03561*1.23</f>
        <v>0.0438003</v>
      </c>
      <c r="L32" s="62">
        <f>(E32)*K32*1000</f>
        <v>629.9402946300004</v>
      </c>
      <c r="M32" s="170">
        <f>0.0127*1.23</f>
        <v>0.015621</v>
      </c>
      <c r="N32" s="62">
        <f>(E32)*M32*1000</f>
        <v>224.66278410000012</v>
      </c>
      <c r="O32" s="177">
        <f>23*1.23</f>
        <v>28.29</v>
      </c>
      <c r="P32" s="185">
        <v>137.4833</v>
      </c>
      <c r="Q32" s="185">
        <v>145.4306</v>
      </c>
      <c r="R32" s="185">
        <f t="shared" si="2"/>
        <v>7.947299999999984</v>
      </c>
      <c r="S32" s="177"/>
      <c r="T32" s="290">
        <f>1350.91*1.23</f>
        <v>1661.6193</v>
      </c>
      <c r="U32" s="192"/>
      <c r="V32" s="129">
        <f>J32+L31+L32+N31+N32+O31+O32+T31+T32+U32</f>
        <v>3403.3153158300006</v>
      </c>
      <c r="W32" s="170">
        <f>(H31+H32+V32)/(E31+E32)/1000</f>
        <v>0.500714656262298</v>
      </c>
      <c r="X32" s="71">
        <v>50</v>
      </c>
      <c r="Y32" s="71">
        <v>29</v>
      </c>
      <c r="Z32" s="193"/>
      <c r="AA32" s="219">
        <f>V32/1.23</f>
        <v>2766.9230210000005</v>
      </c>
    </row>
    <row r="33" spans="1:27" ht="12.75" hidden="1">
      <c r="A33" s="525">
        <v>8</v>
      </c>
      <c r="B33" s="109" t="s">
        <v>142</v>
      </c>
      <c r="C33" s="137"/>
      <c r="D33" s="178"/>
      <c r="E33" s="83"/>
      <c r="F33" s="83"/>
      <c r="G33" s="272" t="s">
        <v>149</v>
      </c>
      <c r="H33" s="84"/>
      <c r="I33" s="167">
        <f>3.8*1.23</f>
        <v>4.6739999999999995</v>
      </c>
      <c r="J33" s="210"/>
      <c r="K33" s="263"/>
      <c r="L33" s="84"/>
      <c r="M33" s="263"/>
      <c r="N33" s="84"/>
      <c r="O33" s="131">
        <f>E34*3.7*1.23</f>
        <v>70.45357589999996</v>
      </c>
      <c r="P33" s="165">
        <v>0.0034</v>
      </c>
      <c r="Q33" s="165">
        <v>0.0034</v>
      </c>
      <c r="R33" s="183">
        <f t="shared" si="2"/>
        <v>0</v>
      </c>
      <c r="S33" s="131">
        <f>R33/E34</f>
        <v>0</v>
      </c>
      <c r="T33" s="274"/>
      <c r="U33" s="190"/>
      <c r="V33" s="174"/>
      <c r="W33" s="175"/>
      <c r="X33" s="179"/>
      <c r="Y33" s="179"/>
      <c r="Z33" s="191"/>
      <c r="AA33" s="218"/>
    </row>
    <row r="34" spans="1:27" ht="12.75" hidden="1">
      <c r="A34" s="524"/>
      <c r="B34" s="160" t="s">
        <v>143</v>
      </c>
      <c r="C34" s="64" t="s">
        <v>144</v>
      </c>
      <c r="D34" s="169">
        <v>230.9059</v>
      </c>
      <c r="E34" s="176">
        <f>(D34-D32)*Y$9</f>
        <v>15.480899999999991</v>
      </c>
      <c r="F34" s="281">
        <v>15.481</v>
      </c>
      <c r="G34" s="75">
        <f>0.2147*1.23</f>
        <v>0.264081</v>
      </c>
      <c r="H34" s="282">
        <f>F34*G34*1000</f>
        <v>4088.237961</v>
      </c>
      <c r="I34" s="171">
        <f>9.1*1.23</f>
        <v>11.193</v>
      </c>
      <c r="J34" s="122">
        <f>X34*(I33+I34)</f>
        <v>793.3499999999999</v>
      </c>
      <c r="K34" s="170">
        <f>0.03561*1.23</f>
        <v>0.0438003</v>
      </c>
      <c r="L34" s="62">
        <f>(E34)*K34*1000</f>
        <v>678.0680642699997</v>
      </c>
      <c r="M34" s="170">
        <f>0.0127*1.23</f>
        <v>0.015621</v>
      </c>
      <c r="N34" s="62">
        <f>(E34)*M34*1000</f>
        <v>241.82713889999985</v>
      </c>
      <c r="O34" s="177">
        <f>23*1.23</f>
        <v>28.29</v>
      </c>
      <c r="P34" s="185">
        <v>145.4306</v>
      </c>
      <c r="Q34" s="185">
        <v>153.7408</v>
      </c>
      <c r="R34" s="185">
        <f t="shared" si="2"/>
        <v>8.310200000000009</v>
      </c>
      <c r="S34" s="177"/>
      <c r="T34" s="290">
        <f>1412.62*1.23</f>
        <v>1737.5225999999998</v>
      </c>
      <c r="U34" s="192"/>
      <c r="V34" s="129">
        <f>J34+L33+L34+N33+N34+O33+O34+T33+T34+U34</f>
        <v>3549.5113790699993</v>
      </c>
      <c r="W34" s="170">
        <f>(H33+H34+V34)/(E33+E34)/1000</f>
        <v>0.4933659761428601</v>
      </c>
      <c r="X34" s="71">
        <v>50</v>
      </c>
      <c r="Y34" s="71">
        <v>27</v>
      </c>
      <c r="Z34" s="193"/>
      <c r="AA34" s="219">
        <f>V34/1.23</f>
        <v>2885.7816089999997</v>
      </c>
    </row>
    <row r="35" spans="1:27" ht="12.75" hidden="1">
      <c r="A35" s="525">
        <v>9</v>
      </c>
      <c r="B35" s="109" t="s">
        <v>151</v>
      </c>
      <c r="C35" s="137"/>
      <c r="D35" s="178"/>
      <c r="E35" s="83"/>
      <c r="F35" s="83"/>
      <c r="G35" s="272" t="s">
        <v>173</v>
      </c>
      <c r="H35" s="84"/>
      <c r="I35" s="167">
        <f>3.8*1.23</f>
        <v>4.6739999999999995</v>
      </c>
      <c r="J35" s="210"/>
      <c r="K35" s="263"/>
      <c r="L35" s="84"/>
      <c r="M35" s="263"/>
      <c r="N35" s="84"/>
      <c r="O35" s="131">
        <f>E36*3.7*1.23</f>
        <v>71.11347090000001</v>
      </c>
      <c r="P35" s="165">
        <v>0.0034</v>
      </c>
      <c r="Q35" s="165">
        <v>0.0034</v>
      </c>
      <c r="R35" s="183">
        <f t="shared" si="2"/>
        <v>0</v>
      </c>
      <c r="S35" s="131">
        <f>R35/E36</f>
        <v>0</v>
      </c>
      <c r="T35" s="274"/>
      <c r="U35" s="190"/>
      <c r="V35" s="174"/>
      <c r="W35" s="175"/>
      <c r="X35" s="179"/>
      <c r="Y35" s="179"/>
      <c r="Z35" s="191"/>
      <c r="AA35" s="218"/>
    </row>
    <row r="36" spans="1:27" ht="12.75" hidden="1">
      <c r="A36" s="524"/>
      <c r="B36" s="160" t="s">
        <v>153</v>
      </c>
      <c r="C36" s="64" t="s">
        <v>152</v>
      </c>
      <c r="D36" s="169">
        <v>246.5318</v>
      </c>
      <c r="E36" s="176">
        <f>(D36-D34)*Y$9</f>
        <v>15.625900000000001</v>
      </c>
      <c r="F36" s="281">
        <v>15.626</v>
      </c>
      <c r="G36" s="75">
        <f>0.2147*1.23</f>
        <v>0.264081</v>
      </c>
      <c r="H36" s="282">
        <f>F36*G36*1000</f>
        <v>4126.529706</v>
      </c>
      <c r="I36" s="171">
        <f>9.1*1.23</f>
        <v>11.193</v>
      </c>
      <c r="J36" s="122">
        <f>X36*(I35+I36)</f>
        <v>793.3499999999999</v>
      </c>
      <c r="K36" s="170">
        <f>0.03561*1.23</f>
        <v>0.0438003</v>
      </c>
      <c r="L36" s="62">
        <f>(E36)*K36*1000</f>
        <v>684.41910777</v>
      </c>
      <c r="M36" s="170">
        <f>0.0127*1.23</f>
        <v>0.015621</v>
      </c>
      <c r="N36" s="62">
        <f>(E36)*M36*1000</f>
        <v>244.0921839</v>
      </c>
      <c r="O36" s="177">
        <f>23*1.23</f>
        <v>28.29</v>
      </c>
      <c r="P36" s="185">
        <v>153.7408</v>
      </c>
      <c r="Q36" s="185">
        <v>162.1169</v>
      </c>
      <c r="R36" s="185">
        <f t="shared" si="2"/>
        <v>8.37609999999998</v>
      </c>
      <c r="S36" s="177"/>
      <c r="T36" s="290">
        <f>1423.84*1.23</f>
        <v>1751.3231999999998</v>
      </c>
      <c r="U36" s="192"/>
      <c r="V36" s="129">
        <f>J36+L35+L36+N35+N36+O35+O36+T35+T36+U36</f>
        <v>3572.58796257</v>
      </c>
      <c r="W36" s="170">
        <f>(H35+H36+V36)/(E35+E36)/1000</f>
        <v>0.49271515039581715</v>
      </c>
      <c r="X36" s="71">
        <v>50</v>
      </c>
      <c r="Y36" s="71">
        <v>31</v>
      </c>
      <c r="Z36" s="193"/>
      <c r="AA36" s="219">
        <f>V36/1.23</f>
        <v>2904.543059</v>
      </c>
    </row>
    <row r="37" spans="1:27" ht="12.75" hidden="1">
      <c r="A37" s="525">
        <v>10</v>
      </c>
      <c r="B37" s="109" t="s">
        <v>175</v>
      </c>
      <c r="C37" s="137"/>
      <c r="D37" s="178"/>
      <c r="E37" s="83"/>
      <c r="F37" s="83"/>
      <c r="G37" s="272" t="s">
        <v>180</v>
      </c>
      <c r="H37" s="84"/>
      <c r="I37" s="167">
        <f>3.8*1.23</f>
        <v>4.6739999999999995</v>
      </c>
      <c r="J37" s="210"/>
      <c r="K37" s="263"/>
      <c r="L37" s="84"/>
      <c r="M37" s="263"/>
      <c r="N37" s="84"/>
      <c r="O37" s="131">
        <f>E38*3.7*1.23</f>
        <v>68.61952289999988</v>
      </c>
      <c r="P37" s="165"/>
      <c r="Q37" s="165"/>
      <c r="R37" s="183"/>
      <c r="S37" s="131"/>
      <c r="T37" s="274"/>
      <c r="U37" s="190"/>
      <c r="V37" s="174"/>
      <c r="W37" s="175"/>
      <c r="X37" s="179"/>
      <c r="Y37" s="179"/>
      <c r="Z37" s="191"/>
      <c r="AA37" s="218"/>
    </row>
    <row r="38" spans="1:27" ht="12.75" hidden="1">
      <c r="A38" s="524"/>
      <c r="B38" s="160" t="s">
        <v>176</v>
      </c>
      <c r="C38" s="64" t="s">
        <v>177</v>
      </c>
      <c r="D38" s="169">
        <v>261.6097</v>
      </c>
      <c r="E38" s="176">
        <f>(D38-D36)*Y$9</f>
        <v>15.077899999999971</v>
      </c>
      <c r="F38" s="281">
        <v>15.078</v>
      </c>
      <c r="G38" s="75">
        <f>0.2147*1.23</f>
        <v>0.264081</v>
      </c>
      <c r="H38" s="282">
        <f>F38*G38*1000</f>
        <v>3981.813318</v>
      </c>
      <c r="I38" s="171">
        <f>9.1*1.23</f>
        <v>11.193</v>
      </c>
      <c r="J38" s="122">
        <f>X38*(I37+I38)</f>
        <v>793.3499999999999</v>
      </c>
      <c r="K38" s="170">
        <f>0.03561*1.23</f>
        <v>0.0438003</v>
      </c>
      <c r="L38" s="62">
        <f>(E38)*K38*1000</f>
        <v>660.4165433699987</v>
      </c>
      <c r="M38" s="170">
        <f>0.0127*1.23</f>
        <v>0.015621</v>
      </c>
      <c r="N38" s="62">
        <f>(E38)*M38*1000</f>
        <v>235.53187589999956</v>
      </c>
      <c r="O38" s="177">
        <f>23*1.23</f>
        <v>28.29</v>
      </c>
      <c r="P38" s="185">
        <v>162.1169</v>
      </c>
      <c r="Q38" s="185">
        <v>170.4792</v>
      </c>
      <c r="R38" s="185">
        <f>(Q38-P38)</f>
        <v>8.362300000000005</v>
      </c>
      <c r="S38" s="177"/>
      <c r="T38" s="290">
        <f>1421.46*1.23</f>
        <v>1748.3958</v>
      </c>
      <c r="U38" s="192"/>
      <c r="V38" s="129">
        <f>J38+L37+L38+N37+N38+O37+O38+T37+T38+U38</f>
        <v>3534.6037421699975</v>
      </c>
      <c r="W38" s="170">
        <f>(H37+H38+V38)/(E37+E38)/1000</f>
        <v>0.49850556510986355</v>
      </c>
      <c r="X38" s="71">
        <v>50</v>
      </c>
      <c r="Y38" s="71">
        <v>29</v>
      </c>
      <c r="Z38" s="193"/>
      <c r="AA38" s="219">
        <f>V38/1.23</f>
        <v>2873.6615789999983</v>
      </c>
    </row>
    <row r="39" spans="1:27" ht="12.75" hidden="1">
      <c r="A39" s="525">
        <v>11</v>
      </c>
      <c r="B39" s="109" t="s">
        <v>182</v>
      </c>
      <c r="C39" s="137"/>
      <c r="D39" s="178"/>
      <c r="E39" s="83"/>
      <c r="F39" s="83"/>
      <c r="G39" s="272" t="s">
        <v>187</v>
      </c>
      <c r="H39" s="84"/>
      <c r="I39" s="167">
        <f>3.8*1.23</f>
        <v>4.6739999999999995</v>
      </c>
      <c r="J39" s="210"/>
      <c r="K39" s="263"/>
      <c r="L39" s="84"/>
      <c r="M39" s="263"/>
      <c r="N39" s="84"/>
      <c r="O39" s="131">
        <f>E40*3.7*1.23</f>
        <v>76.03128150000003</v>
      </c>
      <c r="P39" s="165"/>
      <c r="Q39" s="165"/>
      <c r="R39" s="183"/>
      <c r="S39" s="131"/>
      <c r="T39" s="274"/>
      <c r="U39" s="190"/>
      <c r="V39" s="174"/>
      <c r="W39" s="175"/>
      <c r="X39" s="179"/>
      <c r="Y39" s="179"/>
      <c r="Z39" s="191"/>
      <c r="AA39" s="218"/>
    </row>
    <row r="40" spans="1:27" ht="12.75" hidden="1">
      <c r="A40" s="524"/>
      <c r="B40" s="160" t="s">
        <v>183</v>
      </c>
      <c r="C40" s="64" t="s">
        <v>184</v>
      </c>
      <c r="D40" s="169">
        <v>278.3162</v>
      </c>
      <c r="E40" s="176">
        <f>(D40-D38)*Y$9</f>
        <v>16.706500000000005</v>
      </c>
      <c r="F40" s="281">
        <v>16.707</v>
      </c>
      <c r="G40" s="75">
        <f>0.2147*1.23</f>
        <v>0.264081</v>
      </c>
      <c r="H40" s="282">
        <f>F40*G40*1000</f>
        <v>4412.001267</v>
      </c>
      <c r="I40" s="171">
        <f>9.1*1.23</f>
        <v>11.193</v>
      </c>
      <c r="J40" s="122">
        <f>X40*(I39+I40)</f>
        <v>793.3499999999999</v>
      </c>
      <c r="K40" s="170">
        <f>0.03561*1.23</f>
        <v>0.0438003</v>
      </c>
      <c r="L40" s="62">
        <f>(E40)*K40*1000</f>
        <v>731.7497119500002</v>
      </c>
      <c r="M40" s="170">
        <f>0.0127*1.23</f>
        <v>0.015621</v>
      </c>
      <c r="N40" s="62">
        <f>(E40)*M40*1000</f>
        <v>260.97223650000007</v>
      </c>
      <c r="O40" s="177">
        <f>23*1.23</f>
        <v>28.29</v>
      </c>
      <c r="P40" s="185">
        <v>170.4792</v>
      </c>
      <c r="Q40" s="185">
        <v>178.5658</v>
      </c>
      <c r="R40" s="185">
        <f>(Q40-P40)</f>
        <v>8.086600000000004</v>
      </c>
      <c r="S40" s="177"/>
      <c r="T40" s="290">
        <f>1374.71*1.23</f>
        <v>1690.8933</v>
      </c>
      <c r="U40" s="192"/>
      <c r="V40" s="129">
        <f>J40+L39+L40+N39+N40+O39+O40+T39+T40+U40</f>
        <v>3581.28652995</v>
      </c>
      <c r="W40" s="170">
        <f>(H39+H40+V40)/(E39+E40)/1000</f>
        <v>0.4784537633226587</v>
      </c>
      <c r="X40" s="71">
        <v>50</v>
      </c>
      <c r="Y40" s="71">
        <v>30</v>
      </c>
      <c r="Z40" s="193"/>
      <c r="AA40" s="219">
        <f>V40/1.23</f>
        <v>2911.615065</v>
      </c>
    </row>
    <row r="41" spans="1:27" ht="12.75" hidden="1">
      <c r="A41" s="525">
        <v>12</v>
      </c>
      <c r="B41" s="109" t="s">
        <v>190</v>
      </c>
      <c r="C41" s="137"/>
      <c r="D41" s="178"/>
      <c r="E41" s="83"/>
      <c r="F41" s="83"/>
      <c r="G41" s="272" t="s">
        <v>162</v>
      </c>
      <c r="H41" s="84"/>
      <c r="I41" s="167">
        <f>3.8*1.23</f>
        <v>4.6739999999999995</v>
      </c>
      <c r="J41" s="210"/>
      <c r="K41" s="263"/>
      <c r="L41" s="84"/>
      <c r="M41" s="263"/>
      <c r="N41" s="84"/>
      <c r="O41" s="131">
        <f>E42*3.7*1.23</f>
        <v>70.56325499999998</v>
      </c>
      <c r="P41" s="165"/>
      <c r="Q41" s="165"/>
      <c r="R41" s="183"/>
      <c r="S41" s="131"/>
      <c r="T41" s="274"/>
      <c r="U41" s="190"/>
      <c r="V41" s="174"/>
      <c r="W41" s="175"/>
      <c r="X41" s="179"/>
      <c r="Y41" s="179"/>
      <c r="Z41" s="191"/>
      <c r="AA41" s="218"/>
    </row>
    <row r="42" spans="1:27" ht="13.5" hidden="1" thickBot="1">
      <c r="A42" s="524"/>
      <c r="B42" s="160" t="s">
        <v>189</v>
      </c>
      <c r="C42" s="64" t="s">
        <v>191</v>
      </c>
      <c r="D42" s="169">
        <v>293.8212</v>
      </c>
      <c r="E42" s="176">
        <f>(D42-D40)*Y$9</f>
        <v>15.504999999999995</v>
      </c>
      <c r="F42" s="281">
        <v>15.505</v>
      </c>
      <c r="G42" s="75">
        <f>0.2181*1.23</f>
        <v>0.268263</v>
      </c>
      <c r="H42" s="282">
        <f>F42*G42*1000</f>
        <v>4159.417815</v>
      </c>
      <c r="I42" s="171">
        <f>9.1*1.23</f>
        <v>11.193</v>
      </c>
      <c r="J42" s="122">
        <f>X42*(I41+I42)</f>
        <v>793.3499999999999</v>
      </c>
      <c r="K42" s="170">
        <f>0.03561*1.23</f>
        <v>0.0438003</v>
      </c>
      <c r="L42" s="62">
        <f>(E42)*K42*1000</f>
        <v>679.1236514999997</v>
      </c>
      <c r="M42" s="170">
        <f>0.0127*1.23</f>
        <v>0.015621</v>
      </c>
      <c r="N42" s="62">
        <f>(E42)*M42*1000</f>
        <v>242.20360499999992</v>
      </c>
      <c r="O42" s="177">
        <f>23*1.23</f>
        <v>28.29</v>
      </c>
      <c r="P42" s="185">
        <v>178.5658</v>
      </c>
      <c r="Q42" s="185">
        <v>186.9843</v>
      </c>
      <c r="R42" s="185">
        <f>(Q42-P42)</f>
        <v>8.418499999999995</v>
      </c>
      <c r="S42" s="177"/>
      <c r="T42" s="290">
        <f>1431.15*1.23</f>
        <v>1760.3145000000002</v>
      </c>
      <c r="U42" s="192"/>
      <c r="V42" s="129">
        <f>J42+L41+L42+N41+N42+O41+O42+T41+T42+U42</f>
        <v>3573.8450114999996</v>
      </c>
      <c r="W42" s="170">
        <f>(H41+H42+V42)/(E41+E42)/1000</f>
        <v>0.4987592922605612</v>
      </c>
      <c r="X42" s="71">
        <v>50</v>
      </c>
      <c r="Y42" s="71">
        <v>33</v>
      </c>
      <c r="Z42" s="193"/>
      <c r="AA42" s="219">
        <f>V42/1.23</f>
        <v>2905.5650499999997</v>
      </c>
    </row>
    <row r="43" spans="1:27" ht="12.75">
      <c r="A43" s="526" t="s">
        <v>352</v>
      </c>
      <c r="B43" s="527"/>
      <c r="C43" s="527"/>
      <c r="D43" s="528"/>
      <c r="E43" s="41"/>
      <c r="F43" s="13"/>
      <c r="G43" s="13"/>
      <c r="H43" s="41"/>
      <c r="I43" s="13"/>
      <c r="J43" s="13"/>
      <c r="K43" s="41"/>
      <c r="L43" s="41"/>
      <c r="M43" s="41"/>
      <c r="N43" s="41"/>
      <c r="O43" s="345">
        <f>O19+O21+O23+O25+O27+O29+O31+O33+O35+O37+O39+O41</f>
        <v>824.7960816</v>
      </c>
      <c r="P43" s="33"/>
      <c r="Q43" s="33"/>
      <c r="R43" s="348">
        <f>SUM(R19:R42)</f>
        <v>96.8537</v>
      </c>
      <c r="S43" s="258"/>
      <c r="T43" s="300"/>
      <c r="U43" s="298"/>
      <c r="V43" s="293"/>
      <c r="W43" s="294"/>
      <c r="X43" s="42"/>
      <c r="Y43" s="306">
        <f>Y44/X44</f>
        <v>0.5766666666666667</v>
      </c>
      <c r="Z43" s="42"/>
      <c r="AA43" s="43"/>
    </row>
    <row r="44" spans="1:27" ht="13.5" thickBot="1">
      <c r="A44" s="529"/>
      <c r="B44" s="530"/>
      <c r="C44" s="530"/>
      <c r="D44" s="531"/>
      <c r="E44" s="69">
        <f>SUM(E19:E42)</f>
        <v>185.99949999999998</v>
      </c>
      <c r="F44" s="251">
        <f>SUM(F19:F42)</f>
        <v>186.00099999999998</v>
      </c>
      <c r="G44" s="44"/>
      <c r="H44" s="253"/>
      <c r="I44" s="99"/>
      <c r="J44" s="99"/>
      <c r="K44" s="99"/>
      <c r="L44" s="99">
        <f>SUM(L19:L42)</f>
        <v>8071.01827425</v>
      </c>
      <c r="M44" s="99"/>
      <c r="N44" s="99">
        <f>SUM(N19:N42)</f>
        <v>2909.8721679</v>
      </c>
      <c r="O44" s="99">
        <f>SUM(O19:O42)</f>
        <v>1169.1960815999996</v>
      </c>
      <c r="P44" s="99"/>
      <c r="Q44" s="99"/>
      <c r="R44" s="259"/>
      <c r="S44" s="260"/>
      <c r="T44" s="261"/>
      <c r="U44" s="297"/>
      <c r="V44" s="99"/>
      <c r="W44" s="44"/>
      <c r="X44" s="74">
        <f>X22</f>
        <v>50</v>
      </c>
      <c r="Y44" s="74">
        <f>SUM(Y19:Y42)/12</f>
        <v>28.833333333333332</v>
      </c>
      <c r="Z44" s="74"/>
      <c r="AA44" s="46"/>
    </row>
    <row r="45" spans="6:7" ht="12.75" hidden="1">
      <c r="F45" s="257">
        <f>F44-E44</f>
        <v>0.0014999999999929514</v>
      </c>
      <c r="G45" s="150"/>
    </row>
    <row r="46" spans="1:27" ht="12.75" hidden="1">
      <c r="A46" s="525">
        <v>1</v>
      </c>
      <c r="B46" s="109" t="s">
        <v>207</v>
      </c>
      <c r="C46" s="137"/>
      <c r="D46" s="178"/>
      <c r="E46" s="83"/>
      <c r="F46" s="83"/>
      <c r="G46" s="272"/>
      <c r="H46" s="84"/>
      <c r="I46" s="167">
        <f>3.8*1.23</f>
        <v>4.6739999999999995</v>
      </c>
      <c r="J46" s="210"/>
      <c r="K46" s="263"/>
      <c r="L46" s="84"/>
      <c r="M46" s="263"/>
      <c r="N46" s="84"/>
      <c r="O46" s="131">
        <f>E47*3.7*1.23</f>
        <v>73.17643920000008</v>
      </c>
      <c r="P46" s="165"/>
      <c r="Q46" s="165"/>
      <c r="R46" s="165"/>
      <c r="S46" s="131"/>
      <c r="T46" s="274"/>
      <c r="U46" s="190"/>
      <c r="V46" s="174"/>
      <c r="W46" s="175"/>
      <c r="X46" s="191"/>
      <c r="Y46" s="191"/>
      <c r="Z46" s="191"/>
      <c r="AA46" s="218"/>
    </row>
    <row r="47" spans="1:27" ht="12.75" hidden="1">
      <c r="A47" s="524"/>
      <c r="B47" s="160" t="s">
        <v>204</v>
      </c>
      <c r="C47" s="64" t="s">
        <v>205</v>
      </c>
      <c r="D47" s="169">
        <v>309.9004</v>
      </c>
      <c r="E47" s="176">
        <f>(D47-D42)*Y$9</f>
        <v>16.079200000000014</v>
      </c>
      <c r="F47" s="281">
        <v>16.079</v>
      </c>
      <c r="G47" s="75"/>
      <c r="H47" s="282"/>
      <c r="I47" s="171">
        <f>9.1*1.23</f>
        <v>11.193</v>
      </c>
      <c r="J47" s="122"/>
      <c r="K47" s="170"/>
      <c r="L47" s="62">
        <f>(E47)*K47*1000</f>
        <v>0</v>
      </c>
      <c r="M47" s="170"/>
      <c r="N47" s="62">
        <f>(E47)*M47*1000</f>
        <v>0</v>
      </c>
      <c r="O47" s="171">
        <f>23*1.23</f>
        <v>28.29</v>
      </c>
      <c r="P47" s="185">
        <v>186.9843</v>
      </c>
      <c r="Q47" s="185">
        <v>195.4908</v>
      </c>
      <c r="R47" s="185">
        <f>(Q47-P47)</f>
        <v>8.506500000000017</v>
      </c>
      <c r="S47" s="177"/>
      <c r="T47" s="290"/>
      <c r="U47" s="192"/>
      <c r="V47" s="129"/>
      <c r="W47" s="170"/>
      <c r="X47" s="71">
        <v>50</v>
      </c>
      <c r="Y47" s="71">
        <v>33</v>
      </c>
      <c r="Z47" s="193"/>
      <c r="AA47" s="219"/>
    </row>
    <row r="48" spans="1:27" ht="12.75" hidden="1">
      <c r="A48" s="525">
        <v>2</v>
      </c>
      <c r="B48" s="109" t="s">
        <v>214</v>
      </c>
      <c r="C48" s="137"/>
      <c r="D48" s="178"/>
      <c r="E48" s="83"/>
      <c r="F48" s="83"/>
      <c r="G48" s="272"/>
      <c r="H48" s="84"/>
      <c r="I48" s="167">
        <f>3.8*1.23</f>
        <v>4.6739999999999995</v>
      </c>
      <c r="J48" s="210"/>
      <c r="K48" s="263"/>
      <c r="L48" s="84"/>
      <c r="M48" s="263"/>
      <c r="N48" s="84"/>
      <c r="O48" s="131"/>
      <c r="P48" s="165"/>
      <c r="Q48" s="165"/>
      <c r="R48" s="165"/>
      <c r="S48" s="131"/>
      <c r="T48" s="274"/>
      <c r="U48" s="190"/>
      <c r="V48" s="174"/>
      <c r="W48" s="175"/>
      <c r="X48" s="191"/>
      <c r="Y48" s="191"/>
      <c r="Z48" s="191"/>
      <c r="AA48" s="218"/>
    </row>
    <row r="49" spans="1:27" ht="12.75" hidden="1">
      <c r="A49" s="524"/>
      <c r="B49" s="160" t="s">
        <v>210</v>
      </c>
      <c r="C49" s="64" t="s">
        <v>178</v>
      </c>
      <c r="D49" s="169">
        <v>326.6488</v>
      </c>
      <c r="E49" s="176">
        <f>(D49-D47)*Y$9</f>
        <v>16.748400000000004</v>
      </c>
      <c r="F49" s="281">
        <v>16.748</v>
      </c>
      <c r="G49" s="75"/>
      <c r="H49" s="282"/>
      <c r="I49" s="171">
        <f>9.55*1.23</f>
        <v>11.746500000000001</v>
      </c>
      <c r="J49" s="122"/>
      <c r="K49" s="170"/>
      <c r="L49" s="62">
        <f>(E49)*K49*1000</f>
        <v>0</v>
      </c>
      <c r="M49" s="170"/>
      <c r="N49" s="62">
        <f>(E49)*M49*1000</f>
        <v>0</v>
      </c>
      <c r="O49" s="171">
        <f>19*1.23</f>
        <v>23.37</v>
      </c>
      <c r="P49" s="185">
        <v>195.4908</v>
      </c>
      <c r="Q49" s="185">
        <v>204.0253</v>
      </c>
      <c r="R49" s="185">
        <f>(Q49-P49)</f>
        <v>8.53449999999998</v>
      </c>
      <c r="S49" s="177"/>
      <c r="T49" s="290"/>
      <c r="U49" s="192"/>
      <c r="V49" s="129"/>
      <c r="W49" s="170"/>
      <c r="X49" s="71">
        <v>50</v>
      </c>
      <c r="Y49" s="71">
        <v>31</v>
      </c>
      <c r="Z49" s="193"/>
      <c r="AA49" s="219"/>
    </row>
    <row r="50" spans="1:27" ht="12.75" hidden="1">
      <c r="A50" s="525">
        <v>3</v>
      </c>
      <c r="B50" s="109" t="s">
        <v>218</v>
      </c>
      <c r="C50" s="137"/>
      <c r="D50" s="178"/>
      <c r="E50" s="83"/>
      <c r="F50" s="83"/>
      <c r="G50" s="272"/>
      <c r="H50" s="84"/>
      <c r="I50" s="167">
        <f>3.8*1.23</f>
        <v>4.6739999999999995</v>
      </c>
      <c r="J50" s="210"/>
      <c r="K50" s="263"/>
      <c r="L50" s="84"/>
      <c r="M50" s="263"/>
      <c r="N50" s="84"/>
      <c r="O50" s="131"/>
      <c r="P50" s="165"/>
      <c r="Q50" s="165"/>
      <c r="R50" s="165"/>
      <c r="S50" s="131"/>
      <c r="T50" s="274"/>
      <c r="U50" s="190"/>
      <c r="V50" s="174"/>
      <c r="W50" s="175"/>
      <c r="X50" s="191"/>
      <c r="Y50" s="191"/>
      <c r="Z50" s="191"/>
      <c r="AA50" s="218"/>
    </row>
    <row r="51" spans="1:27" ht="12.75" hidden="1">
      <c r="A51" s="524"/>
      <c r="B51" s="160" t="s">
        <v>211</v>
      </c>
      <c r="C51" s="64" t="s">
        <v>198</v>
      </c>
      <c r="D51" s="169">
        <v>342.9452</v>
      </c>
      <c r="E51" s="176">
        <f>(D51-D49)*Y$9</f>
        <v>16.296400000000006</v>
      </c>
      <c r="F51" s="281">
        <v>16.296</v>
      </c>
      <c r="G51" s="75"/>
      <c r="H51" s="282"/>
      <c r="I51" s="171">
        <f>9.55*1.23</f>
        <v>11.746500000000001</v>
      </c>
      <c r="J51" s="122"/>
      <c r="K51" s="170"/>
      <c r="L51" s="62">
        <f>(E51)*K51*1000</f>
        <v>0</v>
      </c>
      <c r="M51" s="170"/>
      <c r="N51" s="62">
        <f>(E51)*M51*1000</f>
        <v>0</v>
      </c>
      <c r="O51" s="171">
        <f>19*1.23</f>
        <v>23.37</v>
      </c>
      <c r="P51" s="185">
        <v>204.0253</v>
      </c>
      <c r="Q51" s="185">
        <v>211.5962</v>
      </c>
      <c r="R51" s="185">
        <f>(Q51-P51)</f>
        <v>7.570900000000023</v>
      </c>
      <c r="S51" s="177"/>
      <c r="T51" s="290"/>
      <c r="U51" s="192"/>
      <c r="V51" s="129"/>
      <c r="W51" s="170"/>
      <c r="X51" s="71">
        <v>50</v>
      </c>
      <c r="Y51" s="71">
        <v>36</v>
      </c>
      <c r="Z51" s="193"/>
      <c r="AA51" s="219"/>
    </row>
    <row r="52" spans="1:27" ht="12.75" hidden="1">
      <c r="A52" s="525">
        <v>4</v>
      </c>
      <c r="B52" s="109" t="s">
        <v>224</v>
      </c>
      <c r="C52" s="137"/>
      <c r="D52" s="178"/>
      <c r="E52" s="83"/>
      <c r="F52" s="83"/>
      <c r="G52" s="272"/>
      <c r="H52" s="84"/>
      <c r="I52" s="167">
        <f>3.8*1.23</f>
        <v>4.6739999999999995</v>
      </c>
      <c r="J52" s="210"/>
      <c r="K52" s="263"/>
      <c r="L52" s="84"/>
      <c r="M52" s="263"/>
      <c r="N52" s="84"/>
      <c r="O52" s="131"/>
      <c r="P52" s="165"/>
      <c r="Q52" s="165"/>
      <c r="R52" s="165"/>
      <c r="S52" s="131"/>
      <c r="T52" s="274"/>
      <c r="U52" s="190"/>
      <c r="V52" s="174"/>
      <c r="W52" s="175"/>
      <c r="X52" s="191"/>
      <c r="Y52" s="191"/>
      <c r="Z52" s="191"/>
      <c r="AA52" s="218"/>
    </row>
    <row r="53" spans="1:27" ht="12.75" hidden="1">
      <c r="A53" s="524"/>
      <c r="B53" s="160" t="s">
        <v>223</v>
      </c>
      <c r="C53" s="64" t="s">
        <v>219</v>
      </c>
      <c r="D53" s="169">
        <v>359.9475</v>
      </c>
      <c r="E53" s="176">
        <f>(D53-D51)*Y$9</f>
        <v>17.00229999999999</v>
      </c>
      <c r="F53" s="281">
        <v>17.002</v>
      </c>
      <c r="G53" s="75"/>
      <c r="H53" s="282"/>
      <c r="I53" s="171">
        <f>9.55*1.23</f>
        <v>11.746500000000001</v>
      </c>
      <c r="J53" s="122"/>
      <c r="K53" s="170"/>
      <c r="L53" s="62">
        <f>(E53)*K53*1000</f>
        <v>0</v>
      </c>
      <c r="M53" s="170"/>
      <c r="N53" s="62">
        <f>(E53)*M53*1000</f>
        <v>0</v>
      </c>
      <c r="O53" s="171">
        <f>19*1.23</f>
        <v>23.37</v>
      </c>
      <c r="P53" s="185">
        <v>211.5962</v>
      </c>
      <c r="Q53" s="185">
        <v>220.2095</v>
      </c>
      <c r="R53" s="185">
        <f>(Q53-P53)</f>
        <v>8.613299999999981</v>
      </c>
      <c r="S53" s="177"/>
      <c r="T53" s="290"/>
      <c r="U53" s="192"/>
      <c r="V53" s="129"/>
      <c r="W53" s="170"/>
      <c r="X53" s="71">
        <v>50</v>
      </c>
      <c r="Y53" s="71">
        <v>33</v>
      </c>
      <c r="Z53" s="193"/>
      <c r="AA53" s="219"/>
    </row>
    <row r="54" spans="1:27" ht="12.75" hidden="1">
      <c r="A54" s="525">
        <v>5</v>
      </c>
      <c r="B54" s="109" t="s">
        <v>226</v>
      </c>
      <c r="C54" s="137"/>
      <c r="D54" s="178"/>
      <c r="E54" s="83"/>
      <c r="F54" s="83"/>
      <c r="G54" s="272"/>
      <c r="H54" s="84"/>
      <c r="I54" s="167">
        <f>3.8*1.23</f>
        <v>4.6739999999999995</v>
      </c>
      <c r="J54" s="210"/>
      <c r="K54" s="263"/>
      <c r="L54" s="84"/>
      <c r="M54" s="263"/>
      <c r="N54" s="84"/>
      <c r="O54" s="131"/>
      <c r="P54" s="165"/>
      <c r="Q54" s="165"/>
      <c r="R54" s="165"/>
      <c r="S54" s="131"/>
      <c r="T54" s="274"/>
      <c r="U54" s="190"/>
      <c r="V54" s="174"/>
      <c r="W54" s="175"/>
      <c r="X54" s="191"/>
      <c r="Y54" s="191"/>
      <c r="Z54" s="191"/>
      <c r="AA54" s="218"/>
    </row>
    <row r="55" spans="1:27" ht="12.75" hidden="1">
      <c r="A55" s="524"/>
      <c r="B55" s="160" t="s">
        <v>227</v>
      </c>
      <c r="C55" s="64" t="s">
        <v>113</v>
      </c>
      <c r="D55" s="169">
        <v>373.725</v>
      </c>
      <c r="E55" s="176">
        <f>(D55-D53)*Y$9</f>
        <v>13.777500000000032</v>
      </c>
      <c r="F55" s="281">
        <v>13.778</v>
      </c>
      <c r="G55" s="75"/>
      <c r="H55" s="282"/>
      <c r="I55" s="171">
        <f>9.55*1.23</f>
        <v>11.746500000000001</v>
      </c>
      <c r="J55" s="122"/>
      <c r="K55" s="170"/>
      <c r="L55" s="62">
        <f>(E55)*K55*1000</f>
        <v>0</v>
      </c>
      <c r="M55" s="170"/>
      <c r="N55" s="62">
        <f>(E55)*M55*1000</f>
        <v>0</v>
      </c>
      <c r="O55" s="171">
        <f>19*1.23</f>
        <v>23.37</v>
      </c>
      <c r="P55" s="185">
        <v>220.2095</v>
      </c>
      <c r="Q55" s="185">
        <v>228.1631</v>
      </c>
      <c r="R55" s="185">
        <f>(Q55-P55)</f>
        <v>7.9535999999999945</v>
      </c>
      <c r="S55" s="177"/>
      <c r="T55" s="290"/>
      <c r="U55" s="192"/>
      <c r="V55" s="129"/>
      <c r="W55" s="170"/>
      <c r="X55" s="71">
        <v>50</v>
      </c>
      <c r="Y55" s="71">
        <v>28</v>
      </c>
      <c r="Z55" s="193"/>
      <c r="AA55" s="219"/>
    </row>
    <row r="56" spans="1:27" ht="12.75" hidden="1">
      <c r="A56" s="525">
        <v>6</v>
      </c>
      <c r="B56" s="109" t="s">
        <v>228</v>
      </c>
      <c r="C56" s="137"/>
      <c r="D56" s="178"/>
      <c r="E56" s="83"/>
      <c r="F56" s="83"/>
      <c r="G56" s="272"/>
      <c r="H56" s="84"/>
      <c r="I56" s="167">
        <f>3.8*1.23</f>
        <v>4.6739999999999995</v>
      </c>
      <c r="J56" s="210"/>
      <c r="K56" s="263"/>
      <c r="L56" s="84"/>
      <c r="M56" s="263"/>
      <c r="N56" s="84"/>
      <c r="O56" s="131"/>
      <c r="P56" s="165"/>
      <c r="Q56" s="165"/>
      <c r="R56" s="165"/>
      <c r="S56" s="131"/>
      <c r="T56" s="274"/>
      <c r="U56" s="190"/>
      <c r="V56" s="174"/>
      <c r="W56" s="175"/>
      <c r="X56" s="191"/>
      <c r="Y56" s="191"/>
      <c r="Z56" s="191"/>
      <c r="AA56" s="218"/>
    </row>
    <row r="57" spans="1:27" ht="12.75" hidden="1">
      <c r="A57" s="524"/>
      <c r="B57" s="160" t="s">
        <v>229</v>
      </c>
      <c r="C57" s="64" t="s">
        <v>122</v>
      </c>
      <c r="D57" s="169">
        <v>388.5555</v>
      </c>
      <c r="E57" s="176">
        <f>(D57-D55)*Y$9</f>
        <v>14.830499999999972</v>
      </c>
      <c r="F57" s="281">
        <v>14.831</v>
      </c>
      <c r="G57" s="75"/>
      <c r="H57" s="282"/>
      <c r="I57" s="171">
        <f>9.55*1.23</f>
        <v>11.746500000000001</v>
      </c>
      <c r="J57" s="122"/>
      <c r="K57" s="170"/>
      <c r="L57" s="62">
        <f>(E57)*K57*1000</f>
        <v>0</v>
      </c>
      <c r="M57" s="170"/>
      <c r="N57" s="62">
        <f>(E57)*M57*1000</f>
        <v>0</v>
      </c>
      <c r="O57" s="171">
        <f>19*1.23</f>
        <v>23.37</v>
      </c>
      <c r="P57" s="185">
        <v>228.1631</v>
      </c>
      <c r="Q57" s="185">
        <v>235.9115</v>
      </c>
      <c r="R57" s="185">
        <f>(Q57-P57)</f>
        <v>7.748400000000004</v>
      </c>
      <c r="S57" s="177"/>
      <c r="T57" s="290"/>
      <c r="U57" s="192"/>
      <c r="V57" s="129"/>
      <c r="W57" s="170"/>
      <c r="X57" s="71">
        <v>50</v>
      </c>
      <c r="Y57" s="71">
        <v>25</v>
      </c>
      <c r="Z57" s="193"/>
      <c r="AA57" s="219"/>
    </row>
    <row r="58" spans="1:27" ht="12.75" hidden="1">
      <c r="A58" s="525">
        <v>7</v>
      </c>
      <c r="B58" s="109" t="s">
        <v>232</v>
      </c>
      <c r="C58" s="137"/>
      <c r="D58" s="178"/>
      <c r="E58" s="83"/>
      <c r="F58" s="83"/>
      <c r="G58" s="272"/>
      <c r="H58" s="84"/>
      <c r="I58" s="167">
        <f>3.8*1.23</f>
        <v>4.6739999999999995</v>
      </c>
      <c r="J58" s="210"/>
      <c r="K58" s="263"/>
      <c r="L58" s="84"/>
      <c r="M58" s="263"/>
      <c r="N58" s="84"/>
      <c r="O58" s="131"/>
      <c r="P58" s="165"/>
      <c r="Q58" s="165"/>
      <c r="R58" s="165"/>
      <c r="S58" s="131"/>
      <c r="T58" s="274"/>
      <c r="U58" s="190"/>
      <c r="V58" s="174"/>
      <c r="W58" s="175"/>
      <c r="X58" s="191"/>
      <c r="Y58" s="191"/>
      <c r="Z58" s="191"/>
      <c r="AA58" s="218"/>
    </row>
    <row r="59" spans="1:27" ht="12.75" hidden="1">
      <c r="A59" s="524"/>
      <c r="B59" s="160" t="s">
        <v>233</v>
      </c>
      <c r="C59" s="64" t="s">
        <v>136</v>
      </c>
      <c r="D59" s="169">
        <v>399.9668</v>
      </c>
      <c r="E59" s="176">
        <f>(D59-D57)*Y$9</f>
        <v>11.411299999999983</v>
      </c>
      <c r="F59" s="281">
        <v>11.411</v>
      </c>
      <c r="G59" s="75"/>
      <c r="H59" s="282"/>
      <c r="I59" s="171">
        <f>9.55*1.23</f>
        <v>11.746500000000001</v>
      </c>
      <c r="J59" s="122"/>
      <c r="K59" s="170"/>
      <c r="L59" s="62">
        <f>(E59)*K59*1000</f>
        <v>0</v>
      </c>
      <c r="M59" s="170"/>
      <c r="N59" s="62">
        <f>(E59)*M59*1000</f>
        <v>0</v>
      </c>
      <c r="O59" s="171">
        <f>19*1.23</f>
        <v>23.37</v>
      </c>
      <c r="P59" s="185">
        <v>235.9115</v>
      </c>
      <c r="Q59" s="185">
        <v>241.7911</v>
      </c>
      <c r="R59" s="185">
        <f>(Q59-P59)</f>
        <v>5.879600000000011</v>
      </c>
      <c r="S59" s="177"/>
      <c r="T59" s="290"/>
      <c r="U59" s="192"/>
      <c r="V59" s="129"/>
      <c r="W59" s="170"/>
      <c r="X59" s="71">
        <v>50</v>
      </c>
      <c r="Y59" s="71">
        <v>32</v>
      </c>
      <c r="Z59" s="193"/>
      <c r="AA59" s="219"/>
    </row>
    <row r="60" spans="1:27" ht="12.75" hidden="1">
      <c r="A60" s="525">
        <v>8</v>
      </c>
      <c r="B60" s="109" t="s">
        <v>248</v>
      </c>
      <c r="C60" s="137"/>
      <c r="D60" s="178"/>
      <c r="E60" s="83"/>
      <c r="F60" s="83"/>
      <c r="G60" s="272"/>
      <c r="H60" s="84"/>
      <c r="I60" s="167">
        <f>3.8*1.23</f>
        <v>4.6739999999999995</v>
      </c>
      <c r="J60" s="210"/>
      <c r="K60" s="263"/>
      <c r="L60" s="84"/>
      <c r="M60" s="263"/>
      <c r="N60" s="84"/>
      <c r="O60" s="131"/>
      <c r="P60" s="165"/>
      <c r="Q60" s="165"/>
      <c r="R60" s="165"/>
      <c r="S60" s="131"/>
      <c r="T60" s="344"/>
      <c r="U60" s="190"/>
      <c r="V60" s="174"/>
      <c r="W60" s="175"/>
      <c r="X60" s="191"/>
      <c r="Y60" s="191"/>
      <c r="Z60" s="191"/>
      <c r="AA60" s="218"/>
    </row>
    <row r="61" spans="1:27" ht="12.75" hidden="1">
      <c r="A61" s="524"/>
      <c r="B61" s="160" t="s">
        <v>249</v>
      </c>
      <c r="C61" s="64" t="s">
        <v>146</v>
      </c>
      <c r="D61" s="169">
        <v>399.9668</v>
      </c>
      <c r="E61" s="176">
        <f>(D61-D59)*Y$9</f>
        <v>0</v>
      </c>
      <c r="F61" s="281">
        <v>0</v>
      </c>
      <c r="G61" s="75"/>
      <c r="H61" s="282"/>
      <c r="I61" s="171">
        <f>9.55*1.23</f>
        <v>11.746500000000001</v>
      </c>
      <c r="J61" s="122"/>
      <c r="K61" s="170"/>
      <c r="L61" s="62">
        <f>(E61)*K61*1000</f>
        <v>0</v>
      </c>
      <c r="M61" s="170"/>
      <c r="N61" s="62">
        <f>(E61)*M61*1000</f>
        <v>0</v>
      </c>
      <c r="O61" s="171">
        <f>19*1.23</f>
        <v>23.37</v>
      </c>
      <c r="P61" s="185">
        <v>241.7911</v>
      </c>
      <c r="Q61" s="185">
        <v>241.7911</v>
      </c>
      <c r="R61" s="185">
        <f>(Q61-P61)</f>
        <v>0</v>
      </c>
      <c r="S61" s="177"/>
      <c r="T61" s="273"/>
      <c r="U61" s="192"/>
      <c r="V61" s="129"/>
      <c r="W61" s="170"/>
      <c r="X61" s="71">
        <v>50</v>
      </c>
      <c r="Y61" s="71">
        <v>0</v>
      </c>
      <c r="Z61" s="193"/>
      <c r="AA61" s="219"/>
    </row>
    <row r="62" spans="1:27" ht="12.75" hidden="1">
      <c r="A62" s="525">
        <v>9</v>
      </c>
      <c r="B62" s="109" t="s">
        <v>254</v>
      </c>
      <c r="C62" s="137"/>
      <c r="D62" s="178"/>
      <c r="E62" s="83"/>
      <c r="F62" s="83"/>
      <c r="G62" s="272"/>
      <c r="H62" s="84"/>
      <c r="I62" s="167">
        <f>3.8*1.23</f>
        <v>4.6739999999999995</v>
      </c>
      <c r="J62" s="210"/>
      <c r="K62" s="263"/>
      <c r="L62" s="84"/>
      <c r="M62" s="263"/>
      <c r="N62" s="84"/>
      <c r="O62" s="131"/>
      <c r="P62" s="165"/>
      <c r="Q62" s="165"/>
      <c r="R62" s="165"/>
      <c r="S62" s="131"/>
      <c r="T62" s="344"/>
      <c r="U62" s="190"/>
      <c r="V62" s="174"/>
      <c r="W62" s="175"/>
      <c r="X62" s="191"/>
      <c r="Y62" s="191"/>
      <c r="Z62" s="191"/>
      <c r="AA62" s="218"/>
    </row>
    <row r="63" spans="1:27" ht="12.75" hidden="1">
      <c r="A63" s="524"/>
      <c r="B63" s="160" t="s">
        <v>253</v>
      </c>
      <c r="C63" s="64" t="s">
        <v>164</v>
      </c>
      <c r="D63" s="169">
        <v>399.9668</v>
      </c>
      <c r="E63" s="176">
        <f>(D63-D61)*Y$9</f>
        <v>0</v>
      </c>
      <c r="F63" s="281">
        <v>0</v>
      </c>
      <c r="G63" s="75"/>
      <c r="H63" s="282"/>
      <c r="I63" s="171">
        <f>9.55*1.23</f>
        <v>11.746500000000001</v>
      </c>
      <c r="J63" s="122"/>
      <c r="K63" s="170"/>
      <c r="L63" s="62">
        <f>(E63)*K63*1000</f>
        <v>0</v>
      </c>
      <c r="M63" s="170"/>
      <c r="N63" s="62">
        <f>(E63)*M63*1000</f>
        <v>0</v>
      </c>
      <c r="O63" s="171">
        <f>19*1.23</f>
        <v>23.37</v>
      </c>
      <c r="P63" s="185">
        <v>241.7911</v>
      </c>
      <c r="Q63" s="185">
        <v>241.7911</v>
      </c>
      <c r="R63" s="185">
        <f>(Q63-P63)</f>
        <v>0</v>
      </c>
      <c r="S63" s="177"/>
      <c r="T63" s="273"/>
      <c r="U63" s="192"/>
      <c r="V63" s="129"/>
      <c r="W63" s="170"/>
      <c r="X63" s="71">
        <v>50</v>
      </c>
      <c r="Y63" s="71">
        <v>0</v>
      </c>
      <c r="Z63" s="193"/>
      <c r="AA63" s="219"/>
    </row>
    <row r="64" spans="1:27" ht="12.75" hidden="1">
      <c r="A64" s="525">
        <v>10</v>
      </c>
      <c r="B64" s="109" t="s">
        <v>259</v>
      </c>
      <c r="C64" s="137"/>
      <c r="D64" s="178"/>
      <c r="E64" s="83"/>
      <c r="F64" s="83"/>
      <c r="G64" s="272"/>
      <c r="H64" s="84"/>
      <c r="I64" s="167">
        <f>3.8*1.23</f>
        <v>4.6739999999999995</v>
      </c>
      <c r="J64" s="210"/>
      <c r="K64" s="263"/>
      <c r="L64" s="84"/>
      <c r="M64" s="263"/>
      <c r="N64" s="84"/>
      <c r="O64" s="131"/>
      <c r="P64" s="165"/>
      <c r="Q64" s="165"/>
      <c r="R64" s="165"/>
      <c r="S64" s="131"/>
      <c r="T64" s="344"/>
      <c r="U64" s="190"/>
      <c r="V64" s="174"/>
      <c r="W64" s="175"/>
      <c r="X64" s="191"/>
      <c r="Y64" s="191"/>
      <c r="Z64" s="191"/>
      <c r="AA64" s="218"/>
    </row>
    <row r="65" spans="1:27" ht="12.75" hidden="1">
      <c r="A65" s="524"/>
      <c r="B65" s="160" t="s">
        <v>258</v>
      </c>
      <c r="C65" s="64" t="s">
        <v>179</v>
      </c>
      <c r="D65" s="169">
        <v>399.9668</v>
      </c>
      <c r="E65" s="176">
        <f>(D65-D63)*Y$9</f>
        <v>0</v>
      </c>
      <c r="F65" s="281">
        <v>0</v>
      </c>
      <c r="G65" s="75"/>
      <c r="H65" s="282"/>
      <c r="I65" s="171">
        <f>9.55*1.23</f>
        <v>11.746500000000001</v>
      </c>
      <c r="J65" s="122"/>
      <c r="K65" s="170"/>
      <c r="L65" s="62">
        <f>(E65)*K65*1000</f>
        <v>0</v>
      </c>
      <c r="M65" s="170"/>
      <c r="N65" s="62">
        <f>(E65)*M65*1000</f>
        <v>0</v>
      </c>
      <c r="O65" s="171">
        <f>19*1.23</f>
        <v>23.37</v>
      </c>
      <c r="P65" s="185">
        <v>241.7911</v>
      </c>
      <c r="Q65" s="185">
        <v>241.7911</v>
      </c>
      <c r="R65" s="185">
        <f>(Q65-P65)</f>
        <v>0</v>
      </c>
      <c r="S65" s="177"/>
      <c r="T65" s="273"/>
      <c r="U65" s="192"/>
      <c r="V65" s="129"/>
      <c r="W65" s="170"/>
      <c r="X65" s="71">
        <v>50</v>
      </c>
      <c r="Y65" s="71">
        <v>0</v>
      </c>
      <c r="Z65" s="193"/>
      <c r="AA65" s="219"/>
    </row>
    <row r="66" spans="1:27" ht="12.75" hidden="1">
      <c r="A66" s="525">
        <v>11</v>
      </c>
      <c r="B66" s="109" t="s">
        <v>264</v>
      </c>
      <c r="C66" s="137"/>
      <c r="D66" s="178"/>
      <c r="E66" s="83"/>
      <c r="F66" s="83"/>
      <c r="G66" s="272"/>
      <c r="H66" s="84"/>
      <c r="I66" s="167">
        <f>3.8*1.23</f>
        <v>4.6739999999999995</v>
      </c>
      <c r="J66" s="210"/>
      <c r="K66" s="263"/>
      <c r="L66" s="84"/>
      <c r="M66" s="263"/>
      <c r="N66" s="84"/>
      <c r="O66" s="131"/>
      <c r="P66" s="165"/>
      <c r="Q66" s="165"/>
      <c r="R66" s="165"/>
      <c r="S66" s="131"/>
      <c r="T66" s="344"/>
      <c r="U66" s="190"/>
      <c r="V66" s="174"/>
      <c r="W66" s="175"/>
      <c r="X66" s="191"/>
      <c r="Y66" s="191"/>
      <c r="Z66" s="191"/>
      <c r="AA66" s="218"/>
    </row>
    <row r="67" spans="1:27" ht="12.75" hidden="1">
      <c r="A67" s="524"/>
      <c r="B67" s="160" t="s">
        <v>263</v>
      </c>
      <c r="C67" s="64" t="s">
        <v>186</v>
      </c>
      <c r="D67" s="169">
        <v>399.9668</v>
      </c>
      <c r="E67" s="176">
        <f>(D67-D65)*Y$9</f>
        <v>0</v>
      </c>
      <c r="F67" s="281">
        <v>0</v>
      </c>
      <c r="G67" s="75"/>
      <c r="H67" s="282"/>
      <c r="I67" s="171">
        <f>9.55*1.23</f>
        <v>11.746500000000001</v>
      </c>
      <c r="J67" s="122"/>
      <c r="K67" s="170"/>
      <c r="L67" s="62">
        <f>(E67)*K67*1000</f>
        <v>0</v>
      </c>
      <c r="M67" s="170"/>
      <c r="N67" s="62">
        <f>(E67)*M67*1000</f>
        <v>0</v>
      </c>
      <c r="O67" s="171">
        <f>19*1.23</f>
        <v>23.37</v>
      </c>
      <c r="P67" s="185">
        <v>241.7911</v>
      </c>
      <c r="Q67" s="185">
        <v>241.7911</v>
      </c>
      <c r="R67" s="185">
        <f>(Q67-P67)</f>
        <v>0</v>
      </c>
      <c r="S67" s="177"/>
      <c r="T67" s="273"/>
      <c r="U67" s="192"/>
      <c r="V67" s="129"/>
      <c r="W67" s="170"/>
      <c r="X67" s="71">
        <v>50</v>
      </c>
      <c r="Y67" s="71">
        <v>0</v>
      </c>
      <c r="Z67" s="193"/>
      <c r="AA67" s="219"/>
    </row>
    <row r="68" spans="1:27" ht="12.75" hidden="1">
      <c r="A68" s="525">
        <v>12</v>
      </c>
      <c r="B68" s="109"/>
      <c r="C68" s="137"/>
      <c r="D68" s="178"/>
      <c r="E68" s="83"/>
      <c r="F68" s="83"/>
      <c r="G68" s="272"/>
      <c r="H68" s="84"/>
      <c r="I68" s="167">
        <f>3.8*1.23</f>
        <v>4.6739999999999995</v>
      </c>
      <c r="J68" s="210"/>
      <c r="K68" s="263"/>
      <c r="L68" s="84"/>
      <c r="M68" s="263"/>
      <c r="N68" s="84"/>
      <c r="O68" s="131"/>
      <c r="P68" s="165"/>
      <c r="Q68" s="165"/>
      <c r="R68" s="165"/>
      <c r="S68" s="131"/>
      <c r="T68" s="344"/>
      <c r="U68" s="190"/>
      <c r="V68" s="174"/>
      <c r="W68" s="175"/>
      <c r="X68" s="191"/>
      <c r="Y68" s="191"/>
      <c r="Z68" s="191"/>
      <c r="AA68" s="218"/>
    </row>
    <row r="69" spans="1:27" ht="13.5" hidden="1" thickBot="1">
      <c r="A69" s="524"/>
      <c r="B69" s="160" t="s">
        <v>267</v>
      </c>
      <c r="C69" s="64" t="s">
        <v>193</v>
      </c>
      <c r="D69" s="169">
        <v>399.9668</v>
      </c>
      <c r="E69" s="176">
        <f>(D69-D67)*Y$9</f>
        <v>0</v>
      </c>
      <c r="F69" s="281">
        <v>0</v>
      </c>
      <c r="G69" s="75"/>
      <c r="H69" s="282"/>
      <c r="I69" s="171">
        <f>9.55*1.23</f>
        <v>11.746500000000001</v>
      </c>
      <c r="J69" s="122"/>
      <c r="K69" s="170"/>
      <c r="L69" s="62">
        <f>(E69)*K69*1000</f>
        <v>0</v>
      </c>
      <c r="M69" s="170"/>
      <c r="N69" s="62">
        <f>(E69)*M69*1000</f>
        <v>0</v>
      </c>
      <c r="O69" s="171">
        <f>19*1.23</f>
        <v>23.37</v>
      </c>
      <c r="P69" s="185">
        <v>241.7911</v>
      </c>
      <c r="Q69" s="185">
        <v>241.7911</v>
      </c>
      <c r="R69" s="185">
        <f>(Q69-P69)</f>
        <v>0</v>
      </c>
      <c r="S69" s="177"/>
      <c r="T69" s="273"/>
      <c r="U69" s="192"/>
      <c r="V69" s="129"/>
      <c r="W69" s="170"/>
      <c r="X69" s="71">
        <v>50</v>
      </c>
      <c r="Y69" s="71">
        <v>0</v>
      </c>
      <c r="Z69" s="193"/>
      <c r="AA69" s="219"/>
    </row>
    <row r="70" spans="1:27" ht="12.75">
      <c r="A70" s="526" t="s">
        <v>316</v>
      </c>
      <c r="B70" s="527"/>
      <c r="C70" s="527"/>
      <c r="D70" s="528"/>
      <c r="E70" s="41"/>
      <c r="F70" s="13"/>
      <c r="G70" s="13"/>
      <c r="H70" s="41"/>
      <c r="I70" s="13"/>
      <c r="J70" s="13"/>
      <c r="K70" s="41"/>
      <c r="L70" s="41"/>
      <c r="M70" s="41"/>
      <c r="N70" s="41"/>
      <c r="O70" s="345"/>
      <c r="P70" s="33" t="s">
        <v>277</v>
      </c>
      <c r="Q70" s="33"/>
      <c r="R70" s="289"/>
      <c r="S70" s="258"/>
      <c r="T70" s="299"/>
      <c r="U70" s="298"/>
      <c r="V70" s="266"/>
      <c r="W70" s="350"/>
      <c r="X70" s="42"/>
      <c r="Y70" s="305"/>
      <c r="Z70" s="42"/>
      <c r="AA70" s="43"/>
    </row>
    <row r="71" spans="1:27" ht="13.5" thickBot="1">
      <c r="A71" s="529"/>
      <c r="B71" s="530"/>
      <c r="C71" s="530"/>
      <c r="D71" s="531"/>
      <c r="E71" s="69">
        <f>SUM(E46:E69)</f>
        <v>106.1456</v>
      </c>
      <c r="F71" s="251">
        <f>SUM(F46:F69)</f>
        <v>106.14500000000001</v>
      </c>
      <c r="G71" s="351"/>
      <c r="H71" s="253"/>
      <c r="I71" s="99"/>
      <c r="J71" s="349"/>
      <c r="K71" s="99"/>
      <c r="L71" s="349">
        <f>SUM(L46:L70)</f>
        <v>0</v>
      </c>
      <c r="M71" s="99"/>
      <c r="N71" s="349">
        <f>SUM(N46:N70)</f>
        <v>0</v>
      </c>
      <c r="O71" s="349">
        <f>SUM(O46:O70)</f>
        <v>358.53643920000013</v>
      </c>
      <c r="P71" s="395">
        <f>SUM(J71:O71)</f>
        <v>358.53643920000013</v>
      </c>
      <c r="Q71" s="99"/>
      <c r="R71" s="259"/>
      <c r="S71" s="260"/>
      <c r="T71" s="261"/>
      <c r="U71" s="262"/>
      <c r="V71" s="253"/>
      <c r="W71" s="351"/>
      <c r="X71" s="74">
        <v>50</v>
      </c>
      <c r="Y71" s="394">
        <f>SUM(Y47:Y69)/12</f>
        <v>18.166666666666668</v>
      </c>
      <c r="Z71" s="74"/>
      <c r="AA71" s="46"/>
    </row>
    <row r="72" spans="2:7" ht="15" hidden="1">
      <c r="B72" s="374" t="s">
        <v>266</v>
      </c>
      <c r="F72" s="257">
        <f>F71-E71</f>
        <v>-0.0005999999999914962</v>
      </c>
      <c r="G72" s="150"/>
    </row>
    <row r="73" spans="1:27" ht="12.75" hidden="1">
      <c r="A73" s="525">
        <v>1</v>
      </c>
      <c r="B73" s="109"/>
      <c r="C73" s="137"/>
      <c r="D73" s="373">
        <v>399966.8</v>
      </c>
      <c r="E73" s="83"/>
      <c r="F73" s="83"/>
      <c r="G73" s="272"/>
      <c r="H73" s="84"/>
      <c r="I73" s="167">
        <f>3.8*1.23</f>
        <v>4.6739999999999995</v>
      </c>
      <c r="J73" s="210"/>
      <c r="K73" s="263"/>
      <c r="L73" s="84"/>
      <c r="M73" s="263"/>
      <c r="N73" s="84"/>
      <c r="O73" s="131"/>
      <c r="P73" s="165"/>
      <c r="Q73" s="165"/>
      <c r="R73" s="165"/>
      <c r="S73" s="131"/>
      <c r="T73" s="344"/>
      <c r="U73" s="190"/>
      <c r="V73" s="174"/>
      <c r="W73" s="175"/>
      <c r="X73" s="191"/>
      <c r="Y73" s="191"/>
      <c r="Z73" s="191"/>
      <c r="AA73" s="218"/>
    </row>
    <row r="74" spans="1:27" ht="12.75" hidden="1">
      <c r="A74" s="524"/>
      <c r="B74" s="160" t="s">
        <v>270</v>
      </c>
      <c r="C74" s="64" t="s">
        <v>209</v>
      </c>
      <c r="D74" s="373">
        <v>399966.8</v>
      </c>
      <c r="E74" s="376">
        <f>(D74-D73)*Y$9</f>
        <v>0</v>
      </c>
      <c r="F74" s="406">
        <v>0</v>
      </c>
      <c r="G74" s="75"/>
      <c r="H74" s="282"/>
      <c r="I74" s="171">
        <f>9.55*1.23</f>
        <v>11.746500000000001</v>
      </c>
      <c r="J74" s="122"/>
      <c r="K74" s="170"/>
      <c r="L74" s="62">
        <f>(E74)*K74</f>
        <v>0</v>
      </c>
      <c r="M74" s="170"/>
      <c r="N74" s="62">
        <f>(E74)*M74</f>
        <v>0</v>
      </c>
      <c r="O74" s="171">
        <f>19*1.23</f>
        <v>23.37</v>
      </c>
      <c r="P74" s="185">
        <v>241.7911</v>
      </c>
      <c r="Q74" s="185">
        <v>241.7911</v>
      </c>
      <c r="R74" s="185">
        <f>(Q74-P74)</f>
        <v>0</v>
      </c>
      <c r="S74" s="177"/>
      <c r="T74" s="273"/>
      <c r="U74" s="192"/>
      <c r="V74" s="129"/>
      <c r="W74" s="170"/>
      <c r="X74" s="71">
        <v>50</v>
      </c>
      <c r="Y74" s="71">
        <v>0</v>
      </c>
      <c r="Z74" s="193"/>
      <c r="AA74" s="219"/>
    </row>
    <row r="75" spans="1:27" ht="12.75" hidden="1">
      <c r="A75" s="525">
        <v>2</v>
      </c>
      <c r="B75" s="109"/>
      <c r="C75" s="137"/>
      <c r="D75" s="373"/>
      <c r="E75" s="83"/>
      <c r="F75" s="83"/>
      <c r="G75" s="272"/>
      <c r="H75" s="84"/>
      <c r="I75" s="167">
        <f>0.19*1.23</f>
        <v>0.2337</v>
      </c>
      <c r="J75" s="210"/>
      <c r="K75" s="263"/>
      <c r="L75" s="84"/>
      <c r="M75" s="263"/>
      <c r="N75" s="84"/>
      <c r="O75" s="131">
        <f>0.00158*E76*1.23</f>
        <v>0</v>
      </c>
      <c r="P75" s="165"/>
      <c r="Q75" s="165"/>
      <c r="R75" s="165"/>
      <c r="S75" s="131"/>
      <c r="T75" s="344"/>
      <c r="U75" s="190"/>
      <c r="V75" s="174"/>
      <c r="W75" s="175"/>
      <c r="X75" s="191"/>
      <c r="Y75" s="191"/>
      <c r="Z75" s="191"/>
      <c r="AA75" s="218"/>
    </row>
    <row r="76" spans="1:27" ht="12.75" hidden="1">
      <c r="A76" s="524"/>
      <c r="B76" s="160" t="s">
        <v>284</v>
      </c>
      <c r="C76" s="64" t="s">
        <v>276</v>
      </c>
      <c r="D76" s="373">
        <v>399966.8</v>
      </c>
      <c r="E76" s="376">
        <f>(D76-D74)*Y$9</f>
        <v>0</v>
      </c>
      <c r="F76" s="406">
        <v>0</v>
      </c>
      <c r="G76" s="75"/>
      <c r="H76" s="282"/>
      <c r="I76" s="171">
        <f>9.55*1.23</f>
        <v>11.746500000000001</v>
      </c>
      <c r="J76" s="122"/>
      <c r="K76" s="170"/>
      <c r="L76" s="62">
        <f>(E76)*K76</f>
        <v>0</v>
      </c>
      <c r="M76" s="170"/>
      <c r="N76" s="62">
        <f>(E76)*M76</f>
        <v>0</v>
      </c>
      <c r="O76" s="171">
        <f>19*1.23</f>
        <v>23.37</v>
      </c>
      <c r="P76" s="185">
        <v>241.7911</v>
      </c>
      <c r="Q76" s="185">
        <v>241.7911</v>
      </c>
      <c r="R76" s="185">
        <f>(Q76-P76)</f>
        <v>0</v>
      </c>
      <c r="S76" s="177"/>
      <c r="T76" s="273"/>
      <c r="U76" s="192"/>
      <c r="V76" s="129"/>
      <c r="W76" s="170"/>
      <c r="X76" s="71">
        <v>40</v>
      </c>
      <c r="Y76" s="71">
        <v>0</v>
      </c>
      <c r="Z76" s="193"/>
      <c r="AA76" s="219"/>
    </row>
    <row r="77" spans="1:27" ht="12.75" hidden="1">
      <c r="A77" s="525">
        <v>3</v>
      </c>
      <c r="B77" s="109"/>
      <c r="C77" s="137"/>
      <c r="D77" s="373"/>
      <c r="E77" s="83"/>
      <c r="F77" s="83"/>
      <c r="G77" s="272"/>
      <c r="H77" s="84"/>
      <c r="I77" s="167">
        <f>0.19*1.23</f>
        <v>0.2337</v>
      </c>
      <c r="J77" s="210"/>
      <c r="K77" s="263"/>
      <c r="L77" s="84"/>
      <c r="M77" s="263"/>
      <c r="N77" s="84"/>
      <c r="O77" s="131">
        <f>0.00158*E78*1.23</f>
        <v>22.467841740000065</v>
      </c>
      <c r="P77" s="165"/>
      <c r="Q77" s="165"/>
      <c r="R77" s="165"/>
      <c r="S77" s="131"/>
      <c r="T77" s="344"/>
      <c r="U77" s="190"/>
      <c r="V77" s="174"/>
      <c r="W77" s="175"/>
      <c r="X77" s="191"/>
      <c r="Y77" s="191"/>
      <c r="Z77" s="191"/>
      <c r="AA77" s="218"/>
    </row>
    <row r="78" spans="1:27" ht="12.75" hidden="1">
      <c r="A78" s="524"/>
      <c r="B78" s="160" t="s">
        <v>282</v>
      </c>
      <c r="C78" s="64" t="s">
        <v>278</v>
      </c>
      <c r="D78" s="373">
        <v>411527.9</v>
      </c>
      <c r="E78" s="376">
        <f>(D78-D76)*Y$9</f>
        <v>11561.100000000035</v>
      </c>
      <c r="F78" s="406">
        <v>11561</v>
      </c>
      <c r="G78" s="75"/>
      <c r="H78" s="282"/>
      <c r="I78" s="171">
        <f>9.55*1.23</f>
        <v>11.746500000000001</v>
      </c>
      <c r="J78" s="122"/>
      <c r="K78" s="170"/>
      <c r="L78" s="62">
        <f>(E78)*K78</f>
        <v>0</v>
      </c>
      <c r="M78" s="170"/>
      <c r="N78" s="62">
        <f>(E78)*M78</f>
        <v>0</v>
      </c>
      <c r="O78" s="171">
        <f>19*1.23</f>
        <v>23.37</v>
      </c>
      <c r="P78" s="401">
        <v>241791.1</v>
      </c>
      <c r="Q78" s="401">
        <v>245905.4</v>
      </c>
      <c r="R78" s="402">
        <f>(Q78-P78)</f>
        <v>4114.299999999988</v>
      </c>
      <c r="S78" s="177"/>
      <c r="T78" s="290"/>
      <c r="U78" s="192"/>
      <c r="V78" s="129"/>
      <c r="W78" s="170"/>
      <c r="X78" s="71">
        <v>40</v>
      </c>
      <c r="Y78" s="71">
        <v>26</v>
      </c>
      <c r="Z78" s="193"/>
      <c r="AA78" s="219"/>
    </row>
    <row r="79" spans="1:27" ht="12.75" hidden="1">
      <c r="A79" s="525">
        <v>4</v>
      </c>
      <c r="B79" s="109"/>
      <c r="C79" s="137"/>
      <c r="D79" s="373"/>
      <c r="E79" s="83"/>
      <c r="F79" s="83"/>
      <c r="G79" s="272"/>
      <c r="H79" s="84"/>
      <c r="I79" s="167">
        <f>0.19*1.23</f>
        <v>0.2337</v>
      </c>
      <c r="J79" s="210"/>
      <c r="K79" s="263"/>
      <c r="L79" s="84"/>
      <c r="M79" s="263"/>
      <c r="N79" s="84"/>
      <c r="O79" s="131">
        <f>0.00158*E80*1.23</f>
        <v>27.861942779999907</v>
      </c>
      <c r="P79" s="165"/>
      <c r="Q79" s="165"/>
      <c r="R79" s="165"/>
      <c r="S79" s="131"/>
      <c r="T79" s="344"/>
      <c r="U79" s="190"/>
      <c r="V79" s="174"/>
      <c r="W79" s="175"/>
      <c r="X79" s="191"/>
      <c r="Y79" s="191"/>
      <c r="Z79" s="191"/>
      <c r="AA79" s="218"/>
    </row>
    <row r="80" spans="1:27" ht="12.75" hidden="1">
      <c r="A80" s="524"/>
      <c r="B80" s="160" t="s">
        <v>283</v>
      </c>
      <c r="C80" s="64" t="s">
        <v>281</v>
      </c>
      <c r="D80" s="373">
        <v>425864.6</v>
      </c>
      <c r="E80" s="376">
        <f>(D80-D78)*Y$9</f>
        <v>14336.699999999953</v>
      </c>
      <c r="F80" s="406">
        <v>14337</v>
      </c>
      <c r="G80" s="75"/>
      <c r="H80" s="282"/>
      <c r="I80" s="171">
        <f>9.55*1.23</f>
        <v>11.746500000000001</v>
      </c>
      <c r="J80" s="122"/>
      <c r="K80" s="170"/>
      <c r="L80" s="62">
        <f>(E80)*K80</f>
        <v>0</v>
      </c>
      <c r="M80" s="170"/>
      <c r="N80" s="62">
        <f>(E80)*M80</f>
        <v>0</v>
      </c>
      <c r="O80" s="171">
        <f>19*1.23</f>
        <v>23.37</v>
      </c>
      <c r="P80" s="401">
        <v>245905.4</v>
      </c>
      <c r="Q80" s="401">
        <v>250908.5</v>
      </c>
      <c r="R80" s="402">
        <f>(Q80-P80)</f>
        <v>5003.100000000006</v>
      </c>
      <c r="S80" s="177"/>
      <c r="T80" s="290"/>
      <c r="U80" s="192"/>
      <c r="V80" s="129"/>
      <c r="W80" s="170"/>
      <c r="X80" s="71">
        <v>40</v>
      </c>
      <c r="Y80" s="71">
        <v>27</v>
      </c>
      <c r="Z80" s="193"/>
      <c r="AA80" s="219"/>
    </row>
    <row r="81" spans="1:27" ht="12.75" hidden="1">
      <c r="A81" s="199"/>
      <c r="B81" s="434"/>
      <c r="C81" s="137"/>
      <c r="D81" s="373"/>
      <c r="E81" s="83"/>
      <c r="F81" s="83"/>
      <c r="G81" s="272"/>
      <c r="H81" s="84"/>
      <c r="I81" s="167"/>
      <c r="J81" s="123"/>
      <c r="K81" s="184"/>
      <c r="L81" s="87"/>
      <c r="M81" s="184"/>
      <c r="N81" s="87"/>
      <c r="O81" s="167"/>
      <c r="P81" s="445"/>
      <c r="Q81" s="445"/>
      <c r="R81" s="429"/>
      <c r="S81" s="131"/>
      <c r="T81" s="274"/>
      <c r="U81" s="209"/>
      <c r="V81" s="210"/>
      <c r="W81" s="211"/>
      <c r="X81" s="212"/>
      <c r="Y81" s="212"/>
      <c r="Z81" s="460"/>
      <c r="AA81" s="218"/>
    </row>
    <row r="82" spans="1:27" ht="13.5" hidden="1" thickBot="1">
      <c r="A82" s="199"/>
      <c r="B82" s="227" t="s">
        <v>275</v>
      </c>
      <c r="C82" s="64" t="s">
        <v>281</v>
      </c>
      <c r="D82" s="373"/>
      <c r="E82" s="376"/>
      <c r="F82" s="406"/>
      <c r="G82" s="75"/>
      <c r="H82" s="282"/>
      <c r="I82" s="167"/>
      <c r="J82" s="123"/>
      <c r="K82" s="184"/>
      <c r="L82" s="87"/>
      <c r="M82" s="184"/>
      <c r="N82" s="87"/>
      <c r="O82" s="167"/>
      <c r="P82" s="445"/>
      <c r="Q82" s="445"/>
      <c r="R82" s="429"/>
      <c r="S82" s="131"/>
      <c r="T82" s="274"/>
      <c r="U82" s="209"/>
      <c r="V82" s="210"/>
      <c r="W82" s="211"/>
      <c r="X82" s="212"/>
      <c r="Y82" s="212"/>
      <c r="Z82" s="460"/>
      <c r="AA82" s="218"/>
    </row>
    <row r="83" spans="1:27" ht="12.75" hidden="1">
      <c r="A83" s="523">
        <v>5</v>
      </c>
      <c r="B83" s="330"/>
      <c r="C83" s="409"/>
      <c r="D83" s="373"/>
      <c r="E83" s="83"/>
      <c r="F83" s="83"/>
      <c r="G83" s="272"/>
      <c r="H83" s="84"/>
      <c r="I83" s="167">
        <f>0.19*1.23*0.17</f>
        <v>0.039729</v>
      </c>
      <c r="J83" s="210"/>
      <c r="K83" s="263"/>
      <c r="L83" s="84"/>
      <c r="M83" s="263"/>
      <c r="N83" s="84"/>
      <c r="O83" s="131">
        <f>0.00158*E84*1.23</f>
        <v>4.474872840000068</v>
      </c>
      <c r="P83" s="165"/>
      <c r="Q83" s="165"/>
      <c r="R83" s="165"/>
      <c r="S83" s="131"/>
      <c r="T83" s="344"/>
      <c r="U83" s="190"/>
      <c r="V83" s="174"/>
      <c r="W83" s="175"/>
      <c r="X83" s="191"/>
      <c r="Y83" s="191"/>
      <c r="Z83" s="191"/>
      <c r="AA83" s="218"/>
    </row>
    <row r="84" spans="1:27" ht="12.75" hidden="1">
      <c r="A84" s="532"/>
      <c r="B84" s="410" t="s">
        <v>217</v>
      </c>
      <c r="C84" s="352" t="s">
        <v>292</v>
      </c>
      <c r="D84" s="373">
        <v>428167.2</v>
      </c>
      <c r="E84" s="376">
        <f>(D84-D80)*Y$9</f>
        <v>2302.600000000035</v>
      </c>
      <c r="F84" s="406"/>
      <c r="G84" s="75"/>
      <c r="H84" s="282"/>
      <c r="I84" s="171">
        <f>9.55*1.23*0.17</f>
        <v>1.9969050000000004</v>
      </c>
      <c r="J84" s="122"/>
      <c r="K84" s="170"/>
      <c r="L84" s="62">
        <f>(E84)*K84</f>
        <v>0</v>
      </c>
      <c r="M84" s="170"/>
      <c r="N84" s="62">
        <f>(E84)*M84</f>
        <v>0</v>
      </c>
      <c r="O84" s="171">
        <f>19*1.23*0.17</f>
        <v>3.9729000000000005</v>
      </c>
      <c r="P84" s="401">
        <v>250908.5</v>
      </c>
      <c r="Q84" s="401">
        <v>251649.6</v>
      </c>
      <c r="R84" s="402">
        <f>(Q84-P84)</f>
        <v>741.1000000000058</v>
      </c>
      <c r="S84" s="177"/>
      <c r="T84" s="290"/>
      <c r="U84" s="192"/>
      <c r="V84" s="129"/>
      <c r="W84" s="170"/>
      <c r="X84" s="71">
        <v>40</v>
      </c>
      <c r="Y84" s="71"/>
      <c r="Z84" s="193"/>
      <c r="AA84" s="219"/>
    </row>
    <row r="85" spans="1:27" ht="12.75" hidden="1">
      <c r="A85" s="523">
        <v>6</v>
      </c>
      <c r="B85" s="358"/>
      <c r="C85" s="409"/>
      <c r="D85" s="373"/>
      <c r="E85" s="83"/>
      <c r="F85" s="83"/>
      <c r="G85" s="272"/>
      <c r="H85" s="84"/>
      <c r="I85" s="167">
        <f>0.19*1.23*0.83</f>
        <v>0.19397099999999998</v>
      </c>
      <c r="J85" s="210"/>
      <c r="K85" s="263"/>
      <c r="L85" s="84"/>
      <c r="M85" s="263"/>
      <c r="N85" s="84"/>
      <c r="O85" s="131">
        <f>0.00158*E86*1.23</f>
        <v>16.2594561</v>
      </c>
      <c r="P85" s="165"/>
      <c r="Q85" s="165"/>
      <c r="R85" s="165"/>
      <c r="S85" s="131"/>
      <c r="T85" s="344"/>
      <c r="U85" s="190"/>
      <c r="V85" s="174"/>
      <c r="W85" s="175"/>
      <c r="X85" s="191"/>
      <c r="Y85" s="191"/>
      <c r="Z85" s="411"/>
      <c r="AA85" s="412"/>
    </row>
    <row r="86" spans="1:27" ht="13.5" hidden="1" thickBot="1">
      <c r="A86" s="532"/>
      <c r="B86" s="365" t="s">
        <v>293</v>
      </c>
      <c r="C86" s="352" t="s">
        <v>291</v>
      </c>
      <c r="D86" s="373">
        <v>436533.7</v>
      </c>
      <c r="E86" s="376">
        <f>(D86-D84)*Y$9</f>
        <v>8366.5</v>
      </c>
      <c r="F86" s="406">
        <v>10669</v>
      </c>
      <c r="G86" s="75"/>
      <c r="H86" s="282"/>
      <c r="I86" s="171">
        <f>11.39*1.23*0.83</f>
        <v>11.628051</v>
      </c>
      <c r="J86" s="122"/>
      <c r="K86" s="170"/>
      <c r="L86" s="62">
        <f>(E86)*K86</f>
        <v>0</v>
      </c>
      <c r="M86" s="170"/>
      <c r="N86" s="62">
        <f>(E86)*M86</f>
        <v>0</v>
      </c>
      <c r="O86" s="171">
        <f>15*1.23*0.83</f>
        <v>15.3135</v>
      </c>
      <c r="P86" s="401">
        <v>251649.6</v>
      </c>
      <c r="Q86" s="401">
        <v>254595.1</v>
      </c>
      <c r="R86" s="402">
        <f>(Q86-P86)</f>
        <v>2945.5</v>
      </c>
      <c r="S86" s="177"/>
      <c r="T86" s="290"/>
      <c r="U86" s="192"/>
      <c r="V86" s="129"/>
      <c r="W86" s="170"/>
      <c r="X86" s="71">
        <v>40</v>
      </c>
      <c r="Y86" s="71">
        <v>24</v>
      </c>
      <c r="Z86" s="193"/>
      <c r="AA86" s="219"/>
    </row>
    <row r="87" spans="1:27" ht="12.75" hidden="1">
      <c r="A87" s="523">
        <v>7</v>
      </c>
      <c r="B87" s="310"/>
      <c r="C87" s="409"/>
      <c r="D87" s="373"/>
      <c r="E87" s="83"/>
      <c r="F87" s="83"/>
      <c r="G87" s="272"/>
      <c r="H87" s="84"/>
      <c r="I87" s="167">
        <f>0.19*1.23</f>
        <v>0.2337</v>
      </c>
      <c r="J87" s="210"/>
      <c r="K87" s="263"/>
      <c r="L87" s="84"/>
      <c r="M87" s="263"/>
      <c r="N87" s="84"/>
      <c r="O87" s="131">
        <f>0.00158*E88*1.23</f>
        <v>2.3913537000000002</v>
      </c>
      <c r="P87" s="165"/>
      <c r="Q87" s="165"/>
      <c r="R87" s="165"/>
      <c r="S87" s="131"/>
      <c r="T87" s="344"/>
      <c r="U87" s="190"/>
      <c r="V87" s="174"/>
      <c r="W87" s="175"/>
      <c r="X87" s="191"/>
      <c r="Y87" s="191"/>
      <c r="Z87" s="411"/>
      <c r="AA87" s="412"/>
    </row>
    <row r="88" spans="1:27" ht="12.75" hidden="1">
      <c r="A88" s="524"/>
      <c r="B88" s="114" t="s">
        <v>300</v>
      </c>
      <c r="C88" s="352" t="s">
        <v>299</v>
      </c>
      <c r="D88" s="373">
        <v>437764.2</v>
      </c>
      <c r="E88" s="376">
        <f>(D88-D86)*Y$9</f>
        <v>1230.5</v>
      </c>
      <c r="F88" s="406">
        <v>1231</v>
      </c>
      <c r="G88" s="75"/>
      <c r="H88" s="282"/>
      <c r="I88" s="171">
        <f>11.39*1.23</f>
        <v>14.0097</v>
      </c>
      <c r="J88" s="122"/>
      <c r="K88" s="170"/>
      <c r="L88" s="62">
        <f>(E88)*K88</f>
        <v>0</v>
      </c>
      <c r="M88" s="170"/>
      <c r="N88" s="62">
        <f>(E88)*M88</f>
        <v>0</v>
      </c>
      <c r="O88" s="171">
        <f>15*1.23</f>
        <v>18.45</v>
      </c>
      <c r="P88" s="401">
        <v>254595.1</v>
      </c>
      <c r="Q88" s="401">
        <v>255006.5</v>
      </c>
      <c r="R88" s="402">
        <f>(Q88-P88)</f>
        <v>411.3999999999942</v>
      </c>
      <c r="S88" s="177"/>
      <c r="T88" s="290"/>
      <c r="U88" s="192"/>
      <c r="V88" s="129"/>
      <c r="W88" s="170"/>
      <c r="X88" s="71">
        <v>40</v>
      </c>
      <c r="Y88" s="71">
        <v>21</v>
      </c>
      <c r="Z88" s="193"/>
      <c r="AA88" s="219"/>
    </row>
    <row r="89" spans="1:27" ht="12.75" hidden="1">
      <c r="A89" s="89"/>
      <c r="B89" s="114"/>
      <c r="C89" s="409"/>
      <c r="D89" s="373"/>
      <c r="E89" s="83"/>
      <c r="F89" s="83"/>
      <c r="G89" s="272"/>
      <c r="H89" s="84"/>
      <c r="I89" s="167"/>
      <c r="J89" s="123"/>
      <c r="K89" s="184"/>
      <c r="L89" s="87"/>
      <c r="M89" s="184"/>
      <c r="N89" s="87"/>
      <c r="O89" s="167"/>
      <c r="P89" s="445"/>
      <c r="Q89" s="445"/>
      <c r="R89" s="429"/>
      <c r="S89" s="131"/>
      <c r="T89" s="274"/>
      <c r="U89" s="209"/>
      <c r="V89" s="210"/>
      <c r="W89" s="211"/>
      <c r="X89" s="212"/>
      <c r="Y89" s="212"/>
      <c r="Z89" s="460"/>
      <c r="AA89" s="218"/>
    </row>
    <row r="90" spans="1:27" ht="12.75" hidden="1">
      <c r="A90" s="89"/>
      <c r="B90" s="476" t="s">
        <v>275</v>
      </c>
      <c r="C90" s="352" t="s">
        <v>299</v>
      </c>
      <c r="D90" s="373"/>
      <c r="E90" s="376"/>
      <c r="F90" s="406"/>
      <c r="G90" s="75"/>
      <c r="H90" s="282"/>
      <c r="I90" s="171"/>
      <c r="J90" s="308"/>
      <c r="K90" s="170"/>
      <c r="L90" s="50"/>
      <c r="M90" s="170"/>
      <c r="N90" s="50"/>
      <c r="O90" s="171"/>
      <c r="P90" s="401"/>
      <c r="Q90" s="401"/>
      <c r="R90" s="402"/>
      <c r="S90" s="177"/>
      <c r="T90" s="290"/>
      <c r="U90" s="192"/>
      <c r="V90" s="311"/>
      <c r="W90" s="303"/>
      <c r="X90" s="312"/>
      <c r="Y90" s="312"/>
      <c r="Z90" s="304"/>
      <c r="AA90" s="219"/>
    </row>
    <row r="91" spans="1:27" ht="12.75" hidden="1">
      <c r="A91" s="525">
        <v>8</v>
      </c>
      <c r="B91" s="310"/>
      <c r="C91" s="409"/>
      <c r="D91" s="373"/>
      <c r="E91" s="83"/>
      <c r="F91" s="83"/>
      <c r="G91" s="272"/>
      <c r="H91" s="84"/>
      <c r="I91" s="167">
        <f>0.19*1.23</f>
        <v>0.2337</v>
      </c>
      <c r="J91" s="210"/>
      <c r="K91" s="263"/>
      <c r="L91" s="84"/>
      <c r="M91" s="263"/>
      <c r="N91" s="84"/>
      <c r="O91" s="131">
        <f>0.00158*E92*1.23</f>
        <v>0</v>
      </c>
      <c r="P91" s="165"/>
      <c r="Q91" s="165"/>
      <c r="R91" s="165"/>
      <c r="S91" s="131"/>
      <c r="T91" s="344"/>
      <c r="U91" s="190"/>
      <c r="V91" s="174"/>
      <c r="W91" s="175"/>
      <c r="X91" s="191"/>
      <c r="Y91" s="191"/>
      <c r="Z91" s="411"/>
      <c r="AA91" s="412"/>
    </row>
    <row r="92" spans="1:27" ht="12.75" hidden="1">
      <c r="A92" s="524"/>
      <c r="B92" s="114" t="s">
        <v>303</v>
      </c>
      <c r="C92" s="352" t="s">
        <v>297</v>
      </c>
      <c r="D92" s="373">
        <v>437764.2</v>
      </c>
      <c r="E92" s="376">
        <f>(D92-D88)*Y$9</f>
        <v>0</v>
      </c>
      <c r="F92" s="406">
        <v>0</v>
      </c>
      <c r="G92" s="75"/>
      <c r="H92" s="282"/>
      <c r="I92" s="171">
        <f>11.39*1.23</f>
        <v>14.0097</v>
      </c>
      <c r="J92" s="122"/>
      <c r="K92" s="170"/>
      <c r="L92" s="62">
        <f>(E92)*K92</f>
        <v>0</v>
      </c>
      <c r="M92" s="170"/>
      <c r="N92" s="62">
        <f>(E92)*M92</f>
        <v>0</v>
      </c>
      <c r="O92" s="171">
        <f>15*1.23</f>
        <v>18.45</v>
      </c>
      <c r="P92" s="401">
        <v>255006.5</v>
      </c>
      <c r="Q92" s="401">
        <v>255006.5</v>
      </c>
      <c r="R92" s="402">
        <f>(Q92-P92)</f>
        <v>0</v>
      </c>
      <c r="S92" s="177"/>
      <c r="T92" s="290"/>
      <c r="U92" s="192"/>
      <c r="V92" s="129"/>
      <c r="W92" s="170"/>
      <c r="X92" s="71">
        <v>40</v>
      </c>
      <c r="Y92" s="71">
        <v>0</v>
      </c>
      <c r="Z92" s="193"/>
      <c r="AA92" s="219"/>
    </row>
    <row r="93" spans="1:27" ht="12.75" hidden="1">
      <c r="A93" s="525">
        <v>9</v>
      </c>
      <c r="B93" s="310"/>
      <c r="C93" s="409"/>
      <c r="D93" s="373"/>
      <c r="E93" s="83"/>
      <c r="F93" s="83"/>
      <c r="G93" s="272"/>
      <c r="H93" s="84"/>
      <c r="I93" s="167">
        <f>0.19*1.23</f>
        <v>0.2337</v>
      </c>
      <c r="J93" s="210"/>
      <c r="K93" s="263"/>
      <c r="L93" s="84"/>
      <c r="M93" s="263"/>
      <c r="N93" s="84"/>
      <c r="O93" s="131">
        <f>0.00158*E94*1.23</f>
        <v>0</v>
      </c>
      <c r="P93" s="165"/>
      <c r="Q93" s="165"/>
      <c r="R93" s="165"/>
      <c r="S93" s="131"/>
      <c r="T93" s="344"/>
      <c r="U93" s="190"/>
      <c r="V93" s="174"/>
      <c r="W93" s="175"/>
      <c r="X93" s="191"/>
      <c r="Y93" s="191"/>
      <c r="Z93" s="411"/>
      <c r="AA93" s="412"/>
    </row>
    <row r="94" spans="1:27" ht="12.75" hidden="1">
      <c r="A94" s="524"/>
      <c r="B94" s="114" t="s">
        <v>307</v>
      </c>
      <c r="C94" s="352" t="s">
        <v>306</v>
      </c>
      <c r="D94" s="373">
        <v>437764.2</v>
      </c>
      <c r="E94" s="376">
        <f>(D94-D92)*Y$9</f>
        <v>0</v>
      </c>
      <c r="F94" s="406">
        <v>0</v>
      </c>
      <c r="G94" s="75"/>
      <c r="H94" s="282"/>
      <c r="I94" s="171">
        <f>11.39*1.23</f>
        <v>14.0097</v>
      </c>
      <c r="J94" s="122"/>
      <c r="K94" s="170"/>
      <c r="L94" s="62">
        <f>(E94)*K94</f>
        <v>0</v>
      </c>
      <c r="M94" s="170"/>
      <c r="N94" s="62">
        <f>(E94)*M94</f>
        <v>0</v>
      </c>
      <c r="O94" s="171">
        <f>15*1.23</f>
        <v>18.45</v>
      </c>
      <c r="P94" s="401">
        <v>255006.5</v>
      </c>
      <c r="Q94" s="401">
        <v>255006.5</v>
      </c>
      <c r="R94" s="402">
        <f>(Q94-P94)</f>
        <v>0</v>
      </c>
      <c r="S94" s="177"/>
      <c r="T94" s="290"/>
      <c r="U94" s="192"/>
      <c r="V94" s="129"/>
      <c r="W94" s="170"/>
      <c r="X94" s="71">
        <v>40</v>
      </c>
      <c r="Y94" s="71">
        <v>0</v>
      </c>
      <c r="Z94" s="193"/>
      <c r="AA94" s="219"/>
    </row>
    <row r="95" spans="1:27" ht="12.75" hidden="1">
      <c r="A95" s="525">
        <v>10</v>
      </c>
      <c r="B95" s="310"/>
      <c r="C95" s="409"/>
      <c r="D95" s="373"/>
      <c r="E95" s="83"/>
      <c r="F95" s="83"/>
      <c r="G95" s="272"/>
      <c r="H95" s="84"/>
      <c r="I95" s="167">
        <f>0.19*1.23</f>
        <v>0.2337</v>
      </c>
      <c r="J95" s="210"/>
      <c r="K95" s="263"/>
      <c r="L95" s="84"/>
      <c r="M95" s="263"/>
      <c r="N95" s="84"/>
      <c r="O95" s="131">
        <f>0.00158*E96*1.23</f>
        <v>0</v>
      </c>
      <c r="P95" s="165"/>
      <c r="Q95" s="165"/>
      <c r="R95" s="165"/>
      <c r="S95" s="131"/>
      <c r="T95" s="344"/>
      <c r="U95" s="190"/>
      <c r="V95" s="174"/>
      <c r="W95" s="175"/>
      <c r="X95" s="191"/>
      <c r="Y95" s="191"/>
      <c r="Z95" s="411"/>
      <c r="AA95" s="412"/>
    </row>
    <row r="96" spans="1:27" ht="12.75" hidden="1">
      <c r="A96" s="524"/>
      <c r="B96" s="114" t="s">
        <v>314</v>
      </c>
      <c r="C96" s="352" t="s">
        <v>313</v>
      </c>
      <c r="D96" s="446">
        <v>437764.2</v>
      </c>
      <c r="E96" s="376">
        <f>(D96-D94)*Y$9</f>
        <v>0</v>
      </c>
      <c r="F96" s="406">
        <v>0</v>
      </c>
      <c r="G96" s="75"/>
      <c r="H96" s="282"/>
      <c r="I96" s="171">
        <f>11.39*1.23</f>
        <v>14.0097</v>
      </c>
      <c r="J96" s="122"/>
      <c r="K96" s="170"/>
      <c r="L96" s="62">
        <f>(E96)*K96</f>
        <v>0</v>
      </c>
      <c r="M96" s="170"/>
      <c r="N96" s="62">
        <f>(E96)*M96</f>
        <v>0</v>
      </c>
      <c r="O96" s="171">
        <f>15*1.23</f>
        <v>18.45</v>
      </c>
      <c r="P96" s="401">
        <v>255006.5</v>
      </c>
      <c r="Q96" s="401">
        <v>255006.5</v>
      </c>
      <c r="R96" s="402">
        <f>(Q96-P96)</f>
        <v>0</v>
      </c>
      <c r="S96" s="177"/>
      <c r="T96" s="290"/>
      <c r="U96" s="192"/>
      <c r="V96" s="129"/>
      <c r="W96" s="170"/>
      <c r="X96" s="71">
        <v>40</v>
      </c>
      <c r="Y96" s="71">
        <v>0</v>
      </c>
      <c r="Z96" s="193"/>
      <c r="AA96" s="219"/>
    </row>
    <row r="97" spans="1:27" ht="12.75" hidden="1">
      <c r="A97" s="525">
        <v>11</v>
      </c>
      <c r="B97" s="310"/>
      <c r="C97" s="409"/>
      <c r="D97" s="373"/>
      <c r="E97" s="83"/>
      <c r="F97" s="83"/>
      <c r="G97" s="272"/>
      <c r="H97" s="84"/>
      <c r="I97" s="167">
        <f>0.19*1.23</f>
        <v>0.2337</v>
      </c>
      <c r="J97" s="210"/>
      <c r="K97" s="263"/>
      <c r="L97" s="84"/>
      <c r="M97" s="263"/>
      <c r="N97" s="84"/>
      <c r="O97" s="131">
        <f>0.00158*E98*1.23</f>
        <v>0</v>
      </c>
      <c r="P97" s="165"/>
      <c r="Q97" s="165"/>
      <c r="R97" s="165"/>
      <c r="S97" s="131"/>
      <c r="T97" s="344"/>
      <c r="U97" s="190"/>
      <c r="V97" s="174"/>
      <c r="W97" s="175"/>
      <c r="X97" s="191"/>
      <c r="Y97" s="191"/>
      <c r="Z97" s="411"/>
      <c r="AA97" s="412"/>
    </row>
    <row r="98" spans="1:27" ht="12.75" hidden="1">
      <c r="A98" s="524"/>
      <c r="B98" s="114" t="s">
        <v>318</v>
      </c>
      <c r="C98" s="352" t="s">
        <v>315</v>
      </c>
      <c r="D98" s="446">
        <v>437764.2</v>
      </c>
      <c r="E98" s="376">
        <f>(D98-D96)*Y$9</f>
        <v>0</v>
      </c>
      <c r="F98" s="406">
        <v>0</v>
      </c>
      <c r="G98" s="75"/>
      <c r="H98" s="282"/>
      <c r="I98" s="171">
        <f>11.39*1.23</f>
        <v>14.0097</v>
      </c>
      <c r="J98" s="122"/>
      <c r="K98" s="170"/>
      <c r="L98" s="62">
        <f>(E98)*K98</f>
        <v>0</v>
      </c>
      <c r="M98" s="170"/>
      <c r="N98" s="62">
        <f>(E98)*M98</f>
        <v>0</v>
      </c>
      <c r="O98" s="171">
        <f>15*1.23</f>
        <v>18.45</v>
      </c>
      <c r="P98" s="401">
        <v>255006.5</v>
      </c>
      <c r="Q98" s="401">
        <v>255006.5</v>
      </c>
      <c r="R98" s="402">
        <f>(Q98-P98)</f>
        <v>0</v>
      </c>
      <c r="S98" s="177"/>
      <c r="T98" s="290"/>
      <c r="U98" s="192"/>
      <c r="V98" s="129"/>
      <c r="W98" s="170"/>
      <c r="X98" s="71">
        <v>40</v>
      </c>
      <c r="Y98" s="71">
        <v>0</v>
      </c>
      <c r="Z98" s="193"/>
      <c r="AA98" s="219"/>
    </row>
    <row r="99" spans="1:27" ht="12.75" hidden="1">
      <c r="A99" s="89"/>
      <c r="B99" s="310"/>
      <c r="C99" s="409"/>
      <c r="D99" s="373"/>
      <c r="E99" s="83"/>
      <c r="F99" s="83"/>
      <c r="G99" s="272"/>
      <c r="H99" s="84"/>
      <c r="I99" s="167">
        <f>0.19*1.23</f>
        <v>0.2337</v>
      </c>
      <c r="J99" s="210"/>
      <c r="K99" s="263"/>
      <c r="L99" s="84"/>
      <c r="M99" s="263"/>
      <c r="N99" s="84"/>
      <c r="O99" s="131">
        <f>0.00158*E100*1.23</f>
        <v>0</v>
      </c>
      <c r="P99" s="165"/>
      <c r="Q99" s="165"/>
      <c r="R99" s="165"/>
      <c r="S99" s="131"/>
      <c r="T99" s="344"/>
      <c r="U99" s="190"/>
      <c r="V99" s="174"/>
      <c r="W99" s="175"/>
      <c r="X99" s="191"/>
      <c r="Y99" s="191"/>
      <c r="Z99" s="411"/>
      <c r="AA99" s="412"/>
    </row>
    <row r="100" spans="1:27" ht="12.75" hidden="1">
      <c r="A100" s="89"/>
      <c r="B100" s="114" t="s">
        <v>323</v>
      </c>
      <c r="C100" s="352" t="s">
        <v>268</v>
      </c>
      <c r="D100" s="446">
        <v>437764.2</v>
      </c>
      <c r="E100" s="376">
        <f>(D100-D98)*Y$9</f>
        <v>0</v>
      </c>
      <c r="F100" s="406">
        <v>0</v>
      </c>
      <c r="G100" s="75"/>
      <c r="H100" s="282"/>
      <c r="I100" s="171">
        <f>11.39*1.23</f>
        <v>14.0097</v>
      </c>
      <c r="J100" s="122"/>
      <c r="K100" s="170"/>
      <c r="L100" s="62">
        <f>(E100)*K100</f>
        <v>0</v>
      </c>
      <c r="M100" s="170"/>
      <c r="N100" s="62">
        <f>(E100)*M100</f>
        <v>0</v>
      </c>
      <c r="O100" s="171">
        <f>15*1.23</f>
        <v>18.45</v>
      </c>
      <c r="P100" s="401">
        <v>255006.5</v>
      </c>
      <c r="Q100" s="401">
        <v>255006.5</v>
      </c>
      <c r="R100" s="402">
        <f>(Q100-P100)</f>
        <v>0</v>
      </c>
      <c r="S100" s="177"/>
      <c r="T100" s="290"/>
      <c r="U100" s="192"/>
      <c r="V100" s="129"/>
      <c r="W100" s="170"/>
      <c r="X100" s="71">
        <v>40</v>
      </c>
      <c r="Y100" s="71">
        <v>0</v>
      </c>
      <c r="Z100" s="193"/>
      <c r="AA100" s="219"/>
    </row>
    <row r="101" spans="1:27" ht="12.75" hidden="1">
      <c r="A101" s="525"/>
      <c r="B101" s="310"/>
      <c r="C101" s="409"/>
      <c r="D101" s="373"/>
      <c r="E101" s="83"/>
      <c r="F101" s="83"/>
      <c r="G101" s="272"/>
      <c r="H101" s="84"/>
      <c r="I101" s="167">
        <f>0.19*1.23</f>
        <v>0.2337</v>
      </c>
      <c r="J101" s="210"/>
      <c r="K101" s="263"/>
      <c r="L101" s="84"/>
      <c r="M101" s="263"/>
      <c r="N101" s="84"/>
      <c r="O101" s="131">
        <f>0.00158*E102*1.23</f>
        <v>0</v>
      </c>
      <c r="P101" s="165"/>
      <c r="Q101" s="165"/>
      <c r="R101" s="165"/>
      <c r="S101" s="131"/>
      <c r="T101" s="344"/>
      <c r="U101" s="190"/>
      <c r="V101" s="174"/>
      <c r="W101" s="175"/>
      <c r="X101" s="191"/>
      <c r="Y101" s="191"/>
      <c r="Z101" s="411"/>
      <c r="AA101" s="412"/>
    </row>
    <row r="102" spans="1:27" ht="13.5" hidden="1" thickBot="1">
      <c r="A102" s="524"/>
      <c r="B102" s="114" t="s">
        <v>324</v>
      </c>
      <c r="C102" s="352" t="s">
        <v>271</v>
      </c>
      <c r="D102" s="446">
        <v>437764.2</v>
      </c>
      <c r="E102" s="376">
        <f>(D102-D100)*Y$9</f>
        <v>0</v>
      </c>
      <c r="F102" s="406">
        <v>0</v>
      </c>
      <c r="G102" s="75"/>
      <c r="H102" s="282"/>
      <c r="I102" s="171">
        <f>11.39*1.23</f>
        <v>14.0097</v>
      </c>
      <c r="J102" s="122"/>
      <c r="K102" s="170"/>
      <c r="L102" s="62">
        <f>(E102)*K102</f>
        <v>0</v>
      </c>
      <c r="M102" s="170"/>
      <c r="N102" s="62">
        <f>(E102)*M102</f>
        <v>0</v>
      </c>
      <c r="O102" s="171">
        <f>15*1.23</f>
        <v>18.45</v>
      </c>
      <c r="P102" s="401">
        <v>255006.5</v>
      </c>
      <c r="Q102" s="401">
        <v>255006.5</v>
      </c>
      <c r="R102" s="402">
        <f>(Q102-P102)</f>
        <v>0</v>
      </c>
      <c r="S102" s="177"/>
      <c r="T102" s="290"/>
      <c r="U102" s="192"/>
      <c r="V102" s="129"/>
      <c r="W102" s="170"/>
      <c r="X102" s="71">
        <v>40</v>
      </c>
      <c r="Y102" s="71">
        <v>0</v>
      </c>
      <c r="Z102" s="193"/>
      <c r="AA102" s="219"/>
    </row>
    <row r="103" spans="1:27" ht="12.75">
      <c r="A103" s="526" t="s">
        <v>272</v>
      </c>
      <c r="B103" s="527"/>
      <c r="C103" s="527"/>
      <c r="D103" s="528"/>
      <c r="E103" s="41"/>
      <c r="F103" s="13"/>
      <c r="G103" s="13"/>
      <c r="H103" s="41"/>
      <c r="I103" s="13"/>
      <c r="J103" s="13"/>
      <c r="K103" s="41"/>
      <c r="L103" s="41"/>
      <c r="M103" s="41"/>
      <c r="N103" s="41"/>
      <c r="O103" s="345"/>
      <c r="P103" s="33"/>
      <c r="Q103" s="33"/>
      <c r="R103" s="289"/>
      <c r="S103" s="258"/>
      <c r="T103" s="299"/>
      <c r="U103" s="298"/>
      <c r="V103" s="266"/>
      <c r="W103" s="350"/>
      <c r="X103" s="42"/>
      <c r="Y103" s="305"/>
      <c r="Z103" s="42"/>
      <c r="AA103" s="43"/>
    </row>
    <row r="104" spans="1:27" ht="13.5" thickBot="1">
      <c r="A104" s="529"/>
      <c r="B104" s="530"/>
      <c r="C104" s="530"/>
      <c r="D104" s="531"/>
      <c r="E104" s="120">
        <f>SUM(E73:E102)</f>
        <v>37797.40000000002</v>
      </c>
      <c r="F104" s="390">
        <f>SUM(F73:F102)</f>
        <v>37798</v>
      </c>
      <c r="G104" s="351"/>
      <c r="H104" s="253"/>
      <c r="I104" s="99"/>
      <c r="J104" s="349"/>
      <c r="K104" s="349"/>
      <c r="L104" s="349">
        <f>SUM(L73:L103)</f>
        <v>0</v>
      </c>
      <c r="M104" s="349"/>
      <c r="N104" s="349">
        <f>SUM(N73:N103)</f>
        <v>0</v>
      </c>
      <c r="O104" s="349">
        <f>SUM(O73:O103)</f>
        <v>315.37186715999997</v>
      </c>
      <c r="P104" s="99"/>
      <c r="Q104" s="99"/>
      <c r="R104" s="259"/>
      <c r="S104" s="260"/>
      <c r="T104" s="261"/>
      <c r="U104" s="262"/>
      <c r="V104" s="253"/>
      <c r="W104" s="351"/>
      <c r="X104" s="74">
        <v>40</v>
      </c>
      <c r="Y104" s="74">
        <f>SUM(Y78:Y103)/4</f>
        <v>24.5</v>
      </c>
      <c r="Z104" s="74"/>
      <c r="AA104" s="46"/>
    </row>
    <row r="105" spans="6:7" ht="12.75">
      <c r="F105" s="391">
        <f>F104-E104</f>
        <v>0.5999999999767169</v>
      </c>
      <c r="G105" s="150"/>
    </row>
    <row r="106" spans="1:27" ht="12.75">
      <c r="A106" s="525">
        <v>1</v>
      </c>
      <c r="B106" s="310"/>
      <c r="C106" s="409"/>
      <c r="D106" s="373"/>
      <c r="E106" s="83"/>
      <c r="F106" s="83"/>
      <c r="G106" s="272"/>
      <c r="H106" s="84"/>
      <c r="I106" s="167">
        <f>0.19*1.23</f>
        <v>0.2337</v>
      </c>
      <c r="J106" s="210"/>
      <c r="K106" s="263"/>
      <c r="L106" s="84"/>
      <c r="M106" s="263"/>
      <c r="N106" s="84"/>
      <c r="O106" s="131">
        <f>0.00158*E107*1.23</f>
        <v>0</v>
      </c>
      <c r="P106" s="165"/>
      <c r="Q106" s="165"/>
      <c r="R106" s="165"/>
      <c r="S106" s="131"/>
      <c r="T106" s="344"/>
      <c r="U106" s="190"/>
      <c r="V106" s="174"/>
      <c r="W106" s="175"/>
      <c r="X106" s="191"/>
      <c r="Y106" s="191"/>
      <c r="Z106" s="411"/>
      <c r="AA106" s="412"/>
    </row>
    <row r="107" spans="1:27" ht="12.75">
      <c r="A107" s="524"/>
      <c r="B107" s="114" t="s">
        <v>335</v>
      </c>
      <c r="C107" s="352" t="s">
        <v>274</v>
      </c>
      <c r="D107" s="446">
        <v>437764.2</v>
      </c>
      <c r="E107" s="376">
        <v>0</v>
      </c>
      <c r="F107" s="406">
        <v>0</v>
      </c>
      <c r="G107" s="75"/>
      <c r="H107" s="282"/>
      <c r="I107" s="171">
        <f>11.39*1.23</f>
        <v>14.0097</v>
      </c>
      <c r="J107" s="122"/>
      <c r="K107" s="170"/>
      <c r="L107" s="62">
        <f>(E107)*K107</f>
        <v>0</v>
      </c>
      <c r="M107" s="170"/>
      <c r="N107" s="62">
        <f>(E107)*M107</f>
        <v>0</v>
      </c>
      <c r="O107" s="171">
        <f>15*1.23</f>
        <v>18.45</v>
      </c>
      <c r="P107" s="401">
        <v>255006.5</v>
      </c>
      <c r="Q107" s="401">
        <v>255006.5</v>
      </c>
      <c r="R107" s="402">
        <f>(Q107-P107)</f>
        <v>0</v>
      </c>
      <c r="S107" s="177"/>
      <c r="T107" s="290"/>
      <c r="U107" s="192"/>
      <c r="V107" s="129"/>
      <c r="W107" s="170"/>
      <c r="X107" s="71">
        <v>40</v>
      </c>
      <c r="Y107" s="71">
        <v>0</v>
      </c>
      <c r="Z107" s="193"/>
      <c r="AA107" s="219"/>
    </row>
    <row r="108" spans="1:27" ht="12.75">
      <c r="A108" s="525">
        <v>2</v>
      </c>
      <c r="B108" s="310"/>
      <c r="C108" s="409"/>
      <c r="D108" s="373"/>
      <c r="E108" s="83"/>
      <c r="F108" s="83"/>
      <c r="G108" s="272"/>
      <c r="H108" s="84"/>
      <c r="I108" s="167">
        <f>0.19*1.23</f>
        <v>0.2337</v>
      </c>
      <c r="J108" s="210"/>
      <c r="K108" s="263"/>
      <c r="L108" s="84"/>
      <c r="M108" s="263"/>
      <c r="N108" s="84"/>
      <c r="O108" s="131">
        <f>0.00139*E109*1.23</f>
        <v>0</v>
      </c>
      <c r="P108" s="165"/>
      <c r="Q108" s="165"/>
      <c r="R108" s="165"/>
      <c r="S108" s="131"/>
      <c r="T108" s="344"/>
      <c r="U108" s="190"/>
      <c r="V108" s="174"/>
      <c r="W108" s="175"/>
      <c r="X108" s="191"/>
      <c r="Y108" s="191"/>
      <c r="Z108" s="411"/>
      <c r="AA108" s="412"/>
    </row>
    <row r="109" spans="1:27" ht="12.75">
      <c r="A109" s="524"/>
      <c r="B109" s="114" t="s">
        <v>336</v>
      </c>
      <c r="C109" s="352" t="s">
        <v>332</v>
      </c>
      <c r="D109" s="446">
        <v>437764.2</v>
      </c>
      <c r="E109" s="376">
        <v>0</v>
      </c>
      <c r="F109" s="406">
        <v>0</v>
      </c>
      <c r="G109" s="75"/>
      <c r="H109" s="282"/>
      <c r="I109" s="171">
        <f>11.29*1.23</f>
        <v>13.8867</v>
      </c>
      <c r="J109" s="122"/>
      <c r="K109" s="170"/>
      <c r="L109" s="62">
        <f>(E109)*K109</f>
        <v>0</v>
      </c>
      <c r="M109" s="170"/>
      <c r="N109" s="62">
        <f>(E109)*M109</f>
        <v>0</v>
      </c>
      <c r="O109" s="171">
        <f>15*1.23</f>
        <v>18.45</v>
      </c>
      <c r="P109" s="401">
        <v>255006.5</v>
      </c>
      <c r="Q109" s="401">
        <v>255006.5</v>
      </c>
      <c r="R109" s="402">
        <f>(Q109-P109)</f>
        <v>0</v>
      </c>
      <c r="S109" s="177"/>
      <c r="T109" s="290"/>
      <c r="U109" s="192"/>
      <c r="V109" s="129"/>
      <c r="W109" s="170"/>
      <c r="X109" s="71">
        <v>40</v>
      </c>
      <c r="Y109" s="71">
        <v>0</v>
      </c>
      <c r="Z109" s="193"/>
      <c r="AA109" s="219"/>
    </row>
    <row r="110" spans="1:27" ht="12.75">
      <c r="A110" s="525">
        <v>3</v>
      </c>
      <c r="B110" s="310"/>
      <c r="C110" s="409"/>
      <c r="D110" s="373"/>
      <c r="E110" s="83"/>
      <c r="F110" s="83"/>
      <c r="G110" s="272"/>
      <c r="H110" s="84"/>
      <c r="I110" s="167">
        <f>0.19*1.23</f>
        <v>0.2337</v>
      </c>
      <c r="J110" s="210"/>
      <c r="K110" s="263"/>
      <c r="L110" s="84"/>
      <c r="M110" s="263"/>
      <c r="N110" s="84"/>
      <c r="O110" s="131">
        <f>0.00139*E111*1.23</f>
        <v>0</v>
      </c>
      <c r="P110" s="165"/>
      <c r="Q110" s="165"/>
      <c r="R110" s="165"/>
      <c r="S110" s="131"/>
      <c r="T110" s="344"/>
      <c r="U110" s="190"/>
      <c r="V110" s="174"/>
      <c r="W110" s="175"/>
      <c r="X110" s="191"/>
      <c r="Y110" s="191"/>
      <c r="Z110" s="411"/>
      <c r="AA110" s="412"/>
    </row>
    <row r="111" spans="1:27" ht="12.75">
      <c r="A111" s="524"/>
      <c r="B111" s="114" t="s">
        <v>340</v>
      </c>
      <c r="C111" s="352" t="s">
        <v>341</v>
      </c>
      <c r="D111" s="446">
        <v>437764.2</v>
      </c>
      <c r="E111" s="376">
        <v>0</v>
      </c>
      <c r="F111" s="406">
        <v>0</v>
      </c>
      <c r="G111" s="75"/>
      <c r="H111" s="282"/>
      <c r="I111" s="171">
        <f>11.29*1.23</f>
        <v>13.8867</v>
      </c>
      <c r="J111" s="122"/>
      <c r="K111" s="170"/>
      <c r="L111" s="62">
        <f>(E111)*K111</f>
        <v>0</v>
      </c>
      <c r="M111" s="170"/>
      <c r="N111" s="62">
        <f>(E111)*M111</f>
        <v>0</v>
      </c>
      <c r="O111" s="171">
        <f>15*1.23</f>
        <v>18.45</v>
      </c>
      <c r="P111" s="401">
        <v>255006.5</v>
      </c>
      <c r="Q111" s="401">
        <v>255006.5</v>
      </c>
      <c r="R111" s="402">
        <f>(Q111-P111)</f>
        <v>0</v>
      </c>
      <c r="S111" s="177"/>
      <c r="T111" s="290"/>
      <c r="U111" s="192"/>
      <c r="V111" s="129"/>
      <c r="W111" s="170"/>
      <c r="X111" s="71">
        <v>40</v>
      </c>
      <c r="Y111" s="71">
        <v>0</v>
      </c>
      <c r="Z111" s="193"/>
      <c r="AA111" s="219"/>
    </row>
    <row r="112" spans="1:27" ht="12.75">
      <c r="A112" s="525">
        <v>4</v>
      </c>
      <c r="B112" s="310"/>
      <c r="C112" s="409"/>
      <c r="D112" s="373"/>
      <c r="E112" s="83"/>
      <c r="F112" s="83"/>
      <c r="G112" s="272"/>
      <c r="H112" s="84"/>
      <c r="I112" s="167">
        <f>0.19*1.23</f>
        <v>0.2337</v>
      </c>
      <c r="J112" s="210"/>
      <c r="K112" s="263"/>
      <c r="L112" s="84"/>
      <c r="M112" s="263"/>
      <c r="N112" s="84"/>
      <c r="O112" s="131">
        <f>0.00139*E113*1.23</f>
        <v>22.55983344000002</v>
      </c>
      <c r="P112" s="165"/>
      <c r="Q112" s="165"/>
      <c r="R112" s="165"/>
      <c r="S112" s="131"/>
      <c r="T112" s="344"/>
      <c r="U112" s="190"/>
      <c r="V112" s="174"/>
      <c r="W112" s="175"/>
      <c r="X112" s="191"/>
      <c r="Y112" s="191"/>
      <c r="Z112" s="411"/>
      <c r="AA112" s="412"/>
    </row>
    <row r="113" spans="1:27" ht="12.75">
      <c r="A113" s="524"/>
      <c r="B113" s="114" t="s">
        <v>348</v>
      </c>
      <c r="C113" s="352" t="s">
        <v>346</v>
      </c>
      <c r="D113" s="446">
        <v>450959.4</v>
      </c>
      <c r="E113" s="376">
        <f>D113-D111</f>
        <v>13195.200000000012</v>
      </c>
      <c r="F113" s="406">
        <v>13195</v>
      </c>
      <c r="G113" s="75"/>
      <c r="H113" s="282"/>
      <c r="I113" s="171">
        <f>11.29*1.23</f>
        <v>13.8867</v>
      </c>
      <c r="J113" s="122"/>
      <c r="K113" s="170"/>
      <c r="L113" s="62">
        <f>(E113)*K113</f>
        <v>0</v>
      </c>
      <c r="M113" s="170"/>
      <c r="N113" s="62">
        <f>(E113)*M113</f>
        <v>0</v>
      </c>
      <c r="O113" s="171">
        <f>15*1.23</f>
        <v>18.45</v>
      </c>
      <c r="P113" s="401">
        <v>255006.5</v>
      </c>
      <c r="Q113" s="401">
        <v>261665.1</v>
      </c>
      <c r="R113" s="402">
        <f>(Q113-P113)</f>
        <v>6658.600000000006</v>
      </c>
      <c r="S113" s="177"/>
      <c r="T113" s="290"/>
      <c r="U113" s="192"/>
      <c r="V113" s="129"/>
      <c r="W113" s="170"/>
      <c r="X113" s="71">
        <v>40</v>
      </c>
      <c r="Y113" s="71">
        <v>101</v>
      </c>
      <c r="Z113" s="193"/>
      <c r="AA113" s="219"/>
    </row>
    <row r="114" spans="1:27" ht="12.75">
      <c r="A114" s="199"/>
      <c r="B114" s="310"/>
      <c r="C114" s="409"/>
      <c r="D114" s="373"/>
      <c r="E114" s="83"/>
      <c r="F114" s="83"/>
      <c r="G114" s="272"/>
      <c r="H114" s="84"/>
      <c r="I114" s="167">
        <f>0.19*1.23</f>
        <v>0.2337</v>
      </c>
      <c r="J114" s="210"/>
      <c r="K114" s="263"/>
      <c r="L114" s="84"/>
      <c r="M114" s="263"/>
      <c r="N114" s="84"/>
      <c r="O114" s="131">
        <f>0.00139*E115*1.23</f>
        <v>46.148222399999995</v>
      </c>
      <c r="P114" s="165"/>
      <c r="Q114" s="165"/>
      <c r="R114" s="165"/>
      <c r="S114" s="131"/>
      <c r="T114" s="344"/>
      <c r="U114" s="190"/>
      <c r="V114" s="174"/>
      <c r="W114" s="175"/>
      <c r="X114" s="191"/>
      <c r="Y114" s="191"/>
      <c r="Z114" s="411"/>
      <c r="AA114" s="412"/>
    </row>
    <row r="115" spans="1:27" ht="12.75">
      <c r="A115" s="199"/>
      <c r="B115" s="479" t="s">
        <v>351</v>
      </c>
      <c r="C115" s="352" t="s">
        <v>349</v>
      </c>
      <c r="D115" s="446">
        <v>477951.4</v>
      </c>
      <c r="E115" s="376">
        <f>D115-D113</f>
        <v>26992</v>
      </c>
      <c r="F115" s="406">
        <v>26992</v>
      </c>
      <c r="G115" s="75"/>
      <c r="H115" s="282"/>
      <c r="I115" s="171">
        <f>11.29*1.23</f>
        <v>13.8867</v>
      </c>
      <c r="J115" s="122"/>
      <c r="K115" s="170"/>
      <c r="L115" s="62">
        <f>(E115)*K115</f>
        <v>0</v>
      </c>
      <c r="M115" s="170"/>
      <c r="N115" s="62">
        <f>(E115)*M115</f>
        <v>0</v>
      </c>
      <c r="O115" s="171">
        <f>15*1.23</f>
        <v>18.45</v>
      </c>
      <c r="P115" s="401">
        <v>261665.1</v>
      </c>
      <c r="Q115" s="401">
        <v>272385</v>
      </c>
      <c r="R115" s="402">
        <f>(Q115-P115)</f>
        <v>10719.899999999994</v>
      </c>
      <c r="S115" s="177"/>
      <c r="T115" s="290"/>
      <c r="U115" s="192"/>
      <c r="V115" s="129"/>
      <c r="W115" s="170"/>
      <c r="X115" s="71">
        <v>40</v>
      </c>
      <c r="Y115" s="71">
        <v>68</v>
      </c>
      <c r="Z115" s="193"/>
      <c r="AA115" s="219"/>
    </row>
    <row r="116" spans="1:27" ht="12.75">
      <c r="A116" s="523">
        <v>5</v>
      </c>
      <c r="B116" s="310"/>
      <c r="C116" s="409"/>
      <c r="D116" s="373"/>
      <c r="E116" s="83"/>
      <c r="F116" s="83"/>
      <c r="G116" s="272"/>
      <c r="H116" s="84"/>
      <c r="I116" s="167">
        <f>0.19*1.23</f>
        <v>0.2337</v>
      </c>
      <c r="J116" s="210"/>
      <c r="K116" s="263"/>
      <c r="L116" s="84"/>
      <c r="M116" s="263"/>
      <c r="N116" s="84"/>
      <c r="O116" s="131">
        <f>0.00139*E117*1.23</f>
        <v>45.421428929999934</v>
      </c>
      <c r="P116" s="165"/>
      <c r="Q116" s="165"/>
      <c r="R116" s="165"/>
      <c r="S116" s="131"/>
      <c r="T116" s="344"/>
      <c r="U116" s="190"/>
      <c r="V116" s="174"/>
      <c r="W116" s="175"/>
      <c r="X116" s="191"/>
      <c r="Y116" s="191"/>
      <c r="Z116" s="411"/>
      <c r="AA116" s="412"/>
    </row>
    <row r="117" spans="1:27" ht="12.75">
      <c r="A117" s="532"/>
      <c r="B117" s="479" t="s">
        <v>360</v>
      </c>
      <c r="C117" s="352" t="s">
        <v>359</v>
      </c>
      <c r="D117" s="446">
        <v>504518.3</v>
      </c>
      <c r="E117" s="376">
        <f>D117-D115</f>
        <v>26566.899999999965</v>
      </c>
      <c r="F117" s="406">
        <v>26567</v>
      </c>
      <c r="G117" s="75"/>
      <c r="H117" s="282"/>
      <c r="I117" s="171">
        <f>11.29*1.23</f>
        <v>13.8867</v>
      </c>
      <c r="J117" s="122"/>
      <c r="K117" s="170"/>
      <c r="L117" s="62">
        <f>(E117)*K117</f>
        <v>0</v>
      </c>
      <c r="M117" s="170"/>
      <c r="N117" s="62">
        <f>(E117)*M117</f>
        <v>0</v>
      </c>
      <c r="O117" s="171">
        <f>15*1.23</f>
        <v>18.45</v>
      </c>
      <c r="P117" s="401">
        <v>272385</v>
      </c>
      <c r="Q117" s="401">
        <v>283402.3</v>
      </c>
      <c r="R117" s="402">
        <f>(Q117-P117)</f>
        <v>11017.299999999988</v>
      </c>
      <c r="S117" s="177"/>
      <c r="T117" s="290"/>
      <c r="U117" s="192"/>
      <c r="V117" s="129"/>
      <c r="W117" s="170"/>
      <c r="X117" s="71">
        <v>40</v>
      </c>
      <c r="Y117" s="71">
        <v>100</v>
      </c>
      <c r="Z117" s="193"/>
      <c r="AA117" s="219"/>
    </row>
    <row r="118" spans="1:27" ht="12.75">
      <c r="A118" s="523">
        <v>6</v>
      </c>
      <c r="B118" s="310"/>
      <c r="C118" s="409"/>
      <c r="D118" s="373"/>
      <c r="E118" s="83"/>
      <c r="F118" s="83"/>
      <c r="G118" s="272"/>
      <c r="H118" s="84"/>
      <c r="I118" s="167">
        <f>0.19*1.23</f>
        <v>0.2337</v>
      </c>
      <c r="J118" s="210"/>
      <c r="K118" s="263"/>
      <c r="L118" s="84"/>
      <c r="M118" s="263"/>
      <c r="N118" s="84"/>
      <c r="O118" s="131">
        <f>0.00139*E119*1.23</f>
        <v>45.82919237999994</v>
      </c>
      <c r="P118" s="165"/>
      <c r="Q118" s="165"/>
      <c r="R118" s="165"/>
      <c r="S118" s="131"/>
      <c r="T118" s="344"/>
      <c r="U118" s="190"/>
      <c r="V118" s="174"/>
      <c r="W118" s="175"/>
      <c r="X118" s="191"/>
      <c r="Y118" s="191"/>
      <c r="Z118" s="411"/>
      <c r="AA118" s="412"/>
    </row>
    <row r="119" spans="1:27" ht="12.75">
      <c r="A119" s="532"/>
      <c r="B119" s="479" t="s">
        <v>363</v>
      </c>
      <c r="C119" s="352" t="s">
        <v>362</v>
      </c>
      <c r="D119" s="446">
        <v>531323.7</v>
      </c>
      <c r="E119" s="376">
        <f>D119-D117</f>
        <v>26805.399999999965</v>
      </c>
      <c r="F119" s="406">
        <v>26805</v>
      </c>
      <c r="G119" s="75"/>
      <c r="H119" s="282"/>
      <c r="I119" s="171">
        <f>11.29*1.23</f>
        <v>13.8867</v>
      </c>
      <c r="J119" s="122"/>
      <c r="K119" s="170"/>
      <c r="L119" s="62">
        <f>(E119)*K119</f>
        <v>0</v>
      </c>
      <c r="M119" s="170"/>
      <c r="N119" s="62">
        <f>(E119)*M119</f>
        <v>0</v>
      </c>
      <c r="O119" s="171">
        <f>15*1.23</f>
        <v>18.45</v>
      </c>
      <c r="P119" s="401">
        <v>283402.3</v>
      </c>
      <c r="Q119" s="401">
        <v>294982</v>
      </c>
      <c r="R119" s="402">
        <f>(Q119-P119)</f>
        <v>11579.700000000012</v>
      </c>
      <c r="S119" s="177"/>
      <c r="T119" s="290"/>
      <c r="U119" s="192"/>
      <c r="V119" s="129"/>
      <c r="W119" s="170"/>
      <c r="X119" s="71">
        <v>40</v>
      </c>
      <c r="Y119" s="71">
        <v>48</v>
      </c>
      <c r="Z119" s="193"/>
      <c r="AA119" s="219"/>
    </row>
    <row r="120" spans="1:27" ht="12.75">
      <c r="A120" s="523">
        <v>7</v>
      </c>
      <c r="B120" s="310"/>
      <c r="C120" s="409"/>
      <c r="D120" s="373"/>
      <c r="E120" s="83"/>
      <c r="F120" s="83"/>
      <c r="G120" s="272"/>
      <c r="H120" s="84"/>
      <c r="I120" s="167">
        <f>0.19*1.23</f>
        <v>0.2337</v>
      </c>
      <c r="J120" s="210"/>
      <c r="K120" s="263"/>
      <c r="L120" s="84"/>
      <c r="M120" s="263"/>
      <c r="N120" s="84"/>
      <c r="O120" s="131">
        <f>0.00139*E121*1.23</f>
        <v>44.46314208000003</v>
      </c>
      <c r="P120" s="165"/>
      <c r="Q120" s="165"/>
      <c r="R120" s="165"/>
      <c r="S120" s="131"/>
      <c r="T120" s="344"/>
      <c r="U120" s="190"/>
      <c r="V120" s="174"/>
      <c r="W120" s="175"/>
      <c r="X120" s="191"/>
      <c r="Y120" s="191"/>
      <c r="Z120" s="411"/>
      <c r="AA120" s="412"/>
    </row>
    <row r="121" spans="1:27" ht="12.75">
      <c r="A121" s="524"/>
      <c r="B121" s="479" t="s">
        <v>366</v>
      </c>
      <c r="C121" s="352" t="s">
        <v>364</v>
      </c>
      <c r="D121" s="446">
        <v>557330.1</v>
      </c>
      <c r="E121" s="376">
        <f>D121-D119</f>
        <v>26006.400000000023</v>
      </c>
      <c r="F121" s="406">
        <v>26006</v>
      </c>
      <c r="G121" s="75"/>
      <c r="H121" s="282"/>
      <c r="I121" s="171">
        <f>11.29*1.23</f>
        <v>13.8867</v>
      </c>
      <c r="J121" s="122"/>
      <c r="K121" s="170"/>
      <c r="L121" s="62">
        <f>(E121)*K121</f>
        <v>0</v>
      </c>
      <c r="M121" s="170"/>
      <c r="N121" s="62">
        <f>(E121)*M121</f>
        <v>0</v>
      </c>
      <c r="O121" s="171">
        <f>15*1.23</f>
        <v>18.45</v>
      </c>
      <c r="P121" s="401">
        <v>294982</v>
      </c>
      <c r="Q121" s="401">
        <v>308269</v>
      </c>
      <c r="R121" s="402">
        <f>(Q121-P121)</f>
        <v>13287</v>
      </c>
      <c r="S121" s="177"/>
      <c r="T121" s="290"/>
      <c r="U121" s="192"/>
      <c r="V121" s="129"/>
      <c r="W121" s="170"/>
      <c r="X121" s="71">
        <v>40</v>
      </c>
      <c r="Y121" s="71">
        <v>47</v>
      </c>
      <c r="Z121" s="193"/>
      <c r="AA121" s="219"/>
    </row>
    <row r="122" spans="1:27" ht="12.75">
      <c r="A122" s="89"/>
      <c r="B122" s="310"/>
      <c r="C122" s="409"/>
      <c r="D122" s="373"/>
      <c r="E122" s="83"/>
      <c r="F122" s="83"/>
      <c r="G122" s="272"/>
      <c r="H122" s="84"/>
      <c r="I122" s="167">
        <f>0.19*1.23</f>
        <v>0.2337</v>
      </c>
      <c r="J122" s="210"/>
      <c r="K122" s="263"/>
      <c r="L122" s="84"/>
      <c r="M122" s="263"/>
      <c r="N122" s="84"/>
      <c r="O122" s="131">
        <f>0.00139*E123*1.23</f>
        <v>0</v>
      </c>
      <c r="P122" s="165"/>
      <c r="Q122" s="165"/>
      <c r="R122" s="165"/>
      <c r="S122" s="131"/>
      <c r="T122" s="344"/>
      <c r="U122" s="190"/>
      <c r="V122" s="174"/>
      <c r="W122" s="175"/>
      <c r="X122" s="191"/>
      <c r="Y122" s="191"/>
      <c r="Z122" s="411"/>
      <c r="AA122" s="412"/>
    </row>
    <row r="123" spans="1:27" ht="12.75">
      <c r="A123" s="89"/>
      <c r="B123" s="479" t="s">
        <v>370</v>
      </c>
      <c r="C123" s="352" t="s">
        <v>371</v>
      </c>
      <c r="D123" s="446">
        <v>557330.1</v>
      </c>
      <c r="E123" s="376">
        <f>D123-D121</f>
        <v>0</v>
      </c>
      <c r="F123" s="406">
        <v>0</v>
      </c>
      <c r="G123" s="75"/>
      <c r="H123" s="282"/>
      <c r="I123" s="171">
        <f>11.29*1.23</f>
        <v>13.8867</v>
      </c>
      <c r="J123" s="122"/>
      <c r="K123" s="170"/>
      <c r="L123" s="62">
        <f>(E123)*K123</f>
        <v>0</v>
      </c>
      <c r="M123" s="170"/>
      <c r="N123" s="62">
        <f>(E123)*M123</f>
        <v>0</v>
      </c>
      <c r="O123" s="171">
        <f>15*1.23</f>
        <v>18.45</v>
      </c>
      <c r="P123" s="401">
        <v>308269</v>
      </c>
      <c r="Q123" s="401">
        <v>308269</v>
      </c>
      <c r="R123" s="402">
        <f>(Q123-P123)</f>
        <v>0</v>
      </c>
      <c r="S123" s="177"/>
      <c r="T123" s="290"/>
      <c r="U123" s="192"/>
      <c r="V123" s="129"/>
      <c r="W123" s="170"/>
      <c r="X123" s="71">
        <v>40</v>
      </c>
      <c r="Y123" s="71">
        <v>0</v>
      </c>
      <c r="Z123" s="193"/>
      <c r="AA123" s="219"/>
    </row>
    <row r="124" spans="1:27" ht="12.75">
      <c r="A124" s="525">
        <v>8</v>
      </c>
      <c r="B124" s="310"/>
      <c r="C124" s="409"/>
      <c r="D124" s="373"/>
      <c r="E124" s="83"/>
      <c r="F124" s="83"/>
      <c r="G124" s="272"/>
      <c r="H124" s="84"/>
      <c r="I124" s="167">
        <f>0.19*1.23</f>
        <v>0.2337</v>
      </c>
      <c r="J124" s="210"/>
      <c r="K124" s="263"/>
      <c r="L124" s="84"/>
      <c r="M124" s="263"/>
      <c r="N124" s="84"/>
      <c r="O124" s="131">
        <f>0.00139*E125*1.23</f>
        <v>0</v>
      </c>
      <c r="P124" s="165"/>
      <c r="Q124" s="165"/>
      <c r="R124" s="165"/>
      <c r="S124" s="131"/>
      <c r="T124" s="344"/>
      <c r="U124" s="190"/>
      <c r="V124" s="174"/>
      <c r="W124" s="175"/>
      <c r="X124" s="191"/>
      <c r="Y124" s="191"/>
      <c r="Z124" s="411"/>
      <c r="AA124" s="412"/>
    </row>
    <row r="125" spans="1:27" ht="12.75">
      <c r="A125" s="524"/>
      <c r="B125" s="479" t="s">
        <v>377</v>
      </c>
      <c r="C125" s="352" t="s">
        <v>375</v>
      </c>
      <c r="D125" s="446">
        <v>557330.1</v>
      </c>
      <c r="E125" s="376">
        <f>D125-D123</f>
        <v>0</v>
      </c>
      <c r="F125" s="406"/>
      <c r="G125" s="75"/>
      <c r="H125" s="282"/>
      <c r="I125" s="171">
        <f>11.29*1.23</f>
        <v>13.8867</v>
      </c>
      <c r="J125" s="122"/>
      <c r="K125" s="170"/>
      <c r="L125" s="62">
        <f>(E125)*K125</f>
        <v>0</v>
      </c>
      <c r="M125" s="170"/>
      <c r="N125" s="62">
        <f>(E125)*M125</f>
        <v>0</v>
      </c>
      <c r="O125" s="171">
        <f>15*1.23</f>
        <v>18.45</v>
      </c>
      <c r="P125" s="401">
        <v>308269</v>
      </c>
      <c r="Q125" s="401">
        <v>308269</v>
      </c>
      <c r="R125" s="402">
        <f>(Q125-P125)</f>
        <v>0</v>
      </c>
      <c r="S125" s="177"/>
      <c r="T125" s="290"/>
      <c r="U125" s="192"/>
      <c r="V125" s="129"/>
      <c r="W125" s="170"/>
      <c r="X125" s="71">
        <v>40</v>
      </c>
      <c r="Y125" s="71">
        <v>0</v>
      </c>
      <c r="Z125" s="193"/>
      <c r="AA125" s="219"/>
    </row>
    <row r="126" spans="1:27" ht="12.75">
      <c r="A126" s="525">
        <v>9</v>
      </c>
      <c r="B126" s="310"/>
      <c r="C126" s="409"/>
      <c r="D126" s="373"/>
      <c r="E126" s="83"/>
      <c r="F126" s="83"/>
      <c r="G126" s="272"/>
      <c r="H126" s="84"/>
      <c r="I126" s="167">
        <f>0.19*1.23</f>
        <v>0.2337</v>
      </c>
      <c r="J126" s="210"/>
      <c r="K126" s="263"/>
      <c r="L126" s="84"/>
      <c r="M126" s="263"/>
      <c r="N126" s="84"/>
      <c r="O126" s="131">
        <f>0.00139*E127*1.23</f>
        <v>0</v>
      </c>
      <c r="P126" s="165"/>
      <c r="Q126" s="165"/>
      <c r="R126" s="165"/>
      <c r="S126" s="131"/>
      <c r="T126" s="344"/>
      <c r="U126" s="190"/>
      <c r="V126" s="174"/>
      <c r="W126" s="175"/>
      <c r="X126" s="191"/>
      <c r="Y126" s="191"/>
      <c r="Z126" s="411"/>
      <c r="AA126" s="412"/>
    </row>
    <row r="127" spans="1:27" ht="12.75">
      <c r="A127" s="524"/>
      <c r="B127" s="479" t="s">
        <v>378</v>
      </c>
      <c r="C127" s="352" t="s">
        <v>379</v>
      </c>
      <c r="D127" s="446">
        <v>557330.1</v>
      </c>
      <c r="E127" s="376">
        <f>D127-D125</f>
        <v>0</v>
      </c>
      <c r="F127" s="406"/>
      <c r="G127" s="75"/>
      <c r="H127" s="282"/>
      <c r="I127" s="171">
        <f>11.29*1.23</f>
        <v>13.8867</v>
      </c>
      <c r="J127" s="122"/>
      <c r="K127" s="170"/>
      <c r="L127" s="62">
        <f>(E127)*K127</f>
        <v>0</v>
      </c>
      <c r="M127" s="170"/>
      <c r="N127" s="62">
        <f>(E127)*M127</f>
        <v>0</v>
      </c>
      <c r="O127" s="171">
        <f>15*1.23</f>
        <v>18.45</v>
      </c>
      <c r="P127" s="401">
        <v>308269</v>
      </c>
      <c r="Q127" s="401">
        <v>308269</v>
      </c>
      <c r="R127" s="402">
        <f>(Q127-P127)</f>
        <v>0</v>
      </c>
      <c r="S127" s="177"/>
      <c r="T127" s="290"/>
      <c r="U127" s="192"/>
      <c r="V127" s="129"/>
      <c r="W127" s="170"/>
      <c r="X127" s="71">
        <v>40</v>
      </c>
      <c r="Y127" s="71">
        <v>0</v>
      </c>
      <c r="Z127" s="193"/>
      <c r="AA127" s="219"/>
    </row>
    <row r="128" spans="1:27" ht="12.75">
      <c r="A128" s="525">
        <v>10</v>
      </c>
      <c r="B128" s="310"/>
      <c r="C128" s="409"/>
      <c r="D128" s="373"/>
      <c r="E128" s="83"/>
      <c r="F128" s="83"/>
      <c r="G128" s="272"/>
      <c r="H128" s="84"/>
      <c r="I128" s="167">
        <f>0.19*1.23</f>
        <v>0.2337</v>
      </c>
      <c r="J128" s="210"/>
      <c r="K128" s="263"/>
      <c r="L128" s="84"/>
      <c r="M128" s="263"/>
      <c r="N128" s="84"/>
      <c r="O128" s="131">
        <f>0.00139*E129*1.23</f>
        <v>0</v>
      </c>
      <c r="P128" s="165"/>
      <c r="Q128" s="165"/>
      <c r="R128" s="165"/>
      <c r="S128" s="131"/>
      <c r="T128" s="344"/>
      <c r="U128" s="190"/>
      <c r="V128" s="174"/>
      <c r="W128" s="175"/>
      <c r="X128" s="191"/>
      <c r="Y128" s="191"/>
      <c r="Z128" s="411"/>
      <c r="AA128" s="412"/>
    </row>
    <row r="129" spans="1:27" ht="13.5" thickBot="1">
      <c r="A129" s="524"/>
      <c r="B129" s="479" t="s">
        <v>383</v>
      </c>
      <c r="C129" s="352" t="s">
        <v>381</v>
      </c>
      <c r="D129" s="446">
        <v>557330.1</v>
      </c>
      <c r="E129" s="376">
        <f>D129-D127</f>
        <v>0</v>
      </c>
      <c r="F129" s="406"/>
      <c r="G129" s="75"/>
      <c r="H129" s="282"/>
      <c r="I129" s="171">
        <f>11.29*1.23</f>
        <v>13.8867</v>
      </c>
      <c r="J129" s="122"/>
      <c r="K129" s="170"/>
      <c r="L129" s="62">
        <f>(E129)*K129</f>
        <v>0</v>
      </c>
      <c r="M129" s="170"/>
      <c r="N129" s="62">
        <f>(E129)*M129</f>
        <v>0</v>
      </c>
      <c r="O129" s="171">
        <f>15*1.23</f>
        <v>18.45</v>
      </c>
      <c r="P129" s="401">
        <v>308269</v>
      </c>
      <c r="Q129" s="401">
        <v>308269</v>
      </c>
      <c r="R129" s="402">
        <f>(Q129-P129)</f>
        <v>0</v>
      </c>
      <c r="S129" s="177"/>
      <c r="T129" s="516"/>
      <c r="U129" s="513"/>
      <c r="V129" s="129"/>
      <c r="W129" s="170"/>
      <c r="X129" s="71">
        <v>40</v>
      </c>
      <c r="Y129" s="71">
        <v>0</v>
      </c>
      <c r="Z129" s="193"/>
      <c r="AA129" s="219"/>
    </row>
    <row r="130" spans="1:27" ht="13.5" thickBot="1">
      <c r="A130" s="526" t="s">
        <v>334</v>
      </c>
      <c r="B130" s="527"/>
      <c r="C130" s="527"/>
      <c r="D130" s="528"/>
      <c r="E130" s="41"/>
      <c r="F130" s="13"/>
      <c r="G130" s="13"/>
      <c r="H130" s="41"/>
      <c r="I130" s="13"/>
      <c r="J130" s="13"/>
      <c r="K130" s="41"/>
      <c r="L130" s="41"/>
      <c r="M130" s="41"/>
      <c r="N130" s="41"/>
      <c r="O130" s="345"/>
      <c r="P130" s="33"/>
      <c r="Q130" s="33"/>
      <c r="R130" s="289"/>
      <c r="S130" s="258"/>
      <c r="T130" s="299"/>
      <c r="U130" s="298"/>
      <c r="V130" s="266"/>
      <c r="W130" s="350"/>
      <c r="X130" s="42"/>
      <c r="Y130" s="305"/>
      <c r="Z130" s="42"/>
      <c r="AA130" s="43"/>
    </row>
    <row r="131" spans="1:27" ht="13.5" thickBot="1">
      <c r="A131" s="529"/>
      <c r="B131" s="530"/>
      <c r="C131" s="530"/>
      <c r="D131" s="531"/>
      <c r="E131" s="120">
        <f>SUM(E106:E129)</f>
        <v>119565.89999999997</v>
      </c>
      <c r="F131" s="390">
        <f>SUM(F106:F129)+F134+F136</f>
        <v>119565</v>
      </c>
      <c r="G131" s="351"/>
      <c r="H131" s="253"/>
      <c r="I131" s="99"/>
      <c r="J131" s="349"/>
      <c r="K131" s="349"/>
      <c r="L131" s="349">
        <f>SUM(L106:L130)</f>
        <v>0</v>
      </c>
      <c r="M131" s="349"/>
      <c r="N131" s="349">
        <f>SUM(N106:N130)</f>
        <v>0</v>
      </c>
      <c r="O131" s="349">
        <f>SUM(O106:O130)</f>
        <v>425.8218192299998</v>
      </c>
      <c r="P131" s="517" t="s">
        <v>386</v>
      </c>
      <c r="Q131" s="518">
        <f>SUM(J131:O131)</f>
        <v>425.8218192299998</v>
      </c>
      <c r="R131" s="259"/>
      <c r="S131" s="260"/>
      <c r="T131" s="261"/>
      <c r="U131" s="262"/>
      <c r="V131" s="253"/>
      <c r="W131" s="351"/>
      <c r="X131" s="74">
        <v>40</v>
      </c>
      <c r="Y131" s="74">
        <f>SUM(Y107:Y130)/12</f>
        <v>30.333333333333332</v>
      </c>
      <c r="Z131" s="74"/>
      <c r="AA131" s="46"/>
    </row>
    <row r="132" spans="6:7" ht="12.75">
      <c r="F132" s="391">
        <f>F131-E131</f>
        <v>-0.8999999999650754</v>
      </c>
      <c r="G132" s="150"/>
    </row>
    <row r="133" spans="6:8" ht="12.75">
      <c r="F133" s="83"/>
      <c r="G133" s="272"/>
      <c r="H133" s="84"/>
    </row>
    <row r="134" spans="2:27" ht="12.75">
      <c r="B134" s="335"/>
      <c r="C134" s="352" t="s">
        <v>379</v>
      </c>
      <c r="D134" s="335"/>
      <c r="E134" s="335"/>
      <c r="F134" s="406">
        <v>0</v>
      </c>
      <c r="G134" s="75"/>
      <c r="H134" s="282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</row>
    <row r="135" spans="1:27" ht="12.75">
      <c r="A135" s="525">
        <v>1</v>
      </c>
      <c r="B135" s="310"/>
      <c r="C135" s="417"/>
      <c r="D135" s="462"/>
      <c r="E135" s="83"/>
      <c r="F135" s="83"/>
      <c r="G135" s="272"/>
      <c r="H135" s="84"/>
      <c r="I135" s="167"/>
      <c r="J135" s="210"/>
      <c r="K135" s="263"/>
      <c r="L135" s="84"/>
      <c r="M135" s="263"/>
      <c r="N135" s="84"/>
      <c r="O135" s="131"/>
      <c r="P135" s="165"/>
      <c r="Q135" s="165"/>
      <c r="R135" s="165"/>
      <c r="S135" s="131"/>
      <c r="T135" s="344"/>
      <c r="U135" s="190"/>
      <c r="V135" s="174"/>
      <c r="W135" s="175"/>
      <c r="X135" s="191"/>
      <c r="Y135" s="191"/>
      <c r="Z135" s="411"/>
      <c r="AA135" s="412"/>
    </row>
    <row r="136" spans="1:27" ht="12.75">
      <c r="A136" s="524"/>
      <c r="B136" s="114"/>
      <c r="C136" s="352" t="s">
        <v>381</v>
      </c>
      <c r="D136" s="446"/>
      <c r="E136" s="376"/>
      <c r="F136" s="406">
        <v>0</v>
      </c>
      <c r="G136" s="75"/>
      <c r="H136" s="282"/>
      <c r="I136" s="171"/>
      <c r="J136" s="122"/>
      <c r="K136" s="170"/>
      <c r="L136" s="62"/>
      <c r="M136" s="170"/>
      <c r="N136" s="62"/>
      <c r="O136" s="171"/>
      <c r="P136" s="401"/>
      <c r="Q136" s="401"/>
      <c r="R136" s="402"/>
      <c r="S136" s="177"/>
      <c r="T136" s="290"/>
      <c r="U136" s="192"/>
      <c r="V136" s="129"/>
      <c r="W136" s="170"/>
      <c r="X136" s="71"/>
      <c r="Y136" s="71"/>
      <c r="Z136" s="193"/>
      <c r="AA136" s="219"/>
    </row>
    <row r="137" spans="1:27" ht="12.75">
      <c r="A137" s="525">
        <v>2</v>
      </c>
      <c r="B137" s="310"/>
      <c r="C137" s="409"/>
      <c r="D137" s="373"/>
      <c r="E137" s="83"/>
      <c r="F137" s="83"/>
      <c r="G137" s="272"/>
      <c r="H137" s="84"/>
      <c r="I137" s="167">
        <f>0.19*1.23</f>
        <v>0.2337</v>
      </c>
      <c r="J137" s="210"/>
      <c r="K137" s="263"/>
      <c r="L137" s="84"/>
      <c r="M137" s="263"/>
      <c r="N137" s="84"/>
      <c r="O137" s="131">
        <f>0.00139*E138*1.23</f>
        <v>0</v>
      </c>
      <c r="P137" s="165"/>
      <c r="Q137" s="165"/>
      <c r="R137" s="165"/>
      <c r="S137" s="131"/>
      <c r="T137" s="344"/>
      <c r="U137" s="190"/>
      <c r="V137" s="174"/>
      <c r="W137" s="175"/>
      <c r="X137" s="191"/>
      <c r="Y137" s="191"/>
      <c r="Z137" s="411"/>
      <c r="AA137" s="412"/>
    </row>
    <row r="138" spans="1:27" ht="12.75">
      <c r="A138" s="524"/>
      <c r="B138" s="479" t="s">
        <v>389</v>
      </c>
      <c r="C138" s="352" t="s">
        <v>387</v>
      </c>
      <c r="D138" s="446">
        <v>557330.1</v>
      </c>
      <c r="E138" s="376">
        <f>D138-D129</f>
        <v>0</v>
      </c>
      <c r="F138" s="406">
        <v>0</v>
      </c>
      <c r="G138" s="75"/>
      <c r="H138" s="282"/>
      <c r="I138" s="171">
        <f>11.29*1.23</f>
        <v>13.8867</v>
      </c>
      <c r="J138" s="122"/>
      <c r="K138" s="170"/>
      <c r="L138" s="62">
        <f>(E138)*K138</f>
        <v>0</v>
      </c>
      <c r="M138" s="170"/>
      <c r="N138" s="62">
        <f>(E138)*M138</f>
        <v>0</v>
      </c>
      <c r="O138" s="171">
        <f>15*1.23</f>
        <v>18.45</v>
      </c>
      <c r="P138" s="401">
        <v>308269</v>
      </c>
      <c r="Q138" s="401">
        <v>308269</v>
      </c>
      <c r="R138" s="402">
        <f>(Q138-P138)</f>
        <v>0</v>
      </c>
      <c r="S138" s="177"/>
      <c r="T138" s="290"/>
      <c r="U138" s="192"/>
      <c r="V138" s="129"/>
      <c r="W138" s="170"/>
      <c r="X138" s="71">
        <v>40</v>
      </c>
      <c r="Y138" s="71">
        <v>0</v>
      </c>
      <c r="Z138" s="193"/>
      <c r="AA138" s="219"/>
    </row>
    <row r="139" spans="1:27" ht="12.75">
      <c r="A139" s="525">
        <v>3</v>
      </c>
      <c r="B139" s="310"/>
      <c r="C139" s="409"/>
      <c r="D139" s="373"/>
      <c r="E139" s="83"/>
      <c r="F139" s="83"/>
      <c r="G139" s="272"/>
      <c r="H139" s="84"/>
      <c r="I139" s="167">
        <f>0.19*1.23</f>
        <v>0.2337</v>
      </c>
      <c r="J139" s="210"/>
      <c r="K139" s="263"/>
      <c r="L139" s="84"/>
      <c r="M139" s="263"/>
      <c r="N139" s="84"/>
      <c r="O139" s="131">
        <f>0.0022*E140*1.23</f>
        <v>0</v>
      </c>
      <c r="P139" s="165"/>
      <c r="Q139" s="165"/>
      <c r="R139" s="165"/>
      <c r="S139" s="131"/>
      <c r="T139" s="344"/>
      <c r="U139" s="190"/>
      <c r="V139" s="174"/>
      <c r="W139" s="175"/>
      <c r="X139" s="191"/>
      <c r="Y139" s="191"/>
      <c r="Z139" s="411"/>
      <c r="AA139" s="412"/>
    </row>
    <row r="140" spans="1:27" ht="12.75">
      <c r="A140" s="524"/>
      <c r="B140" s="479" t="s">
        <v>400</v>
      </c>
      <c r="C140" s="352" t="s">
        <v>388</v>
      </c>
      <c r="D140" s="446">
        <v>557330.1</v>
      </c>
      <c r="E140" s="376">
        <f>D140-D138</f>
        <v>0</v>
      </c>
      <c r="F140" s="406">
        <v>0</v>
      </c>
      <c r="G140" s="75"/>
      <c r="H140" s="282"/>
      <c r="I140" s="171">
        <f>11.29*1.23</f>
        <v>13.8867</v>
      </c>
      <c r="J140" s="122"/>
      <c r="K140" s="170"/>
      <c r="L140" s="62">
        <f>(E140)*K140</f>
        <v>0</v>
      </c>
      <c r="M140" s="170"/>
      <c r="N140" s="62">
        <f>(E140)*M140</f>
        <v>0</v>
      </c>
      <c r="O140" s="171">
        <f>15*1.23</f>
        <v>18.45</v>
      </c>
      <c r="P140" s="401">
        <v>308269</v>
      </c>
      <c r="Q140" s="401">
        <v>308269</v>
      </c>
      <c r="R140" s="402">
        <f>(Q140-P140)</f>
        <v>0</v>
      </c>
      <c r="S140" s="177"/>
      <c r="T140" s="290"/>
      <c r="U140" s="192"/>
      <c r="V140" s="129"/>
      <c r="W140" s="170"/>
      <c r="X140" s="71">
        <v>100</v>
      </c>
      <c r="Y140" s="71">
        <v>0</v>
      </c>
      <c r="Z140" s="193"/>
      <c r="AA140" s="219"/>
    </row>
    <row r="141" spans="1:27" ht="12.75">
      <c r="A141" s="525">
        <v>4</v>
      </c>
      <c r="B141" s="310"/>
      <c r="C141" s="409"/>
      <c r="D141" s="373"/>
      <c r="E141" s="83"/>
      <c r="F141" s="83"/>
      <c r="G141" s="272"/>
      <c r="H141" s="84"/>
      <c r="I141" s="167">
        <f>0.19*1.23</f>
        <v>0.2337</v>
      </c>
      <c r="J141" s="210"/>
      <c r="K141" s="263"/>
      <c r="L141" s="84"/>
      <c r="M141" s="263"/>
      <c r="N141" s="84"/>
      <c r="O141" s="131">
        <f>0.0022*E142*1.23</f>
        <v>0</v>
      </c>
      <c r="P141" s="462"/>
      <c r="Q141" s="462"/>
      <c r="R141" s="165"/>
      <c r="S141" s="131"/>
      <c r="T141" s="189"/>
      <c r="U141" s="190"/>
      <c r="V141" s="174"/>
      <c r="W141" s="175"/>
      <c r="X141" s="179"/>
      <c r="Y141" s="179"/>
      <c r="Z141" s="191"/>
      <c r="AA141" s="104"/>
    </row>
    <row r="142" spans="1:27" ht="12.75">
      <c r="A142" s="524"/>
      <c r="B142" s="479" t="s">
        <v>401</v>
      </c>
      <c r="C142" s="352" t="s">
        <v>395</v>
      </c>
      <c r="D142" s="446">
        <v>557330.1</v>
      </c>
      <c r="E142" s="376">
        <f>D142-D140</f>
        <v>0</v>
      </c>
      <c r="F142" s="406"/>
      <c r="G142" s="75"/>
      <c r="H142" s="282"/>
      <c r="I142" s="171">
        <f>11.29*1.23</f>
        <v>13.8867</v>
      </c>
      <c r="J142" s="122"/>
      <c r="K142" s="170"/>
      <c r="L142" s="62">
        <f>(E142)*K142</f>
        <v>0</v>
      </c>
      <c r="M142" s="170"/>
      <c r="N142" s="62">
        <f>(E142)*M142</f>
        <v>0</v>
      </c>
      <c r="O142" s="171">
        <f>15*1.23</f>
        <v>18.45</v>
      </c>
      <c r="P142" s="401">
        <v>308269</v>
      </c>
      <c r="Q142" s="401">
        <v>308269</v>
      </c>
      <c r="R142" s="402">
        <f>(Q142-P142)</f>
        <v>0</v>
      </c>
      <c r="S142" s="177"/>
      <c r="T142" s="290"/>
      <c r="U142" s="192"/>
      <c r="V142" s="129"/>
      <c r="W142" s="170"/>
      <c r="X142" s="71">
        <v>100</v>
      </c>
      <c r="Y142" s="71">
        <v>0</v>
      </c>
      <c r="Z142" s="193"/>
      <c r="AA142" s="219"/>
    </row>
    <row r="143" spans="1:27" ht="12.75">
      <c r="A143" s="199"/>
      <c r="B143" s="310"/>
      <c r="C143" s="409"/>
      <c r="D143" s="373"/>
      <c r="E143" s="83"/>
      <c r="F143" s="83"/>
      <c r="G143" s="272"/>
      <c r="H143" s="84"/>
      <c r="I143" s="167"/>
      <c r="J143" s="210"/>
      <c r="K143" s="263"/>
      <c r="L143" s="84"/>
      <c r="M143" s="263"/>
      <c r="N143" s="84"/>
      <c r="O143" s="131"/>
      <c r="P143" s="165"/>
      <c r="Q143" s="165"/>
      <c r="R143" s="165"/>
      <c r="S143" s="131"/>
      <c r="T143" s="344"/>
      <c r="U143" s="190"/>
      <c r="V143" s="174"/>
      <c r="W143" s="175"/>
      <c r="X143" s="191"/>
      <c r="Y143" s="191"/>
      <c r="Z143" s="411"/>
      <c r="AA143" s="412"/>
    </row>
    <row r="144" spans="1:27" ht="12.75">
      <c r="A144" s="199"/>
      <c r="B144" s="479"/>
      <c r="C144" s="352"/>
      <c r="D144" s="446"/>
      <c r="E144" s="376"/>
      <c r="F144" s="406"/>
      <c r="G144" s="75"/>
      <c r="H144" s="282"/>
      <c r="I144" s="171"/>
      <c r="J144" s="122"/>
      <c r="K144" s="170"/>
      <c r="L144" s="62"/>
      <c r="M144" s="170"/>
      <c r="N144" s="62"/>
      <c r="O144" s="171"/>
      <c r="P144" s="401"/>
      <c r="Q144" s="401"/>
      <c r="R144" s="402"/>
      <c r="S144" s="177"/>
      <c r="T144" s="290"/>
      <c r="U144" s="192"/>
      <c r="V144" s="129"/>
      <c r="W144" s="170"/>
      <c r="X144" s="71"/>
      <c r="Y144" s="71"/>
      <c r="Z144" s="193"/>
      <c r="AA144" s="219"/>
    </row>
    <row r="145" spans="1:27" ht="12.75">
      <c r="A145" s="523">
        <v>5</v>
      </c>
      <c r="B145" s="310"/>
      <c r="C145" s="409"/>
      <c r="D145" s="373"/>
      <c r="E145" s="83"/>
      <c r="F145" s="83"/>
      <c r="G145" s="272"/>
      <c r="H145" s="84"/>
      <c r="I145" s="167"/>
      <c r="J145" s="210"/>
      <c r="K145" s="263"/>
      <c r="L145" s="84"/>
      <c r="M145" s="263"/>
      <c r="N145" s="84"/>
      <c r="O145" s="131"/>
      <c r="P145" s="165"/>
      <c r="Q145" s="165"/>
      <c r="R145" s="165"/>
      <c r="S145" s="131"/>
      <c r="T145" s="344"/>
      <c r="U145" s="190"/>
      <c r="V145" s="174"/>
      <c r="W145" s="175"/>
      <c r="X145" s="191"/>
      <c r="Y145" s="191"/>
      <c r="Z145" s="411"/>
      <c r="AA145" s="412"/>
    </row>
    <row r="146" spans="1:27" ht="12.75">
      <c r="A146" s="532"/>
      <c r="B146" s="479"/>
      <c r="C146" s="352"/>
      <c r="D146" s="446"/>
      <c r="E146" s="376"/>
      <c r="F146" s="406"/>
      <c r="G146" s="75"/>
      <c r="H146" s="282"/>
      <c r="I146" s="171"/>
      <c r="J146" s="122"/>
      <c r="K146" s="170"/>
      <c r="L146" s="62"/>
      <c r="M146" s="170"/>
      <c r="N146" s="62"/>
      <c r="O146" s="171"/>
      <c r="P146" s="401"/>
      <c r="Q146" s="401"/>
      <c r="R146" s="402"/>
      <c r="S146" s="177"/>
      <c r="T146" s="290"/>
      <c r="U146" s="192"/>
      <c r="V146" s="129"/>
      <c r="W146" s="170"/>
      <c r="X146" s="71"/>
      <c r="Y146" s="71"/>
      <c r="Z146" s="193"/>
      <c r="AA146" s="219"/>
    </row>
    <row r="147" spans="1:27" ht="12.75">
      <c r="A147" s="523">
        <v>6</v>
      </c>
      <c r="B147" s="310"/>
      <c r="C147" s="409"/>
      <c r="D147" s="373"/>
      <c r="E147" s="83"/>
      <c r="F147" s="83"/>
      <c r="G147" s="272"/>
      <c r="H147" s="84"/>
      <c r="I147" s="167"/>
      <c r="J147" s="210"/>
      <c r="K147" s="263"/>
      <c r="L147" s="84"/>
      <c r="M147" s="263"/>
      <c r="N147" s="84"/>
      <c r="O147" s="131"/>
      <c r="P147" s="165"/>
      <c r="Q147" s="165"/>
      <c r="R147" s="165"/>
      <c r="S147" s="131"/>
      <c r="T147" s="344"/>
      <c r="U147" s="190"/>
      <c r="V147" s="174"/>
      <c r="W147" s="175"/>
      <c r="X147" s="191"/>
      <c r="Y147" s="191"/>
      <c r="Z147" s="411"/>
      <c r="AA147" s="412"/>
    </row>
    <row r="148" spans="1:27" ht="12.75">
      <c r="A148" s="532"/>
      <c r="B148" s="479"/>
      <c r="C148" s="352"/>
      <c r="D148" s="446"/>
      <c r="E148" s="376"/>
      <c r="F148" s="406"/>
      <c r="G148" s="75"/>
      <c r="H148" s="282"/>
      <c r="I148" s="171"/>
      <c r="J148" s="122"/>
      <c r="K148" s="170"/>
      <c r="L148" s="62"/>
      <c r="M148" s="170"/>
      <c r="N148" s="62"/>
      <c r="O148" s="171"/>
      <c r="P148" s="401"/>
      <c r="Q148" s="401"/>
      <c r="R148" s="402"/>
      <c r="S148" s="177"/>
      <c r="T148" s="290"/>
      <c r="U148" s="192"/>
      <c r="V148" s="129"/>
      <c r="W148" s="170"/>
      <c r="X148" s="71"/>
      <c r="Y148" s="71"/>
      <c r="Z148" s="193"/>
      <c r="AA148" s="219"/>
    </row>
    <row r="149" spans="1:27" ht="12.75">
      <c r="A149" s="523">
        <v>7</v>
      </c>
      <c r="B149" s="310"/>
      <c r="C149" s="409"/>
      <c r="D149" s="373"/>
      <c r="E149" s="83"/>
      <c r="F149" s="83"/>
      <c r="G149" s="272"/>
      <c r="H149" s="84"/>
      <c r="I149" s="167"/>
      <c r="J149" s="210"/>
      <c r="K149" s="263"/>
      <c r="L149" s="84"/>
      <c r="M149" s="263"/>
      <c r="N149" s="84"/>
      <c r="O149" s="131"/>
      <c r="P149" s="165"/>
      <c r="Q149" s="165"/>
      <c r="R149" s="165"/>
      <c r="S149" s="131"/>
      <c r="T149" s="344"/>
      <c r="U149" s="190"/>
      <c r="V149" s="174"/>
      <c r="W149" s="175"/>
      <c r="X149" s="191"/>
      <c r="Y149" s="191"/>
      <c r="Z149" s="411"/>
      <c r="AA149" s="412"/>
    </row>
    <row r="150" spans="1:27" ht="12.75">
      <c r="A150" s="524"/>
      <c r="B150" s="479"/>
      <c r="C150" s="352"/>
      <c r="D150" s="446"/>
      <c r="E150" s="376"/>
      <c r="F150" s="406"/>
      <c r="G150" s="75"/>
      <c r="H150" s="282"/>
      <c r="I150" s="171"/>
      <c r="J150" s="122"/>
      <c r="K150" s="170"/>
      <c r="L150" s="62"/>
      <c r="M150" s="170"/>
      <c r="N150" s="62"/>
      <c r="O150" s="171"/>
      <c r="P150" s="401"/>
      <c r="Q150" s="401"/>
      <c r="R150" s="402"/>
      <c r="S150" s="177"/>
      <c r="T150" s="290"/>
      <c r="U150" s="192"/>
      <c r="V150" s="129"/>
      <c r="W150" s="170"/>
      <c r="X150" s="71"/>
      <c r="Y150" s="71"/>
      <c r="Z150" s="193"/>
      <c r="AA150" s="219"/>
    </row>
    <row r="151" spans="1:27" ht="12.75">
      <c r="A151" s="89"/>
      <c r="B151" s="310"/>
      <c r="C151" s="409"/>
      <c r="D151" s="373"/>
      <c r="E151" s="83"/>
      <c r="F151" s="83"/>
      <c r="G151" s="272"/>
      <c r="H151" s="84"/>
      <c r="I151" s="167"/>
      <c r="J151" s="210"/>
      <c r="K151" s="263"/>
      <c r="L151" s="84"/>
      <c r="M151" s="263"/>
      <c r="N151" s="84"/>
      <c r="O151" s="131"/>
      <c r="P151" s="165"/>
      <c r="Q151" s="165"/>
      <c r="R151" s="165"/>
      <c r="S151" s="131"/>
      <c r="T151" s="344"/>
      <c r="U151" s="190"/>
      <c r="V151" s="174"/>
      <c r="W151" s="175"/>
      <c r="X151" s="191"/>
      <c r="Y151" s="191"/>
      <c r="Z151" s="411"/>
      <c r="AA151" s="412"/>
    </row>
    <row r="152" spans="1:27" ht="12.75">
      <c r="A152" s="89"/>
      <c r="B152" s="479"/>
      <c r="C152" s="352"/>
      <c r="D152" s="446"/>
      <c r="E152" s="376"/>
      <c r="F152" s="406"/>
      <c r="G152" s="75"/>
      <c r="H152" s="282"/>
      <c r="I152" s="171"/>
      <c r="J152" s="122"/>
      <c r="K152" s="170"/>
      <c r="L152" s="62"/>
      <c r="M152" s="170"/>
      <c r="N152" s="62"/>
      <c r="O152" s="171"/>
      <c r="P152" s="401"/>
      <c r="Q152" s="401"/>
      <c r="R152" s="402"/>
      <c r="S152" s="177"/>
      <c r="T152" s="290"/>
      <c r="U152" s="192"/>
      <c r="V152" s="129"/>
      <c r="W152" s="170"/>
      <c r="X152" s="71"/>
      <c r="Y152" s="71"/>
      <c r="Z152" s="193"/>
      <c r="AA152" s="219"/>
    </row>
    <row r="153" spans="1:27" ht="12.75">
      <c r="A153" s="525">
        <v>8</v>
      </c>
      <c r="B153" s="310"/>
      <c r="C153" s="409"/>
      <c r="D153" s="373"/>
      <c r="E153" s="83"/>
      <c r="F153" s="83"/>
      <c r="G153" s="272"/>
      <c r="H153" s="84"/>
      <c r="I153" s="167"/>
      <c r="J153" s="210"/>
      <c r="K153" s="263"/>
      <c r="L153" s="84"/>
      <c r="M153" s="263"/>
      <c r="N153" s="84"/>
      <c r="O153" s="131"/>
      <c r="P153" s="165"/>
      <c r="Q153" s="165"/>
      <c r="R153" s="165"/>
      <c r="S153" s="131"/>
      <c r="T153" s="344"/>
      <c r="U153" s="190"/>
      <c r="V153" s="174"/>
      <c r="W153" s="175"/>
      <c r="X153" s="191"/>
      <c r="Y153" s="191"/>
      <c r="Z153" s="411"/>
      <c r="AA153" s="412"/>
    </row>
    <row r="154" spans="1:27" ht="12.75">
      <c r="A154" s="524"/>
      <c r="B154" s="479"/>
      <c r="C154" s="352"/>
      <c r="D154" s="446"/>
      <c r="E154" s="376"/>
      <c r="F154" s="406"/>
      <c r="G154" s="75"/>
      <c r="H154" s="282"/>
      <c r="I154" s="171"/>
      <c r="J154" s="122"/>
      <c r="K154" s="170"/>
      <c r="L154" s="62"/>
      <c r="M154" s="170"/>
      <c r="N154" s="62"/>
      <c r="O154" s="171"/>
      <c r="P154" s="401"/>
      <c r="Q154" s="401"/>
      <c r="R154" s="402"/>
      <c r="S154" s="177"/>
      <c r="T154" s="290"/>
      <c r="U154" s="192"/>
      <c r="V154" s="129"/>
      <c r="W154" s="170"/>
      <c r="X154" s="71"/>
      <c r="Y154" s="71"/>
      <c r="Z154" s="193"/>
      <c r="AA154" s="219"/>
    </row>
    <row r="155" spans="1:27" ht="12.75">
      <c r="A155" s="525">
        <v>9</v>
      </c>
      <c r="B155" s="310"/>
      <c r="C155" s="409"/>
      <c r="D155" s="373"/>
      <c r="E155" s="83"/>
      <c r="F155" s="83"/>
      <c r="G155" s="272"/>
      <c r="H155" s="84"/>
      <c r="I155" s="167"/>
      <c r="J155" s="210"/>
      <c r="K155" s="263"/>
      <c r="L155" s="84"/>
      <c r="M155" s="263"/>
      <c r="N155" s="84"/>
      <c r="O155" s="131"/>
      <c r="P155" s="165"/>
      <c r="Q155" s="165"/>
      <c r="R155" s="165"/>
      <c r="S155" s="131"/>
      <c r="T155" s="344"/>
      <c r="U155" s="190"/>
      <c r="V155" s="174"/>
      <c r="W155" s="175"/>
      <c r="X155" s="191"/>
      <c r="Y155" s="191"/>
      <c r="Z155" s="411"/>
      <c r="AA155" s="412"/>
    </row>
    <row r="156" spans="1:27" ht="12.75">
      <c r="A156" s="524"/>
      <c r="B156" s="479"/>
      <c r="C156" s="352"/>
      <c r="D156" s="446"/>
      <c r="E156" s="376"/>
      <c r="F156" s="406"/>
      <c r="G156" s="75"/>
      <c r="H156" s="282"/>
      <c r="I156" s="171"/>
      <c r="J156" s="122"/>
      <c r="K156" s="170"/>
      <c r="L156" s="62"/>
      <c r="M156" s="170"/>
      <c r="N156" s="62"/>
      <c r="O156" s="171"/>
      <c r="P156" s="401"/>
      <c r="Q156" s="401"/>
      <c r="R156" s="402"/>
      <c r="S156" s="177"/>
      <c r="T156" s="290"/>
      <c r="U156" s="192"/>
      <c r="V156" s="129"/>
      <c r="W156" s="170"/>
      <c r="X156" s="71"/>
      <c r="Y156" s="71"/>
      <c r="Z156" s="193"/>
      <c r="AA156" s="219"/>
    </row>
    <row r="157" spans="1:27" ht="12.75">
      <c r="A157" s="525">
        <v>10</v>
      </c>
      <c r="B157" s="310"/>
      <c r="C157" s="409"/>
      <c r="D157" s="373"/>
      <c r="E157" s="83"/>
      <c r="F157" s="83"/>
      <c r="G157" s="272"/>
      <c r="H157" s="84"/>
      <c r="I157" s="167"/>
      <c r="J157" s="210"/>
      <c r="K157" s="263"/>
      <c r="L157" s="84"/>
      <c r="M157" s="263"/>
      <c r="N157" s="84"/>
      <c r="O157" s="131"/>
      <c r="P157" s="165"/>
      <c r="Q157" s="165"/>
      <c r="R157" s="165"/>
      <c r="S157" s="131"/>
      <c r="T157" s="344"/>
      <c r="U157" s="190"/>
      <c r="V157" s="174"/>
      <c r="W157" s="175"/>
      <c r="X157" s="191"/>
      <c r="Y157" s="191"/>
      <c r="Z157" s="411"/>
      <c r="AA157" s="412"/>
    </row>
    <row r="158" spans="1:27" ht="13.5" thickBot="1">
      <c r="A158" s="524"/>
      <c r="B158" s="479"/>
      <c r="C158" s="352"/>
      <c r="D158" s="446"/>
      <c r="E158" s="376"/>
      <c r="F158" s="406"/>
      <c r="G158" s="75"/>
      <c r="H158" s="282"/>
      <c r="I158" s="171"/>
      <c r="J158" s="122"/>
      <c r="K158" s="170"/>
      <c r="L158" s="62"/>
      <c r="M158" s="170"/>
      <c r="N158" s="62"/>
      <c r="O158" s="171"/>
      <c r="P158" s="401"/>
      <c r="Q158" s="401"/>
      <c r="R158" s="402"/>
      <c r="S158" s="177"/>
      <c r="T158" s="516"/>
      <c r="U158" s="513"/>
      <c r="V158" s="129"/>
      <c r="W158" s="170"/>
      <c r="X158" s="71"/>
      <c r="Y158" s="71"/>
      <c r="Z158" s="193"/>
      <c r="AA158" s="219"/>
    </row>
    <row r="159" spans="1:27" ht="13.5" thickBot="1">
      <c r="A159" s="526" t="s">
        <v>384</v>
      </c>
      <c r="B159" s="527"/>
      <c r="C159" s="527"/>
      <c r="D159" s="528"/>
      <c r="E159" s="41"/>
      <c r="F159" s="13"/>
      <c r="G159" s="13"/>
      <c r="H159" s="41"/>
      <c r="I159" s="13"/>
      <c r="J159" s="13"/>
      <c r="K159" s="41"/>
      <c r="L159" s="41"/>
      <c r="M159" s="41"/>
      <c r="N159" s="41"/>
      <c r="O159" s="345"/>
      <c r="P159" s="33"/>
      <c r="Q159" s="33"/>
      <c r="R159" s="289"/>
      <c r="S159" s="258"/>
      <c r="T159" s="299"/>
      <c r="U159" s="298"/>
      <c r="V159" s="266">
        <f>SUM(V135:V158)</f>
        <v>0</v>
      </c>
      <c r="W159" s="350"/>
      <c r="X159" s="42"/>
      <c r="Y159" s="305"/>
      <c r="Z159" s="42"/>
      <c r="AA159" s="43"/>
    </row>
    <row r="160" spans="1:27" ht="13.5" thickBot="1">
      <c r="A160" s="529"/>
      <c r="B160" s="530"/>
      <c r="C160" s="530"/>
      <c r="D160" s="531"/>
      <c r="E160" s="120">
        <f>SUM(E137:E158)</f>
        <v>0</v>
      </c>
      <c r="F160" s="390">
        <f>SUM(F137:F158)</f>
        <v>0</v>
      </c>
      <c r="G160" s="351"/>
      <c r="H160" s="253">
        <f>SUM(H134:H158)</f>
        <v>0</v>
      </c>
      <c r="I160" s="99"/>
      <c r="J160" s="349">
        <f>SUM(J135:J159)</f>
        <v>0</v>
      </c>
      <c r="K160" s="349"/>
      <c r="L160" s="349">
        <f>SUM(L135:L159)</f>
        <v>0</v>
      </c>
      <c r="M160" s="349"/>
      <c r="N160" s="349">
        <f>SUM(N135:N159)</f>
        <v>0</v>
      </c>
      <c r="O160" s="349">
        <f>SUM(O135:O159)</f>
        <v>55.349999999999994</v>
      </c>
      <c r="P160" s="517" t="s">
        <v>386</v>
      </c>
      <c r="Q160" s="518">
        <f>SUM(J160:O160)</f>
        <v>55.349999999999994</v>
      </c>
      <c r="R160" s="259"/>
      <c r="S160" s="260"/>
      <c r="T160" s="261">
        <f>SUM(T135:T158)</f>
        <v>0</v>
      </c>
      <c r="U160" s="262">
        <f>SUM(U135:U158)</f>
        <v>0</v>
      </c>
      <c r="V160" s="253">
        <f>V159+H160</f>
        <v>0</v>
      </c>
      <c r="W160" s="351" t="e">
        <f>V160/E160</f>
        <v>#DIV/0!</v>
      </c>
      <c r="X160" s="74">
        <v>40</v>
      </c>
      <c r="Y160" s="74">
        <f>SUM(Y136:Y159)/12</f>
        <v>0</v>
      </c>
      <c r="Z160" s="74"/>
      <c r="AA160" s="46"/>
    </row>
    <row r="161" spans="6:7" ht="12.75">
      <c r="F161" s="150">
        <f>F160-E160</f>
        <v>0</v>
      </c>
      <c r="G161" s="150" t="str">
        <f>IF(F161&lt;0,"za mało",IF(F161&gt;0,"za dużo","równo"))</f>
        <v>równo</v>
      </c>
    </row>
  </sheetData>
  <sheetProtection/>
  <mergeCells count="79">
    <mergeCell ref="A120:A121"/>
    <mergeCell ref="A124:A125"/>
    <mergeCell ref="A126:A127"/>
    <mergeCell ref="A128:A129"/>
    <mergeCell ref="A106:A107"/>
    <mergeCell ref="A108:A109"/>
    <mergeCell ref="A110:A111"/>
    <mergeCell ref="A112:A113"/>
    <mergeCell ref="A116:A117"/>
    <mergeCell ref="I10:J10"/>
    <mergeCell ref="K10:N10"/>
    <mergeCell ref="K11:L14"/>
    <mergeCell ref="M11:N14"/>
    <mergeCell ref="T11:T16"/>
    <mergeCell ref="A10:A17"/>
    <mergeCell ref="C10:C17"/>
    <mergeCell ref="AA10:AA17"/>
    <mergeCell ref="E10:H10"/>
    <mergeCell ref="P10:T10"/>
    <mergeCell ref="I11:J14"/>
    <mergeCell ref="Z10:Z17"/>
    <mergeCell ref="A1:I1"/>
    <mergeCell ref="A4:AD4"/>
    <mergeCell ref="A6:AB6"/>
    <mergeCell ref="A7:AB7"/>
    <mergeCell ref="A8:D8"/>
    <mergeCell ref="A5:C5"/>
    <mergeCell ref="A39:A40"/>
    <mergeCell ref="A37:A38"/>
    <mergeCell ref="A35:A36"/>
    <mergeCell ref="A33:A34"/>
    <mergeCell ref="A70:D71"/>
    <mergeCell ref="A19:A20"/>
    <mergeCell ref="A31:A32"/>
    <mergeCell ref="A29:A30"/>
    <mergeCell ref="A27:A28"/>
    <mergeCell ref="A21:A22"/>
    <mergeCell ref="A41:A42"/>
    <mergeCell ref="A58:A59"/>
    <mergeCell ref="A64:A65"/>
    <mergeCell ref="A43:D44"/>
    <mergeCell ref="A66:A67"/>
    <mergeCell ref="A25:A26"/>
    <mergeCell ref="A23:A24"/>
    <mergeCell ref="A68:A69"/>
    <mergeCell ref="A46:A47"/>
    <mergeCell ref="A48:A49"/>
    <mergeCell ref="A50:A51"/>
    <mergeCell ref="A52:A53"/>
    <mergeCell ref="A54:A55"/>
    <mergeCell ref="A56:A57"/>
    <mergeCell ref="A60:A61"/>
    <mergeCell ref="A62:A63"/>
    <mergeCell ref="A73:A74"/>
    <mergeCell ref="A75:A76"/>
    <mergeCell ref="A77:A78"/>
    <mergeCell ref="A79:A80"/>
    <mergeCell ref="A83:A84"/>
    <mergeCell ref="A85:A86"/>
    <mergeCell ref="A147:A148"/>
    <mergeCell ref="A103:D104"/>
    <mergeCell ref="A87:A88"/>
    <mergeCell ref="A91:A92"/>
    <mergeCell ref="A93:A94"/>
    <mergeCell ref="A95:A96"/>
    <mergeCell ref="A97:A98"/>
    <mergeCell ref="A101:A102"/>
    <mergeCell ref="A118:A119"/>
    <mergeCell ref="A130:D131"/>
    <mergeCell ref="A149:A150"/>
    <mergeCell ref="A153:A154"/>
    <mergeCell ref="A155:A156"/>
    <mergeCell ref="A157:A158"/>
    <mergeCell ref="A159:D160"/>
    <mergeCell ref="A135:A136"/>
    <mergeCell ref="A137:A138"/>
    <mergeCell ref="A139:A140"/>
    <mergeCell ref="A141:A142"/>
    <mergeCell ref="A145:A146"/>
  </mergeCells>
  <printOptions/>
  <pageMargins left="0.47" right="0.44" top="0.74" bottom="0.73" header="0.5" footer="0.5"/>
  <pageSetup fitToHeight="1" fitToWidth="1" horizontalDpi="300" verticalDpi="300" orientation="landscape" paperSize="9" scale="48" r:id="rId3"/>
  <headerFooter alignWithMargins="0">
    <oddFooter>&amp;L&amp;D&amp;R&amp;24 23</oddFooter>
  </headerFooter>
  <ignoredErrors>
    <ignoredError sqref="O49 O51 O53 O55 O57 I79 I77 I75 O8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1"/>
  <sheetViews>
    <sheetView zoomScale="90" zoomScaleNormal="90" zoomScalePageLayoutView="0" workbookViewId="0" topLeftCell="B10">
      <selection activeCell="AD134" sqref="AD134"/>
    </sheetView>
  </sheetViews>
  <sheetFormatPr defaultColWidth="9.00390625" defaultRowHeight="12.75"/>
  <cols>
    <col min="1" max="1" width="3.875" style="0" hidden="1" customWidth="1"/>
    <col min="2" max="2" width="24.00390625" style="0" customWidth="1"/>
    <col min="3" max="3" width="9.125" style="0" customWidth="1"/>
    <col min="4" max="4" width="10.25390625" style="0" customWidth="1"/>
    <col min="5" max="5" width="8.75390625" style="0" customWidth="1"/>
    <col min="6" max="6" width="8.25390625" style="0" customWidth="1"/>
    <col min="7" max="7" width="8.375" style="0" customWidth="1"/>
    <col min="8" max="8" width="11.00390625" style="0" customWidth="1"/>
    <col min="9" max="9" width="8.875" style="0" customWidth="1"/>
    <col min="10" max="10" width="10.00390625" style="0" customWidth="1"/>
    <col min="11" max="11" width="7.875" style="0" customWidth="1"/>
    <col min="12" max="12" width="10.75390625" style="0" customWidth="1"/>
    <col min="13" max="13" width="9.00390625" style="0" customWidth="1"/>
    <col min="14" max="14" width="9.625" style="0" customWidth="1"/>
    <col min="15" max="15" width="8.875" style="0" customWidth="1"/>
    <col min="16" max="16" width="9.75390625" style="0" customWidth="1"/>
    <col min="17" max="17" width="9.875" style="0" customWidth="1"/>
    <col min="18" max="18" width="9.375" style="0" customWidth="1"/>
    <col min="19" max="19" width="7.25390625" style="0" customWidth="1"/>
    <col min="20" max="21" width="10.375" style="0" customWidth="1"/>
    <col min="22" max="22" width="11.25390625" style="0" customWidth="1"/>
    <col min="23" max="23" width="9.00390625" style="0" customWidth="1"/>
    <col min="24" max="24" width="7.25390625" style="0" customWidth="1"/>
    <col min="25" max="25" width="6.875" style="0" customWidth="1"/>
    <col min="26" max="26" width="9.125" style="0" customWidth="1"/>
    <col min="27" max="27" width="11.125" style="0" customWidth="1"/>
    <col min="28" max="28" width="10.00390625" style="0" customWidth="1"/>
    <col min="29" max="29" width="8.75390625" style="0" customWidth="1"/>
    <col min="30" max="30" width="10.75390625" style="0" customWidth="1"/>
  </cols>
  <sheetData>
    <row r="1" spans="1:25" ht="15">
      <c r="A1" s="549" t="s">
        <v>374</v>
      </c>
      <c r="B1" s="549"/>
      <c r="C1" s="549"/>
      <c r="D1" s="549"/>
      <c r="E1" s="549"/>
      <c r="F1" s="549"/>
      <c r="G1" s="549"/>
      <c r="H1" s="549"/>
      <c r="I1" s="549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234"/>
      <c r="X1" s="234"/>
      <c r="Y1" s="234"/>
    </row>
    <row r="2" spans="1:25" ht="15.75">
      <c r="A2" s="107"/>
      <c r="B2" s="235" t="s">
        <v>44</v>
      </c>
      <c r="C2" s="236" t="s">
        <v>54</v>
      </c>
      <c r="D2" s="107"/>
      <c r="E2" s="107"/>
      <c r="F2" s="107"/>
      <c r="G2" s="237" t="s">
        <v>45</v>
      </c>
      <c r="H2" s="236" t="s">
        <v>46</v>
      </c>
      <c r="I2" s="361" t="s">
        <v>337</v>
      </c>
      <c r="J2" s="107"/>
      <c r="L2" t="s">
        <v>367</v>
      </c>
      <c r="M2" s="107"/>
      <c r="N2" s="268"/>
      <c r="P2" s="384"/>
      <c r="Q2" s="385"/>
      <c r="R2" s="383"/>
      <c r="S2" s="383"/>
      <c r="T2" s="383"/>
      <c r="U2" s="383"/>
      <c r="V2" s="384"/>
      <c r="W2" s="385"/>
      <c r="X2" s="234"/>
      <c r="Y2" s="234"/>
    </row>
    <row r="3" spans="1:25" ht="15.75">
      <c r="A3" s="107"/>
      <c r="C3" s="505" t="s">
        <v>353</v>
      </c>
      <c r="D3" s="383"/>
      <c r="E3" s="238"/>
      <c r="F3" s="238"/>
      <c r="G3" s="238"/>
      <c r="H3" s="238"/>
      <c r="J3" s="342"/>
      <c r="L3" s="239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4"/>
      <c r="X3" s="234"/>
      <c r="Y3" s="236"/>
    </row>
    <row r="4" spans="1:30" ht="15" customHeight="1">
      <c r="A4" s="550"/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</row>
    <row r="5" spans="1:30" s="3" customFormat="1" ht="15" customHeight="1">
      <c r="A5" s="564" t="s">
        <v>356</v>
      </c>
      <c r="B5" s="564"/>
      <c r="C5" s="564"/>
      <c r="D5" s="63"/>
      <c r="E5" s="63"/>
      <c r="F5" s="1"/>
      <c r="H5" s="239"/>
      <c r="I5" s="24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B5" s="7"/>
      <c r="AC5" s="1"/>
      <c r="AD5" s="2"/>
    </row>
    <row r="6" spans="1:28" s="3" customFormat="1" ht="14.25">
      <c r="A6" s="549" t="s">
        <v>391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</row>
    <row r="7" spans="1:28" s="3" customFormat="1" ht="14.25">
      <c r="A7" s="551" t="s">
        <v>201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1"/>
      <c r="AA7" s="551"/>
      <c r="AB7" s="551"/>
    </row>
    <row r="8" spans="1:30" s="3" customFormat="1" ht="18">
      <c r="A8" s="552" t="s">
        <v>245</v>
      </c>
      <c r="B8" s="552"/>
      <c r="C8" s="552"/>
      <c r="D8" s="552"/>
      <c r="E8" s="55" t="s">
        <v>55</v>
      </c>
      <c r="F8" s="55"/>
      <c r="G8" s="503" t="s">
        <v>0</v>
      </c>
      <c r="H8" s="504" t="s">
        <v>56</v>
      </c>
      <c r="I8" s="4"/>
      <c r="J8" s="6"/>
      <c r="K8" s="1"/>
      <c r="O8" s="1"/>
      <c r="P8" s="2"/>
      <c r="R8" s="1"/>
      <c r="S8" s="1"/>
      <c r="T8" s="172" t="s">
        <v>58</v>
      </c>
      <c r="U8" s="1"/>
      <c r="V8" s="1"/>
      <c r="W8" s="1"/>
      <c r="X8" s="1"/>
      <c r="Y8" s="2"/>
      <c r="Z8" s="1"/>
      <c r="AA8" s="1"/>
      <c r="AD8" s="1"/>
    </row>
    <row r="9" spans="1:27" s="3" customFormat="1" ht="15" thickBot="1">
      <c r="A9" s="3" t="s">
        <v>1</v>
      </c>
      <c r="B9" s="4"/>
      <c r="C9" s="9"/>
      <c r="D9" s="2"/>
      <c r="G9" s="10"/>
      <c r="H9" s="4"/>
      <c r="I9" s="9"/>
      <c r="J9" s="2"/>
      <c r="N9" s="4"/>
      <c r="O9" s="9"/>
      <c r="P9" s="9"/>
      <c r="Q9" s="9"/>
      <c r="R9" s="9"/>
      <c r="S9" s="9"/>
      <c r="T9" s="2"/>
      <c r="U9" s="11"/>
      <c r="V9" s="12"/>
      <c r="X9" s="357" t="s">
        <v>33</v>
      </c>
      <c r="Y9" s="256">
        <v>1</v>
      </c>
      <c r="Z9" s="70"/>
      <c r="AA9" s="12"/>
    </row>
    <row r="10" spans="1:27" ht="12.75" customHeight="1">
      <c r="A10" s="558" t="s">
        <v>2</v>
      </c>
      <c r="B10" s="13"/>
      <c r="C10" s="561" t="s">
        <v>237</v>
      </c>
      <c r="D10" s="13"/>
      <c r="E10" s="537" t="s">
        <v>3</v>
      </c>
      <c r="F10" s="538"/>
      <c r="G10" s="538"/>
      <c r="H10" s="539"/>
      <c r="I10" s="553" t="s">
        <v>243</v>
      </c>
      <c r="J10" s="554"/>
      <c r="K10" s="553" t="s">
        <v>244</v>
      </c>
      <c r="L10" s="555"/>
      <c r="M10" s="555"/>
      <c r="N10" s="554"/>
      <c r="O10" s="13"/>
      <c r="P10" s="537" t="s">
        <v>37</v>
      </c>
      <c r="Q10" s="538"/>
      <c r="R10" s="538"/>
      <c r="S10" s="538"/>
      <c r="T10" s="539"/>
      <c r="U10" s="14" t="s">
        <v>4</v>
      </c>
      <c r="V10" s="15" t="s">
        <v>5</v>
      </c>
      <c r="W10" s="14" t="s">
        <v>9</v>
      </c>
      <c r="X10" s="14" t="s">
        <v>10</v>
      </c>
      <c r="Y10" s="16"/>
      <c r="Z10" s="546" t="s">
        <v>246</v>
      </c>
      <c r="AA10" s="534" t="s">
        <v>53</v>
      </c>
    </row>
    <row r="11" spans="1:27" ht="12.75" customHeight="1">
      <c r="A11" s="559"/>
      <c r="B11" s="18"/>
      <c r="C11" s="562"/>
      <c r="D11" s="18"/>
      <c r="E11" s="20"/>
      <c r="F11" s="20"/>
      <c r="G11" s="20"/>
      <c r="H11" s="20"/>
      <c r="I11" s="540" t="s">
        <v>399</v>
      </c>
      <c r="J11" s="541"/>
      <c r="K11" s="540" t="s">
        <v>238</v>
      </c>
      <c r="L11" s="541"/>
      <c r="M11" s="540" t="s">
        <v>239</v>
      </c>
      <c r="N11" s="541"/>
      <c r="O11" s="195"/>
      <c r="P11" s="21"/>
      <c r="Q11" s="21"/>
      <c r="R11" s="152"/>
      <c r="S11" s="151"/>
      <c r="T11" s="556" t="s">
        <v>247</v>
      </c>
      <c r="U11" s="22" t="s">
        <v>7</v>
      </c>
      <c r="V11" s="22" t="s">
        <v>8</v>
      </c>
      <c r="W11" s="21" t="s">
        <v>13</v>
      </c>
      <c r="X11" s="18" t="s">
        <v>14</v>
      </c>
      <c r="Y11" s="19"/>
      <c r="Z11" s="547"/>
      <c r="AA11" s="535"/>
    </row>
    <row r="12" spans="1:27" ht="12.75" customHeight="1">
      <c r="A12" s="559"/>
      <c r="B12" s="109"/>
      <c r="C12" s="562"/>
      <c r="D12" s="18"/>
      <c r="E12" s="18"/>
      <c r="F12" s="18"/>
      <c r="G12" s="18"/>
      <c r="H12" s="18"/>
      <c r="I12" s="542"/>
      <c r="J12" s="543"/>
      <c r="K12" s="542"/>
      <c r="L12" s="543"/>
      <c r="M12" s="542"/>
      <c r="N12" s="543"/>
      <c r="O12" s="22" t="s">
        <v>241</v>
      </c>
      <c r="P12" s="22" t="s">
        <v>50</v>
      </c>
      <c r="Q12" s="22" t="s">
        <v>50</v>
      </c>
      <c r="R12" s="22" t="s">
        <v>16</v>
      </c>
      <c r="T12" s="557"/>
      <c r="U12" s="23" t="s">
        <v>11</v>
      </c>
      <c r="V12" s="18" t="s">
        <v>12</v>
      </c>
      <c r="W12" s="21" t="s">
        <v>22</v>
      </c>
      <c r="X12" s="17" t="s">
        <v>23</v>
      </c>
      <c r="Y12" s="22" t="s">
        <v>6</v>
      </c>
      <c r="Z12" s="547"/>
      <c r="AA12" s="535"/>
    </row>
    <row r="13" spans="1:27" ht="12.75" customHeight="1">
      <c r="A13" s="559" t="s">
        <v>2</v>
      </c>
      <c r="B13" s="18" t="s">
        <v>236</v>
      </c>
      <c r="C13" s="562"/>
      <c r="D13" s="18" t="s">
        <v>15</v>
      </c>
      <c r="E13" s="22" t="s">
        <v>16</v>
      </c>
      <c r="F13" s="22" t="s">
        <v>16</v>
      </c>
      <c r="G13" s="22" t="s">
        <v>17</v>
      </c>
      <c r="H13" s="22" t="s">
        <v>18</v>
      </c>
      <c r="I13" s="542"/>
      <c r="J13" s="543"/>
      <c r="K13" s="542"/>
      <c r="L13" s="543"/>
      <c r="M13" s="542"/>
      <c r="N13" s="543"/>
      <c r="O13" s="18" t="s">
        <v>19</v>
      </c>
      <c r="P13" s="22" t="s">
        <v>51</v>
      </c>
      <c r="Q13" s="22" t="s">
        <v>52</v>
      </c>
      <c r="R13" s="100" t="s">
        <v>242</v>
      </c>
      <c r="S13" s="195" t="s">
        <v>26</v>
      </c>
      <c r="T13" s="557"/>
      <c r="U13" s="18" t="s">
        <v>20</v>
      </c>
      <c r="V13" s="18" t="s">
        <v>21</v>
      </c>
      <c r="X13" s="19"/>
      <c r="Y13" s="21" t="s">
        <v>235</v>
      </c>
      <c r="Z13" s="547"/>
      <c r="AA13" s="535"/>
    </row>
    <row r="14" spans="1:27" ht="12.75">
      <c r="A14" s="559"/>
      <c r="B14" s="18"/>
      <c r="C14" s="562"/>
      <c r="D14" s="18" t="s">
        <v>24</v>
      </c>
      <c r="E14" s="18" t="s">
        <v>49</v>
      </c>
      <c r="F14" s="18" t="s">
        <v>27</v>
      </c>
      <c r="G14" s="18"/>
      <c r="H14" s="18"/>
      <c r="I14" s="544"/>
      <c r="J14" s="545"/>
      <c r="K14" s="544"/>
      <c r="L14" s="545"/>
      <c r="M14" s="544"/>
      <c r="N14" s="545"/>
      <c r="O14" s="18" t="s">
        <v>240</v>
      </c>
      <c r="P14" s="18"/>
      <c r="Q14" s="18"/>
      <c r="R14" s="22" t="s">
        <v>38</v>
      </c>
      <c r="S14" s="195" t="s">
        <v>61</v>
      </c>
      <c r="T14" s="557"/>
      <c r="U14" s="18" t="s">
        <v>23</v>
      </c>
      <c r="V14" s="24"/>
      <c r="W14" s="21"/>
      <c r="X14" s="17"/>
      <c r="Y14" s="17" t="s">
        <v>35</v>
      </c>
      <c r="Z14" s="547"/>
      <c r="AA14" s="535"/>
    </row>
    <row r="15" spans="1:27" ht="12.75">
      <c r="A15" s="559"/>
      <c r="B15" s="18"/>
      <c r="C15" s="562"/>
      <c r="D15" s="18"/>
      <c r="E15" s="18"/>
      <c r="F15" s="18"/>
      <c r="G15" s="18"/>
      <c r="H15" s="18"/>
      <c r="I15" s="18" t="s">
        <v>25</v>
      </c>
      <c r="J15" s="18" t="s">
        <v>26</v>
      </c>
      <c r="K15" s="18" t="s">
        <v>25</v>
      </c>
      <c r="L15" s="18" t="s">
        <v>26</v>
      </c>
      <c r="M15" s="18" t="s">
        <v>25</v>
      </c>
      <c r="N15" s="18" t="s">
        <v>26</v>
      </c>
      <c r="O15" s="396" t="s">
        <v>279</v>
      </c>
      <c r="P15" s="18"/>
      <c r="Q15" s="18"/>
      <c r="R15" s="22"/>
      <c r="T15" s="557"/>
      <c r="U15" s="18"/>
      <c r="V15" s="24"/>
      <c r="W15" s="21"/>
      <c r="X15" s="25"/>
      <c r="Y15" s="25"/>
      <c r="Z15" s="547"/>
      <c r="AA15" s="535"/>
    </row>
    <row r="16" spans="1:27" ht="15">
      <c r="A16" s="559"/>
      <c r="B16" s="108"/>
      <c r="C16" s="562"/>
      <c r="E16" s="18"/>
      <c r="F16" s="18"/>
      <c r="G16" s="18"/>
      <c r="H16" s="18"/>
      <c r="J16" s="18"/>
      <c r="K16" s="18"/>
      <c r="L16" s="18"/>
      <c r="M16" s="18"/>
      <c r="N16" s="18"/>
      <c r="O16" s="18" t="s">
        <v>397</v>
      </c>
      <c r="P16" s="195"/>
      <c r="Q16" s="195"/>
      <c r="R16" s="22"/>
      <c r="S16" s="291"/>
      <c r="T16" s="557"/>
      <c r="U16" s="26"/>
      <c r="V16" s="359" t="s">
        <v>250</v>
      </c>
      <c r="W16" s="27"/>
      <c r="X16" s="25"/>
      <c r="Y16" s="25"/>
      <c r="Z16" s="547"/>
      <c r="AA16" s="535"/>
    </row>
    <row r="17" spans="1:27" ht="12.75">
      <c r="A17" s="560"/>
      <c r="B17" s="28"/>
      <c r="C17" s="563"/>
      <c r="D17" s="28"/>
      <c r="E17" s="28" t="s">
        <v>29</v>
      </c>
      <c r="F17" s="28" t="s">
        <v>29</v>
      </c>
      <c r="G17" s="28" t="s">
        <v>30</v>
      </c>
      <c r="H17" s="28" t="s">
        <v>31</v>
      </c>
      <c r="I17" s="28" t="s">
        <v>28</v>
      </c>
      <c r="J17" s="28" t="s">
        <v>31</v>
      </c>
      <c r="K17" s="28" t="s">
        <v>30</v>
      </c>
      <c r="L17" s="28" t="s">
        <v>31</v>
      </c>
      <c r="M17" s="28" t="s">
        <v>30</v>
      </c>
      <c r="N17" s="28" t="s">
        <v>31</v>
      </c>
      <c r="O17" s="28" t="s">
        <v>31</v>
      </c>
      <c r="P17" s="196"/>
      <c r="Q17" s="196"/>
      <c r="R17" s="343" t="s">
        <v>60</v>
      </c>
      <c r="S17" s="153"/>
      <c r="T17" s="153" t="s">
        <v>31</v>
      </c>
      <c r="U17" s="28" t="s">
        <v>31</v>
      </c>
      <c r="V17" s="28" t="s">
        <v>31</v>
      </c>
      <c r="W17" s="28" t="s">
        <v>30</v>
      </c>
      <c r="X17" s="30" t="s">
        <v>32</v>
      </c>
      <c r="Y17" s="30" t="s">
        <v>32</v>
      </c>
      <c r="Z17" s="548"/>
      <c r="AA17" s="536"/>
    </row>
    <row r="18" spans="1:27" ht="13.5" thickBot="1">
      <c r="A18" s="31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2">
        <v>10</v>
      </c>
      <c r="K18" s="32">
        <v>11</v>
      </c>
      <c r="L18" s="32">
        <v>12</v>
      </c>
      <c r="M18" s="32">
        <v>13</v>
      </c>
      <c r="N18" s="32">
        <v>14</v>
      </c>
      <c r="O18" s="32">
        <v>15</v>
      </c>
      <c r="P18" s="32">
        <v>16</v>
      </c>
      <c r="Q18" s="32">
        <v>17</v>
      </c>
      <c r="R18" s="32">
        <v>18</v>
      </c>
      <c r="S18" s="32">
        <v>19</v>
      </c>
      <c r="T18" s="32">
        <v>20</v>
      </c>
      <c r="U18" s="32">
        <v>21</v>
      </c>
      <c r="V18" s="32">
        <v>22</v>
      </c>
      <c r="W18" s="32">
        <v>23</v>
      </c>
      <c r="X18" s="32">
        <v>27</v>
      </c>
      <c r="Y18" s="32">
        <v>28</v>
      </c>
      <c r="Z18" s="32">
        <v>29</v>
      </c>
      <c r="AA18" s="145">
        <v>30</v>
      </c>
    </row>
    <row r="19" spans="1:27" ht="12.75" hidden="1">
      <c r="A19" s="525">
        <v>1</v>
      </c>
      <c r="B19" s="109" t="s">
        <v>68</v>
      </c>
      <c r="C19" s="137"/>
      <c r="D19" s="178"/>
      <c r="E19" s="83"/>
      <c r="F19" s="83"/>
      <c r="G19" s="272" t="s">
        <v>81</v>
      </c>
      <c r="H19" s="84"/>
      <c r="I19" s="167">
        <f>2.1*1.23</f>
        <v>2.583</v>
      </c>
      <c r="J19" s="210"/>
      <c r="K19" s="263"/>
      <c r="L19" s="84"/>
      <c r="M19" s="263"/>
      <c r="N19" s="84"/>
      <c r="O19" s="189">
        <f>E20*2.51*1.23</f>
        <v>0.3118173</v>
      </c>
      <c r="P19" s="269">
        <v>0.0036</v>
      </c>
      <c r="Q19" s="269">
        <v>0.0037</v>
      </c>
      <c r="R19" s="165">
        <f aca="true" t="shared" si="0" ref="R19:R24">(Q19-P19)</f>
        <v>0.00010000000000000026</v>
      </c>
      <c r="S19" s="131">
        <f>R19/E20</f>
        <v>0.0009900990099009927</v>
      </c>
      <c r="T19" s="189"/>
      <c r="U19" s="190"/>
      <c r="V19" s="174"/>
      <c r="W19" s="175"/>
      <c r="X19" s="191"/>
      <c r="Y19" s="191"/>
      <c r="Z19" s="191"/>
      <c r="AA19" s="104"/>
    </row>
    <row r="20" spans="1:27" ht="12.75" hidden="1">
      <c r="A20" s="524"/>
      <c r="B20" s="160" t="s">
        <v>78</v>
      </c>
      <c r="C20" s="64" t="s">
        <v>64</v>
      </c>
      <c r="D20" s="169">
        <v>15.7122</v>
      </c>
      <c r="E20" s="176">
        <v>0.101</v>
      </c>
      <c r="F20" s="281">
        <v>0.101</v>
      </c>
      <c r="G20" s="75">
        <f>0.2147*1.23</f>
        <v>0.264081</v>
      </c>
      <c r="H20" s="271">
        <f>F20*G20*1000</f>
        <v>26.672181000000002</v>
      </c>
      <c r="I20" s="171">
        <f>9.39*1.23</f>
        <v>11.549700000000001</v>
      </c>
      <c r="J20" s="122">
        <f>X20*(I19+I20)</f>
        <v>706.6350000000001</v>
      </c>
      <c r="K20" s="170">
        <f>0.03145*1.23</f>
        <v>0.038683499999999996</v>
      </c>
      <c r="L20" s="62">
        <f>(E20)*K20*1000</f>
        <v>3.9070334999999994</v>
      </c>
      <c r="M20" s="170">
        <f>0.01294*1.23</f>
        <v>0.0159162</v>
      </c>
      <c r="N20" s="62">
        <f>(E20)*M20*1000</f>
        <v>1.6075362</v>
      </c>
      <c r="O20" s="171">
        <f>27*1.23</f>
        <v>33.21</v>
      </c>
      <c r="P20" s="170">
        <v>12.6591</v>
      </c>
      <c r="Q20" s="170">
        <v>12.7249</v>
      </c>
      <c r="R20" s="185">
        <f t="shared" si="0"/>
        <v>0.06579999999999941</v>
      </c>
      <c r="S20" s="177"/>
      <c r="T20" s="290">
        <f>0*1.23</f>
        <v>0</v>
      </c>
      <c r="U20" s="192"/>
      <c r="V20" s="129">
        <f>J20+L19+L20+N19+N20+O19+O20+T19+T20+U20</f>
        <v>745.6713870000002</v>
      </c>
      <c r="W20" s="170">
        <f>(H19+H20+V20)/(E19+E20)/1000</f>
        <v>7.646966019801982</v>
      </c>
      <c r="X20" s="71">
        <v>50</v>
      </c>
      <c r="Y20" s="72">
        <v>22</v>
      </c>
      <c r="Z20" s="193"/>
      <c r="AA20" s="101">
        <f>V20/1.23</f>
        <v>606.2369000000002</v>
      </c>
    </row>
    <row r="21" spans="1:27" ht="12.75" hidden="1">
      <c r="A21" s="525">
        <v>2</v>
      </c>
      <c r="B21" s="109" t="s">
        <v>73</v>
      </c>
      <c r="C21" s="137"/>
      <c r="D21" s="178"/>
      <c r="E21" s="83"/>
      <c r="F21" s="83"/>
      <c r="G21" s="272" t="s">
        <v>82</v>
      </c>
      <c r="H21" s="84"/>
      <c r="I21" s="167">
        <f>3.8*1.23</f>
        <v>4.6739999999999995</v>
      </c>
      <c r="J21" s="210"/>
      <c r="K21" s="263"/>
      <c r="L21" s="84"/>
      <c r="M21" s="263"/>
      <c r="N21" s="84"/>
      <c r="O21" s="189">
        <f>E22*3.7*1.23</f>
        <v>0</v>
      </c>
      <c r="P21" s="269">
        <v>0.0037</v>
      </c>
      <c r="Q21" s="269">
        <v>0.004</v>
      </c>
      <c r="R21" s="165">
        <f t="shared" si="0"/>
        <v>0.0002999999999999999</v>
      </c>
      <c r="S21" s="131" t="e">
        <f>R21/E22</f>
        <v>#DIV/0!</v>
      </c>
      <c r="T21" s="189"/>
      <c r="U21" s="190"/>
      <c r="V21" s="174"/>
      <c r="W21" s="175"/>
      <c r="X21" s="179"/>
      <c r="Y21" s="179"/>
      <c r="Z21" s="191"/>
      <c r="AA21" s="104"/>
    </row>
    <row r="22" spans="1:27" ht="12.75" hidden="1">
      <c r="A22" s="524"/>
      <c r="B22" s="160" t="s">
        <v>74</v>
      </c>
      <c r="C22" s="64" t="s">
        <v>70</v>
      </c>
      <c r="D22" s="169">
        <v>15.7122</v>
      </c>
      <c r="E22" s="176">
        <f>(D22-D20)*Y$9</f>
        <v>0</v>
      </c>
      <c r="F22" s="281">
        <v>0</v>
      </c>
      <c r="G22" s="75">
        <f>0.2147*1.23</f>
        <v>0.264081</v>
      </c>
      <c r="H22" s="271">
        <f>F22*G22*1000</f>
        <v>0</v>
      </c>
      <c r="I22" s="171">
        <f>9.1*1.23</f>
        <v>11.193</v>
      </c>
      <c r="J22" s="122">
        <f>X22*(I21+I22)</f>
        <v>793.3499999999999</v>
      </c>
      <c r="K22" s="170">
        <f>0.03561*1.23</f>
        <v>0.0438003</v>
      </c>
      <c r="L22" s="62">
        <f>(E22)*K22*1000</f>
        <v>0</v>
      </c>
      <c r="M22" s="170">
        <f>0.0127*1.23</f>
        <v>0.015621</v>
      </c>
      <c r="N22" s="62">
        <f>(E22)*M22*1000</f>
        <v>0</v>
      </c>
      <c r="O22" s="171">
        <f>23*1.23</f>
        <v>28.29</v>
      </c>
      <c r="P22" s="170">
        <v>12.7249</v>
      </c>
      <c r="Q22" s="170">
        <v>12.7249</v>
      </c>
      <c r="R22" s="185">
        <f t="shared" si="0"/>
        <v>0</v>
      </c>
      <c r="S22" s="177"/>
      <c r="T22" s="290">
        <f>0*1.23</f>
        <v>0</v>
      </c>
      <c r="U22" s="192"/>
      <c r="V22" s="129">
        <f>J22+L21+L22+N21+N22+O21+O22+T21+T22+U22</f>
        <v>821.6399999999999</v>
      </c>
      <c r="W22" s="170" t="e">
        <f>(H21+H22+V22)/(E21+E22)/1000</f>
        <v>#DIV/0!</v>
      </c>
      <c r="X22" s="71">
        <v>50</v>
      </c>
      <c r="Y22" s="72">
        <v>0</v>
      </c>
      <c r="Z22" s="193"/>
      <c r="AA22" s="101">
        <f>V22/1.23</f>
        <v>667.9999999999999</v>
      </c>
    </row>
    <row r="23" spans="1:27" ht="12.75" hidden="1">
      <c r="A23" s="525">
        <v>3</v>
      </c>
      <c r="B23" s="109" t="s">
        <v>88</v>
      </c>
      <c r="C23" s="137"/>
      <c r="D23" s="178"/>
      <c r="E23" s="83"/>
      <c r="F23" s="83"/>
      <c r="G23" s="272" t="s">
        <v>92</v>
      </c>
      <c r="H23" s="84"/>
      <c r="I23" s="167">
        <f>3.8*1.23</f>
        <v>4.6739999999999995</v>
      </c>
      <c r="J23" s="210"/>
      <c r="K23" s="263"/>
      <c r="L23" s="84"/>
      <c r="M23" s="263"/>
      <c r="N23" s="84"/>
      <c r="O23" s="189">
        <f>E24*3.7*1.23</f>
        <v>0.0009102000000059629</v>
      </c>
      <c r="P23" s="269">
        <v>0.004</v>
      </c>
      <c r="Q23" s="269">
        <v>0.004</v>
      </c>
      <c r="R23" s="165">
        <f t="shared" si="0"/>
        <v>0</v>
      </c>
      <c r="S23" s="131">
        <f>R23/E24</f>
        <v>0</v>
      </c>
      <c r="T23" s="189"/>
      <c r="U23" s="190"/>
      <c r="V23" s="174"/>
      <c r="W23" s="175"/>
      <c r="X23" s="179"/>
      <c r="Y23" s="179"/>
      <c r="Z23" s="191"/>
      <c r="AA23" s="104"/>
    </row>
    <row r="24" spans="1:27" ht="12.75" hidden="1">
      <c r="A24" s="524"/>
      <c r="B24" s="160" t="s">
        <v>89</v>
      </c>
      <c r="C24" s="64" t="s">
        <v>86</v>
      </c>
      <c r="D24" s="169">
        <v>15.7124</v>
      </c>
      <c r="E24" s="176">
        <f>(D24-D22)*Y$9</f>
        <v>0.00020000000000131024</v>
      </c>
      <c r="F24" s="281">
        <v>0</v>
      </c>
      <c r="G24" s="75">
        <f>0.2147*1.23</f>
        <v>0.264081</v>
      </c>
      <c r="H24" s="271">
        <f>F24*G24*1000</f>
        <v>0</v>
      </c>
      <c r="I24" s="171">
        <f>9.1*1.23</f>
        <v>11.193</v>
      </c>
      <c r="J24" s="122">
        <f>X24*(I23+I24)</f>
        <v>793.3499999999999</v>
      </c>
      <c r="K24" s="170">
        <f>0.03561*1.23</f>
        <v>0.0438003</v>
      </c>
      <c r="L24" s="62">
        <f>(E24)*K24*1000</f>
        <v>0.00876006000005739</v>
      </c>
      <c r="M24" s="170">
        <f>0.0127*1.23</f>
        <v>0.015621</v>
      </c>
      <c r="N24" s="62">
        <f>(E24)*M24*1000</f>
        <v>0.0031242000000204673</v>
      </c>
      <c r="O24" s="171">
        <f>23*1.23</f>
        <v>28.29</v>
      </c>
      <c r="P24" s="170">
        <v>12.7249</v>
      </c>
      <c r="Q24" s="170">
        <v>12.7249</v>
      </c>
      <c r="R24" s="185">
        <f t="shared" si="0"/>
        <v>0</v>
      </c>
      <c r="S24" s="177"/>
      <c r="T24" s="177"/>
      <c r="U24" s="192"/>
      <c r="V24" s="129">
        <f>J24+L23+L24+N23+N24+O23+O24+T23+T24+U24</f>
        <v>821.65279446</v>
      </c>
      <c r="W24" s="170">
        <f>(H23+H24+V24)/(E23+E24)/1000</f>
        <v>4108.2639722730855</v>
      </c>
      <c r="X24" s="71">
        <v>50</v>
      </c>
      <c r="Y24" s="72">
        <v>0</v>
      </c>
      <c r="Z24" s="193"/>
      <c r="AA24" s="101">
        <f>V24/1.23</f>
        <v>668.010402</v>
      </c>
    </row>
    <row r="25" spans="1:27" ht="12.75" hidden="1">
      <c r="A25" s="525">
        <v>4</v>
      </c>
      <c r="B25" s="109" t="s">
        <v>101</v>
      </c>
      <c r="C25" s="137"/>
      <c r="D25" s="178"/>
      <c r="E25" s="83"/>
      <c r="F25" s="83"/>
      <c r="G25" s="272" t="s">
        <v>106</v>
      </c>
      <c r="H25" s="84"/>
      <c r="I25" s="167">
        <f>3.8*1.23</f>
        <v>4.6739999999999995</v>
      </c>
      <c r="J25" s="210"/>
      <c r="K25" s="263"/>
      <c r="L25" s="84"/>
      <c r="M25" s="263"/>
      <c r="N25" s="84"/>
      <c r="O25" s="189">
        <f>E26*3.7*1.23</f>
        <v>0</v>
      </c>
      <c r="P25" s="269">
        <v>0.004</v>
      </c>
      <c r="Q25" s="269">
        <v>0.0042</v>
      </c>
      <c r="R25" s="165">
        <f aca="true" t="shared" si="1" ref="R25:R30">(Q25-P25)</f>
        <v>0.00019999999999999966</v>
      </c>
      <c r="S25" s="131" t="e">
        <f>R25/E26</f>
        <v>#DIV/0!</v>
      </c>
      <c r="T25" s="189"/>
      <c r="U25" s="190"/>
      <c r="V25" s="174"/>
      <c r="W25" s="175"/>
      <c r="X25" s="179"/>
      <c r="Y25" s="179"/>
      <c r="Z25" s="191"/>
      <c r="AA25" s="104"/>
    </row>
    <row r="26" spans="1:27" ht="12.75" hidden="1">
      <c r="A26" s="524"/>
      <c r="B26" s="160" t="s">
        <v>102</v>
      </c>
      <c r="C26" s="64" t="s">
        <v>99</v>
      </c>
      <c r="D26" s="169">
        <v>15.7124</v>
      </c>
      <c r="E26" s="176">
        <f>(D26-D24)*Y$9</f>
        <v>0</v>
      </c>
      <c r="F26" s="281">
        <v>0</v>
      </c>
      <c r="G26" s="75">
        <f>0.2147*1.23</f>
        <v>0.264081</v>
      </c>
      <c r="H26" s="271">
        <f>F26*G26*1000</f>
        <v>0</v>
      </c>
      <c r="I26" s="171">
        <f>9.1*1.23</f>
        <v>11.193</v>
      </c>
      <c r="J26" s="122">
        <f>X26*(I25+I26)</f>
        <v>793.3499999999999</v>
      </c>
      <c r="K26" s="170">
        <f>0.03561*1.23</f>
        <v>0.0438003</v>
      </c>
      <c r="L26" s="62">
        <f>(E26)*K26*1000</f>
        <v>0</v>
      </c>
      <c r="M26" s="170">
        <f>0.0127*1.23</f>
        <v>0.015621</v>
      </c>
      <c r="N26" s="62">
        <f>(E26)*M26*1000</f>
        <v>0</v>
      </c>
      <c r="O26" s="171">
        <f>23*1.23</f>
        <v>28.29</v>
      </c>
      <c r="P26" s="170">
        <v>12.7249</v>
      </c>
      <c r="Q26" s="170">
        <v>12.7249</v>
      </c>
      <c r="R26" s="185">
        <f t="shared" si="1"/>
        <v>0</v>
      </c>
      <c r="S26" s="177"/>
      <c r="T26" s="290"/>
      <c r="U26" s="192"/>
      <c r="V26" s="129">
        <f>J26+L25+L26+N25+N26+O25+O26+T25+T26+U26</f>
        <v>821.6399999999999</v>
      </c>
      <c r="W26" s="170" t="e">
        <f>(H25+H26+V26)/(E25+E26)/1000</f>
        <v>#DIV/0!</v>
      </c>
      <c r="X26" s="71">
        <v>50</v>
      </c>
      <c r="Y26" s="72">
        <v>18</v>
      </c>
      <c r="Z26" s="193"/>
      <c r="AA26" s="101">
        <f>V26/1.23</f>
        <v>667.9999999999999</v>
      </c>
    </row>
    <row r="27" spans="1:27" ht="12.75" hidden="1">
      <c r="A27" s="525">
        <v>5</v>
      </c>
      <c r="B27" s="109" t="s">
        <v>107</v>
      </c>
      <c r="C27" s="137"/>
      <c r="D27" s="178"/>
      <c r="E27" s="83"/>
      <c r="F27" s="83"/>
      <c r="G27" s="272" t="s">
        <v>117</v>
      </c>
      <c r="H27" s="84"/>
      <c r="I27" s="167">
        <f>3.8*1.23</f>
        <v>4.6739999999999995</v>
      </c>
      <c r="J27" s="210"/>
      <c r="K27" s="263"/>
      <c r="L27" s="84"/>
      <c r="M27" s="263"/>
      <c r="N27" s="84"/>
      <c r="O27" s="189">
        <f>E28*3.7*1.23</f>
        <v>0</v>
      </c>
      <c r="P27" s="269">
        <v>0.0042</v>
      </c>
      <c r="Q27" s="269">
        <v>0.0042</v>
      </c>
      <c r="R27" s="165">
        <f t="shared" si="1"/>
        <v>0</v>
      </c>
      <c r="S27" s="131" t="e">
        <f>R27/E28</f>
        <v>#DIV/0!</v>
      </c>
      <c r="T27" s="189"/>
      <c r="U27" s="190"/>
      <c r="V27" s="174"/>
      <c r="W27" s="175"/>
      <c r="X27" s="179"/>
      <c r="Y27" s="179"/>
      <c r="Z27" s="191"/>
      <c r="AA27" s="104"/>
    </row>
    <row r="28" spans="1:27" ht="12.75" hidden="1">
      <c r="A28" s="524"/>
      <c r="B28" s="160" t="s">
        <v>108</v>
      </c>
      <c r="C28" s="64" t="s">
        <v>109</v>
      </c>
      <c r="D28" s="169">
        <v>15.7124</v>
      </c>
      <c r="E28" s="176">
        <f>(D28-D26)*Y$9</f>
        <v>0</v>
      </c>
      <c r="F28" s="281">
        <v>0</v>
      </c>
      <c r="G28" s="75">
        <f>0.2147*1.23</f>
        <v>0.264081</v>
      </c>
      <c r="H28" s="271">
        <f>F28*G28*1000</f>
        <v>0</v>
      </c>
      <c r="I28" s="171">
        <f>9.1*1.23</f>
        <v>11.193</v>
      </c>
      <c r="J28" s="122">
        <f>X28*(I27+I28)</f>
        <v>793.3499999999999</v>
      </c>
      <c r="K28" s="170">
        <f>0.03561*1.23</f>
        <v>0.0438003</v>
      </c>
      <c r="L28" s="62">
        <f>(E28)*K28*1000</f>
        <v>0</v>
      </c>
      <c r="M28" s="170">
        <f>0.0127*1.23</f>
        <v>0.015621</v>
      </c>
      <c r="N28" s="62">
        <f>(E28)*M28*1000</f>
        <v>0</v>
      </c>
      <c r="O28" s="171">
        <f>23*1.23</f>
        <v>28.29</v>
      </c>
      <c r="P28" s="170">
        <v>12.7249</v>
      </c>
      <c r="Q28" s="170">
        <v>12.7249</v>
      </c>
      <c r="R28" s="185">
        <f t="shared" si="1"/>
        <v>0</v>
      </c>
      <c r="S28" s="177"/>
      <c r="T28" s="290"/>
      <c r="U28" s="192"/>
      <c r="V28" s="129">
        <f>J28+L27+L28+N27+N28+O27+O28+T27+T28+U28</f>
        <v>821.6399999999999</v>
      </c>
      <c r="W28" s="170" t="e">
        <f>(H27+H28+V28)/(E27+E28)/1000</f>
        <v>#DIV/0!</v>
      </c>
      <c r="X28" s="71">
        <v>50</v>
      </c>
      <c r="Y28" s="72">
        <v>18</v>
      </c>
      <c r="Z28" s="193"/>
      <c r="AA28" s="101">
        <f>V28/1.23</f>
        <v>667.9999999999999</v>
      </c>
    </row>
    <row r="29" spans="1:27" ht="12.75" hidden="1">
      <c r="A29" s="525">
        <v>6</v>
      </c>
      <c r="B29" s="109" t="s">
        <v>124</v>
      </c>
      <c r="C29" s="137"/>
      <c r="D29" s="178"/>
      <c r="E29" s="83"/>
      <c r="F29" s="83"/>
      <c r="G29" s="272" t="s">
        <v>128</v>
      </c>
      <c r="H29" s="84"/>
      <c r="I29" s="167">
        <f>3.8*1.23</f>
        <v>4.6739999999999995</v>
      </c>
      <c r="J29" s="210"/>
      <c r="K29" s="263"/>
      <c r="L29" s="84"/>
      <c r="M29" s="263"/>
      <c r="N29" s="84"/>
      <c r="O29" s="189">
        <f>E30*3.7*1.23</f>
        <v>0</v>
      </c>
      <c r="P29" s="269">
        <v>0.0042</v>
      </c>
      <c r="Q29" s="269">
        <v>0.0042</v>
      </c>
      <c r="R29" s="165">
        <f t="shared" si="1"/>
        <v>0</v>
      </c>
      <c r="S29" s="131" t="e">
        <f>R29/E30</f>
        <v>#DIV/0!</v>
      </c>
      <c r="T29" s="189"/>
      <c r="U29" s="190"/>
      <c r="V29" s="174"/>
      <c r="W29" s="175"/>
      <c r="X29" s="179"/>
      <c r="Y29" s="179"/>
      <c r="Z29" s="191"/>
      <c r="AA29" s="104"/>
    </row>
    <row r="30" spans="1:27" ht="12.75" hidden="1">
      <c r="A30" s="524"/>
      <c r="B30" s="160" t="s">
        <v>125</v>
      </c>
      <c r="C30" s="64" t="s">
        <v>119</v>
      </c>
      <c r="D30" s="169">
        <v>15.7124</v>
      </c>
      <c r="E30" s="176">
        <f>(D30-D28)*Y$9</f>
        <v>0</v>
      </c>
      <c r="F30" s="281">
        <v>0</v>
      </c>
      <c r="G30" s="75">
        <f>0.2147*1.23</f>
        <v>0.264081</v>
      </c>
      <c r="H30" s="271">
        <f>F30*G30*1000</f>
        <v>0</v>
      </c>
      <c r="I30" s="171">
        <f>9.1*1.23</f>
        <v>11.193</v>
      </c>
      <c r="J30" s="122">
        <f>X30*(I29+I30)</f>
        <v>793.3499999999999</v>
      </c>
      <c r="K30" s="170">
        <f>0.03561*1.23</f>
        <v>0.0438003</v>
      </c>
      <c r="L30" s="62">
        <f>(E30)*K30*1000</f>
        <v>0</v>
      </c>
      <c r="M30" s="170">
        <f>0.0127*1.23</f>
        <v>0.015621</v>
      </c>
      <c r="N30" s="62">
        <f>(E30)*M30*1000</f>
        <v>0</v>
      </c>
      <c r="O30" s="171">
        <f>23*1.23</f>
        <v>28.29</v>
      </c>
      <c r="P30" s="170">
        <v>12.7249</v>
      </c>
      <c r="Q30" s="170">
        <v>12.7249</v>
      </c>
      <c r="R30" s="185">
        <f t="shared" si="1"/>
        <v>0</v>
      </c>
      <c r="S30" s="177"/>
      <c r="T30" s="290"/>
      <c r="U30" s="192"/>
      <c r="V30" s="129">
        <f>J30+L29+L30+N29+N30+O29+O30+T29+T30+U30</f>
        <v>821.6399999999999</v>
      </c>
      <c r="W30" s="170" t="e">
        <f>(H29+H30+V30)/(E29+E30)/1000</f>
        <v>#DIV/0!</v>
      </c>
      <c r="X30" s="71">
        <v>50</v>
      </c>
      <c r="Y30" s="72">
        <v>18</v>
      </c>
      <c r="Z30" s="193"/>
      <c r="AA30" s="101">
        <f>V30/1.23</f>
        <v>667.9999999999999</v>
      </c>
    </row>
    <row r="31" spans="1:27" ht="12.75" hidden="1">
      <c r="A31" s="525">
        <v>7</v>
      </c>
      <c r="B31" s="109" t="s">
        <v>130</v>
      </c>
      <c r="C31" s="137"/>
      <c r="D31" s="178"/>
      <c r="E31" s="83"/>
      <c r="F31" s="83"/>
      <c r="G31" s="272" t="s">
        <v>140</v>
      </c>
      <c r="H31" s="84"/>
      <c r="I31" s="167">
        <f>3.8*1.23</f>
        <v>4.6739999999999995</v>
      </c>
      <c r="J31" s="210"/>
      <c r="K31" s="263"/>
      <c r="L31" s="84"/>
      <c r="M31" s="263"/>
      <c r="N31" s="84"/>
      <c r="O31" s="189">
        <f>E32*3.7*1.23</f>
        <v>0.2844375</v>
      </c>
      <c r="P31" s="269">
        <v>0.0042</v>
      </c>
      <c r="Q31" s="269">
        <v>0.0042</v>
      </c>
      <c r="R31" s="165">
        <f aca="true" t="shared" si="2" ref="R31:R36">(Q31-P31)</f>
        <v>0</v>
      </c>
      <c r="S31" s="131">
        <f>R31/E32</f>
        <v>0</v>
      </c>
      <c r="T31" s="189"/>
      <c r="U31" s="190"/>
      <c r="V31" s="174"/>
      <c r="W31" s="175"/>
      <c r="X31" s="179"/>
      <c r="Y31" s="179"/>
      <c r="Z31" s="191"/>
      <c r="AA31" s="104"/>
    </row>
    <row r="32" spans="1:27" ht="12.75" hidden="1">
      <c r="A32" s="524"/>
      <c r="B32" s="160" t="s">
        <v>132</v>
      </c>
      <c r="C32" s="64" t="s">
        <v>131</v>
      </c>
      <c r="D32" s="169">
        <v>15.7749</v>
      </c>
      <c r="E32" s="176">
        <f>(D32-D30)*Y$9</f>
        <v>0.0625</v>
      </c>
      <c r="F32" s="281">
        <v>0.063</v>
      </c>
      <c r="G32" s="75">
        <f>0.2147*1.23</f>
        <v>0.264081</v>
      </c>
      <c r="H32" s="271">
        <f>F32*G32*1000</f>
        <v>16.637103</v>
      </c>
      <c r="I32" s="171">
        <f>9.1*1.23</f>
        <v>11.193</v>
      </c>
      <c r="J32" s="122">
        <f>X32*(I31+I32)</f>
        <v>793.3499999999999</v>
      </c>
      <c r="K32" s="170">
        <f>0.03561*1.23</f>
        <v>0.0438003</v>
      </c>
      <c r="L32" s="62">
        <f>(E32)*K32*1000</f>
        <v>2.73751875</v>
      </c>
      <c r="M32" s="170">
        <f>0.0127*1.23</f>
        <v>0.015621</v>
      </c>
      <c r="N32" s="62">
        <f>(E32)*M32*1000</f>
        <v>0.9763124999999999</v>
      </c>
      <c r="O32" s="171">
        <f>23*1.23</f>
        <v>28.29</v>
      </c>
      <c r="P32" s="170">
        <v>12.7249</v>
      </c>
      <c r="Q32" s="170">
        <v>12.7622</v>
      </c>
      <c r="R32" s="185">
        <f t="shared" si="2"/>
        <v>0.03730000000000011</v>
      </c>
      <c r="S32" s="177"/>
      <c r="T32" s="290">
        <f>6.29*1.23</f>
        <v>7.7367</v>
      </c>
      <c r="U32" s="192"/>
      <c r="V32" s="129">
        <f>J32+L31+L32+N31+N32+O31+O32+T31+T32+U32</f>
        <v>833.3749687499999</v>
      </c>
      <c r="W32" s="170">
        <f>(H31+H32+V32)/(E31+E32)/1000</f>
        <v>13.600193147999999</v>
      </c>
      <c r="X32" s="71">
        <v>50</v>
      </c>
      <c r="Y32" s="72">
        <v>20</v>
      </c>
      <c r="Z32" s="193"/>
      <c r="AA32" s="101">
        <f>V32/1.23</f>
        <v>677.5406249999999</v>
      </c>
    </row>
    <row r="33" spans="1:27" ht="12.75" hidden="1">
      <c r="A33" s="525">
        <v>8</v>
      </c>
      <c r="B33" s="109" t="s">
        <v>142</v>
      </c>
      <c r="C33" s="137"/>
      <c r="D33" s="178"/>
      <c r="E33" s="83"/>
      <c r="F33" s="83"/>
      <c r="G33" s="272" t="s">
        <v>150</v>
      </c>
      <c r="H33" s="84"/>
      <c r="I33" s="167">
        <f>3.8*1.23</f>
        <v>4.6739999999999995</v>
      </c>
      <c r="J33" s="210"/>
      <c r="K33" s="263"/>
      <c r="L33" s="84"/>
      <c r="M33" s="263"/>
      <c r="N33" s="84"/>
      <c r="O33" s="189">
        <f>E34*3.7*1.23</f>
        <v>0</v>
      </c>
      <c r="P33" s="269">
        <v>0.0042</v>
      </c>
      <c r="Q33" s="269">
        <v>0.0042</v>
      </c>
      <c r="R33" s="165">
        <f t="shared" si="2"/>
        <v>0</v>
      </c>
      <c r="S33" s="131" t="e">
        <f>R33/E34</f>
        <v>#DIV/0!</v>
      </c>
      <c r="T33" s="189"/>
      <c r="U33" s="190"/>
      <c r="V33" s="174"/>
      <c r="W33" s="175"/>
      <c r="X33" s="179"/>
      <c r="Y33" s="179"/>
      <c r="Z33" s="191"/>
      <c r="AA33" s="104"/>
    </row>
    <row r="34" spans="1:27" ht="12.75" hidden="1">
      <c r="A34" s="524"/>
      <c r="B34" s="160" t="s">
        <v>143</v>
      </c>
      <c r="C34" s="64" t="s">
        <v>144</v>
      </c>
      <c r="D34" s="169">
        <v>15.7749</v>
      </c>
      <c r="E34" s="176">
        <f>(D34-D32)*Y$9</f>
        <v>0</v>
      </c>
      <c r="F34" s="281">
        <v>0</v>
      </c>
      <c r="G34" s="75">
        <f>0.2147*1.23</f>
        <v>0.264081</v>
      </c>
      <c r="H34" s="271">
        <f>F34*G34*1000</f>
        <v>0</v>
      </c>
      <c r="I34" s="171">
        <f>9.1*1.23</f>
        <v>11.193</v>
      </c>
      <c r="J34" s="122">
        <f>X34*(I33+I34)</f>
        <v>793.3499999999999</v>
      </c>
      <c r="K34" s="170">
        <f>0.03561*1.23</f>
        <v>0.0438003</v>
      </c>
      <c r="L34" s="62">
        <f>(E34)*K34*1000</f>
        <v>0</v>
      </c>
      <c r="M34" s="170">
        <f>0.0127*1.23</f>
        <v>0.015621</v>
      </c>
      <c r="N34" s="62">
        <f>(E34)*M34*1000</f>
        <v>0</v>
      </c>
      <c r="O34" s="171">
        <f>23*1.23</f>
        <v>28.29</v>
      </c>
      <c r="P34" s="170">
        <v>12.7249</v>
      </c>
      <c r="Q34" s="170">
        <v>12.7622</v>
      </c>
      <c r="R34" s="185">
        <f t="shared" si="2"/>
        <v>0.03730000000000011</v>
      </c>
      <c r="S34" s="177"/>
      <c r="T34" s="290"/>
      <c r="U34" s="192"/>
      <c r="V34" s="129">
        <f>J34+L33+L34+N33+N34+O33+O34+T33+T34+U34</f>
        <v>821.6399999999999</v>
      </c>
      <c r="W34" s="170" t="e">
        <f>(H33+H34+V34)/(E33+E34)/1000</f>
        <v>#DIV/0!</v>
      </c>
      <c r="X34" s="71">
        <v>50</v>
      </c>
      <c r="Y34" s="72">
        <v>0</v>
      </c>
      <c r="Z34" s="193"/>
      <c r="AA34" s="101">
        <f>V34/1.23</f>
        <v>667.9999999999999</v>
      </c>
    </row>
    <row r="35" spans="1:27" ht="12.75" hidden="1">
      <c r="A35" s="525">
        <v>9</v>
      </c>
      <c r="B35" s="109" t="s">
        <v>151</v>
      </c>
      <c r="C35" s="137"/>
      <c r="D35" s="178"/>
      <c r="E35" s="83"/>
      <c r="F35" s="83"/>
      <c r="G35" s="272" t="s">
        <v>174</v>
      </c>
      <c r="H35" s="84"/>
      <c r="I35" s="167">
        <f>3.8*1.23</f>
        <v>4.6739999999999995</v>
      </c>
      <c r="J35" s="210"/>
      <c r="K35" s="263"/>
      <c r="L35" s="84"/>
      <c r="M35" s="263"/>
      <c r="N35" s="84"/>
      <c r="O35" s="189">
        <f>E36*3.7*1.23</f>
        <v>0</v>
      </c>
      <c r="P35" s="269">
        <v>0.0042</v>
      </c>
      <c r="Q35" s="269">
        <v>0.0042</v>
      </c>
      <c r="R35" s="165">
        <f t="shared" si="2"/>
        <v>0</v>
      </c>
      <c r="S35" s="131" t="e">
        <f>R35/E36</f>
        <v>#DIV/0!</v>
      </c>
      <c r="T35" s="189"/>
      <c r="U35" s="190"/>
      <c r="V35" s="174"/>
      <c r="W35" s="175"/>
      <c r="X35" s="179"/>
      <c r="Y35" s="179"/>
      <c r="Z35" s="191"/>
      <c r="AA35" s="104"/>
    </row>
    <row r="36" spans="1:27" ht="12.75" hidden="1">
      <c r="A36" s="524"/>
      <c r="B36" s="160" t="s">
        <v>153</v>
      </c>
      <c r="C36" s="64" t="s">
        <v>152</v>
      </c>
      <c r="D36" s="169">
        <v>15.7749</v>
      </c>
      <c r="E36" s="176">
        <f>(D36-D34)*Y$9</f>
        <v>0</v>
      </c>
      <c r="F36" s="281">
        <v>0</v>
      </c>
      <c r="G36" s="75">
        <f>0.2147*1.23</f>
        <v>0.264081</v>
      </c>
      <c r="H36" s="271">
        <f>F36*G36*1000</f>
        <v>0</v>
      </c>
      <c r="I36" s="171">
        <f>9.1*1.23</f>
        <v>11.193</v>
      </c>
      <c r="J36" s="122">
        <f>X36*(I35+I36)</f>
        <v>793.3499999999999</v>
      </c>
      <c r="K36" s="170">
        <f>0.03561*1.23</f>
        <v>0.0438003</v>
      </c>
      <c r="L36" s="62">
        <f>(E36)*K36*1000</f>
        <v>0</v>
      </c>
      <c r="M36" s="170">
        <f>0.0127*1.23</f>
        <v>0.015621</v>
      </c>
      <c r="N36" s="62">
        <f>(E36)*M36*1000</f>
        <v>0</v>
      </c>
      <c r="O36" s="171">
        <f>23*1.23</f>
        <v>28.29</v>
      </c>
      <c r="P36" s="170">
        <v>12.7622</v>
      </c>
      <c r="Q36" s="170">
        <v>12.7622</v>
      </c>
      <c r="R36" s="185">
        <f t="shared" si="2"/>
        <v>0</v>
      </c>
      <c r="S36" s="177"/>
      <c r="T36" s="290"/>
      <c r="U36" s="192"/>
      <c r="V36" s="129">
        <f>J36+L35+L36+N35+N36+O35+O36+T35+T36+U36</f>
        <v>821.6399999999999</v>
      </c>
      <c r="W36" s="170" t="e">
        <f>(H35+H36+V36)/(E35+E36)/1000</f>
        <v>#DIV/0!</v>
      </c>
      <c r="X36" s="71">
        <v>50</v>
      </c>
      <c r="Y36" s="72">
        <v>0</v>
      </c>
      <c r="Z36" s="193"/>
      <c r="AA36" s="101">
        <f>V36/1.23</f>
        <v>667.9999999999999</v>
      </c>
    </row>
    <row r="37" spans="1:27" ht="12.75" hidden="1">
      <c r="A37" s="525">
        <v>10</v>
      </c>
      <c r="B37" s="109" t="s">
        <v>175</v>
      </c>
      <c r="C37" s="137"/>
      <c r="D37" s="178"/>
      <c r="E37" s="83"/>
      <c r="F37" s="83"/>
      <c r="G37" s="272" t="s">
        <v>181</v>
      </c>
      <c r="H37" s="84"/>
      <c r="I37" s="167">
        <f>3.8*1.23</f>
        <v>4.6739999999999995</v>
      </c>
      <c r="J37" s="210"/>
      <c r="K37" s="263"/>
      <c r="L37" s="84"/>
      <c r="M37" s="263"/>
      <c r="N37" s="84"/>
      <c r="O37" s="189">
        <f>E38*3.7*1.23</f>
        <v>0</v>
      </c>
      <c r="P37" s="269">
        <v>0.0042</v>
      </c>
      <c r="Q37" s="269">
        <v>0.0042</v>
      </c>
      <c r="R37" s="165">
        <f aca="true" t="shared" si="3" ref="R37:R42">(Q37-P37)</f>
        <v>0</v>
      </c>
      <c r="S37" s="131" t="e">
        <f>R37/E38</f>
        <v>#DIV/0!</v>
      </c>
      <c r="T37" s="189"/>
      <c r="U37" s="190"/>
      <c r="V37" s="174"/>
      <c r="W37" s="175"/>
      <c r="X37" s="179"/>
      <c r="Y37" s="179"/>
      <c r="Z37" s="191"/>
      <c r="AA37" s="104"/>
    </row>
    <row r="38" spans="1:27" ht="12.75" hidden="1">
      <c r="A38" s="524"/>
      <c r="B38" s="160" t="s">
        <v>176</v>
      </c>
      <c r="C38" s="64" t="s">
        <v>177</v>
      </c>
      <c r="D38" s="169">
        <v>15.7749</v>
      </c>
      <c r="E38" s="176">
        <f>(D38-D36)*Y$9</f>
        <v>0</v>
      </c>
      <c r="F38" s="281">
        <v>0</v>
      </c>
      <c r="G38" s="75">
        <f>0.2147*1.23</f>
        <v>0.264081</v>
      </c>
      <c r="H38" s="271">
        <f>F38*G38*1000</f>
        <v>0</v>
      </c>
      <c r="I38" s="171">
        <f>9.1*1.23</f>
        <v>11.193</v>
      </c>
      <c r="J38" s="122">
        <f>X38*(I37+I38)</f>
        <v>793.3499999999999</v>
      </c>
      <c r="K38" s="170">
        <f>0.03561*1.23</f>
        <v>0.0438003</v>
      </c>
      <c r="L38" s="62">
        <f>(E38)*K38*1000</f>
        <v>0</v>
      </c>
      <c r="M38" s="170">
        <f>0.0127*1.23</f>
        <v>0.015621</v>
      </c>
      <c r="N38" s="62">
        <f>(E38)*M38*1000</f>
        <v>0</v>
      </c>
      <c r="O38" s="171">
        <f>23*1.23</f>
        <v>28.29</v>
      </c>
      <c r="P38" s="170">
        <v>12.7622</v>
      </c>
      <c r="Q38" s="170">
        <v>12.7622</v>
      </c>
      <c r="R38" s="185">
        <f t="shared" si="3"/>
        <v>0</v>
      </c>
      <c r="S38" s="177"/>
      <c r="T38" s="290"/>
      <c r="U38" s="192"/>
      <c r="V38" s="129">
        <f>J38+L37+L38+N37+N38+O37+O38+T37+T38+U38</f>
        <v>821.6399999999999</v>
      </c>
      <c r="W38" s="170" t="e">
        <f>(H37+H38+V38)/(E37+E38)/1000</f>
        <v>#DIV/0!</v>
      </c>
      <c r="X38" s="71">
        <v>50</v>
      </c>
      <c r="Y38" s="72">
        <v>0</v>
      </c>
      <c r="Z38" s="193"/>
      <c r="AA38" s="101">
        <f>V38/1.23</f>
        <v>667.9999999999999</v>
      </c>
    </row>
    <row r="39" spans="1:27" ht="12.75" hidden="1">
      <c r="A39" s="525">
        <v>11</v>
      </c>
      <c r="B39" s="109" t="s">
        <v>182</v>
      </c>
      <c r="C39" s="137"/>
      <c r="D39" s="178"/>
      <c r="E39" s="83"/>
      <c r="F39" s="83"/>
      <c r="G39" s="272" t="s">
        <v>188</v>
      </c>
      <c r="H39" s="84"/>
      <c r="I39" s="167">
        <f>3.8*1.23</f>
        <v>4.6739999999999995</v>
      </c>
      <c r="J39" s="210"/>
      <c r="K39" s="263"/>
      <c r="L39" s="84"/>
      <c r="M39" s="263"/>
      <c r="N39" s="84"/>
      <c r="O39" s="189">
        <f>E40*3.7*1.23</f>
        <v>0</v>
      </c>
      <c r="P39" s="269">
        <v>0.0042</v>
      </c>
      <c r="Q39" s="269">
        <v>0.0042</v>
      </c>
      <c r="R39" s="165">
        <f t="shared" si="3"/>
        <v>0</v>
      </c>
      <c r="S39" s="131" t="e">
        <f>R39/E40</f>
        <v>#DIV/0!</v>
      </c>
      <c r="T39" s="189"/>
      <c r="U39" s="190"/>
      <c r="V39" s="174"/>
      <c r="W39" s="175"/>
      <c r="X39" s="179"/>
      <c r="Y39" s="179"/>
      <c r="Z39" s="191"/>
      <c r="AA39" s="104"/>
    </row>
    <row r="40" spans="1:27" ht="12.75" hidden="1">
      <c r="A40" s="524"/>
      <c r="B40" s="160" t="s">
        <v>183</v>
      </c>
      <c r="C40" s="64" t="s">
        <v>184</v>
      </c>
      <c r="D40" s="169">
        <v>15.7749</v>
      </c>
      <c r="E40" s="176">
        <f>(D40-D38)*Y$9</f>
        <v>0</v>
      </c>
      <c r="F40" s="281">
        <v>0</v>
      </c>
      <c r="G40" s="75">
        <f>0.2147*1.23</f>
        <v>0.264081</v>
      </c>
      <c r="H40" s="271">
        <f>F40*G40*1000</f>
        <v>0</v>
      </c>
      <c r="I40" s="171">
        <f>9.1*1.23</f>
        <v>11.193</v>
      </c>
      <c r="J40" s="122">
        <f>X40*(I39+I40)</f>
        <v>793.3499999999999</v>
      </c>
      <c r="K40" s="170">
        <f>0.03561*1.23</f>
        <v>0.0438003</v>
      </c>
      <c r="L40" s="62">
        <f>(E40)*K40*1000</f>
        <v>0</v>
      </c>
      <c r="M40" s="170">
        <f>0.0127*1.23</f>
        <v>0.015621</v>
      </c>
      <c r="N40" s="62">
        <f>(E40)*M40*1000</f>
        <v>0</v>
      </c>
      <c r="O40" s="171">
        <f>23*1.23</f>
        <v>28.29</v>
      </c>
      <c r="P40" s="170">
        <v>12.7622</v>
      </c>
      <c r="Q40" s="170">
        <v>12.7622</v>
      </c>
      <c r="R40" s="185">
        <f t="shared" si="3"/>
        <v>0</v>
      </c>
      <c r="S40" s="177"/>
      <c r="T40" s="290"/>
      <c r="U40" s="192"/>
      <c r="V40" s="129">
        <f>J40+L39+L40+N39+N40+O39+O40+T39+T40+U40</f>
        <v>821.6399999999999</v>
      </c>
      <c r="W40" s="170" t="e">
        <f>(H39+H40+V40)/(E39+E40)/1000</f>
        <v>#DIV/0!</v>
      </c>
      <c r="X40" s="71">
        <v>50</v>
      </c>
      <c r="Y40" s="72">
        <v>0</v>
      </c>
      <c r="Z40" s="193"/>
      <c r="AA40" s="101">
        <f>V40/1.23</f>
        <v>667.9999999999999</v>
      </c>
    </row>
    <row r="41" spans="1:27" ht="12.75" hidden="1">
      <c r="A41" s="525">
        <v>12</v>
      </c>
      <c r="B41" s="109" t="s">
        <v>190</v>
      </c>
      <c r="C41" s="137"/>
      <c r="D41" s="178"/>
      <c r="E41" s="83"/>
      <c r="F41" s="83"/>
      <c r="G41" s="272" t="s">
        <v>162</v>
      </c>
      <c r="H41" s="84"/>
      <c r="I41" s="167">
        <f>3.8*1.23</f>
        <v>4.6739999999999995</v>
      </c>
      <c r="J41" s="210"/>
      <c r="K41" s="263"/>
      <c r="L41" s="84"/>
      <c r="M41" s="263"/>
      <c r="N41" s="84"/>
      <c r="O41" s="189">
        <f>E42*3.7*1.23</f>
        <v>0</v>
      </c>
      <c r="P41" s="269">
        <v>0.0042</v>
      </c>
      <c r="Q41" s="269">
        <v>0.0042</v>
      </c>
      <c r="R41" s="165">
        <f t="shared" si="3"/>
        <v>0</v>
      </c>
      <c r="S41" s="131" t="e">
        <f>R41/E42</f>
        <v>#DIV/0!</v>
      </c>
      <c r="T41" s="189"/>
      <c r="U41" s="190"/>
      <c r="V41" s="174"/>
      <c r="W41" s="175"/>
      <c r="X41" s="179"/>
      <c r="Y41" s="179"/>
      <c r="Z41" s="191"/>
      <c r="AA41" s="104"/>
    </row>
    <row r="42" spans="1:27" ht="13.5" hidden="1" thickBot="1">
      <c r="A42" s="524"/>
      <c r="B42" s="160" t="s">
        <v>189</v>
      </c>
      <c r="C42" s="64" t="s">
        <v>191</v>
      </c>
      <c r="D42" s="169">
        <v>15.7749</v>
      </c>
      <c r="E42" s="176">
        <f>(D42-D40)*Y$9</f>
        <v>0</v>
      </c>
      <c r="F42" s="281">
        <v>0</v>
      </c>
      <c r="G42" s="75">
        <f>0.2181*1.23</f>
        <v>0.268263</v>
      </c>
      <c r="H42" s="271">
        <f>F42*G42*1000</f>
        <v>0</v>
      </c>
      <c r="I42" s="171">
        <f>9.1*1.23</f>
        <v>11.193</v>
      </c>
      <c r="J42" s="122">
        <f>X42*(I41+I42)</f>
        <v>793.3499999999999</v>
      </c>
      <c r="K42" s="170">
        <f>0.03561*1.23</f>
        <v>0.0438003</v>
      </c>
      <c r="L42" s="62">
        <f>(E42)*K42*1000</f>
        <v>0</v>
      </c>
      <c r="M42" s="170">
        <f>0.0127*1.23</f>
        <v>0.015621</v>
      </c>
      <c r="N42" s="62">
        <f>(E42)*M42*1000</f>
        <v>0</v>
      </c>
      <c r="O42" s="171">
        <f>23*1.23</f>
        <v>28.29</v>
      </c>
      <c r="P42" s="170">
        <v>12.7622</v>
      </c>
      <c r="Q42" s="170">
        <v>12.7622</v>
      </c>
      <c r="R42" s="185">
        <f t="shared" si="3"/>
        <v>0</v>
      </c>
      <c r="S42" s="177"/>
      <c r="T42" s="290"/>
      <c r="U42" s="192"/>
      <c r="V42" s="129">
        <f>J42+L41+L42+N41+N42+O41+O42+T41+T42+U42</f>
        <v>821.6399999999999</v>
      </c>
      <c r="W42" s="170" t="e">
        <f>(H41+H42+V42)/(E41+E42)/1000</f>
        <v>#DIV/0!</v>
      </c>
      <c r="X42" s="71">
        <v>50</v>
      </c>
      <c r="Y42" s="72">
        <v>0</v>
      </c>
      <c r="Z42" s="193"/>
      <c r="AA42" s="101">
        <f>V42/1.23</f>
        <v>667.9999999999999</v>
      </c>
    </row>
    <row r="43" spans="1:27" ht="12.75">
      <c r="A43" s="526" t="s">
        <v>65</v>
      </c>
      <c r="B43" s="527"/>
      <c r="C43" s="527"/>
      <c r="D43" s="528"/>
      <c r="E43" s="41"/>
      <c r="F43" s="13"/>
      <c r="G43" s="13"/>
      <c r="H43" s="41"/>
      <c r="I43" s="13"/>
      <c r="J43" s="13"/>
      <c r="K43" s="41"/>
      <c r="L43" s="41"/>
      <c r="M43" s="41"/>
      <c r="N43" s="41"/>
      <c r="O43" s="302">
        <f>O19+O21+O23+O25+O27+O29+O31+O33+O35+O37+O39+O41</f>
        <v>0.5971650000000059</v>
      </c>
      <c r="P43" s="33"/>
      <c r="Q43" s="33"/>
      <c r="R43" s="258"/>
      <c r="S43" s="258"/>
      <c r="T43" s="299"/>
      <c r="U43" s="298"/>
      <c r="V43" s="293"/>
      <c r="W43" s="294"/>
      <c r="X43" s="42"/>
      <c r="Y43" s="306">
        <f>Y44/X44</f>
        <v>0.48</v>
      </c>
      <c r="Z43" s="42"/>
      <c r="AA43" s="43"/>
    </row>
    <row r="44" spans="1:27" ht="13.5" thickBot="1">
      <c r="A44" s="529"/>
      <c r="B44" s="530"/>
      <c r="C44" s="530"/>
      <c r="D44" s="531"/>
      <c r="E44" s="69">
        <f>SUM(E19:E42)</f>
        <v>0.16370000000000132</v>
      </c>
      <c r="F44" s="251">
        <f>SUM(F19:F42)</f>
        <v>0.164</v>
      </c>
      <c r="G44" s="44"/>
      <c r="H44" s="253"/>
      <c r="I44" s="99"/>
      <c r="J44" s="99"/>
      <c r="K44" s="99"/>
      <c r="L44" s="99">
        <f>SUM(L19:L42)</f>
        <v>6.653312310000057</v>
      </c>
      <c r="M44" s="99"/>
      <c r="N44" s="99">
        <f>SUM(N19:N42)</f>
        <v>2.5869729000000206</v>
      </c>
      <c r="O44" s="99">
        <f>SUM(O19:O42)</f>
        <v>344.99716500000005</v>
      </c>
      <c r="P44" s="99"/>
      <c r="Q44" s="99"/>
      <c r="R44" s="347">
        <f>SUM(R19:R42)</f>
        <v>0.14099999999999963</v>
      </c>
      <c r="S44" s="260"/>
      <c r="T44" s="261"/>
      <c r="U44" s="297"/>
      <c r="V44" s="99"/>
      <c r="W44" s="44"/>
      <c r="X44" s="74">
        <f>X22</f>
        <v>50</v>
      </c>
      <c r="Y44" s="74">
        <f>SUM(Y19:Y42)/4</f>
        <v>24</v>
      </c>
      <c r="Z44" s="74"/>
      <c r="AA44" s="46"/>
    </row>
    <row r="45" spans="6:24" ht="12.75" hidden="1">
      <c r="F45" s="257">
        <f>F44-E44</f>
        <v>0.0002999999999986902</v>
      </c>
      <c r="G45" s="150"/>
      <c r="X45" s="150">
        <v>50</v>
      </c>
    </row>
    <row r="46" spans="1:27" ht="12.75" hidden="1">
      <c r="A46" s="525">
        <v>1</v>
      </c>
      <c r="B46" s="109" t="s">
        <v>207</v>
      </c>
      <c r="C46" s="137"/>
      <c r="D46" s="178"/>
      <c r="E46" s="83"/>
      <c r="F46" s="83"/>
      <c r="G46" s="272"/>
      <c r="H46" s="84"/>
      <c r="I46" s="167">
        <f>3.8*1.23</f>
        <v>4.6739999999999995</v>
      </c>
      <c r="J46" s="210"/>
      <c r="K46" s="263"/>
      <c r="L46" s="84"/>
      <c r="M46" s="263"/>
      <c r="N46" s="84"/>
      <c r="O46" s="131">
        <f>E47*3.7*1.23</f>
        <v>0.05916299999999955</v>
      </c>
      <c r="P46" s="269"/>
      <c r="Q46" s="269"/>
      <c r="R46" s="165"/>
      <c r="S46" s="131"/>
      <c r="T46" s="189"/>
      <c r="U46" s="190"/>
      <c r="V46" s="174"/>
      <c r="W46" s="175"/>
      <c r="X46" s="179"/>
      <c r="Y46" s="179"/>
      <c r="Z46" s="191"/>
      <c r="AA46" s="104"/>
    </row>
    <row r="47" spans="1:27" ht="12.75" hidden="1">
      <c r="A47" s="524"/>
      <c r="B47" s="160" t="s">
        <v>204</v>
      </c>
      <c r="C47" s="64" t="s">
        <v>208</v>
      </c>
      <c r="D47" s="169">
        <v>15.7879</v>
      </c>
      <c r="E47" s="176">
        <f>(D47-D42)*Y$9</f>
        <v>0.0129999999999999</v>
      </c>
      <c r="F47" s="281">
        <v>0.013</v>
      </c>
      <c r="G47" s="75"/>
      <c r="H47" s="271"/>
      <c r="I47" s="171">
        <f>9.1*1.23</f>
        <v>11.193</v>
      </c>
      <c r="J47" s="122"/>
      <c r="K47" s="170"/>
      <c r="L47" s="62">
        <f>(E47)*K47*1000</f>
        <v>0</v>
      </c>
      <c r="M47" s="170"/>
      <c r="N47" s="62">
        <f>(E47)*M47*1000</f>
        <v>0</v>
      </c>
      <c r="O47" s="171">
        <f>23*1.23</f>
        <v>28.29</v>
      </c>
      <c r="P47" s="170">
        <v>12.7622</v>
      </c>
      <c r="Q47" s="170">
        <v>12.7703</v>
      </c>
      <c r="R47" s="185">
        <f>(Q47-P47)</f>
        <v>0.008100000000000662</v>
      </c>
      <c r="S47" s="177"/>
      <c r="T47" s="290"/>
      <c r="U47" s="192"/>
      <c r="V47" s="129"/>
      <c r="W47" s="170"/>
      <c r="X47" s="71">
        <v>50</v>
      </c>
      <c r="Y47" s="72">
        <v>20</v>
      </c>
      <c r="Z47" s="193"/>
      <c r="AA47" s="101"/>
    </row>
    <row r="48" spans="1:27" ht="12.75" hidden="1">
      <c r="A48" s="525">
        <v>2</v>
      </c>
      <c r="B48" s="109" t="s">
        <v>214</v>
      </c>
      <c r="C48" s="137"/>
      <c r="D48" s="178"/>
      <c r="E48" s="83"/>
      <c r="F48" s="83"/>
      <c r="G48" s="272"/>
      <c r="H48" s="84"/>
      <c r="I48" s="167">
        <f>3.8*1.23</f>
        <v>4.6739999999999995</v>
      </c>
      <c r="J48" s="210"/>
      <c r="K48" s="263"/>
      <c r="L48" s="84"/>
      <c r="M48" s="263"/>
      <c r="N48" s="84"/>
      <c r="O48" s="131"/>
      <c r="P48" s="269"/>
      <c r="Q48" s="269"/>
      <c r="R48" s="165"/>
      <c r="S48" s="131"/>
      <c r="T48" s="189"/>
      <c r="U48" s="190"/>
      <c r="V48" s="174"/>
      <c r="W48" s="175"/>
      <c r="X48" s="179"/>
      <c r="Y48" s="179"/>
      <c r="Z48" s="191"/>
      <c r="AA48" s="104"/>
    </row>
    <row r="49" spans="1:27" ht="12.75" hidden="1">
      <c r="A49" s="524"/>
      <c r="B49" s="160" t="s">
        <v>210</v>
      </c>
      <c r="C49" s="64" t="s">
        <v>178</v>
      </c>
      <c r="D49" s="169">
        <v>15.7879</v>
      </c>
      <c r="E49" s="176">
        <f>(D49-D47)*Y$9</f>
        <v>0</v>
      </c>
      <c r="F49" s="281">
        <v>0</v>
      </c>
      <c r="G49" s="75"/>
      <c r="H49" s="271"/>
      <c r="I49" s="171">
        <f>9.55*1.23</f>
        <v>11.746500000000001</v>
      </c>
      <c r="J49" s="122"/>
      <c r="K49" s="170"/>
      <c r="L49" s="62">
        <f>(E49)*K49*1000</f>
        <v>0</v>
      </c>
      <c r="M49" s="170"/>
      <c r="N49" s="62">
        <f>(E49)*M49*1000</f>
        <v>0</v>
      </c>
      <c r="O49" s="171">
        <f>19*1.23</f>
        <v>23.37</v>
      </c>
      <c r="P49" s="170">
        <v>12.7703</v>
      </c>
      <c r="Q49" s="170">
        <v>12.7703</v>
      </c>
      <c r="R49" s="185">
        <f>(Q49-P49)</f>
        <v>0</v>
      </c>
      <c r="S49" s="177"/>
      <c r="T49" s="290"/>
      <c r="U49" s="192"/>
      <c r="V49" s="129"/>
      <c r="W49" s="170"/>
      <c r="X49" s="71">
        <v>50</v>
      </c>
      <c r="Y49" s="72">
        <v>0</v>
      </c>
      <c r="Z49" s="193"/>
      <c r="AA49" s="101"/>
    </row>
    <row r="50" spans="1:27" ht="12.75" hidden="1">
      <c r="A50" s="525">
        <v>3</v>
      </c>
      <c r="B50" s="109" t="s">
        <v>218</v>
      </c>
      <c r="C50" s="137"/>
      <c r="D50" s="178"/>
      <c r="E50" s="83"/>
      <c r="F50" s="83"/>
      <c r="G50" s="272"/>
      <c r="H50" s="84"/>
      <c r="I50" s="167">
        <f>3.8*1.23</f>
        <v>4.6739999999999995</v>
      </c>
      <c r="J50" s="210"/>
      <c r="K50" s="263"/>
      <c r="L50" s="84"/>
      <c r="M50" s="263"/>
      <c r="N50" s="84"/>
      <c r="O50" s="131"/>
      <c r="P50" s="269"/>
      <c r="Q50" s="269"/>
      <c r="R50" s="165"/>
      <c r="S50" s="131"/>
      <c r="T50" s="189"/>
      <c r="U50" s="190"/>
      <c r="V50" s="174"/>
      <c r="W50" s="175"/>
      <c r="X50" s="179"/>
      <c r="Y50" s="179"/>
      <c r="Z50" s="191"/>
      <c r="AA50" s="104"/>
    </row>
    <row r="51" spans="1:27" ht="12.75" hidden="1">
      <c r="A51" s="524"/>
      <c r="B51" s="160" t="s">
        <v>211</v>
      </c>
      <c r="C51" s="64" t="s">
        <v>198</v>
      </c>
      <c r="D51" s="169">
        <v>15.7879</v>
      </c>
      <c r="E51" s="176">
        <f>(D51-D49)*Y$9</f>
        <v>0</v>
      </c>
      <c r="F51" s="281">
        <v>0</v>
      </c>
      <c r="G51" s="75"/>
      <c r="H51" s="271"/>
      <c r="I51" s="171">
        <f>9.55*1.23</f>
        <v>11.746500000000001</v>
      </c>
      <c r="J51" s="122"/>
      <c r="K51" s="170"/>
      <c r="L51" s="62">
        <f>(E51)*K51*1000</f>
        <v>0</v>
      </c>
      <c r="M51" s="170"/>
      <c r="N51" s="62">
        <f>(E51)*M51*1000</f>
        <v>0</v>
      </c>
      <c r="O51" s="171">
        <f>19*1.23</f>
        <v>23.37</v>
      </c>
      <c r="P51" s="170">
        <v>12.7703</v>
      </c>
      <c r="Q51" s="170">
        <v>12.7703</v>
      </c>
      <c r="R51" s="185">
        <f>(Q51-P51)</f>
        <v>0</v>
      </c>
      <c r="S51" s="177"/>
      <c r="T51" s="290"/>
      <c r="U51" s="192"/>
      <c r="V51" s="129"/>
      <c r="W51" s="170"/>
      <c r="X51" s="71">
        <v>50</v>
      </c>
      <c r="Y51" s="72">
        <v>0</v>
      </c>
      <c r="Z51" s="193"/>
      <c r="AA51" s="101"/>
    </row>
    <row r="52" spans="1:27" ht="12.75" hidden="1">
      <c r="A52" s="525">
        <v>4</v>
      </c>
      <c r="B52" s="109" t="s">
        <v>224</v>
      </c>
      <c r="C52" s="137"/>
      <c r="D52" s="178"/>
      <c r="E52" s="83"/>
      <c r="F52" s="83"/>
      <c r="G52" s="272"/>
      <c r="H52" s="84"/>
      <c r="I52" s="167">
        <f>3.8*1.23</f>
        <v>4.6739999999999995</v>
      </c>
      <c r="J52" s="210"/>
      <c r="K52" s="263"/>
      <c r="L52" s="84"/>
      <c r="M52" s="263"/>
      <c r="N52" s="84"/>
      <c r="O52" s="131"/>
      <c r="P52" s="269"/>
      <c r="Q52" s="269"/>
      <c r="R52" s="165"/>
      <c r="S52" s="131"/>
      <c r="T52" s="189"/>
      <c r="U52" s="190"/>
      <c r="V52" s="174"/>
      <c r="W52" s="175"/>
      <c r="X52" s="179"/>
      <c r="Y52" s="179"/>
      <c r="Z52" s="191"/>
      <c r="AA52" s="104"/>
    </row>
    <row r="53" spans="1:27" ht="12.75" hidden="1">
      <c r="A53" s="524"/>
      <c r="B53" s="160" t="s">
        <v>223</v>
      </c>
      <c r="C53" s="64" t="s">
        <v>219</v>
      </c>
      <c r="D53" s="169">
        <v>15.7879</v>
      </c>
      <c r="E53" s="176">
        <f>(D53-D51)*Y$9</f>
        <v>0</v>
      </c>
      <c r="F53" s="281">
        <v>0</v>
      </c>
      <c r="G53" s="75"/>
      <c r="H53" s="271"/>
      <c r="I53" s="171">
        <f>9.55*1.23</f>
        <v>11.746500000000001</v>
      </c>
      <c r="J53" s="122"/>
      <c r="K53" s="170"/>
      <c r="L53" s="62">
        <f>(E53)*K53*1000</f>
        <v>0</v>
      </c>
      <c r="M53" s="170"/>
      <c r="N53" s="62">
        <f>(E53)*M53*1000</f>
        <v>0</v>
      </c>
      <c r="O53" s="171">
        <f>19*1.23</f>
        <v>23.37</v>
      </c>
      <c r="P53" s="170">
        <v>12.7703</v>
      </c>
      <c r="Q53" s="170">
        <v>12.7703</v>
      </c>
      <c r="R53" s="185">
        <f>(Q53-P53)</f>
        <v>0</v>
      </c>
      <c r="S53" s="177"/>
      <c r="T53" s="290"/>
      <c r="U53" s="192"/>
      <c r="V53" s="129"/>
      <c r="W53" s="170"/>
      <c r="X53" s="71">
        <v>50</v>
      </c>
      <c r="Y53" s="72">
        <v>0</v>
      </c>
      <c r="Z53" s="193"/>
      <c r="AA53" s="101"/>
    </row>
    <row r="54" spans="1:27" ht="12.75" hidden="1">
      <c r="A54" s="525">
        <v>5</v>
      </c>
      <c r="B54" s="109" t="s">
        <v>226</v>
      </c>
      <c r="C54" s="137"/>
      <c r="D54" s="178"/>
      <c r="E54" s="83"/>
      <c r="F54" s="83"/>
      <c r="G54" s="272"/>
      <c r="H54" s="84"/>
      <c r="I54" s="167">
        <f>3.8*1.23</f>
        <v>4.6739999999999995</v>
      </c>
      <c r="J54" s="210"/>
      <c r="K54" s="263"/>
      <c r="L54" s="84"/>
      <c r="M54" s="263"/>
      <c r="N54" s="84"/>
      <c r="O54" s="131"/>
      <c r="P54" s="269"/>
      <c r="Q54" s="269"/>
      <c r="R54" s="165"/>
      <c r="S54" s="131"/>
      <c r="T54" s="189"/>
      <c r="U54" s="190"/>
      <c r="V54" s="174"/>
      <c r="W54" s="175"/>
      <c r="X54" s="179"/>
      <c r="Y54" s="179"/>
      <c r="Z54" s="191"/>
      <c r="AA54" s="104"/>
    </row>
    <row r="55" spans="1:27" ht="12.75" hidden="1">
      <c r="A55" s="524"/>
      <c r="B55" s="160" t="s">
        <v>227</v>
      </c>
      <c r="C55" s="64" t="s">
        <v>113</v>
      </c>
      <c r="D55" s="169">
        <v>15.9874</v>
      </c>
      <c r="E55" s="176">
        <f>(D55-D53)*Y$9</f>
        <v>0.19949999999999868</v>
      </c>
      <c r="F55" s="281">
        <v>0.2</v>
      </c>
      <c r="G55" s="75"/>
      <c r="H55" s="271"/>
      <c r="I55" s="171">
        <f>9.55*1.23</f>
        <v>11.746500000000001</v>
      </c>
      <c r="J55" s="122"/>
      <c r="K55" s="170"/>
      <c r="L55" s="62">
        <f>(E55)*K55*1000</f>
        <v>0</v>
      </c>
      <c r="M55" s="170"/>
      <c r="N55" s="62">
        <f>(E55)*M55*1000</f>
        <v>0</v>
      </c>
      <c r="O55" s="171">
        <f>19*1.23</f>
        <v>23.37</v>
      </c>
      <c r="P55" s="170">
        <v>12.7703</v>
      </c>
      <c r="Q55" s="170">
        <v>12.8968</v>
      </c>
      <c r="R55" s="185">
        <f>(Q55-P55)</f>
        <v>0.12650000000000006</v>
      </c>
      <c r="S55" s="177"/>
      <c r="T55" s="290"/>
      <c r="U55" s="192"/>
      <c r="V55" s="129"/>
      <c r="W55" s="170"/>
      <c r="X55" s="71">
        <v>50</v>
      </c>
      <c r="Y55" s="72">
        <v>22</v>
      </c>
      <c r="Z55" s="193"/>
      <c r="AA55" s="101"/>
    </row>
    <row r="56" spans="1:27" ht="12.75" hidden="1">
      <c r="A56" s="525">
        <v>6</v>
      </c>
      <c r="B56" s="109" t="s">
        <v>228</v>
      </c>
      <c r="C56" s="137"/>
      <c r="D56" s="178"/>
      <c r="E56" s="83"/>
      <c r="F56" s="83"/>
      <c r="G56" s="272"/>
      <c r="H56" s="84"/>
      <c r="I56" s="167">
        <f>3.8*1.23</f>
        <v>4.6739999999999995</v>
      </c>
      <c r="J56" s="210"/>
      <c r="K56" s="263"/>
      <c r="L56" s="84"/>
      <c r="M56" s="263"/>
      <c r="N56" s="84"/>
      <c r="O56" s="131"/>
      <c r="P56" s="269"/>
      <c r="Q56" s="269"/>
      <c r="R56" s="165"/>
      <c r="S56" s="131"/>
      <c r="T56" s="189"/>
      <c r="U56" s="190"/>
      <c r="V56" s="174"/>
      <c r="W56" s="175"/>
      <c r="X56" s="179"/>
      <c r="Y56" s="179"/>
      <c r="Z56" s="191"/>
      <c r="AA56" s="104"/>
    </row>
    <row r="57" spans="1:27" ht="12.75" hidden="1">
      <c r="A57" s="524"/>
      <c r="B57" s="160" t="s">
        <v>229</v>
      </c>
      <c r="C57" s="64" t="s">
        <v>122</v>
      </c>
      <c r="D57" s="169">
        <v>15.9874</v>
      </c>
      <c r="E57" s="176">
        <f>(D57-D55)*Y$9</f>
        <v>0</v>
      </c>
      <c r="F57" s="281">
        <v>0</v>
      </c>
      <c r="G57" s="75"/>
      <c r="H57" s="271"/>
      <c r="I57" s="171">
        <f>9.55*1.23</f>
        <v>11.746500000000001</v>
      </c>
      <c r="J57" s="122"/>
      <c r="K57" s="170"/>
      <c r="L57" s="62">
        <f>(E57)*K57*1000</f>
        <v>0</v>
      </c>
      <c r="M57" s="170"/>
      <c r="N57" s="62">
        <f>(E57)*M57*1000</f>
        <v>0</v>
      </c>
      <c r="O57" s="171">
        <f>19*1.23</f>
        <v>23.37</v>
      </c>
      <c r="P57" s="170">
        <v>12.8968</v>
      </c>
      <c r="Q57" s="170">
        <v>12.8968</v>
      </c>
      <c r="R57" s="185">
        <f>(Q57-P57)</f>
        <v>0</v>
      </c>
      <c r="S57" s="177"/>
      <c r="T57" s="290"/>
      <c r="U57" s="192"/>
      <c r="V57" s="129"/>
      <c r="W57" s="170"/>
      <c r="X57" s="71">
        <v>50</v>
      </c>
      <c r="Y57" s="72">
        <v>0</v>
      </c>
      <c r="Z57" s="193"/>
      <c r="AA57" s="101"/>
    </row>
    <row r="58" spans="1:27" ht="12.75" hidden="1">
      <c r="A58" s="525">
        <v>7</v>
      </c>
      <c r="B58" s="109" t="s">
        <v>232</v>
      </c>
      <c r="C58" s="137"/>
      <c r="D58" s="178"/>
      <c r="E58" s="83"/>
      <c r="F58" s="83"/>
      <c r="G58" s="272"/>
      <c r="H58" s="84"/>
      <c r="I58" s="167">
        <f>3.8*1.23</f>
        <v>4.6739999999999995</v>
      </c>
      <c r="J58" s="210"/>
      <c r="K58" s="263"/>
      <c r="L58" s="84"/>
      <c r="M58" s="263"/>
      <c r="N58" s="84"/>
      <c r="O58" s="131"/>
      <c r="P58" s="269"/>
      <c r="Q58" s="269"/>
      <c r="R58" s="165"/>
      <c r="S58" s="131"/>
      <c r="T58" s="189"/>
      <c r="U58" s="190"/>
      <c r="V58" s="174"/>
      <c r="W58" s="175"/>
      <c r="X58" s="179"/>
      <c r="Y58" s="179"/>
      <c r="Z58" s="191"/>
      <c r="AA58" s="104"/>
    </row>
    <row r="59" spans="1:27" ht="12.75" hidden="1">
      <c r="A59" s="524"/>
      <c r="B59" s="160" t="s">
        <v>233</v>
      </c>
      <c r="C59" s="64" t="s">
        <v>136</v>
      </c>
      <c r="D59" s="169">
        <v>19.241</v>
      </c>
      <c r="E59" s="176">
        <f>(D59-D57)*Y$9</f>
        <v>3.2536000000000005</v>
      </c>
      <c r="F59" s="281">
        <v>3.254</v>
      </c>
      <c r="G59" s="75"/>
      <c r="H59" s="271"/>
      <c r="I59" s="171">
        <f>9.55*1.23</f>
        <v>11.746500000000001</v>
      </c>
      <c r="J59" s="122"/>
      <c r="K59" s="170"/>
      <c r="L59" s="62">
        <f>(E59)*K59*1000</f>
        <v>0</v>
      </c>
      <c r="M59" s="170"/>
      <c r="N59" s="62">
        <f>(E59)*M59*1000</f>
        <v>0</v>
      </c>
      <c r="O59" s="171">
        <f>19*1.23</f>
        <v>23.37</v>
      </c>
      <c r="P59" s="170">
        <v>12.8968</v>
      </c>
      <c r="Q59" s="170">
        <v>14.5104</v>
      </c>
      <c r="R59" s="185">
        <f>(Q59-P59)</f>
        <v>1.6136</v>
      </c>
      <c r="S59" s="177"/>
      <c r="T59" s="290"/>
      <c r="U59" s="192"/>
      <c r="V59" s="129"/>
      <c r="W59" s="170"/>
      <c r="X59" s="71">
        <v>50</v>
      </c>
      <c r="Y59" s="72">
        <v>28</v>
      </c>
      <c r="Z59" s="193"/>
      <c r="AA59" s="101"/>
    </row>
    <row r="60" spans="1:27" ht="12.75" hidden="1">
      <c r="A60" s="525">
        <v>8</v>
      </c>
      <c r="B60" s="109" t="s">
        <v>248</v>
      </c>
      <c r="C60" s="137"/>
      <c r="D60" s="178"/>
      <c r="E60" s="83"/>
      <c r="F60" s="83"/>
      <c r="G60" s="272"/>
      <c r="H60" s="84"/>
      <c r="I60" s="167">
        <f>3.8*1.23</f>
        <v>4.6739999999999995</v>
      </c>
      <c r="J60" s="210"/>
      <c r="K60" s="263"/>
      <c r="L60" s="84"/>
      <c r="M60" s="263"/>
      <c r="N60" s="84"/>
      <c r="O60" s="131"/>
      <c r="P60" s="269"/>
      <c r="Q60" s="269"/>
      <c r="R60" s="165"/>
      <c r="S60" s="131"/>
      <c r="T60" s="189"/>
      <c r="U60" s="190"/>
      <c r="V60" s="174"/>
      <c r="W60" s="175"/>
      <c r="X60" s="179"/>
      <c r="Y60" s="179"/>
      <c r="Z60" s="191"/>
      <c r="AA60" s="104"/>
    </row>
    <row r="61" spans="1:27" ht="12.75" hidden="1">
      <c r="A61" s="524"/>
      <c r="B61" s="160" t="s">
        <v>249</v>
      </c>
      <c r="C61" s="64" t="s">
        <v>146</v>
      </c>
      <c r="D61" s="169">
        <v>35.0058</v>
      </c>
      <c r="E61" s="176">
        <f>(D61-D59)*Y$9</f>
        <v>15.764800000000001</v>
      </c>
      <c r="F61" s="281">
        <v>15.765</v>
      </c>
      <c r="G61" s="75"/>
      <c r="H61" s="271"/>
      <c r="I61" s="171">
        <f>9.55*1.23</f>
        <v>11.746500000000001</v>
      </c>
      <c r="J61" s="122"/>
      <c r="K61" s="170"/>
      <c r="L61" s="62">
        <f>(E61)*K61*1000</f>
        <v>0</v>
      </c>
      <c r="M61" s="170"/>
      <c r="N61" s="62">
        <f>(E61)*M61*1000</f>
        <v>0</v>
      </c>
      <c r="O61" s="171">
        <f>19*1.23</f>
        <v>23.37</v>
      </c>
      <c r="P61" s="170">
        <v>14.5104</v>
      </c>
      <c r="Q61" s="170">
        <v>21.8711</v>
      </c>
      <c r="R61" s="185">
        <f>(Q61-P61)</f>
        <v>7.360699999999998</v>
      </c>
      <c r="S61" s="177"/>
      <c r="T61" s="290"/>
      <c r="U61" s="192"/>
      <c r="V61" s="129"/>
      <c r="W61" s="170"/>
      <c r="X61" s="71">
        <v>50</v>
      </c>
      <c r="Y61" s="72">
        <v>33</v>
      </c>
      <c r="Z61" s="193"/>
      <c r="AA61" s="101"/>
    </row>
    <row r="62" spans="1:27" ht="12.75" hidden="1">
      <c r="A62" s="525">
        <v>9</v>
      </c>
      <c r="B62" s="109" t="s">
        <v>254</v>
      </c>
      <c r="C62" s="137"/>
      <c r="D62" s="178"/>
      <c r="E62" s="83"/>
      <c r="F62" s="83"/>
      <c r="G62" s="272"/>
      <c r="H62" s="84"/>
      <c r="I62" s="167">
        <f>3.8*1.23</f>
        <v>4.6739999999999995</v>
      </c>
      <c r="J62" s="210"/>
      <c r="K62" s="263"/>
      <c r="L62" s="84"/>
      <c r="M62" s="263"/>
      <c r="N62" s="84"/>
      <c r="O62" s="131"/>
      <c r="P62" s="269"/>
      <c r="Q62" s="269"/>
      <c r="R62" s="165"/>
      <c r="S62" s="131"/>
      <c r="T62" s="189"/>
      <c r="U62" s="190"/>
      <c r="V62" s="174"/>
      <c r="W62" s="175"/>
      <c r="X62" s="179"/>
      <c r="Y62" s="179"/>
      <c r="Z62" s="191"/>
      <c r="AA62" s="104"/>
    </row>
    <row r="63" spans="1:27" ht="12.75" hidden="1">
      <c r="A63" s="524"/>
      <c r="B63" s="160" t="s">
        <v>253</v>
      </c>
      <c r="C63" s="64" t="s">
        <v>164</v>
      </c>
      <c r="D63" s="169">
        <v>50.5491</v>
      </c>
      <c r="E63" s="176">
        <f>(D63-D61)*Y$9</f>
        <v>15.543300000000002</v>
      </c>
      <c r="F63" s="281">
        <v>15.543</v>
      </c>
      <c r="G63" s="75"/>
      <c r="H63" s="271"/>
      <c r="I63" s="171">
        <f>9.55*1.23</f>
        <v>11.746500000000001</v>
      </c>
      <c r="J63" s="122"/>
      <c r="K63" s="170"/>
      <c r="L63" s="62">
        <f>(E63)*K63*1000</f>
        <v>0</v>
      </c>
      <c r="M63" s="170"/>
      <c r="N63" s="62">
        <f>(E63)*M63*1000</f>
        <v>0</v>
      </c>
      <c r="O63" s="171">
        <f>19*1.23</f>
        <v>23.37</v>
      </c>
      <c r="P63" s="170">
        <v>21.8711</v>
      </c>
      <c r="Q63" s="170">
        <v>29.3923</v>
      </c>
      <c r="R63" s="185">
        <f>(Q63-P63)</f>
        <v>7.5212</v>
      </c>
      <c r="S63" s="177"/>
      <c r="T63" s="290"/>
      <c r="U63" s="192"/>
      <c r="V63" s="129"/>
      <c r="W63" s="170"/>
      <c r="X63" s="71">
        <v>50</v>
      </c>
      <c r="Y63" s="72">
        <v>28</v>
      </c>
      <c r="Z63" s="193"/>
      <c r="AA63" s="101"/>
    </row>
    <row r="64" spans="1:27" ht="12.75" hidden="1">
      <c r="A64" s="525">
        <v>10</v>
      </c>
      <c r="B64" s="109" t="s">
        <v>259</v>
      </c>
      <c r="C64" s="137"/>
      <c r="D64" s="178"/>
      <c r="E64" s="83"/>
      <c r="F64" s="83"/>
      <c r="G64" s="272"/>
      <c r="H64" s="84"/>
      <c r="I64" s="167">
        <f>3.8*1.23</f>
        <v>4.6739999999999995</v>
      </c>
      <c r="J64" s="210"/>
      <c r="K64" s="263"/>
      <c r="L64" s="84"/>
      <c r="M64" s="263"/>
      <c r="N64" s="84"/>
      <c r="O64" s="131"/>
      <c r="P64" s="269"/>
      <c r="Q64" s="269"/>
      <c r="R64" s="165"/>
      <c r="S64" s="131"/>
      <c r="T64" s="189"/>
      <c r="U64" s="190"/>
      <c r="V64" s="174"/>
      <c r="W64" s="175"/>
      <c r="X64" s="179"/>
      <c r="Y64" s="179"/>
      <c r="Z64" s="191"/>
      <c r="AA64" s="104"/>
    </row>
    <row r="65" spans="1:27" ht="12.75" hidden="1">
      <c r="A65" s="524"/>
      <c r="B65" s="160" t="s">
        <v>258</v>
      </c>
      <c r="C65" s="64" t="s">
        <v>179</v>
      </c>
      <c r="D65" s="169">
        <v>64.9661</v>
      </c>
      <c r="E65" s="176">
        <f>(D65-D63)*Y$9</f>
        <v>14.416999999999994</v>
      </c>
      <c r="F65" s="281">
        <v>14.416999999999994</v>
      </c>
      <c r="G65" s="75"/>
      <c r="H65" s="271"/>
      <c r="I65" s="171">
        <f>9.55*1.23</f>
        <v>11.746500000000001</v>
      </c>
      <c r="J65" s="122"/>
      <c r="K65" s="170"/>
      <c r="L65" s="62">
        <f>(E65)*K65*1000</f>
        <v>0</v>
      </c>
      <c r="M65" s="170"/>
      <c r="N65" s="62">
        <f>(E65)*M65*1000</f>
        <v>0</v>
      </c>
      <c r="O65" s="171">
        <f>19*1.23</f>
        <v>23.37</v>
      </c>
      <c r="P65" s="170">
        <v>29.3923</v>
      </c>
      <c r="Q65" s="170">
        <v>37.0852</v>
      </c>
      <c r="R65" s="185">
        <f>(Q65-P65)</f>
        <v>7.692900000000002</v>
      </c>
      <c r="S65" s="177"/>
      <c r="T65" s="290"/>
      <c r="U65" s="192"/>
      <c r="V65" s="129"/>
      <c r="W65" s="170"/>
      <c r="X65" s="71">
        <v>50</v>
      </c>
      <c r="Y65" s="72">
        <v>29</v>
      </c>
      <c r="Z65" s="193"/>
      <c r="AA65" s="101"/>
    </row>
    <row r="66" spans="1:27" ht="12.75" hidden="1">
      <c r="A66" s="525">
        <v>11</v>
      </c>
      <c r="B66" s="109" t="s">
        <v>264</v>
      </c>
      <c r="C66" s="137"/>
      <c r="D66" s="178"/>
      <c r="E66" s="83"/>
      <c r="F66" s="83"/>
      <c r="G66" s="272"/>
      <c r="H66" s="84"/>
      <c r="I66" s="167">
        <f>3.8*1.23</f>
        <v>4.6739999999999995</v>
      </c>
      <c r="J66" s="210"/>
      <c r="K66" s="263"/>
      <c r="L66" s="84"/>
      <c r="M66" s="263"/>
      <c r="N66" s="84"/>
      <c r="O66" s="131"/>
      <c r="P66" s="269"/>
      <c r="Q66" s="269"/>
      <c r="R66" s="165"/>
      <c r="S66" s="131"/>
      <c r="T66" s="189"/>
      <c r="U66" s="190"/>
      <c r="V66" s="174"/>
      <c r="W66" s="175"/>
      <c r="X66" s="179"/>
      <c r="Y66" s="179"/>
      <c r="Z66" s="191"/>
      <c r="AA66" s="104"/>
    </row>
    <row r="67" spans="1:27" ht="12.75" hidden="1">
      <c r="A67" s="524"/>
      <c r="B67" s="160" t="s">
        <v>263</v>
      </c>
      <c r="C67" s="64" t="s">
        <v>186</v>
      </c>
      <c r="D67" s="169">
        <v>80.2302</v>
      </c>
      <c r="E67" s="176">
        <f>(D67-D65)*Y$9</f>
        <v>15.2641</v>
      </c>
      <c r="F67" s="281">
        <v>15.264</v>
      </c>
      <c r="G67" s="75"/>
      <c r="H67" s="271"/>
      <c r="I67" s="171">
        <f>9.55*1.23</f>
        <v>11.746500000000001</v>
      </c>
      <c r="J67" s="122"/>
      <c r="K67" s="170"/>
      <c r="L67" s="62">
        <f>(E67)*K67*1000</f>
        <v>0</v>
      </c>
      <c r="M67" s="170"/>
      <c r="N67" s="62">
        <f>(E67)*M67*1000</f>
        <v>0</v>
      </c>
      <c r="O67" s="171">
        <f>19*1.23</f>
        <v>23.37</v>
      </c>
      <c r="P67" s="170">
        <v>37.0852</v>
      </c>
      <c r="Q67" s="170">
        <v>45.0022</v>
      </c>
      <c r="R67" s="185">
        <f>(Q67-P67)</f>
        <v>7.917000000000002</v>
      </c>
      <c r="S67" s="177"/>
      <c r="T67" s="290"/>
      <c r="U67" s="192"/>
      <c r="V67" s="129"/>
      <c r="W67" s="170"/>
      <c r="X67" s="71">
        <v>50</v>
      </c>
      <c r="Y67" s="72">
        <v>28</v>
      </c>
      <c r="Z67" s="193"/>
      <c r="AA67" s="101"/>
    </row>
    <row r="68" spans="1:27" ht="12.75" hidden="1">
      <c r="A68" s="525">
        <v>12</v>
      </c>
      <c r="B68" s="109"/>
      <c r="C68" s="137"/>
      <c r="D68" s="178"/>
      <c r="E68" s="83"/>
      <c r="F68" s="83"/>
      <c r="G68" s="272"/>
      <c r="H68" s="84"/>
      <c r="I68" s="167">
        <f>3.8*1.23</f>
        <v>4.6739999999999995</v>
      </c>
      <c r="J68" s="210"/>
      <c r="K68" s="263"/>
      <c r="L68" s="84"/>
      <c r="M68" s="263"/>
      <c r="N68" s="84"/>
      <c r="O68" s="131"/>
      <c r="P68" s="269"/>
      <c r="Q68" s="269"/>
      <c r="R68" s="165"/>
      <c r="S68" s="131"/>
      <c r="T68" s="189"/>
      <c r="U68" s="190"/>
      <c r="V68" s="174"/>
      <c r="W68" s="175"/>
      <c r="X68" s="179"/>
      <c r="Y68" s="179"/>
      <c r="Z68" s="191"/>
      <c r="AA68" s="104"/>
    </row>
    <row r="69" spans="1:27" ht="13.5" hidden="1" thickBot="1">
      <c r="A69" s="524"/>
      <c r="B69" s="160" t="s">
        <v>267</v>
      </c>
      <c r="C69" s="64" t="s">
        <v>193</v>
      </c>
      <c r="D69" s="169">
        <v>95.3455</v>
      </c>
      <c r="E69" s="176">
        <f>(D69-D67)*Y$9</f>
        <v>15.115300000000005</v>
      </c>
      <c r="F69" s="281">
        <v>15.115</v>
      </c>
      <c r="G69" s="75"/>
      <c r="H69" s="271"/>
      <c r="I69" s="171">
        <f>9.55*1.23</f>
        <v>11.746500000000001</v>
      </c>
      <c r="J69" s="122"/>
      <c r="K69" s="170"/>
      <c r="L69" s="62">
        <f>(E69)*K69*1000</f>
        <v>0</v>
      </c>
      <c r="M69" s="170"/>
      <c r="N69" s="62">
        <f>(E69)*M69*1000</f>
        <v>0</v>
      </c>
      <c r="O69" s="171">
        <f>19*1.23</f>
        <v>23.37</v>
      </c>
      <c r="P69" s="170">
        <v>45.0022</v>
      </c>
      <c r="Q69" s="170">
        <v>53.118</v>
      </c>
      <c r="R69" s="185">
        <f>(Q69-P69)</f>
        <v>8.1158</v>
      </c>
      <c r="S69" s="177"/>
      <c r="T69" s="290"/>
      <c r="U69" s="192"/>
      <c r="V69" s="129"/>
      <c r="W69" s="170"/>
      <c r="X69" s="71">
        <v>50</v>
      </c>
      <c r="Y69" s="72">
        <v>27</v>
      </c>
      <c r="Z69" s="193"/>
      <c r="AA69" s="101"/>
    </row>
    <row r="70" spans="1:27" ht="12.75">
      <c r="A70" s="526" t="s">
        <v>316</v>
      </c>
      <c r="B70" s="527"/>
      <c r="C70" s="527"/>
      <c r="D70" s="528"/>
      <c r="E70" s="41"/>
      <c r="F70" s="13"/>
      <c r="G70" s="13"/>
      <c r="H70" s="41"/>
      <c r="I70" s="13"/>
      <c r="J70" s="13"/>
      <c r="K70" s="41"/>
      <c r="L70" s="41"/>
      <c r="M70" s="41"/>
      <c r="N70" s="41"/>
      <c r="O70" s="345"/>
      <c r="P70" s="33" t="s">
        <v>277</v>
      </c>
      <c r="Q70" s="33"/>
      <c r="R70" s="258"/>
      <c r="S70" s="258"/>
      <c r="T70" s="299"/>
      <c r="U70" s="298"/>
      <c r="V70" s="266"/>
      <c r="W70" s="294"/>
      <c r="X70" s="42"/>
      <c r="Y70" s="306"/>
      <c r="Z70" s="42"/>
      <c r="AA70" s="43"/>
    </row>
    <row r="71" spans="1:27" ht="13.5" thickBot="1">
      <c r="A71" s="529"/>
      <c r="B71" s="530"/>
      <c r="C71" s="530"/>
      <c r="D71" s="531"/>
      <c r="E71" s="69">
        <f>SUM(E46:E69)</f>
        <v>79.5706</v>
      </c>
      <c r="F71" s="251">
        <f>SUM(F46:F69)</f>
        <v>79.57099999999998</v>
      </c>
      <c r="G71" s="252"/>
      <c r="H71" s="253"/>
      <c r="I71" s="99"/>
      <c r="J71" s="349"/>
      <c r="K71" s="99"/>
      <c r="L71" s="349">
        <f>SUM(L46:L70)</f>
        <v>0</v>
      </c>
      <c r="M71" s="99"/>
      <c r="N71" s="349">
        <f>SUM(N46:N70)</f>
        <v>0</v>
      </c>
      <c r="O71" s="349">
        <f>SUM(O46:O70)</f>
        <v>285.419163</v>
      </c>
      <c r="P71" s="395">
        <f>SUM(J71:O71)</f>
        <v>285.419163</v>
      </c>
      <c r="Q71" s="99"/>
      <c r="R71" s="347"/>
      <c r="S71" s="260"/>
      <c r="T71" s="261"/>
      <c r="U71" s="262"/>
      <c r="V71" s="253"/>
      <c r="W71" s="252"/>
      <c r="X71" s="74">
        <f>X49</f>
        <v>50</v>
      </c>
      <c r="Y71" s="394">
        <f>SUM(Y47:Y69)/12</f>
        <v>17.916666666666668</v>
      </c>
      <c r="Z71" s="74"/>
      <c r="AA71" s="46"/>
    </row>
    <row r="72" spans="2:24" ht="15" hidden="1">
      <c r="B72" s="374" t="s">
        <v>266</v>
      </c>
      <c r="F72" s="257">
        <f>F71-E71</f>
        <v>0.0003999999999848569</v>
      </c>
      <c r="G72" s="150"/>
      <c r="X72" s="150"/>
    </row>
    <row r="73" spans="1:27" ht="12.75" hidden="1">
      <c r="A73" s="525">
        <v>1</v>
      </c>
      <c r="B73" s="109"/>
      <c r="C73" s="137"/>
      <c r="D73" s="373">
        <v>95345.5</v>
      </c>
      <c r="E73" s="83"/>
      <c r="F73" s="83"/>
      <c r="G73" s="272"/>
      <c r="H73" s="84"/>
      <c r="I73" s="167">
        <f>3.8*1.23</f>
        <v>4.6739999999999995</v>
      </c>
      <c r="J73" s="210"/>
      <c r="K73" s="263"/>
      <c r="L73" s="84"/>
      <c r="M73" s="263"/>
      <c r="N73" s="84"/>
      <c r="O73" s="131"/>
      <c r="P73" s="269"/>
      <c r="Q73" s="373"/>
      <c r="R73" s="165"/>
      <c r="S73" s="131"/>
      <c r="T73" s="189"/>
      <c r="U73" s="190"/>
      <c r="V73" s="174"/>
      <c r="W73" s="175"/>
      <c r="X73" s="179"/>
      <c r="Y73" s="179"/>
      <c r="Z73" s="191"/>
      <c r="AA73" s="104"/>
    </row>
    <row r="74" spans="1:27" ht="12.75" hidden="1">
      <c r="A74" s="524"/>
      <c r="B74" s="160" t="s">
        <v>270</v>
      </c>
      <c r="C74" s="64" t="s">
        <v>209</v>
      </c>
      <c r="D74" s="373">
        <v>111310.9</v>
      </c>
      <c r="E74" s="392">
        <f>(D74-D73)*Y$9</f>
        <v>15965.399999999994</v>
      </c>
      <c r="F74" s="406">
        <v>15965</v>
      </c>
      <c r="G74" s="75"/>
      <c r="H74" s="271"/>
      <c r="I74" s="171">
        <f>9.55*1.23</f>
        <v>11.746500000000001</v>
      </c>
      <c r="J74" s="122"/>
      <c r="K74" s="170"/>
      <c r="L74" s="62">
        <f>(E74)*K74</f>
        <v>0</v>
      </c>
      <c r="M74" s="170"/>
      <c r="N74" s="62">
        <f>(E74)*M74</f>
        <v>0</v>
      </c>
      <c r="O74" s="171">
        <f>19*1.23</f>
        <v>23.37</v>
      </c>
      <c r="P74" s="375">
        <v>53118</v>
      </c>
      <c r="Q74" s="375">
        <v>59398.4</v>
      </c>
      <c r="R74" s="110">
        <f>(Q74-P74)</f>
        <v>6280.4000000000015</v>
      </c>
      <c r="S74" s="177"/>
      <c r="T74" s="290"/>
      <c r="U74" s="192"/>
      <c r="V74" s="129"/>
      <c r="W74" s="170"/>
      <c r="X74" s="71">
        <v>50</v>
      </c>
      <c r="Y74" s="72">
        <v>31</v>
      </c>
      <c r="Z74" s="193"/>
      <c r="AA74" s="101"/>
    </row>
    <row r="75" spans="1:27" ht="12.75" hidden="1">
      <c r="A75" s="525">
        <v>2</v>
      </c>
      <c r="B75" s="109"/>
      <c r="C75" s="137"/>
      <c r="D75" s="373"/>
      <c r="E75" s="83"/>
      <c r="F75" s="83"/>
      <c r="G75" s="272"/>
      <c r="H75" s="84"/>
      <c r="I75" s="167">
        <f>0.19*1.23</f>
        <v>0.2337</v>
      </c>
      <c r="J75" s="210"/>
      <c r="K75" s="263"/>
      <c r="L75" s="84"/>
      <c r="M75" s="263"/>
      <c r="N75" s="84"/>
      <c r="O75" s="131">
        <f>0.00158*3543</f>
        <v>5.59794</v>
      </c>
      <c r="P75" s="373"/>
      <c r="Q75" s="373"/>
      <c r="R75" s="165"/>
      <c r="S75" s="131"/>
      <c r="T75" s="189"/>
      <c r="U75" s="190"/>
      <c r="V75" s="174"/>
      <c r="W75" s="175"/>
      <c r="X75" s="179"/>
      <c r="Y75" s="179"/>
      <c r="Z75" s="191"/>
      <c r="AA75" s="104"/>
    </row>
    <row r="76" spans="1:27" ht="12.75" hidden="1">
      <c r="A76" s="524"/>
      <c r="B76" s="160" t="s">
        <v>284</v>
      </c>
      <c r="C76" s="64" t="s">
        <v>276</v>
      </c>
      <c r="D76" s="373">
        <v>127186</v>
      </c>
      <c r="E76" s="392">
        <f>(D76-D74)*Y$9</f>
        <v>15875.100000000006</v>
      </c>
      <c r="F76" s="406">
        <v>15875</v>
      </c>
      <c r="G76" s="75"/>
      <c r="H76" s="271"/>
      <c r="I76" s="171">
        <f>9.55*1.23</f>
        <v>11.746500000000001</v>
      </c>
      <c r="J76" s="122"/>
      <c r="K76" s="170"/>
      <c r="L76" s="62">
        <f>(E76)*K76</f>
        <v>0</v>
      </c>
      <c r="M76" s="170"/>
      <c r="N76" s="62">
        <f>(E76)*M76</f>
        <v>0</v>
      </c>
      <c r="O76" s="171">
        <f>19*1.23</f>
        <v>23.37</v>
      </c>
      <c r="P76" s="375">
        <v>59398.4</v>
      </c>
      <c r="Q76" s="375">
        <v>64628.4</v>
      </c>
      <c r="R76" s="110">
        <f>(Q76-P76)</f>
        <v>5230</v>
      </c>
      <c r="S76" s="177"/>
      <c r="T76" s="290"/>
      <c r="U76" s="192"/>
      <c r="V76" s="129"/>
      <c r="W76" s="170"/>
      <c r="X76" s="71">
        <v>40</v>
      </c>
      <c r="Y76" s="72">
        <v>29</v>
      </c>
      <c r="Z76" s="193"/>
      <c r="AA76" s="101"/>
    </row>
    <row r="77" spans="1:27" ht="12.75" hidden="1">
      <c r="A77" s="89"/>
      <c r="B77" s="133"/>
      <c r="C77" s="137"/>
      <c r="D77" s="373"/>
      <c r="E77" s="83"/>
      <c r="F77" s="83"/>
      <c r="G77" s="272"/>
      <c r="H77" s="84"/>
      <c r="I77" s="167"/>
      <c r="J77" s="123"/>
      <c r="K77" s="184"/>
      <c r="L77" s="87"/>
      <c r="M77" s="184"/>
      <c r="N77" s="87"/>
      <c r="O77" s="167"/>
      <c r="P77" s="461"/>
      <c r="Q77" s="461"/>
      <c r="R77" s="111"/>
      <c r="S77" s="131"/>
      <c r="T77" s="274"/>
      <c r="U77" s="209"/>
      <c r="V77" s="210"/>
      <c r="W77" s="211"/>
      <c r="X77" s="212"/>
      <c r="Y77" s="457"/>
      <c r="Z77" s="460"/>
      <c r="AA77" s="104"/>
    </row>
    <row r="78" spans="1:27" ht="12.75" hidden="1">
      <c r="A78" s="89"/>
      <c r="B78" s="186" t="s">
        <v>275</v>
      </c>
      <c r="C78" s="64" t="s">
        <v>276</v>
      </c>
      <c r="D78" s="373"/>
      <c r="E78" s="392"/>
      <c r="F78" s="406"/>
      <c r="G78" s="75"/>
      <c r="H78" s="271"/>
      <c r="I78" s="171"/>
      <c r="J78" s="308"/>
      <c r="K78" s="170"/>
      <c r="L78" s="50"/>
      <c r="M78" s="170"/>
      <c r="N78" s="50"/>
      <c r="O78" s="171"/>
      <c r="P78" s="375"/>
      <c r="Q78" s="375"/>
      <c r="R78" s="110"/>
      <c r="S78" s="177"/>
      <c r="T78" s="290"/>
      <c r="U78" s="192"/>
      <c r="V78" s="311"/>
      <c r="W78" s="303"/>
      <c r="X78" s="312"/>
      <c r="Y78" s="459"/>
      <c r="Z78" s="304"/>
      <c r="AA78" s="101"/>
    </row>
    <row r="79" spans="1:27" ht="12.75" hidden="1">
      <c r="A79" s="525">
        <v>3</v>
      </c>
      <c r="B79" s="109"/>
      <c r="C79" s="137"/>
      <c r="D79" s="373"/>
      <c r="E79" s="83"/>
      <c r="F79" s="83"/>
      <c r="G79" s="272"/>
      <c r="H79" s="84"/>
      <c r="I79" s="167">
        <f>0.19*1.23</f>
        <v>0.2337</v>
      </c>
      <c r="J79" s="210"/>
      <c r="K79" s="263"/>
      <c r="L79" s="84"/>
      <c r="M79" s="263"/>
      <c r="N79" s="84"/>
      <c r="O79" s="131">
        <f>0.00158*E80*1.23</f>
        <v>3.4073632200000055</v>
      </c>
      <c r="P79" s="462"/>
      <c r="Q79" s="462"/>
      <c r="R79" s="165"/>
      <c r="S79" s="131"/>
      <c r="T79" s="189"/>
      <c r="U79" s="190"/>
      <c r="V79" s="174"/>
      <c r="W79" s="175"/>
      <c r="X79" s="179"/>
      <c r="Y79" s="179"/>
      <c r="Z79" s="191"/>
      <c r="AA79" s="104"/>
    </row>
    <row r="80" spans="1:27" ht="12.75" hidden="1">
      <c r="A80" s="524"/>
      <c r="B80" s="160" t="s">
        <v>282</v>
      </c>
      <c r="C80" s="64" t="s">
        <v>278</v>
      </c>
      <c r="D80" s="373">
        <v>128939.3</v>
      </c>
      <c r="E80" s="392">
        <f>(D80-D76)*Y$9</f>
        <v>1753.300000000003</v>
      </c>
      <c r="F80" s="406">
        <v>1753</v>
      </c>
      <c r="G80" s="75"/>
      <c r="H80" s="271"/>
      <c r="I80" s="171">
        <f>9.55*1.23</f>
        <v>11.746500000000001</v>
      </c>
      <c r="J80" s="122"/>
      <c r="K80" s="170"/>
      <c r="L80" s="62">
        <f>(E80)*K80</f>
        <v>0</v>
      </c>
      <c r="M80" s="170"/>
      <c r="N80" s="62">
        <f>(E80)*M80</f>
        <v>0</v>
      </c>
      <c r="O80" s="171">
        <f>19*1.23</f>
        <v>23.37</v>
      </c>
      <c r="P80" s="375">
        <v>64628.4</v>
      </c>
      <c r="Q80" s="375">
        <v>65261.4</v>
      </c>
      <c r="R80" s="110">
        <f>(Q80-P80)</f>
        <v>633</v>
      </c>
      <c r="S80" s="177"/>
      <c r="T80" s="290"/>
      <c r="U80" s="192"/>
      <c r="V80" s="129"/>
      <c r="W80" s="170"/>
      <c r="X80" s="71">
        <v>40</v>
      </c>
      <c r="Y80" s="72">
        <v>24</v>
      </c>
      <c r="Z80" s="193"/>
      <c r="AA80" s="101"/>
    </row>
    <row r="81" spans="1:27" ht="12.75" hidden="1">
      <c r="A81" s="525">
        <v>4</v>
      </c>
      <c r="B81" s="109"/>
      <c r="C81" s="137"/>
      <c r="D81" s="373"/>
      <c r="E81" s="83"/>
      <c r="F81" s="83"/>
      <c r="G81" s="272"/>
      <c r="H81" s="84"/>
      <c r="I81" s="167">
        <f>0.19*1.23</f>
        <v>0.2337</v>
      </c>
      <c r="J81" s="210"/>
      <c r="K81" s="263"/>
      <c r="L81" s="84"/>
      <c r="M81" s="263"/>
      <c r="N81" s="84"/>
      <c r="O81" s="131">
        <f>0.00158*E82*1.23</f>
        <v>0</v>
      </c>
      <c r="P81" s="373"/>
      <c r="Q81" s="373"/>
      <c r="R81" s="165"/>
      <c r="S81" s="131"/>
      <c r="T81" s="189"/>
      <c r="U81" s="190"/>
      <c r="V81" s="174"/>
      <c r="W81" s="175"/>
      <c r="X81" s="179"/>
      <c r="Y81" s="179"/>
      <c r="Z81" s="191"/>
      <c r="AA81" s="104"/>
    </row>
    <row r="82" spans="1:27" ht="12.75" hidden="1">
      <c r="A82" s="524"/>
      <c r="B82" s="160" t="s">
        <v>283</v>
      </c>
      <c r="C82" s="64" t="s">
        <v>281</v>
      </c>
      <c r="D82" s="373">
        <v>128939.3</v>
      </c>
      <c r="E82" s="392">
        <f>(D82-D80)*Y$9</f>
        <v>0</v>
      </c>
      <c r="F82" s="406">
        <v>0</v>
      </c>
      <c r="G82" s="75"/>
      <c r="H82" s="271"/>
      <c r="I82" s="171">
        <f>9.55*1.23</f>
        <v>11.746500000000001</v>
      </c>
      <c r="J82" s="122"/>
      <c r="K82" s="170"/>
      <c r="L82" s="62">
        <f>(E82)*K82</f>
        <v>0</v>
      </c>
      <c r="M82" s="170"/>
      <c r="N82" s="62">
        <f>(E82)*M82</f>
        <v>0</v>
      </c>
      <c r="O82" s="171">
        <f>19*1.23</f>
        <v>23.37</v>
      </c>
      <c r="P82" s="375">
        <v>65261.4</v>
      </c>
      <c r="Q82" s="375">
        <v>65261.4</v>
      </c>
      <c r="R82" s="110">
        <f>(Q82-P82)</f>
        <v>0</v>
      </c>
      <c r="S82" s="177"/>
      <c r="T82" s="290"/>
      <c r="U82" s="192"/>
      <c r="V82" s="129"/>
      <c r="W82" s="170"/>
      <c r="X82" s="71">
        <v>40</v>
      </c>
      <c r="Y82" s="72">
        <v>24</v>
      </c>
      <c r="Z82" s="193"/>
      <c r="AA82" s="101"/>
    </row>
    <row r="83" spans="1:27" ht="12.75" hidden="1">
      <c r="A83" s="89"/>
      <c r="B83" s="133"/>
      <c r="C83" s="137"/>
      <c r="D83" s="373"/>
      <c r="E83" s="83"/>
      <c r="F83" s="83"/>
      <c r="G83" s="272"/>
      <c r="H83" s="84"/>
      <c r="I83" s="167"/>
      <c r="J83" s="123"/>
      <c r="K83" s="184"/>
      <c r="L83" s="87"/>
      <c r="M83" s="184"/>
      <c r="N83" s="87"/>
      <c r="O83" s="167"/>
      <c r="P83" s="461"/>
      <c r="Q83" s="461"/>
      <c r="R83" s="111"/>
      <c r="S83" s="131"/>
      <c r="T83" s="274"/>
      <c r="U83" s="209"/>
      <c r="V83" s="210"/>
      <c r="W83" s="211"/>
      <c r="X83" s="212"/>
      <c r="Y83" s="457"/>
      <c r="Z83" s="460"/>
      <c r="AA83" s="104"/>
    </row>
    <row r="84" spans="1:27" ht="12.75" hidden="1">
      <c r="A84" s="89"/>
      <c r="B84" s="186" t="s">
        <v>275</v>
      </c>
      <c r="C84" s="64" t="s">
        <v>281</v>
      </c>
      <c r="D84" s="373"/>
      <c r="E84" s="392"/>
      <c r="F84" s="406"/>
      <c r="G84" s="75"/>
      <c r="H84" s="271"/>
      <c r="I84" s="171"/>
      <c r="J84" s="308"/>
      <c r="K84" s="170"/>
      <c r="L84" s="50"/>
      <c r="M84" s="170"/>
      <c r="N84" s="50"/>
      <c r="O84" s="171"/>
      <c r="P84" s="375"/>
      <c r="Q84" s="375"/>
      <c r="R84" s="110"/>
      <c r="S84" s="177"/>
      <c r="T84" s="290"/>
      <c r="U84" s="192"/>
      <c r="V84" s="311"/>
      <c r="W84" s="303"/>
      <c r="X84" s="312"/>
      <c r="Y84" s="459"/>
      <c r="Z84" s="304"/>
      <c r="AA84" s="101"/>
    </row>
    <row r="85" spans="1:27" ht="12.75" hidden="1">
      <c r="A85" s="525">
        <v>5</v>
      </c>
      <c r="B85" s="109"/>
      <c r="C85" s="137"/>
      <c r="D85" s="373"/>
      <c r="E85" s="83"/>
      <c r="F85" s="83"/>
      <c r="G85" s="272"/>
      <c r="H85" s="84"/>
      <c r="I85" s="167">
        <f>0.19*1.23</f>
        <v>0.2337</v>
      </c>
      <c r="J85" s="210"/>
      <c r="K85" s="263"/>
      <c r="L85" s="84"/>
      <c r="M85" s="263"/>
      <c r="N85" s="84"/>
      <c r="O85" s="131">
        <f>0.00158*E86*1.23</f>
        <v>5.668314779999995</v>
      </c>
      <c r="P85" s="462"/>
      <c r="Q85" s="462"/>
      <c r="R85" s="165"/>
      <c r="S85" s="131"/>
      <c r="T85" s="189"/>
      <c r="U85" s="190"/>
      <c r="V85" s="174"/>
      <c r="W85" s="175"/>
      <c r="X85" s="179"/>
      <c r="Y85" s="179"/>
      <c r="Z85" s="191"/>
      <c r="AA85" s="104"/>
    </row>
    <row r="86" spans="1:27" ht="12.75" hidden="1">
      <c r="A86" s="524"/>
      <c r="B86" s="160" t="s">
        <v>293</v>
      </c>
      <c r="C86" s="64" t="s">
        <v>294</v>
      </c>
      <c r="D86" s="373">
        <v>131856</v>
      </c>
      <c r="E86" s="392">
        <f>(D86-D82)*Y$9</f>
        <v>2916.699999999997</v>
      </c>
      <c r="F86" s="406">
        <v>2917</v>
      </c>
      <c r="G86" s="75"/>
      <c r="H86" s="271"/>
      <c r="I86" s="171">
        <f>(9.55*1.23*0.17)+(11.39*1.23*0.83)</f>
        <v>13.624956</v>
      </c>
      <c r="J86" s="122"/>
      <c r="K86" s="170"/>
      <c r="L86" s="62">
        <f>(E86)*K86</f>
        <v>0</v>
      </c>
      <c r="M86" s="170"/>
      <c r="N86" s="62">
        <f>(E86)*M86</f>
        <v>0</v>
      </c>
      <c r="O86" s="171">
        <f>(19*1.23*0.17)+(15*1.23*0.83)</f>
        <v>19.2864</v>
      </c>
      <c r="P86" s="375">
        <v>65261.4</v>
      </c>
      <c r="Q86" s="375">
        <v>66152.3</v>
      </c>
      <c r="R86" s="110">
        <f>(Q86-P86)</f>
        <v>890.9000000000015</v>
      </c>
      <c r="S86" s="177"/>
      <c r="T86" s="290"/>
      <c r="U86" s="192"/>
      <c r="V86" s="129"/>
      <c r="W86" s="170"/>
      <c r="X86" s="71">
        <v>40</v>
      </c>
      <c r="Y86" s="72">
        <v>25</v>
      </c>
      <c r="Z86" s="193"/>
      <c r="AA86" s="101"/>
    </row>
    <row r="87" spans="1:27" ht="12.75" hidden="1">
      <c r="A87" s="525">
        <v>6</v>
      </c>
      <c r="B87" s="109"/>
      <c r="C87" s="137"/>
      <c r="D87" s="373"/>
      <c r="E87" s="83"/>
      <c r="F87" s="83"/>
      <c r="G87" s="272"/>
      <c r="H87" s="84"/>
      <c r="I87" s="167">
        <f>0.19*1.23</f>
        <v>0.2337</v>
      </c>
      <c r="J87" s="210"/>
      <c r="K87" s="263"/>
      <c r="L87" s="84"/>
      <c r="M87" s="263"/>
      <c r="N87" s="84"/>
      <c r="O87" s="131">
        <f>0.00158*E88*1.23</f>
        <v>24.104184540000013</v>
      </c>
      <c r="P87" s="373"/>
      <c r="Q87" s="373"/>
      <c r="R87" s="165"/>
      <c r="S87" s="131"/>
      <c r="T87" s="189"/>
      <c r="U87" s="190"/>
      <c r="V87" s="174"/>
      <c r="W87" s="175"/>
      <c r="X87" s="179"/>
      <c r="Y87" s="179"/>
      <c r="Z87" s="191"/>
      <c r="AA87" s="104"/>
    </row>
    <row r="88" spans="1:27" ht="12.75" hidden="1">
      <c r="A88" s="524"/>
      <c r="B88" s="160" t="s">
        <v>300</v>
      </c>
      <c r="C88" s="64" t="s">
        <v>299</v>
      </c>
      <c r="D88" s="373">
        <v>144259.1</v>
      </c>
      <c r="E88" s="392">
        <f>(D88-D86)*Y$9</f>
        <v>12403.100000000006</v>
      </c>
      <c r="F88" s="406">
        <v>12403</v>
      </c>
      <c r="G88" s="75"/>
      <c r="H88" s="271"/>
      <c r="I88" s="171">
        <f>11.39*1.23</f>
        <v>14.0097</v>
      </c>
      <c r="J88" s="122"/>
      <c r="K88" s="170"/>
      <c r="L88" s="62">
        <f>(E88)*K88</f>
        <v>0</v>
      </c>
      <c r="M88" s="170"/>
      <c r="N88" s="62">
        <f>(E88)*M88</f>
        <v>0</v>
      </c>
      <c r="O88" s="171">
        <f>15*1.23</f>
        <v>18.45</v>
      </c>
      <c r="P88" s="375">
        <v>66152.3</v>
      </c>
      <c r="Q88" s="375">
        <v>70246.1</v>
      </c>
      <c r="R88" s="110">
        <f>(Q88-P88)</f>
        <v>4093.800000000003</v>
      </c>
      <c r="S88" s="177"/>
      <c r="T88" s="290"/>
      <c r="U88" s="192"/>
      <c r="V88" s="129"/>
      <c r="W88" s="170"/>
      <c r="X88" s="71">
        <v>40</v>
      </c>
      <c r="Y88" s="72">
        <v>24</v>
      </c>
      <c r="Z88" s="193"/>
      <c r="AA88" s="101"/>
    </row>
    <row r="89" spans="1:27" ht="12.75" hidden="1">
      <c r="A89" s="89"/>
      <c r="B89" s="133"/>
      <c r="C89" s="92"/>
      <c r="D89" s="373"/>
      <c r="E89" s="83"/>
      <c r="F89" s="83"/>
      <c r="G89" s="272"/>
      <c r="H89" s="84"/>
      <c r="I89" s="167"/>
      <c r="J89" s="123"/>
      <c r="K89" s="184"/>
      <c r="L89" s="87"/>
      <c r="M89" s="184"/>
      <c r="N89" s="87"/>
      <c r="O89" s="167"/>
      <c r="P89" s="461"/>
      <c r="Q89" s="461"/>
      <c r="R89" s="111"/>
      <c r="S89" s="131"/>
      <c r="T89" s="274"/>
      <c r="U89" s="209"/>
      <c r="V89" s="210"/>
      <c r="W89" s="211"/>
      <c r="X89" s="212"/>
      <c r="Y89" s="457"/>
      <c r="Z89" s="460"/>
      <c r="AA89" s="104"/>
    </row>
    <row r="90" spans="1:27" ht="12.75" hidden="1">
      <c r="A90" s="89"/>
      <c r="B90" s="186" t="s">
        <v>275</v>
      </c>
      <c r="C90" s="92"/>
      <c r="D90" s="373"/>
      <c r="E90" s="392"/>
      <c r="F90" s="406"/>
      <c r="G90" s="75"/>
      <c r="H90" s="271"/>
      <c r="I90" s="171"/>
      <c r="J90" s="308"/>
      <c r="K90" s="170"/>
      <c r="L90" s="50"/>
      <c r="M90" s="170"/>
      <c r="N90" s="50"/>
      <c r="O90" s="171"/>
      <c r="P90" s="375"/>
      <c r="Q90" s="375"/>
      <c r="R90" s="110"/>
      <c r="S90" s="177"/>
      <c r="T90" s="290"/>
      <c r="U90" s="192"/>
      <c r="V90" s="311"/>
      <c r="W90" s="303"/>
      <c r="X90" s="312"/>
      <c r="Y90" s="459"/>
      <c r="Z90" s="304"/>
      <c r="AA90" s="101"/>
    </row>
    <row r="91" spans="1:27" ht="12.75" hidden="1">
      <c r="A91" s="525">
        <v>7</v>
      </c>
      <c r="B91" s="109"/>
      <c r="C91" s="137"/>
      <c r="D91" s="373"/>
      <c r="E91" s="83"/>
      <c r="F91" s="83"/>
      <c r="G91" s="272"/>
      <c r="H91" s="84"/>
      <c r="I91" s="167">
        <f>0.19*1.23</f>
        <v>0.2337</v>
      </c>
      <c r="J91" s="210"/>
      <c r="K91" s="263"/>
      <c r="L91" s="84"/>
      <c r="M91" s="263"/>
      <c r="N91" s="84"/>
      <c r="O91" s="131">
        <f>0.00158*E92*1.23</f>
        <v>27.276979379999965</v>
      </c>
      <c r="P91" s="462"/>
      <c r="Q91" s="462"/>
      <c r="R91" s="165"/>
      <c r="S91" s="131"/>
      <c r="T91" s="189"/>
      <c r="U91" s="190"/>
      <c r="V91" s="174"/>
      <c r="W91" s="175"/>
      <c r="X91" s="179"/>
      <c r="Y91" s="179"/>
      <c r="Z91" s="191"/>
      <c r="AA91" s="104"/>
    </row>
    <row r="92" spans="1:27" ht="12.75" hidden="1">
      <c r="A92" s="524"/>
      <c r="B92" s="160" t="s">
        <v>303</v>
      </c>
      <c r="C92" s="64" t="s">
        <v>297</v>
      </c>
      <c r="D92" s="373">
        <v>158294.8</v>
      </c>
      <c r="E92" s="392">
        <f>(D92-D88)*Y$9</f>
        <v>14035.699999999983</v>
      </c>
      <c r="F92" s="406">
        <v>14036</v>
      </c>
      <c r="G92" s="75"/>
      <c r="H92" s="271"/>
      <c r="I92" s="171">
        <f>11.39*1.23</f>
        <v>14.0097</v>
      </c>
      <c r="J92" s="122"/>
      <c r="K92" s="170"/>
      <c r="L92" s="62">
        <f>(E92)*K92</f>
        <v>0</v>
      </c>
      <c r="M92" s="170"/>
      <c r="N92" s="62">
        <f>(E92)*M92</f>
        <v>0</v>
      </c>
      <c r="O92" s="171">
        <f>15*1.23</f>
        <v>18.45</v>
      </c>
      <c r="P92" s="375">
        <v>70246.1</v>
      </c>
      <c r="Q92" s="375">
        <v>74308.5</v>
      </c>
      <c r="R92" s="110">
        <f>(Q92-P92)</f>
        <v>4062.399999999994</v>
      </c>
      <c r="S92" s="177"/>
      <c r="T92" s="290"/>
      <c r="U92" s="192"/>
      <c r="V92" s="129"/>
      <c r="W92" s="170"/>
      <c r="X92" s="71">
        <v>40</v>
      </c>
      <c r="Y92" s="72">
        <v>29</v>
      </c>
      <c r="Z92" s="193"/>
      <c r="AA92" s="101"/>
    </row>
    <row r="93" spans="1:27" ht="12.75" hidden="1">
      <c r="A93" s="525">
        <v>8</v>
      </c>
      <c r="B93" s="109"/>
      <c r="C93" s="137"/>
      <c r="D93" s="373"/>
      <c r="E93" s="83"/>
      <c r="F93" s="83"/>
      <c r="G93" s="272"/>
      <c r="H93" s="84"/>
      <c r="I93" s="167">
        <f>0.19*1.23</f>
        <v>0.2337</v>
      </c>
      <c r="J93" s="210"/>
      <c r="K93" s="263"/>
      <c r="L93" s="84"/>
      <c r="M93" s="263"/>
      <c r="N93" s="84"/>
      <c r="O93" s="131">
        <f>0.00158*E94*1.23</f>
        <v>26.83077474000001</v>
      </c>
      <c r="P93" s="373"/>
      <c r="Q93" s="373"/>
      <c r="R93" s="165"/>
      <c r="S93" s="131"/>
      <c r="T93" s="189"/>
      <c r="U93" s="190"/>
      <c r="V93" s="174"/>
      <c r="W93" s="175"/>
      <c r="X93" s="179"/>
      <c r="Y93" s="179"/>
      <c r="Z93" s="191"/>
      <c r="AA93" s="104"/>
    </row>
    <row r="94" spans="1:27" ht="12.75" hidden="1">
      <c r="A94" s="524"/>
      <c r="B94" s="160" t="s">
        <v>307</v>
      </c>
      <c r="C94" s="64" t="s">
        <v>306</v>
      </c>
      <c r="D94" s="373">
        <v>172100.9</v>
      </c>
      <c r="E94" s="392">
        <f>(D94-D92)*Y$9</f>
        <v>13806.100000000006</v>
      </c>
      <c r="F94" s="406">
        <v>13806</v>
      </c>
      <c r="G94" s="75"/>
      <c r="H94" s="271"/>
      <c r="I94" s="171">
        <f>11.39*1.23</f>
        <v>14.0097</v>
      </c>
      <c r="J94" s="122"/>
      <c r="K94" s="170"/>
      <c r="L94" s="62">
        <f>(E94)*K94</f>
        <v>0</v>
      </c>
      <c r="M94" s="170"/>
      <c r="N94" s="62">
        <f>(E94)*M94</f>
        <v>0</v>
      </c>
      <c r="O94" s="171">
        <f>15*1.23</f>
        <v>18.45</v>
      </c>
      <c r="P94" s="375">
        <v>74308.5</v>
      </c>
      <c r="Q94" s="375">
        <v>78696.3</v>
      </c>
      <c r="R94" s="110">
        <f>(Q94-P94)</f>
        <v>4387.800000000003</v>
      </c>
      <c r="S94" s="177"/>
      <c r="T94" s="290"/>
      <c r="U94" s="192"/>
      <c r="V94" s="129"/>
      <c r="W94" s="170"/>
      <c r="X94" s="71">
        <v>40</v>
      </c>
      <c r="Y94" s="72">
        <v>30</v>
      </c>
      <c r="Z94" s="193"/>
      <c r="AA94" s="101"/>
    </row>
    <row r="95" spans="1:27" ht="12.75" hidden="1">
      <c r="A95" s="89"/>
      <c r="B95" s="109"/>
      <c r="C95" s="137"/>
      <c r="D95" s="373"/>
      <c r="E95" s="83"/>
      <c r="F95" s="83"/>
      <c r="G95" s="272"/>
      <c r="H95" s="84"/>
      <c r="I95" s="167"/>
      <c r="J95" s="123"/>
      <c r="K95" s="184"/>
      <c r="L95" s="87"/>
      <c r="M95" s="184"/>
      <c r="N95" s="87"/>
      <c r="O95" s="167"/>
      <c r="P95" s="461"/>
      <c r="Q95" s="461"/>
      <c r="R95" s="111"/>
      <c r="S95" s="131"/>
      <c r="T95" s="274"/>
      <c r="U95" s="209"/>
      <c r="V95" s="210"/>
      <c r="W95" s="211"/>
      <c r="X95" s="212"/>
      <c r="Y95" s="457"/>
      <c r="Z95" s="460"/>
      <c r="AA95" s="104"/>
    </row>
    <row r="96" spans="1:27" ht="12.75" hidden="1">
      <c r="A96" s="89"/>
      <c r="B96" s="186" t="s">
        <v>275</v>
      </c>
      <c r="C96" s="64" t="s">
        <v>306</v>
      </c>
      <c r="D96" s="373"/>
      <c r="E96" s="392"/>
      <c r="F96" s="406"/>
      <c r="G96" s="75"/>
      <c r="H96" s="271"/>
      <c r="I96" s="171"/>
      <c r="J96" s="308"/>
      <c r="K96" s="170"/>
      <c r="L96" s="50"/>
      <c r="M96" s="170"/>
      <c r="N96" s="50"/>
      <c r="O96" s="171"/>
      <c r="P96" s="375"/>
      <c r="Q96" s="375"/>
      <c r="R96" s="110"/>
      <c r="S96" s="177"/>
      <c r="T96" s="290"/>
      <c r="U96" s="192"/>
      <c r="V96" s="311"/>
      <c r="W96" s="303"/>
      <c r="X96" s="312"/>
      <c r="Y96" s="459"/>
      <c r="Z96" s="304"/>
      <c r="AA96" s="101"/>
    </row>
    <row r="97" spans="1:27" ht="12.75" hidden="1">
      <c r="A97" s="525">
        <v>9</v>
      </c>
      <c r="B97" s="109"/>
      <c r="C97" s="137"/>
      <c r="D97" s="373"/>
      <c r="E97" s="83"/>
      <c r="F97" s="83"/>
      <c r="G97" s="272"/>
      <c r="H97" s="84"/>
      <c r="I97" s="167">
        <f>0.19*1.23</f>
        <v>0.2337</v>
      </c>
      <c r="J97" s="210"/>
      <c r="K97" s="263"/>
      <c r="L97" s="84"/>
      <c r="M97" s="263"/>
      <c r="N97" s="84"/>
      <c r="O97" s="131">
        <f>0.00158*E98*1.23</f>
        <v>29.620136759999987</v>
      </c>
      <c r="P97" s="462"/>
      <c r="Q97" s="462"/>
      <c r="R97" s="165"/>
      <c r="S97" s="131"/>
      <c r="T97" s="189"/>
      <c r="U97" s="190"/>
      <c r="V97" s="174"/>
      <c r="W97" s="175"/>
      <c r="X97" s="179"/>
      <c r="Y97" s="179"/>
      <c r="Z97" s="191"/>
      <c r="AA97" s="104"/>
    </row>
    <row r="98" spans="1:27" ht="12.75" hidden="1">
      <c r="A98" s="524"/>
      <c r="B98" s="160" t="s">
        <v>314</v>
      </c>
      <c r="C98" s="64" t="s">
        <v>313</v>
      </c>
      <c r="D98" s="446">
        <v>187342.3</v>
      </c>
      <c r="E98" s="392">
        <f>(D98-D94)*Y$9</f>
        <v>15241.399999999994</v>
      </c>
      <c r="F98" s="406">
        <v>15241</v>
      </c>
      <c r="G98" s="75"/>
      <c r="H98" s="271"/>
      <c r="I98" s="171">
        <f>11.39*1.23</f>
        <v>14.0097</v>
      </c>
      <c r="J98" s="122"/>
      <c r="K98" s="170"/>
      <c r="L98" s="62">
        <f>(E98)*K98</f>
        <v>0</v>
      </c>
      <c r="M98" s="170"/>
      <c r="N98" s="62">
        <f>(E98)*M98</f>
        <v>0</v>
      </c>
      <c r="O98" s="171">
        <f>15*1.23</f>
        <v>18.45</v>
      </c>
      <c r="P98" s="375">
        <v>78696.3</v>
      </c>
      <c r="Q98" s="375">
        <v>86431.2</v>
      </c>
      <c r="R98" s="110">
        <f>(Q98-P98)</f>
        <v>7734.899999999994</v>
      </c>
      <c r="S98" s="177"/>
      <c r="T98" s="290"/>
      <c r="U98" s="192"/>
      <c r="V98" s="129"/>
      <c r="W98" s="170"/>
      <c r="X98" s="71">
        <v>40</v>
      </c>
      <c r="Y98" s="72">
        <v>29</v>
      </c>
      <c r="Z98" s="193"/>
      <c r="AA98" s="101"/>
    </row>
    <row r="99" spans="1:27" ht="12.75" hidden="1">
      <c r="A99" s="525">
        <v>10</v>
      </c>
      <c r="B99" s="109"/>
      <c r="C99" s="137"/>
      <c r="D99" s="373"/>
      <c r="E99" s="83"/>
      <c r="F99" s="83"/>
      <c r="G99" s="272"/>
      <c r="H99" s="84"/>
      <c r="I99" s="167">
        <f>0.19*1.23</f>
        <v>0.2337</v>
      </c>
      <c r="J99" s="210"/>
      <c r="K99" s="263"/>
      <c r="L99" s="84"/>
      <c r="M99" s="263"/>
      <c r="N99" s="84"/>
      <c r="O99" s="131">
        <f>0.00158*E100*1.23</f>
        <v>29.971503480000024</v>
      </c>
      <c r="P99" s="373"/>
      <c r="Q99" s="373"/>
      <c r="R99" s="165"/>
      <c r="S99" s="131"/>
      <c r="T99" s="189"/>
      <c r="U99" s="190"/>
      <c r="V99" s="174"/>
      <c r="W99" s="175"/>
      <c r="X99" s="179"/>
      <c r="Y99" s="179"/>
      <c r="Z99" s="191"/>
      <c r="AA99" s="104"/>
    </row>
    <row r="100" spans="1:27" ht="12.75" hidden="1">
      <c r="A100" s="524"/>
      <c r="B100" s="160" t="s">
        <v>318</v>
      </c>
      <c r="C100" s="64" t="s">
        <v>315</v>
      </c>
      <c r="D100" s="446">
        <v>202764.5</v>
      </c>
      <c r="E100" s="392">
        <f>(D100-D98)*Y$9</f>
        <v>15422.200000000012</v>
      </c>
      <c r="F100" s="406">
        <v>15422</v>
      </c>
      <c r="G100" s="75"/>
      <c r="H100" s="271"/>
      <c r="I100" s="171">
        <f>11.39*1.23</f>
        <v>14.0097</v>
      </c>
      <c r="J100" s="122"/>
      <c r="K100" s="170"/>
      <c r="L100" s="62">
        <f>(E100)*K100</f>
        <v>0</v>
      </c>
      <c r="M100" s="170"/>
      <c r="N100" s="62">
        <f>(E100)*M100</f>
        <v>0</v>
      </c>
      <c r="O100" s="171">
        <f>15*1.23</f>
        <v>18.45</v>
      </c>
      <c r="P100" s="375">
        <v>86431.2</v>
      </c>
      <c r="Q100" s="375">
        <v>96499.2</v>
      </c>
      <c r="R100" s="402">
        <f>(Q100-P100)</f>
        <v>10068</v>
      </c>
      <c r="S100" s="177"/>
      <c r="T100" s="290"/>
      <c r="U100" s="192"/>
      <c r="V100" s="129"/>
      <c r="W100" s="170"/>
      <c r="X100" s="71">
        <v>40</v>
      </c>
      <c r="Y100" s="72">
        <v>48</v>
      </c>
      <c r="Z100" s="193"/>
      <c r="AA100" s="101"/>
    </row>
    <row r="101" spans="1:27" ht="12.75" hidden="1">
      <c r="A101" s="525">
        <v>11</v>
      </c>
      <c r="B101" s="109"/>
      <c r="C101" s="137"/>
      <c r="D101" s="373"/>
      <c r="E101" s="83"/>
      <c r="F101" s="83"/>
      <c r="G101" s="272"/>
      <c r="H101" s="84"/>
      <c r="I101" s="167">
        <f>0.19*1.23</f>
        <v>0.2337</v>
      </c>
      <c r="J101" s="210"/>
      <c r="K101" s="263"/>
      <c r="L101" s="84"/>
      <c r="M101" s="263"/>
      <c r="N101" s="84"/>
      <c r="O101" s="131">
        <f>0.00158*E102*1.23</f>
        <v>36.79769598000002</v>
      </c>
      <c r="P101" s="373"/>
      <c r="Q101" s="373"/>
      <c r="R101" s="165"/>
      <c r="S101" s="131"/>
      <c r="T101" s="189"/>
      <c r="U101" s="190"/>
      <c r="V101" s="174"/>
      <c r="W101" s="175"/>
      <c r="X101" s="179"/>
      <c r="Y101" s="179"/>
      <c r="Z101" s="191"/>
      <c r="AA101" s="104"/>
    </row>
    <row r="102" spans="1:27" ht="12.75" hidden="1">
      <c r="A102" s="524"/>
      <c r="B102" s="160" t="s">
        <v>323</v>
      </c>
      <c r="C102" s="64" t="s">
        <v>268</v>
      </c>
      <c r="D102" s="446">
        <v>221699.2</v>
      </c>
      <c r="E102" s="392">
        <f>(D102-D100)*Y$9</f>
        <v>18934.70000000001</v>
      </c>
      <c r="F102" s="406"/>
      <c r="G102" s="75"/>
      <c r="H102" s="271"/>
      <c r="I102" s="171">
        <f>11.39*1.23</f>
        <v>14.0097</v>
      </c>
      <c r="J102" s="122"/>
      <c r="K102" s="170"/>
      <c r="L102" s="62">
        <f>(E102)*K102</f>
        <v>0</v>
      </c>
      <c r="M102" s="170"/>
      <c r="N102" s="62">
        <f>(E102)*M102</f>
        <v>0</v>
      </c>
      <c r="O102" s="171">
        <f>15*1.23</f>
        <v>18.45</v>
      </c>
      <c r="P102" s="375">
        <v>96499.2</v>
      </c>
      <c r="Q102" s="375">
        <v>108940.8</v>
      </c>
      <c r="R102" s="402">
        <f>(Q102-P102)</f>
        <v>12441.600000000006</v>
      </c>
      <c r="S102" s="177"/>
      <c r="T102" s="290"/>
      <c r="U102" s="192"/>
      <c r="V102" s="129"/>
      <c r="W102" s="170"/>
      <c r="X102" s="71">
        <v>40</v>
      </c>
      <c r="Y102" s="72">
        <v>65</v>
      </c>
      <c r="Z102" s="193"/>
      <c r="AA102" s="101"/>
    </row>
    <row r="103" spans="1:27" ht="12.75" hidden="1">
      <c r="A103" s="525">
        <v>12</v>
      </c>
      <c r="B103" s="109"/>
      <c r="C103" s="137"/>
      <c r="D103" s="373"/>
      <c r="E103" s="83"/>
      <c r="F103" s="83"/>
      <c r="G103" s="272"/>
      <c r="H103" s="84"/>
      <c r="I103" s="167">
        <f>0.19*1.23</f>
        <v>0.2337</v>
      </c>
      <c r="J103" s="210"/>
      <c r="K103" s="263"/>
      <c r="L103" s="84"/>
      <c r="M103" s="263"/>
      <c r="N103" s="84"/>
      <c r="O103" s="131">
        <f>0.00158*E104*1.23</f>
        <v>40.891662419999975</v>
      </c>
      <c r="P103" s="373"/>
      <c r="Q103" s="373"/>
      <c r="R103" s="165"/>
      <c r="S103" s="131"/>
      <c r="T103" s="189"/>
      <c r="U103" s="190"/>
      <c r="V103" s="174"/>
      <c r="W103" s="175"/>
      <c r="X103" s="179"/>
      <c r="Y103" s="179"/>
      <c r="Z103" s="191"/>
      <c r="AA103" s="104"/>
    </row>
    <row r="104" spans="1:27" ht="13.5" hidden="1" thickBot="1">
      <c r="A104" s="524"/>
      <c r="B104" s="160" t="s">
        <v>324</v>
      </c>
      <c r="C104" s="64" t="s">
        <v>271</v>
      </c>
      <c r="D104" s="446">
        <v>242740.5</v>
      </c>
      <c r="E104" s="392">
        <f>(D104-D102)*Y$9</f>
        <v>21041.29999999999</v>
      </c>
      <c r="F104" s="406"/>
      <c r="G104" s="75"/>
      <c r="H104" s="271"/>
      <c r="I104" s="171">
        <f>11.39*1.23</f>
        <v>14.0097</v>
      </c>
      <c r="J104" s="122"/>
      <c r="K104" s="170"/>
      <c r="L104" s="62">
        <f>(E104)*K104</f>
        <v>0</v>
      </c>
      <c r="M104" s="170"/>
      <c r="N104" s="62">
        <f>(E104)*M104</f>
        <v>0</v>
      </c>
      <c r="O104" s="171">
        <f>15*1.23</f>
        <v>18.45</v>
      </c>
      <c r="P104" s="375">
        <v>108940.8</v>
      </c>
      <c r="Q104" s="375">
        <v>120878.9</v>
      </c>
      <c r="R104" s="402">
        <f>(Q104-P104)</f>
        <v>11938.099999999991</v>
      </c>
      <c r="S104" s="177"/>
      <c r="T104" s="290"/>
      <c r="U104" s="192"/>
      <c r="V104" s="129"/>
      <c r="W104" s="170"/>
      <c r="X104" s="71">
        <v>40</v>
      </c>
      <c r="Y104" s="72">
        <v>107</v>
      </c>
      <c r="Z104" s="193"/>
      <c r="AA104" s="101"/>
    </row>
    <row r="105" spans="1:27" ht="12.75">
      <c r="A105" s="526" t="s">
        <v>269</v>
      </c>
      <c r="B105" s="527"/>
      <c r="C105" s="527"/>
      <c r="D105" s="528"/>
      <c r="E105" s="41"/>
      <c r="F105" s="13"/>
      <c r="G105" s="13"/>
      <c r="H105" s="41"/>
      <c r="I105" s="13"/>
      <c r="J105" s="13"/>
      <c r="K105" s="41"/>
      <c r="L105" s="41"/>
      <c r="M105" s="41"/>
      <c r="N105" s="41"/>
      <c r="O105" s="302"/>
      <c r="P105" s="33"/>
      <c r="Q105" s="33"/>
      <c r="R105" s="258"/>
      <c r="S105" s="258"/>
      <c r="T105" s="299"/>
      <c r="U105" s="298"/>
      <c r="V105" s="266"/>
      <c r="W105" s="294"/>
      <c r="X105" s="42"/>
      <c r="Y105" s="306"/>
      <c r="Z105" s="42"/>
      <c r="AA105" s="43"/>
    </row>
    <row r="106" spans="1:27" ht="13.5" thickBot="1">
      <c r="A106" s="529"/>
      <c r="B106" s="530"/>
      <c r="C106" s="530"/>
      <c r="D106" s="531"/>
      <c r="E106" s="120">
        <f>SUM(E73:E104)</f>
        <v>147395</v>
      </c>
      <c r="F106" s="390">
        <f>SUM(F73:F104)+F109+F110</f>
        <v>147394</v>
      </c>
      <c r="G106" s="44"/>
      <c r="H106" s="253"/>
      <c r="I106" s="99"/>
      <c r="J106" s="99"/>
      <c r="K106" s="99"/>
      <c r="L106" s="99">
        <f>SUM(L73:L105)</f>
        <v>0</v>
      </c>
      <c r="M106" s="99"/>
      <c r="N106" s="99">
        <f>SUM(N73:N105)</f>
        <v>0</v>
      </c>
      <c r="O106" s="99">
        <f>SUM(O73:O105)</f>
        <v>472.0829552999999</v>
      </c>
      <c r="P106" s="99"/>
      <c r="Q106" s="99"/>
      <c r="R106" s="347"/>
      <c r="S106" s="260"/>
      <c r="T106" s="261"/>
      <c r="U106" s="262"/>
      <c r="V106" s="253"/>
      <c r="W106" s="252"/>
      <c r="X106" s="74">
        <f>X76</f>
        <v>40</v>
      </c>
      <c r="Y106" s="74">
        <f>SUM(Y74:Y105)/12</f>
        <v>38.75</v>
      </c>
      <c r="Z106" s="74"/>
      <c r="AA106" s="46"/>
    </row>
    <row r="107" spans="6:7" ht="12.75">
      <c r="F107" s="391">
        <f>F106-E106</f>
        <v>-1</v>
      </c>
      <c r="G107" s="150"/>
    </row>
    <row r="108" spans="1:27" ht="12.75">
      <c r="A108" s="525"/>
      <c r="B108" s="455"/>
      <c r="C108" s="137"/>
      <c r="D108" s="373"/>
      <c r="E108" s="83"/>
      <c r="F108" s="83"/>
      <c r="G108" s="272"/>
      <c r="H108" s="84"/>
      <c r="I108" s="167"/>
      <c r="J108" s="210"/>
      <c r="K108" s="263"/>
      <c r="L108" s="84"/>
      <c r="M108" s="263"/>
      <c r="N108" s="84"/>
      <c r="O108" s="131"/>
      <c r="P108" s="269"/>
      <c r="Q108" s="373"/>
      <c r="R108" s="165"/>
      <c r="S108" s="131"/>
      <c r="T108" s="189"/>
      <c r="U108" s="190"/>
      <c r="V108" s="174"/>
      <c r="W108" s="175"/>
      <c r="X108" s="179"/>
      <c r="Y108" s="179"/>
      <c r="Z108" s="191"/>
      <c r="AA108" s="104"/>
    </row>
    <row r="109" spans="1:27" ht="12.75">
      <c r="A109" s="524"/>
      <c r="B109" s="160"/>
      <c r="C109" s="64"/>
      <c r="D109" s="373"/>
      <c r="E109" s="392"/>
      <c r="F109" s="406">
        <v>18935</v>
      </c>
      <c r="G109" s="75"/>
      <c r="H109" s="271"/>
      <c r="I109" s="171"/>
      <c r="J109" s="122"/>
      <c r="K109" s="170"/>
      <c r="L109" s="62"/>
      <c r="M109" s="170"/>
      <c r="N109" s="62"/>
      <c r="O109" s="171"/>
      <c r="P109" s="375"/>
      <c r="Q109" s="375"/>
      <c r="R109" s="110"/>
      <c r="S109" s="177"/>
      <c r="T109" s="290"/>
      <c r="U109" s="192"/>
      <c r="V109" s="129"/>
      <c r="W109" s="170"/>
      <c r="X109" s="71"/>
      <c r="Y109" s="72"/>
      <c r="Z109" s="193"/>
      <c r="AA109" s="101"/>
    </row>
    <row r="110" spans="1:27" ht="12.75">
      <c r="A110" s="525"/>
      <c r="B110" s="480"/>
      <c r="C110" s="137"/>
      <c r="D110" s="373"/>
      <c r="E110" s="83"/>
      <c r="F110" s="406">
        <v>21041</v>
      </c>
      <c r="G110" s="75"/>
      <c r="H110" s="271"/>
      <c r="I110" s="167"/>
      <c r="J110" s="210"/>
      <c r="K110" s="263"/>
      <c r="L110" s="84"/>
      <c r="M110" s="263"/>
      <c r="N110" s="84"/>
      <c r="O110" s="131"/>
      <c r="P110" s="373"/>
      <c r="Q110" s="373"/>
      <c r="R110" s="165"/>
      <c r="S110" s="131"/>
      <c r="T110" s="189"/>
      <c r="U110" s="190"/>
      <c r="V110" s="174"/>
      <c r="W110" s="175"/>
      <c r="X110" s="179"/>
      <c r="Y110" s="179"/>
      <c r="Z110" s="191"/>
      <c r="AA110" s="104"/>
    </row>
    <row r="111" spans="1:27" ht="12.75">
      <c r="A111" s="524"/>
      <c r="B111" s="431"/>
      <c r="C111" s="137"/>
      <c r="D111" s="373"/>
      <c r="E111" s="83"/>
      <c r="F111" s="83"/>
      <c r="G111" s="272"/>
      <c r="H111" s="84"/>
      <c r="I111" s="167">
        <f>0.19*1.23</f>
        <v>0.2337</v>
      </c>
      <c r="J111" s="210"/>
      <c r="K111" s="263"/>
      <c r="L111" s="84"/>
      <c r="M111" s="263"/>
      <c r="N111" s="84"/>
      <c r="O111" s="131">
        <f>0.00158*E112*1.23</f>
        <v>46.58737913999995</v>
      </c>
      <c r="P111" s="373"/>
      <c r="Q111" s="373"/>
      <c r="R111" s="165"/>
      <c r="S111" s="131"/>
      <c r="T111" s="189"/>
      <c r="U111" s="190"/>
      <c r="V111" s="174"/>
      <c r="W111" s="175"/>
      <c r="X111" s="179"/>
      <c r="Y111" s="179"/>
      <c r="Z111" s="191"/>
      <c r="AA111" s="104"/>
    </row>
    <row r="112" spans="1:27" ht="12.75">
      <c r="A112" s="89"/>
      <c r="B112" s="160" t="s">
        <v>335</v>
      </c>
      <c r="C112" s="64" t="s">
        <v>274</v>
      </c>
      <c r="D112" s="446">
        <v>266712.6</v>
      </c>
      <c r="E112" s="392">
        <v>23972.099999999977</v>
      </c>
      <c r="F112" s="406">
        <v>23972</v>
      </c>
      <c r="G112" s="75"/>
      <c r="H112" s="271"/>
      <c r="I112" s="171">
        <f>11.39*1.23</f>
        <v>14.0097</v>
      </c>
      <c r="J112" s="122"/>
      <c r="K112" s="170"/>
      <c r="L112" s="62">
        <f>(E112)*K112</f>
        <v>0</v>
      </c>
      <c r="M112" s="170"/>
      <c r="N112" s="62">
        <f>(E112)*M112</f>
        <v>0</v>
      </c>
      <c r="O112" s="171">
        <f>15*1.23</f>
        <v>18.45</v>
      </c>
      <c r="P112" s="375">
        <v>120878.9</v>
      </c>
      <c r="Q112" s="375">
        <v>133742.3</v>
      </c>
      <c r="R112" s="402">
        <f>(Q112-P112)</f>
        <v>12863.399999999994</v>
      </c>
      <c r="S112" s="177"/>
      <c r="T112" s="290"/>
      <c r="U112" s="192"/>
      <c r="V112" s="129"/>
      <c r="W112" s="170"/>
      <c r="X112" s="71">
        <v>40</v>
      </c>
      <c r="Y112" s="72">
        <v>138</v>
      </c>
      <c r="Z112" s="193"/>
      <c r="AA112" s="101"/>
    </row>
    <row r="113" spans="1:27" ht="12.75">
      <c r="A113" s="89"/>
      <c r="B113" s="431"/>
      <c r="C113" s="137"/>
      <c r="D113" s="373"/>
      <c r="E113" s="83"/>
      <c r="F113" s="83"/>
      <c r="G113" s="272"/>
      <c r="H113" s="84"/>
      <c r="I113" s="167">
        <f>0.19*1.23</f>
        <v>0.2337</v>
      </c>
      <c r="J113" s="210"/>
      <c r="K113" s="263"/>
      <c r="L113" s="84"/>
      <c r="M113" s="263"/>
      <c r="N113" s="84"/>
      <c r="O113" s="131">
        <f>0.00139*E114*1.23</f>
        <v>44.33474361000008</v>
      </c>
      <c r="P113" s="373"/>
      <c r="Q113" s="373"/>
      <c r="R113" s="165"/>
      <c r="S113" s="131"/>
      <c r="T113" s="189"/>
      <c r="U113" s="190"/>
      <c r="V113" s="174"/>
      <c r="W113" s="175"/>
      <c r="X113" s="179"/>
      <c r="Y113" s="179"/>
      <c r="Z113" s="191"/>
      <c r="AA113" s="104"/>
    </row>
    <row r="114" spans="1:27" ht="12.75">
      <c r="A114" s="525"/>
      <c r="B114" s="160" t="s">
        <v>336</v>
      </c>
      <c r="C114" s="64" t="s">
        <v>332</v>
      </c>
      <c r="D114" s="446">
        <v>292643.9</v>
      </c>
      <c r="E114" s="392">
        <f>(D114-D112)*Y$9</f>
        <v>25931.300000000047</v>
      </c>
      <c r="F114" s="406">
        <v>25931</v>
      </c>
      <c r="G114" s="75"/>
      <c r="H114" s="271"/>
      <c r="I114" s="171">
        <f>11.29*1.23</f>
        <v>13.8867</v>
      </c>
      <c r="J114" s="122"/>
      <c r="K114" s="170"/>
      <c r="L114" s="62">
        <f>(E114)*K114</f>
        <v>0</v>
      </c>
      <c r="M114" s="170"/>
      <c r="N114" s="62">
        <f>(E114)*M114</f>
        <v>0</v>
      </c>
      <c r="O114" s="171">
        <f>15*1.23</f>
        <v>18.45</v>
      </c>
      <c r="P114" s="375">
        <v>133742.3</v>
      </c>
      <c r="Q114" s="375">
        <v>146469</v>
      </c>
      <c r="R114" s="402">
        <f>(Q114-P114)</f>
        <v>12726.700000000012</v>
      </c>
      <c r="S114" s="177"/>
      <c r="T114" s="290"/>
      <c r="U114" s="192"/>
      <c r="V114" s="129"/>
      <c r="W114" s="170"/>
      <c r="X114" s="71">
        <v>40</v>
      </c>
      <c r="Y114" s="72">
        <v>141</v>
      </c>
      <c r="Z114" s="193"/>
      <c r="AA114" s="101"/>
    </row>
    <row r="115" spans="1:27" ht="12.75">
      <c r="A115" s="524"/>
      <c r="B115" s="431"/>
      <c r="C115" s="137"/>
      <c r="D115" s="373"/>
      <c r="E115" s="83"/>
      <c r="F115" s="83"/>
      <c r="G115" s="272"/>
      <c r="H115" s="84"/>
      <c r="I115" s="167">
        <f>0.19*1.23</f>
        <v>0.2337</v>
      </c>
      <c r="J115" s="210"/>
      <c r="K115" s="263"/>
      <c r="L115" s="84"/>
      <c r="M115" s="263"/>
      <c r="N115" s="84"/>
      <c r="O115" s="131">
        <f>0.00139*E116*1.23</f>
        <v>41.752241759999976</v>
      </c>
      <c r="P115" s="373"/>
      <c r="Q115" s="373"/>
      <c r="R115" s="165"/>
      <c r="S115" s="131"/>
      <c r="T115" s="189"/>
      <c r="U115" s="190"/>
      <c r="V115" s="174"/>
      <c r="W115" s="175"/>
      <c r="X115" s="179"/>
      <c r="Y115" s="179"/>
      <c r="Z115" s="191"/>
      <c r="AA115" s="104"/>
    </row>
    <row r="116" spans="1:27" ht="12.75">
      <c r="A116" s="525"/>
      <c r="B116" s="160" t="s">
        <v>340</v>
      </c>
      <c r="C116" s="64" t="s">
        <v>341</v>
      </c>
      <c r="D116" s="446">
        <v>317064.7</v>
      </c>
      <c r="E116" s="392">
        <f>(D116-D114)*Y$9</f>
        <v>24420.79999999999</v>
      </c>
      <c r="F116" s="406">
        <v>24421</v>
      </c>
      <c r="G116" s="75"/>
      <c r="H116" s="271"/>
      <c r="I116" s="171">
        <f>11.29*1.23</f>
        <v>13.8867</v>
      </c>
      <c r="J116" s="122"/>
      <c r="K116" s="170"/>
      <c r="L116" s="62">
        <f>(E116)*K116</f>
        <v>0</v>
      </c>
      <c r="M116" s="170"/>
      <c r="N116" s="62">
        <f>(E116)*M116</f>
        <v>0</v>
      </c>
      <c r="O116" s="171">
        <f>15*1.23</f>
        <v>18.45</v>
      </c>
      <c r="P116" s="375">
        <v>146469</v>
      </c>
      <c r="Q116" s="375">
        <v>158266</v>
      </c>
      <c r="R116" s="402">
        <f>(Q116-P116)</f>
        <v>11797</v>
      </c>
      <c r="S116" s="177"/>
      <c r="T116" s="290"/>
      <c r="U116" s="192"/>
      <c r="V116" s="129"/>
      <c r="W116" s="170"/>
      <c r="X116" s="71">
        <v>40</v>
      </c>
      <c r="Y116" s="72">
        <v>137</v>
      </c>
      <c r="Z116" s="193"/>
      <c r="AA116" s="101"/>
    </row>
    <row r="117" spans="1:27" ht="12.75">
      <c r="A117" s="524"/>
      <c r="B117" s="431"/>
      <c r="C117" s="137"/>
      <c r="D117" s="373"/>
      <c r="E117" s="83"/>
      <c r="F117" s="83"/>
      <c r="G117" s="272"/>
      <c r="H117" s="84"/>
      <c r="I117" s="167">
        <f>0.19*1.23</f>
        <v>0.2337</v>
      </c>
      <c r="J117" s="210"/>
      <c r="K117" s="263"/>
      <c r="L117" s="84"/>
      <c r="M117" s="263"/>
      <c r="N117" s="84"/>
      <c r="O117" s="131">
        <f>0.00139*E118*1.23</f>
        <v>19.91851790999998</v>
      </c>
      <c r="P117" s="373"/>
      <c r="Q117" s="373"/>
      <c r="R117" s="165"/>
      <c r="S117" s="131"/>
      <c r="T117" s="189"/>
      <c r="U117" s="190"/>
      <c r="V117" s="174"/>
      <c r="W117" s="175"/>
      <c r="X117" s="179"/>
      <c r="Y117" s="179"/>
      <c r="Z117" s="191"/>
      <c r="AA117" s="104"/>
    </row>
    <row r="118" spans="1:27" ht="12.75">
      <c r="A118" s="89"/>
      <c r="B118" s="160" t="s">
        <v>348</v>
      </c>
      <c r="C118" s="64" t="s">
        <v>346</v>
      </c>
      <c r="D118" s="446">
        <v>328715</v>
      </c>
      <c r="E118" s="392">
        <f>(D118-D116)*Y$9</f>
        <v>11650.299999999988</v>
      </c>
      <c r="F118" s="406">
        <v>11650</v>
      </c>
      <c r="G118" s="75"/>
      <c r="H118" s="271"/>
      <c r="I118" s="171">
        <f>11.29*1.23</f>
        <v>13.8867</v>
      </c>
      <c r="J118" s="122"/>
      <c r="K118" s="170"/>
      <c r="L118" s="62">
        <f>(E118)*K118</f>
        <v>0</v>
      </c>
      <c r="M118" s="170"/>
      <c r="N118" s="62">
        <f>(E118)*M118</f>
        <v>0</v>
      </c>
      <c r="O118" s="171">
        <f>15*1.23</f>
        <v>18.45</v>
      </c>
      <c r="P118" s="375">
        <v>158266</v>
      </c>
      <c r="Q118" s="375">
        <v>164462.1</v>
      </c>
      <c r="R118" s="402">
        <f>(Q118-P118)</f>
        <v>6196.100000000006</v>
      </c>
      <c r="S118" s="177"/>
      <c r="T118" s="290"/>
      <c r="U118" s="192"/>
      <c r="V118" s="129"/>
      <c r="W118" s="170"/>
      <c r="X118" s="71">
        <v>40</v>
      </c>
      <c r="Y118" s="72">
        <v>137</v>
      </c>
      <c r="Z118" s="193"/>
      <c r="AA118" s="101"/>
    </row>
    <row r="119" spans="1:28" ht="12.75">
      <c r="A119" s="89"/>
      <c r="B119" s="431"/>
      <c r="C119" s="137"/>
      <c r="D119" s="373"/>
      <c r="E119" s="83"/>
      <c r="F119" s="83"/>
      <c r="G119" s="272"/>
      <c r="H119" s="84"/>
      <c r="I119" s="167">
        <f>0.19*1.23</f>
        <v>0.2337</v>
      </c>
      <c r="J119" s="210"/>
      <c r="K119" s="263"/>
      <c r="L119" s="84"/>
      <c r="M119" s="263"/>
      <c r="N119" s="84"/>
      <c r="O119" s="131">
        <f>0.00139*E120*1.23</f>
        <v>0</v>
      </c>
      <c r="P119" s="373"/>
      <c r="Q119" s="373"/>
      <c r="R119" s="165"/>
      <c r="S119" s="131"/>
      <c r="T119" s="189"/>
      <c r="U119" s="190"/>
      <c r="V119" s="174"/>
      <c r="W119" s="175"/>
      <c r="X119" s="179"/>
      <c r="Y119" s="179"/>
      <c r="Z119" s="191"/>
      <c r="AA119" s="104"/>
      <c r="AB119" s="150"/>
    </row>
    <row r="120" spans="1:27" ht="12.75">
      <c r="A120" s="525"/>
      <c r="B120" s="160" t="s">
        <v>351</v>
      </c>
      <c r="C120" s="64" t="s">
        <v>349</v>
      </c>
      <c r="D120" s="446">
        <v>328715</v>
      </c>
      <c r="E120" s="392">
        <f>(D120-D118)*Y$9</f>
        <v>0</v>
      </c>
      <c r="F120" s="406">
        <v>0</v>
      </c>
      <c r="G120" s="75"/>
      <c r="H120" s="271"/>
      <c r="I120" s="171">
        <f>11.29*1.23</f>
        <v>13.8867</v>
      </c>
      <c r="J120" s="122"/>
      <c r="K120" s="170"/>
      <c r="L120" s="62">
        <f>(E120)*K120</f>
        <v>0</v>
      </c>
      <c r="M120" s="170"/>
      <c r="N120" s="62">
        <f>(E120)*M120</f>
        <v>0</v>
      </c>
      <c r="O120" s="171">
        <f>15*1.23</f>
        <v>18.45</v>
      </c>
      <c r="P120" s="375">
        <v>164462.1</v>
      </c>
      <c r="Q120" s="375">
        <v>164462.1</v>
      </c>
      <c r="R120" s="402">
        <f>(Q120-P120)</f>
        <v>0</v>
      </c>
      <c r="S120" s="177"/>
      <c r="T120" s="290"/>
      <c r="U120" s="192"/>
      <c r="V120" s="129"/>
      <c r="W120" s="170"/>
      <c r="X120" s="71">
        <v>150</v>
      </c>
      <c r="Y120" s="72">
        <v>0</v>
      </c>
      <c r="Z120" s="193"/>
      <c r="AA120" s="101"/>
    </row>
    <row r="121" spans="1:27" ht="12.75">
      <c r="A121" s="524"/>
      <c r="B121" s="431"/>
      <c r="C121" s="137"/>
      <c r="D121" s="373"/>
      <c r="E121" s="83"/>
      <c r="F121" s="83"/>
      <c r="G121" s="272"/>
      <c r="H121" s="84"/>
      <c r="I121" s="167">
        <f>0.19*1.23</f>
        <v>0.2337</v>
      </c>
      <c r="J121" s="210"/>
      <c r="K121" s="263"/>
      <c r="L121" s="84"/>
      <c r="M121" s="263"/>
      <c r="N121" s="84"/>
      <c r="O121" s="131">
        <f>0.00139*E122*1.23</f>
        <v>0</v>
      </c>
      <c r="P121" s="373"/>
      <c r="Q121" s="373"/>
      <c r="R121" s="165"/>
      <c r="S121" s="131"/>
      <c r="T121" s="189"/>
      <c r="U121" s="190"/>
      <c r="V121" s="174"/>
      <c r="W121" s="175"/>
      <c r="X121" s="179"/>
      <c r="Y121" s="179"/>
      <c r="Z121" s="191"/>
      <c r="AA121" s="104"/>
    </row>
    <row r="122" spans="1:27" ht="12.75">
      <c r="A122" s="525"/>
      <c r="B122" s="160" t="s">
        <v>360</v>
      </c>
      <c r="C122" s="64" t="s">
        <v>359</v>
      </c>
      <c r="D122" s="446">
        <v>328715</v>
      </c>
      <c r="E122" s="392">
        <f>(D122-D120)*Y$9</f>
        <v>0</v>
      </c>
      <c r="F122" s="406">
        <v>0</v>
      </c>
      <c r="G122" s="75"/>
      <c r="H122" s="271"/>
      <c r="I122" s="171">
        <f>11.29*1.23</f>
        <v>13.8867</v>
      </c>
      <c r="J122" s="122"/>
      <c r="K122" s="170"/>
      <c r="L122" s="62">
        <f>(E122)*K122</f>
        <v>0</v>
      </c>
      <c r="M122" s="170"/>
      <c r="N122" s="62">
        <f>(E122)*M122</f>
        <v>0</v>
      </c>
      <c r="O122" s="171">
        <f>15*1.23</f>
        <v>18.45</v>
      </c>
      <c r="P122" s="375">
        <v>164462.1</v>
      </c>
      <c r="Q122" s="375">
        <v>164462.1</v>
      </c>
      <c r="R122" s="402">
        <f>(Q122-P122)</f>
        <v>0</v>
      </c>
      <c r="S122" s="177"/>
      <c r="T122" s="290"/>
      <c r="U122" s="192"/>
      <c r="V122" s="129"/>
      <c r="W122" s="170"/>
      <c r="X122" s="71">
        <v>150</v>
      </c>
      <c r="Y122" s="72">
        <v>0</v>
      </c>
      <c r="Z122" s="193"/>
      <c r="AA122" s="219"/>
    </row>
    <row r="123" spans="1:27" ht="12.75">
      <c r="A123" s="524"/>
      <c r="B123" s="431"/>
      <c r="C123" s="137"/>
      <c r="D123" s="373"/>
      <c r="E123" s="83"/>
      <c r="F123" s="83"/>
      <c r="G123" s="272"/>
      <c r="H123" s="84"/>
      <c r="I123" s="167">
        <f>0.19*1.23</f>
        <v>0.2337</v>
      </c>
      <c r="J123" s="210"/>
      <c r="K123" s="263"/>
      <c r="L123" s="84"/>
      <c r="M123" s="263"/>
      <c r="N123" s="84"/>
      <c r="O123" s="131">
        <f>0.00139*E124*1.23</f>
        <v>0</v>
      </c>
      <c r="P123" s="373"/>
      <c r="Q123" s="373"/>
      <c r="R123" s="165"/>
      <c r="S123" s="131"/>
      <c r="T123" s="189"/>
      <c r="U123" s="190"/>
      <c r="V123" s="174"/>
      <c r="W123" s="175"/>
      <c r="X123" s="179"/>
      <c r="Y123" s="179"/>
      <c r="Z123" s="191"/>
      <c r="AA123" s="104"/>
    </row>
    <row r="124" spans="1:27" ht="12.75">
      <c r="A124" s="89"/>
      <c r="B124" s="160" t="s">
        <v>363</v>
      </c>
      <c r="C124" s="64" t="s">
        <v>362</v>
      </c>
      <c r="D124" s="446">
        <v>328715</v>
      </c>
      <c r="E124" s="392">
        <f>(D124-D122)*Y$9</f>
        <v>0</v>
      </c>
      <c r="F124" s="406">
        <v>0</v>
      </c>
      <c r="G124" s="75"/>
      <c r="H124" s="271"/>
      <c r="I124" s="171">
        <f>11.29*1.23</f>
        <v>13.8867</v>
      </c>
      <c r="J124" s="122"/>
      <c r="K124" s="170"/>
      <c r="L124" s="62">
        <f>(E124)*K124</f>
        <v>0</v>
      </c>
      <c r="M124" s="170"/>
      <c r="N124" s="62">
        <f>(E124)*M124</f>
        <v>0</v>
      </c>
      <c r="O124" s="171">
        <f>15*1.23</f>
        <v>18.45</v>
      </c>
      <c r="P124" s="375">
        <v>164462.1</v>
      </c>
      <c r="Q124" s="375">
        <v>164462.1</v>
      </c>
      <c r="R124" s="402">
        <f>(Q124-P124)</f>
        <v>0</v>
      </c>
      <c r="S124" s="177"/>
      <c r="T124" s="290"/>
      <c r="U124" s="192"/>
      <c r="V124" s="129"/>
      <c r="W124" s="170"/>
      <c r="X124" s="71">
        <v>150</v>
      </c>
      <c r="Y124" s="72">
        <v>0</v>
      </c>
      <c r="Z124" s="193"/>
      <c r="AA124" s="219"/>
    </row>
    <row r="125" spans="1:27" ht="12.75">
      <c r="A125" s="89"/>
      <c r="B125" s="431"/>
      <c r="C125" s="137"/>
      <c r="D125" s="373"/>
      <c r="E125" s="83"/>
      <c r="F125" s="83"/>
      <c r="G125" s="272"/>
      <c r="H125" s="84"/>
      <c r="I125" s="167">
        <f>0.19*1.23</f>
        <v>0.2337</v>
      </c>
      <c r="J125" s="210"/>
      <c r="K125" s="263"/>
      <c r="L125" s="84"/>
      <c r="M125" s="263"/>
      <c r="N125" s="84"/>
      <c r="O125" s="131">
        <f>0.00139*E126*1.23</f>
        <v>0.6713991900000198</v>
      </c>
      <c r="P125" s="373"/>
      <c r="Q125" s="373"/>
      <c r="R125" s="165"/>
      <c r="S125" s="131"/>
      <c r="T125" s="189"/>
      <c r="U125" s="190"/>
      <c r="V125" s="174"/>
      <c r="W125" s="175"/>
      <c r="X125" s="179"/>
      <c r="Y125" s="179"/>
      <c r="Z125" s="191"/>
      <c r="AA125" s="104"/>
    </row>
    <row r="126" spans="1:27" ht="12.75">
      <c r="A126" s="525"/>
      <c r="B126" s="160" t="s">
        <v>366</v>
      </c>
      <c r="C126" s="64" t="s">
        <v>364</v>
      </c>
      <c r="D126" s="446">
        <v>329107.7</v>
      </c>
      <c r="E126" s="392">
        <f>(D126-D124)*Y$9</f>
        <v>392.70000000001164</v>
      </c>
      <c r="F126" s="406">
        <v>393</v>
      </c>
      <c r="G126" s="75"/>
      <c r="H126" s="271"/>
      <c r="I126" s="171">
        <f>11.29*1.23</f>
        <v>13.8867</v>
      </c>
      <c r="J126" s="122"/>
      <c r="K126" s="170"/>
      <c r="L126" s="62">
        <f>(E126)*K126</f>
        <v>0</v>
      </c>
      <c r="M126" s="170"/>
      <c r="N126" s="62">
        <f>(E126)*M126</f>
        <v>0</v>
      </c>
      <c r="O126" s="171">
        <f>15*1.23</f>
        <v>18.45</v>
      </c>
      <c r="P126" s="375">
        <v>164462.1</v>
      </c>
      <c r="Q126" s="375">
        <v>164657.3</v>
      </c>
      <c r="R126" s="402">
        <f>(Q126-P126)</f>
        <v>195.19999999998254</v>
      </c>
      <c r="S126" s="177"/>
      <c r="T126" s="290"/>
      <c r="U126" s="192"/>
      <c r="V126" s="129"/>
      <c r="W126" s="170"/>
      <c r="X126" s="71">
        <v>150</v>
      </c>
      <c r="Y126" s="72">
        <v>50</v>
      </c>
      <c r="Z126" s="193"/>
      <c r="AA126" s="219"/>
    </row>
    <row r="127" spans="1:27" ht="12.75">
      <c r="A127" s="524"/>
      <c r="B127" s="431"/>
      <c r="C127" s="137"/>
      <c r="D127" s="373"/>
      <c r="E127" s="83"/>
      <c r="F127" s="83"/>
      <c r="G127" s="272"/>
      <c r="H127" s="84"/>
      <c r="I127" s="167">
        <f>0.19*1.23</f>
        <v>0.2337</v>
      </c>
      <c r="J127" s="210"/>
      <c r="K127" s="263"/>
      <c r="L127" s="84"/>
      <c r="M127" s="263"/>
      <c r="N127" s="84"/>
      <c r="O127" s="131">
        <f>0.00139*E128*1.23</f>
        <v>44.80764662999994</v>
      </c>
      <c r="P127" s="373"/>
      <c r="Q127" s="373"/>
      <c r="R127" s="165"/>
      <c r="S127" s="131"/>
      <c r="T127" s="189"/>
      <c r="U127" s="190"/>
      <c r="V127" s="174"/>
      <c r="W127" s="175"/>
      <c r="X127" s="179"/>
      <c r="Y127" s="179"/>
      <c r="Z127" s="191"/>
      <c r="AA127" s="104"/>
    </row>
    <row r="128" spans="1:27" ht="12.75">
      <c r="A128" s="525"/>
      <c r="B128" s="160" t="s">
        <v>370</v>
      </c>
      <c r="C128" s="64" t="s">
        <v>371</v>
      </c>
      <c r="D128" s="446">
        <v>355315.6</v>
      </c>
      <c r="E128" s="392">
        <f>(D128-D126)*Y$9</f>
        <v>26207.899999999965</v>
      </c>
      <c r="F128" s="406">
        <v>26208</v>
      </c>
      <c r="G128" s="75"/>
      <c r="H128" s="271"/>
      <c r="I128" s="171">
        <f>11.29*1.23</f>
        <v>13.8867</v>
      </c>
      <c r="J128" s="122"/>
      <c r="K128" s="170"/>
      <c r="L128" s="62">
        <f>(E128)*K128</f>
        <v>0</v>
      </c>
      <c r="M128" s="170"/>
      <c r="N128" s="62">
        <f>(E128)*M128</f>
        <v>0</v>
      </c>
      <c r="O128" s="171">
        <f>15*1.23</f>
        <v>18.45</v>
      </c>
      <c r="P128" s="375">
        <v>164657.3</v>
      </c>
      <c r="Q128" s="375">
        <v>178467.2</v>
      </c>
      <c r="R128" s="402">
        <f>(Q128-P128)</f>
        <v>13809.900000000023</v>
      </c>
      <c r="S128" s="177"/>
      <c r="T128" s="290"/>
      <c r="U128" s="192"/>
      <c r="V128" s="129"/>
      <c r="W128" s="170"/>
      <c r="X128" s="71">
        <v>150</v>
      </c>
      <c r="Y128" s="72">
        <v>44</v>
      </c>
      <c r="Z128" s="193"/>
      <c r="AA128" s="219"/>
    </row>
    <row r="129" spans="1:27" ht="12.75">
      <c r="A129" s="524"/>
      <c r="B129" s="431"/>
      <c r="C129" s="137"/>
      <c r="D129" s="373"/>
      <c r="E129" s="83"/>
      <c r="F129" s="83"/>
      <c r="G129" s="272"/>
      <c r="H129" s="84"/>
      <c r="I129" s="167">
        <f>0.19*1.23</f>
        <v>0.2337</v>
      </c>
      <c r="J129" s="210"/>
      <c r="K129" s="263"/>
      <c r="L129" s="84"/>
      <c r="M129" s="263"/>
      <c r="N129" s="84"/>
      <c r="O129" s="131">
        <f>0.00139*E130*1.23</f>
        <v>44.53580433000003</v>
      </c>
      <c r="P129" s="373"/>
      <c r="Q129" s="373"/>
      <c r="R129" s="165"/>
      <c r="S129" s="131"/>
      <c r="T129" s="189"/>
      <c r="U129" s="190"/>
      <c r="V129" s="174"/>
      <c r="W129" s="175"/>
      <c r="X129" s="179"/>
      <c r="Y129" s="179"/>
      <c r="Z129" s="191"/>
      <c r="AA129" s="104"/>
    </row>
    <row r="130" spans="1:27" ht="12.75">
      <c r="A130" s="89"/>
      <c r="B130" s="160" t="s">
        <v>377</v>
      </c>
      <c r="C130" s="64" t="s">
        <v>375</v>
      </c>
      <c r="D130" s="446">
        <v>381364.5</v>
      </c>
      <c r="E130" s="392">
        <f>(D130-D128)*Y$9</f>
        <v>26048.900000000023</v>
      </c>
      <c r="F130" s="406"/>
      <c r="G130" s="75"/>
      <c r="H130" s="271"/>
      <c r="I130" s="171">
        <f>11.29*1.23</f>
        <v>13.8867</v>
      </c>
      <c r="J130" s="122"/>
      <c r="K130" s="170"/>
      <c r="L130" s="62">
        <f>(E130)*K130</f>
        <v>0</v>
      </c>
      <c r="M130" s="170"/>
      <c r="N130" s="62">
        <f>(E130)*M130</f>
        <v>0</v>
      </c>
      <c r="O130" s="171">
        <f>15*1.23</f>
        <v>18.45</v>
      </c>
      <c r="P130" s="375">
        <v>178467.2</v>
      </c>
      <c r="Q130" s="375">
        <v>192257.5</v>
      </c>
      <c r="R130" s="402">
        <f>(Q130-P130)</f>
        <v>13790.299999999988</v>
      </c>
      <c r="S130" s="177"/>
      <c r="T130" s="290"/>
      <c r="U130" s="192"/>
      <c r="V130" s="129"/>
      <c r="W130" s="170"/>
      <c r="X130" s="71">
        <v>150</v>
      </c>
      <c r="Y130" s="72">
        <v>46</v>
      </c>
      <c r="Z130" s="193"/>
      <c r="AA130" s="219"/>
    </row>
    <row r="131" spans="1:27" ht="12.75">
      <c r="A131" s="89"/>
      <c r="B131" s="431"/>
      <c r="C131" s="137"/>
      <c r="D131" s="373"/>
      <c r="E131" s="83"/>
      <c r="F131" s="83"/>
      <c r="G131" s="272"/>
      <c r="H131" s="84"/>
      <c r="I131" s="167">
        <f>0.19*1.23</f>
        <v>0.2337</v>
      </c>
      <c r="J131" s="210"/>
      <c r="K131" s="263"/>
      <c r="L131" s="84"/>
      <c r="M131" s="263"/>
      <c r="N131" s="84"/>
      <c r="O131" s="131">
        <f>0.00139*E132*1.23</f>
        <v>41.571697440000015</v>
      </c>
      <c r="P131" s="373"/>
      <c r="Q131" s="373"/>
      <c r="R131" s="165"/>
      <c r="S131" s="131"/>
      <c r="T131" s="189"/>
      <c r="U131" s="190"/>
      <c r="V131" s="174"/>
      <c r="W131" s="175"/>
      <c r="X131" s="179"/>
      <c r="Y131" s="179"/>
      <c r="Z131" s="191"/>
      <c r="AA131" s="104"/>
    </row>
    <row r="132" spans="1:27" ht="12.75">
      <c r="A132" s="525"/>
      <c r="B132" s="160" t="s">
        <v>378</v>
      </c>
      <c r="C132" s="64" t="s">
        <v>379</v>
      </c>
      <c r="D132" s="446">
        <v>405679.7</v>
      </c>
      <c r="E132" s="392">
        <f>(D132-D130)*Y$9</f>
        <v>24315.20000000001</v>
      </c>
      <c r="F132" s="406"/>
      <c r="G132" s="75"/>
      <c r="H132" s="271"/>
      <c r="I132" s="171">
        <f>11.29*1.23</f>
        <v>13.8867</v>
      </c>
      <c r="J132" s="122"/>
      <c r="K132" s="170"/>
      <c r="L132" s="62">
        <f>(E132)*K132</f>
        <v>0</v>
      </c>
      <c r="M132" s="170"/>
      <c r="N132" s="62">
        <f>(E132)*M132</f>
        <v>0</v>
      </c>
      <c r="O132" s="171">
        <f>15*1.23</f>
        <v>18.45</v>
      </c>
      <c r="P132" s="375">
        <v>192257.5</v>
      </c>
      <c r="Q132" s="375">
        <v>205589.4</v>
      </c>
      <c r="R132" s="402">
        <f>(Q132-P132)</f>
        <v>13331.899999999994</v>
      </c>
      <c r="S132" s="177"/>
      <c r="T132" s="290"/>
      <c r="U132" s="192"/>
      <c r="V132" s="129"/>
      <c r="W132" s="170"/>
      <c r="X132" s="71">
        <v>150</v>
      </c>
      <c r="Y132" s="72">
        <v>40</v>
      </c>
      <c r="Z132" s="193"/>
      <c r="AA132" s="219"/>
    </row>
    <row r="133" spans="1:27" ht="12.75">
      <c r="A133" s="524"/>
      <c r="B133" s="431"/>
      <c r="C133" s="137"/>
      <c r="D133" s="373"/>
      <c r="E133" s="83"/>
      <c r="F133" s="83"/>
      <c r="G133" s="272"/>
      <c r="H133" s="84"/>
      <c r="I133" s="167">
        <f>0.19*1.23</f>
        <v>0.2337</v>
      </c>
      <c r="J133" s="210"/>
      <c r="K133" s="263"/>
      <c r="L133" s="84"/>
      <c r="M133" s="263"/>
      <c r="N133" s="84"/>
      <c r="O133" s="131">
        <f>0.00139*E134*1.23</f>
        <v>41.143930499999996</v>
      </c>
      <c r="P133" s="373"/>
      <c r="Q133" s="373"/>
      <c r="R133" s="165"/>
      <c r="S133" s="131"/>
      <c r="T133" s="189"/>
      <c r="U133" s="190"/>
      <c r="V133" s="174"/>
      <c r="W133" s="175"/>
      <c r="X133" s="179"/>
      <c r="Y133" s="179"/>
      <c r="Z133" s="191"/>
      <c r="AA133" s="104"/>
    </row>
    <row r="134" spans="1:27" ht="13.5" thickBot="1">
      <c r="A134" s="89"/>
      <c r="B134" s="160" t="s">
        <v>383</v>
      </c>
      <c r="C134" s="64" t="s">
        <v>381</v>
      </c>
      <c r="D134" s="446">
        <v>429744.7</v>
      </c>
      <c r="E134" s="392">
        <f>(D134-D132)*Y$9</f>
        <v>24065</v>
      </c>
      <c r="F134" s="406"/>
      <c r="G134" s="75"/>
      <c r="H134" s="271"/>
      <c r="I134" s="171">
        <f>11.29*1.23</f>
        <v>13.8867</v>
      </c>
      <c r="J134" s="122"/>
      <c r="K134" s="170"/>
      <c r="L134" s="62">
        <f>(E134)*K134</f>
        <v>0</v>
      </c>
      <c r="M134" s="170"/>
      <c r="N134" s="62">
        <f>(E134)*M134</f>
        <v>0</v>
      </c>
      <c r="O134" s="171">
        <f>15*1.23</f>
        <v>18.45</v>
      </c>
      <c r="P134" s="375">
        <v>205589.4</v>
      </c>
      <c r="Q134" s="375">
        <v>218297.6</v>
      </c>
      <c r="R134" s="402">
        <f>(Q134-P134)</f>
        <v>12708.200000000012</v>
      </c>
      <c r="S134" s="177"/>
      <c r="T134" s="516"/>
      <c r="U134" s="513"/>
      <c r="V134" s="129"/>
      <c r="W134" s="170"/>
      <c r="X134" s="71">
        <v>150</v>
      </c>
      <c r="Y134" s="72">
        <v>41</v>
      </c>
      <c r="Z134" s="193"/>
      <c r="AA134" s="219"/>
    </row>
    <row r="135" spans="1:27" ht="13.5" thickBot="1">
      <c r="A135" s="526" t="s">
        <v>333</v>
      </c>
      <c r="B135" s="527"/>
      <c r="C135" s="527"/>
      <c r="D135" s="528"/>
      <c r="E135" s="41"/>
      <c r="F135" s="13"/>
      <c r="G135" s="13"/>
      <c r="H135" s="41"/>
      <c r="I135" s="13"/>
      <c r="J135" s="13"/>
      <c r="K135" s="41"/>
      <c r="L135" s="41"/>
      <c r="M135" s="41"/>
      <c r="N135" s="41"/>
      <c r="O135" s="302"/>
      <c r="P135" s="33"/>
      <c r="Q135" s="33"/>
      <c r="R135" s="258"/>
      <c r="S135" s="258"/>
      <c r="T135" s="299"/>
      <c r="U135" s="298"/>
      <c r="V135" s="266"/>
      <c r="W135" s="294"/>
      <c r="X135" s="42"/>
      <c r="Y135" s="306"/>
      <c r="Z135" s="42"/>
      <c r="AA135" s="43"/>
    </row>
    <row r="136" spans="1:27" ht="13.5" thickBot="1">
      <c r="A136" s="529"/>
      <c r="B136" s="530"/>
      <c r="C136" s="530"/>
      <c r="D136" s="531"/>
      <c r="E136" s="120">
        <f>SUM(E112:E134)</f>
        <v>187004.2</v>
      </c>
      <c r="F136" s="390">
        <f>SUM(F111:F134)+F139+F141</f>
        <v>187004</v>
      </c>
      <c r="G136" s="44"/>
      <c r="H136" s="253"/>
      <c r="I136" s="99"/>
      <c r="J136" s="99"/>
      <c r="K136" s="99"/>
      <c r="L136" s="99">
        <f>SUM(L108:L135)</f>
        <v>0</v>
      </c>
      <c r="M136" s="99"/>
      <c r="N136" s="99">
        <f>SUM(N108:N135)</f>
        <v>0</v>
      </c>
      <c r="O136" s="99">
        <f>SUM(O108:O135)</f>
        <v>546.72336051</v>
      </c>
      <c r="P136" s="517" t="s">
        <v>386</v>
      </c>
      <c r="Q136" s="518">
        <f>SUM(J136:O136)</f>
        <v>546.72336051</v>
      </c>
      <c r="R136" s="347"/>
      <c r="S136" s="260"/>
      <c r="T136" s="261"/>
      <c r="U136" s="262"/>
      <c r="V136" s="253"/>
      <c r="W136" s="252"/>
      <c r="X136" s="74">
        <v>150</v>
      </c>
      <c r="Y136" s="74">
        <f>SUM(Y111:Y135)/12</f>
        <v>64.5</v>
      </c>
      <c r="Z136" s="74"/>
      <c r="AA136" s="46"/>
    </row>
    <row r="137" spans="6:7" ht="12.75">
      <c r="F137" s="391">
        <f>F136-E136</f>
        <v>-0.20000000001164153</v>
      </c>
      <c r="G137" s="150"/>
    </row>
    <row r="138" spans="6:8" ht="12.75">
      <c r="F138" s="83"/>
      <c r="G138" s="272"/>
      <c r="H138" s="84"/>
    </row>
    <row r="139" spans="2:27" ht="12.75">
      <c r="B139" s="335"/>
      <c r="C139" s="64" t="s">
        <v>379</v>
      </c>
      <c r="D139" s="335"/>
      <c r="E139" s="335"/>
      <c r="F139" s="406">
        <v>50364</v>
      </c>
      <c r="G139" s="75"/>
      <c r="H139" s="271"/>
      <c r="I139" s="335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335"/>
      <c r="AA139" s="335"/>
    </row>
    <row r="140" spans="3:27" ht="12.75">
      <c r="C140" s="92"/>
      <c r="E140" s="334"/>
      <c r="F140" s="83"/>
      <c r="G140" s="272"/>
      <c r="H140" s="8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T140" s="334"/>
      <c r="U140" s="334"/>
      <c r="V140" s="334"/>
      <c r="W140" s="334"/>
      <c r="X140" s="334"/>
      <c r="Y140" s="334"/>
      <c r="Z140" s="334"/>
      <c r="AA140" s="334"/>
    </row>
    <row r="141" spans="3:27" ht="12.75">
      <c r="C141" s="64" t="s">
        <v>381</v>
      </c>
      <c r="E141" s="318"/>
      <c r="F141" s="406">
        <v>24065</v>
      </c>
      <c r="G141" s="75"/>
      <c r="H141" s="271"/>
      <c r="I141" s="336"/>
      <c r="J141" s="335"/>
      <c r="K141" s="335"/>
      <c r="L141" s="335"/>
      <c r="M141" s="335"/>
      <c r="N141" s="335"/>
      <c r="O141" s="335"/>
      <c r="P141" s="335"/>
      <c r="Q141" s="335"/>
      <c r="R141" s="335"/>
      <c r="S141" s="335"/>
      <c r="T141" s="335"/>
      <c r="U141" s="335"/>
      <c r="V141" s="335"/>
      <c r="W141" s="335"/>
      <c r="X141" s="335"/>
      <c r="Y141" s="335"/>
      <c r="Z141" s="335"/>
      <c r="AA141" s="335"/>
    </row>
    <row r="142" spans="1:27" ht="12.75">
      <c r="A142" s="525"/>
      <c r="B142" s="431"/>
      <c r="C142" s="137"/>
      <c r="D142" s="373"/>
      <c r="E142" s="83"/>
      <c r="F142" s="83"/>
      <c r="G142" s="272"/>
      <c r="H142" s="84"/>
      <c r="I142" s="167">
        <f>0.19*1.23</f>
        <v>0.2337</v>
      </c>
      <c r="J142" s="210"/>
      <c r="K142" s="263"/>
      <c r="L142" s="84"/>
      <c r="M142" s="263"/>
      <c r="N142" s="84"/>
      <c r="O142" s="131">
        <f>0.00139*E143*1.23</f>
        <v>50.617207229999934</v>
      </c>
      <c r="P142" s="462"/>
      <c r="Q142" s="462"/>
      <c r="R142" s="165"/>
      <c r="S142" s="131"/>
      <c r="T142" s="189"/>
      <c r="U142" s="190"/>
      <c r="V142" s="174"/>
      <c r="W142" s="175"/>
      <c r="X142" s="179"/>
      <c r="Y142" s="179"/>
      <c r="Z142" s="191"/>
      <c r="AA142" s="104"/>
    </row>
    <row r="143" spans="1:27" ht="12.75">
      <c r="A143" s="524"/>
      <c r="B143" s="160" t="s">
        <v>389</v>
      </c>
      <c r="C143" s="64" t="s">
        <v>387</v>
      </c>
      <c r="D143" s="446">
        <v>459350.6</v>
      </c>
      <c r="E143" s="392">
        <f>(D143-D134)*Y$9</f>
        <v>29605.899999999965</v>
      </c>
      <c r="F143" s="406">
        <v>29606</v>
      </c>
      <c r="G143" s="75"/>
      <c r="H143" s="271"/>
      <c r="I143" s="171">
        <f>11.29*1.23</f>
        <v>13.8867</v>
      </c>
      <c r="J143" s="122"/>
      <c r="K143" s="170"/>
      <c r="L143" s="62">
        <f>(E143)*K143</f>
        <v>0</v>
      </c>
      <c r="M143" s="170"/>
      <c r="N143" s="62">
        <f>(E143)*M143</f>
        <v>0</v>
      </c>
      <c r="O143" s="171">
        <f>15*1.23</f>
        <v>18.45</v>
      </c>
      <c r="P143" s="375">
        <v>218297.6</v>
      </c>
      <c r="Q143" s="375">
        <v>231657.1</v>
      </c>
      <c r="R143" s="402">
        <f>(Q143-P143)</f>
        <v>13359.5</v>
      </c>
      <c r="S143" s="177"/>
      <c r="T143" s="290"/>
      <c r="U143" s="192"/>
      <c r="V143" s="129"/>
      <c r="W143" s="170"/>
      <c r="X143" s="71">
        <v>150</v>
      </c>
      <c r="Y143" s="72">
        <v>126</v>
      </c>
      <c r="Z143" s="193"/>
      <c r="AA143" s="219"/>
    </row>
    <row r="144" spans="1:27" ht="12.75">
      <c r="A144" s="525"/>
      <c r="B144" s="431"/>
      <c r="C144" s="137"/>
      <c r="D144" s="373"/>
      <c r="E144" s="83"/>
      <c r="F144" s="83"/>
      <c r="G144" s="272"/>
      <c r="H144" s="84"/>
      <c r="I144" s="167">
        <f>0.19*1.23</f>
        <v>0.2337</v>
      </c>
      <c r="J144" s="210"/>
      <c r="K144" s="263"/>
      <c r="L144" s="84"/>
      <c r="M144" s="263"/>
      <c r="N144" s="84"/>
      <c r="O144" s="131">
        <f>0.0022*E145*1.23</f>
        <v>101.34430020000005</v>
      </c>
      <c r="P144" s="462"/>
      <c r="Q144" s="462"/>
      <c r="R144" s="165"/>
      <c r="S144" s="131"/>
      <c r="T144" s="189"/>
      <c r="U144" s="190"/>
      <c r="V144" s="174"/>
      <c r="W144" s="175"/>
      <c r="X144" s="179"/>
      <c r="Y144" s="179"/>
      <c r="Z144" s="191"/>
      <c r="AA144" s="104"/>
    </row>
    <row r="145" spans="1:27" ht="12.75">
      <c r="A145" s="524"/>
      <c r="B145" s="160" t="s">
        <v>400</v>
      </c>
      <c r="C145" s="64" t="s">
        <v>388</v>
      </c>
      <c r="D145" s="446">
        <v>496802.3</v>
      </c>
      <c r="E145" s="392">
        <f>(D145-D143)*Y$9</f>
        <v>37451.70000000001</v>
      </c>
      <c r="F145" s="406">
        <v>37452</v>
      </c>
      <c r="G145" s="75"/>
      <c r="H145" s="271"/>
      <c r="I145" s="171">
        <f>11.29*1.23</f>
        <v>13.8867</v>
      </c>
      <c r="J145" s="122"/>
      <c r="K145" s="170"/>
      <c r="L145" s="62">
        <f>(E145)*K145</f>
        <v>0</v>
      </c>
      <c r="M145" s="170"/>
      <c r="N145" s="62">
        <f>(E145)*M145</f>
        <v>0</v>
      </c>
      <c r="O145" s="171">
        <f>15*1.23</f>
        <v>18.45</v>
      </c>
      <c r="P145" s="375">
        <v>231657.1</v>
      </c>
      <c r="Q145" s="375">
        <v>245607.1</v>
      </c>
      <c r="R145" s="402">
        <f>(Q145-P145)</f>
        <v>13950</v>
      </c>
      <c r="S145" s="177"/>
      <c r="T145" s="290"/>
      <c r="U145" s="192"/>
      <c r="V145" s="129"/>
      <c r="W145" s="170"/>
      <c r="X145" s="71">
        <v>100</v>
      </c>
      <c r="Y145" s="72">
        <v>129</v>
      </c>
      <c r="Z145" s="193"/>
      <c r="AA145" s="219"/>
    </row>
    <row r="146" spans="1:31" ht="12.75">
      <c r="A146" s="89"/>
      <c r="B146" s="431"/>
      <c r="C146" s="137"/>
      <c r="D146" s="373"/>
      <c r="E146" s="83"/>
      <c r="F146" s="83"/>
      <c r="G146" s="272"/>
      <c r="H146" s="84"/>
      <c r="I146" s="167">
        <f>0.19*1.23</f>
        <v>0.2337</v>
      </c>
      <c r="J146" s="210"/>
      <c r="K146" s="263"/>
      <c r="L146" s="84"/>
      <c r="M146" s="263"/>
      <c r="N146" s="84"/>
      <c r="O146" s="131">
        <f>0.0022*E147*1.23</f>
        <v>112.60964879999997</v>
      </c>
      <c r="P146" s="462"/>
      <c r="Q146" s="462"/>
      <c r="R146" s="165"/>
      <c r="S146" s="131"/>
      <c r="T146" s="189"/>
      <c r="U146" s="190"/>
      <c r="V146" s="174"/>
      <c r="W146" s="175"/>
      <c r="X146" s="179"/>
      <c r="Y146" s="179"/>
      <c r="Z146" s="191"/>
      <c r="AA146" s="104"/>
      <c r="AC146" s="150"/>
      <c r="AD146" s="150"/>
      <c r="AE146" s="150"/>
    </row>
    <row r="147" spans="1:31" ht="12.75">
      <c r="A147" s="89"/>
      <c r="B147" s="160" t="s">
        <v>401</v>
      </c>
      <c r="C147" s="64" t="s">
        <v>395</v>
      </c>
      <c r="D147" s="446">
        <v>538417.1</v>
      </c>
      <c r="E147" s="392">
        <f>(D147-D145)*Y$9</f>
        <v>41614.79999999999</v>
      </c>
      <c r="F147" s="406"/>
      <c r="G147" s="75"/>
      <c r="H147" s="271"/>
      <c r="I147" s="171">
        <f>11.29*1.23</f>
        <v>13.8867</v>
      </c>
      <c r="J147" s="122"/>
      <c r="K147" s="170"/>
      <c r="L147" s="62">
        <f>(E147)*K147</f>
        <v>0</v>
      </c>
      <c r="M147" s="170"/>
      <c r="N147" s="62">
        <f>(E147)*M147</f>
        <v>0</v>
      </c>
      <c r="O147" s="171">
        <f>15*1.23</f>
        <v>18.45</v>
      </c>
      <c r="P147" s="375">
        <v>245607.1</v>
      </c>
      <c r="Q147" s="375">
        <v>258502.8</v>
      </c>
      <c r="R147" s="402">
        <f>(Q147-P147)</f>
        <v>12895.699999999983</v>
      </c>
      <c r="S147" s="177"/>
      <c r="T147" s="290"/>
      <c r="U147" s="192"/>
      <c r="V147" s="129"/>
      <c r="W147" s="170"/>
      <c r="X147" s="71">
        <v>100</v>
      </c>
      <c r="Y147" s="72">
        <v>137</v>
      </c>
      <c r="Z147" s="193"/>
      <c r="AA147" s="219"/>
      <c r="AC147" s="150"/>
      <c r="AD147" s="150"/>
      <c r="AE147" s="150"/>
    </row>
    <row r="148" spans="1:31" ht="12.75">
      <c r="A148" s="525"/>
      <c r="B148" s="431"/>
      <c r="C148" s="137"/>
      <c r="D148" s="373"/>
      <c r="E148" s="83"/>
      <c r="F148" s="83"/>
      <c r="G148" s="272"/>
      <c r="H148" s="84"/>
      <c r="I148" s="167">
        <f>0.19*1.23</f>
        <v>0.2337</v>
      </c>
      <c r="J148" s="210"/>
      <c r="K148" s="263"/>
      <c r="L148" s="84"/>
      <c r="M148" s="263"/>
      <c r="N148" s="84"/>
      <c r="O148" s="131">
        <f>0.0022*E149*1.23</f>
        <v>86.1338742000002</v>
      </c>
      <c r="P148" s="462"/>
      <c r="Q148" s="462"/>
      <c r="R148" s="165"/>
      <c r="S148" s="131"/>
      <c r="T148" s="189"/>
      <c r="U148" s="190"/>
      <c r="V148" s="174"/>
      <c r="W148" s="175"/>
      <c r="X148" s="179"/>
      <c r="Y148" s="179"/>
      <c r="Z148" s="191"/>
      <c r="AA148" s="104"/>
      <c r="AC148" s="150"/>
      <c r="AD148" s="150"/>
      <c r="AE148" s="150"/>
    </row>
    <row r="149" spans="1:27" ht="12.75">
      <c r="A149" s="524"/>
      <c r="B149" s="160" t="s">
        <v>398</v>
      </c>
      <c r="C149" s="64" t="s">
        <v>402</v>
      </c>
      <c r="D149" s="446">
        <v>570247.8</v>
      </c>
      <c r="E149" s="392">
        <f>(D149-D147)*Y$9</f>
        <v>31830.70000000007</v>
      </c>
      <c r="F149" s="406"/>
      <c r="G149" s="75"/>
      <c r="H149" s="271"/>
      <c r="I149" s="171">
        <f>11.29*1.23</f>
        <v>13.8867</v>
      </c>
      <c r="J149" s="122"/>
      <c r="K149" s="170"/>
      <c r="L149" s="62">
        <f>(E149)*K149</f>
        <v>0</v>
      </c>
      <c r="M149" s="170"/>
      <c r="N149" s="62">
        <f>(E149)*M149</f>
        <v>0</v>
      </c>
      <c r="O149" s="171">
        <f>15*1.23</f>
        <v>18.45</v>
      </c>
      <c r="P149" s="375">
        <v>258502.8</v>
      </c>
      <c r="Q149" s="375">
        <v>271912.2</v>
      </c>
      <c r="R149" s="402">
        <f>(Q149-P149)</f>
        <v>13409.400000000023</v>
      </c>
      <c r="S149" s="177"/>
      <c r="T149" s="290"/>
      <c r="U149" s="192"/>
      <c r="V149" s="129"/>
      <c r="W149" s="170"/>
      <c r="X149" s="71">
        <v>100</v>
      </c>
      <c r="Y149" s="72">
        <v>124</v>
      </c>
      <c r="Z149" s="193"/>
      <c r="AA149" s="219"/>
    </row>
    <row r="150" spans="1:27" ht="12.75">
      <c r="A150" s="525"/>
      <c r="B150" s="160"/>
      <c r="C150" s="64"/>
      <c r="D150" s="446"/>
      <c r="E150" s="392"/>
      <c r="F150" s="406"/>
      <c r="G150" s="75"/>
      <c r="H150" s="271"/>
      <c r="I150" s="171"/>
      <c r="J150" s="122"/>
      <c r="K150" s="170"/>
      <c r="L150" s="62"/>
      <c r="M150" s="170"/>
      <c r="N150" s="62"/>
      <c r="O150" s="171"/>
      <c r="P150" s="375"/>
      <c r="Q150" s="375"/>
      <c r="R150" s="402"/>
      <c r="S150" s="177"/>
      <c r="T150" s="290"/>
      <c r="U150" s="192"/>
      <c r="V150" s="129"/>
      <c r="W150" s="170"/>
      <c r="X150" s="71"/>
      <c r="Y150" s="72"/>
      <c r="Z150" s="193"/>
      <c r="AA150" s="101"/>
    </row>
    <row r="151" spans="1:27" ht="12.75">
      <c r="A151" s="524"/>
      <c r="B151" s="431"/>
      <c r="C151" s="137"/>
      <c r="D151" s="373"/>
      <c r="E151" s="83"/>
      <c r="F151" s="83"/>
      <c r="G151" s="272"/>
      <c r="H151" s="84"/>
      <c r="I151" s="167"/>
      <c r="J151" s="210"/>
      <c r="K151" s="263"/>
      <c r="L151" s="84"/>
      <c r="M151" s="263"/>
      <c r="N151" s="84"/>
      <c r="O151" s="131"/>
      <c r="P151" s="373"/>
      <c r="Q151" s="373"/>
      <c r="R151" s="165"/>
      <c r="S151" s="131"/>
      <c r="T151" s="189"/>
      <c r="U151" s="190"/>
      <c r="V151" s="174"/>
      <c r="W151" s="175"/>
      <c r="X151" s="179"/>
      <c r="Y151" s="179"/>
      <c r="Z151" s="191"/>
      <c r="AA151" s="104"/>
    </row>
    <row r="152" spans="1:27" ht="12.75">
      <c r="A152" s="89"/>
      <c r="B152" s="160"/>
      <c r="C152" s="64"/>
      <c r="D152" s="446"/>
      <c r="E152" s="392"/>
      <c r="F152" s="406"/>
      <c r="G152" s="75"/>
      <c r="H152" s="271"/>
      <c r="I152" s="171"/>
      <c r="J152" s="122"/>
      <c r="K152" s="170"/>
      <c r="L152" s="62"/>
      <c r="M152" s="170"/>
      <c r="N152" s="62"/>
      <c r="O152" s="171"/>
      <c r="P152" s="375"/>
      <c r="Q152" s="375"/>
      <c r="R152" s="402"/>
      <c r="S152" s="177"/>
      <c r="T152" s="290"/>
      <c r="U152" s="192"/>
      <c r="V152" s="129"/>
      <c r="W152" s="170"/>
      <c r="X152" s="71"/>
      <c r="Y152" s="72"/>
      <c r="Z152" s="193"/>
      <c r="AA152" s="101"/>
    </row>
    <row r="153" spans="1:27" ht="12.75">
      <c r="A153" s="89"/>
      <c r="B153" s="431"/>
      <c r="C153" s="137"/>
      <c r="D153" s="373"/>
      <c r="E153" s="83"/>
      <c r="F153" s="83"/>
      <c r="G153" s="272"/>
      <c r="H153" s="84"/>
      <c r="I153" s="167"/>
      <c r="J153" s="210"/>
      <c r="K153" s="263"/>
      <c r="L153" s="84"/>
      <c r="M153" s="263"/>
      <c r="N153" s="84"/>
      <c r="O153" s="131"/>
      <c r="P153" s="373"/>
      <c r="Q153" s="373"/>
      <c r="R153" s="165"/>
      <c r="S153" s="131"/>
      <c r="T153" s="189"/>
      <c r="U153" s="190"/>
      <c r="V153" s="174"/>
      <c r="W153" s="175"/>
      <c r="X153" s="179"/>
      <c r="Y153" s="179"/>
      <c r="Z153" s="191"/>
      <c r="AA153" s="104"/>
    </row>
    <row r="154" spans="1:27" ht="12.75">
      <c r="A154" s="525"/>
      <c r="B154" s="160"/>
      <c r="C154" s="64"/>
      <c r="D154" s="446"/>
      <c r="E154" s="392"/>
      <c r="F154" s="406"/>
      <c r="G154" s="75"/>
      <c r="H154" s="271"/>
      <c r="I154" s="171"/>
      <c r="J154" s="122"/>
      <c r="K154" s="170"/>
      <c r="L154" s="62"/>
      <c r="M154" s="170"/>
      <c r="N154" s="62"/>
      <c r="O154" s="171"/>
      <c r="P154" s="375"/>
      <c r="Q154" s="375"/>
      <c r="R154" s="402"/>
      <c r="S154" s="177"/>
      <c r="T154" s="290"/>
      <c r="U154" s="192"/>
      <c r="V154" s="129"/>
      <c r="W154" s="170"/>
      <c r="X154" s="71"/>
      <c r="Y154" s="72"/>
      <c r="Z154" s="193"/>
      <c r="AA154" s="101"/>
    </row>
    <row r="155" spans="1:27" ht="12.75">
      <c r="A155" s="524"/>
      <c r="B155" s="431"/>
      <c r="C155" s="137"/>
      <c r="D155" s="373"/>
      <c r="E155" s="83"/>
      <c r="F155" s="83"/>
      <c r="G155" s="272"/>
      <c r="H155" s="84"/>
      <c r="I155" s="167"/>
      <c r="J155" s="210"/>
      <c r="K155" s="263"/>
      <c r="L155" s="84"/>
      <c r="M155" s="263"/>
      <c r="N155" s="84"/>
      <c r="O155" s="131"/>
      <c r="P155" s="373"/>
      <c r="Q155" s="373"/>
      <c r="R155" s="165"/>
      <c r="S155" s="131"/>
      <c r="T155" s="189"/>
      <c r="U155" s="190"/>
      <c r="V155" s="174"/>
      <c r="W155" s="175"/>
      <c r="X155" s="179"/>
      <c r="Y155" s="179"/>
      <c r="Z155" s="191"/>
      <c r="AA155" s="104"/>
    </row>
    <row r="156" spans="1:27" ht="12.75">
      <c r="A156" s="525"/>
      <c r="B156" s="160"/>
      <c r="C156" s="64"/>
      <c r="D156" s="446"/>
      <c r="E156" s="392"/>
      <c r="F156" s="406"/>
      <c r="G156" s="75"/>
      <c r="H156" s="271"/>
      <c r="I156" s="171"/>
      <c r="J156" s="122"/>
      <c r="K156" s="170"/>
      <c r="L156" s="62"/>
      <c r="M156" s="170"/>
      <c r="N156" s="62"/>
      <c r="O156" s="171"/>
      <c r="P156" s="375"/>
      <c r="Q156" s="375"/>
      <c r="R156" s="402"/>
      <c r="S156" s="177"/>
      <c r="T156" s="290"/>
      <c r="U156" s="192"/>
      <c r="V156" s="129"/>
      <c r="W156" s="170"/>
      <c r="X156" s="71"/>
      <c r="Y156" s="72"/>
      <c r="Z156" s="193"/>
      <c r="AA156" s="219"/>
    </row>
    <row r="157" spans="1:27" ht="12.75">
      <c r="A157" s="524"/>
      <c r="B157" s="431"/>
      <c r="C157" s="137"/>
      <c r="D157" s="373"/>
      <c r="E157" s="83"/>
      <c r="F157" s="83"/>
      <c r="G157" s="272"/>
      <c r="H157" s="84"/>
      <c r="I157" s="167"/>
      <c r="J157" s="210"/>
      <c r="K157" s="263"/>
      <c r="L157" s="84"/>
      <c r="M157" s="263"/>
      <c r="N157" s="84"/>
      <c r="O157" s="131"/>
      <c r="P157" s="373"/>
      <c r="Q157" s="373"/>
      <c r="R157" s="165"/>
      <c r="S157" s="131"/>
      <c r="T157" s="189"/>
      <c r="U157" s="190"/>
      <c r="V157" s="174"/>
      <c r="W157" s="175"/>
      <c r="X157" s="179"/>
      <c r="Y157" s="179"/>
      <c r="Z157" s="191"/>
      <c r="AA157" s="104"/>
    </row>
    <row r="158" spans="1:27" ht="12.75">
      <c r="A158" s="89"/>
      <c r="B158" s="160"/>
      <c r="C158" s="64"/>
      <c r="D158" s="446"/>
      <c r="E158" s="392"/>
      <c r="F158" s="406"/>
      <c r="G158" s="75"/>
      <c r="H158" s="271"/>
      <c r="I158" s="171"/>
      <c r="J158" s="122"/>
      <c r="K158" s="170"/>
      <c r="L158" s="62"/>
      <c r="M158" s="170"/>
      <c r="N158" s="62"/>
      <c r="O158" s="171"/>
      <c r="P158" s="375"/>
      <c r="Q158" s="375"/>
      <c r="R158" s="402"/>
      <c r="S158" s="177"/>
      <c r="T158" s="290"/>
      <c r="U158" s="192"/>
      <c r="V158" s="129"/>
      <c r="W158" s="170"/>
      <c r="X158" s="71"/>
      <c r="Y158" s="72"/>
      <c r="Z158" s="193"/>
      <c r="AA158" s="219"/>
    </row>
    <row r="159" spans="1:27" ht="12.75">
      <c r="A159" s="89"/>
      <c r="B159" s="431"/>
      <c r="C159" s="137"/>
      <c r="D159" s="373"/>
      <c r="E159" s="83"/>
      <c r="F159" s="83"/>
      <c r="G159" s="272"/>
      <c r="H159" s="84"/>
      <c r="I159" s="167"/>
      <c r="J159" s="210"/>
      <c r="K159" s="263"/>
      <c r="L159" s="84"/>
      <c r="M159" s="263"/>
      <c r="N159" s="84"/>
      <c r="O159" s="131"/>
      <c r="P159" s="373"/>
      <c r="Q159" s="373"/>
      <c r="R159" s="165"/>
      <c r="S159" s="131"/>
      <c r="T159" s="189"/>
      <c r="U159" s="190"/>
      <c r="V159" s="174"/>
      <c r="W159" s="175"/>
      <c r="X159" s="179"/>
      <c r="Y159" s="179"/>
      <c r="Z159" s="191"/>
      <c r="AA159" s="104"/>
    </row>
    <row r="160" spans="1:27" ht="12.75">
      <c r="A160" s="525"/>
      <c r="B160" s="160"/>
      <c r="C160" s="64"/>
      <c r="D160" s="446"/>
      <c r="E160" s="392"/>
      <c r="F160" s="406"/>
      <c r="G160" s="75"/>
      <c r="H160" s="271"/>
      <c r="I160" s="171"/>
      <c r="J160" s="122"/>
      <c r="K160" s="170"/>
      <c r="L160" s="62"/>
      <c r="M160" s="170"/>
      <c r="N160" s="62"/>
      <c r="O160" s="171"/>
      <c r="P160" s="375"/>
      <c r="Q160" s="375"/>
      <c r="R160" s="402"/>
      <c r="S160" s="177"/>
      <c r="T160" s="290"/>
      <c r="U160" s="192"/>
      <c r="V160" s="129"/>
      <c r="W160" s="170"/>
      <c r="X160" s="71"/>
      <c r="Y160" s="72"/>
      <c r="Z160" s="193"/>
      <c r="AA160" s="219"/>
    </row>
    <row r="161" spans="1:27" ht="12.75">
      <c r="A161" s="524"/>
      <c r="B161" s="431"/>
      <c r="C161" s="137"/>
      <c r="D161" s="373"/>
      <c r="E161" s="83"/>
      <c r="F161" s="83"/>
      <c r="G161" s="272"/>
      <c r="H161" s="84"/>
      <c r="I161" s="167"/>
      <c r="J161" s="210"/>
      <c r="K161" s="263"/>
      <c r="L161" s="84"/>
      <c r="M161" s="263"/>
      <c r="N161" s="84"/>
      <c r="O161" s="131"/>
      <c r="P161" s="373"/>
      <c r="Q161" s="373"/>
      <c r="R161" s="165"/>
      <c r="S161" s="131"/>
      <c r="T161" s="189"/>
      <c r="U161" s="190"/>
      <c r="V161" s="174"/>
      <c r="W161" s="175"/>
      <c r="X161" s="179"/>
      <c r="Y161" s="179"/>
      <c r="Z161" s="191"/>
      <c r="AA161" s="104"/>
    </row>
    <row r="162" spans="1:27" ht="12.75">
      <c r="A162" s="525"/>
      <c r="B162" s="160"/>
      <c r="C162" s="64"/>
      <c r="D162" s="446"/>
      <c r="E162" s="392"/>
      <c r="F162" s="406"/>
      <c r="G162" s="75"/>
      <c r="H162" s="271"/>
      <c r="I162" s="171"/>
      <c r="J162" s="122"/>
      <c r="K162" s="170"/>
      <c r="L162" s="62"/>
      <c r="M162" s="170"/>
      <c r="N162" s="62"/>
      <c r="O162" s="171"/>
      <c r="P162" s="375"/>
      <c r="Q162" s="375"/>
      <c r="R162" s="402"/>
      <c r="S162" s="177"/>
      <c r="T162" s="290"/>
      <c r="U162" s="192"/>
      <c r="V162" s="129"/>
      <c r="W162" s="170"/>
      <c r="X162" s="71"/>
      <c r="Y162" s="72"/>
      <c r="Z162" s="193"/>
      <c r="AA162" s="219"/>
    </row>
    <row r="163" spans="1:27" ht="12.75">
      <c r="A163" s="524"/>
      <c r="B163" s="431"/>
      <c r="C163" s="137"/>
      <c r="D163" s="373"/>
      <c r="E163" s="83"/>
      <c r="F163" s="83"/>
      <c r="G163" s="272"/>
      <c r="H163" s="84"/>
      <c r="I163" s="167"/>
      <c r="J163" s="210"/>
      <c r="K163" s="263"/>
      <c r="L163" s="84"/>
      <c r="M163" s="263"/>
      <c r="N163" s="84"/>
      <c r="O163" s="131"/>
      <c r="P163" s="373"/>
      <c r="Q163" s="373"/>
      <c r="R163" s="165"/>
      <c r="S163" s="131"/>
      <c r="T163" s="189"/>
      <c r="U163" s="190"/>
      <c r="V163" s="174"/>
      <c r="W163" s="175"/>
      <c r="X163" s="179"/>
      <c r="Y163" s="179"/>
      <c r="Z163" s="191"/>
      <c r="AA163" s="104"/>
    </row>
    <row r="164" spans="1:27" ht="12.75">
      <c r="A164" s="89"/>
      <c r="B164" s="160"/>
      <c r="C164" s="64"/>
      <c r="D164" s="446"/>
      <c r="E164" s="392"/>
      <c r="F164" s="406"/>
      <c r="G164" s="75"/>
      <c r="H164" s="271"/>
      <c r="I164" s="171"/>
      <c r="J164" s="122"/>
      <c r="K164" s="170"/>
      <c r="L164" s="62"/>
      <c r="M164" s="170"/>
      <c r="N164" s="62"/>
      <c r="O164" s="171"/>
      <c r="P164" s="375"/>
      <c r="Q164" s="375"/>
      <c r="R164" s="402"/>
      <c r="S164" s="177"/>
      <c r="T164" s="290"/>
      <c r="U164" s="192"/>
      <c r="V164" s="129"/>
      <c r="W164" s="170"/>
      <c r="X164" s="71"/>
      <c r="Y164" s="72"/>
      <c r="Z164" s="193"/>
      <c r="AA164" s="219"/>
    </row>
    <row r="165" spans="1:27" ht="12.75">
      <c r="A165" s="89"/>
      <c r="B165" s="431"/>
      <c r="C165" s="137"/>
      <c r="D165" s="373"/>
      <c r="E165" s="83"/>
      <c r="F165" s="83"/>
      <c r="G165" s="272"/>
      <c r="H165" s="84"/>
      <c r="I165" s="167"/>
      <c r="J165" s="210"/>
      <c r="K165" s="263"/>
      <c r="L165" s="84"/>
      <c r="M165" s="263"/>
      <c r="N165" s="84"/>
      <c r="O165" s="131"/>
      <c r="P165" s="373"/>
      <c r="Q165" s="373"/>
      <c r="R165" s="165"/>
      <c r="S165" s="131"/>
      <c r="T165" s="189"/>
      <c r="U165" s="190"/>
      <c r="V165" s="174"/>
      <c r="W165" s="175"/>
      <c r="X165" s="179"/>
      <c r="Y165" s="179"/>
      <c r="Z165" s="191"/>
      <c r="AA165" s="104"/>
    </row>
    <row r="166" spans="1:27" ht="12.75">
      <c r="A166" s="525"/>
      <c r="B166" s="160"/>
      <c r="C166" s="64"/>
      <c r="D166" s="446"/>
      <c r="E166" s="392"/>
      <c r="F166" s="406"/>
      <c r="G166" s="75"/>
      <c r="H166" s="271"/>
      <c r="I166" s="171"/>
      <c r="J166" s="122"/>
      <c r="K166" s="170"/>
      <c r="L166" s="62"/>
      <c r="M166" s="170"/>
      <c r="N166" s="62"/>
      <c r="O166" s="171"/>
      <c r="P166" s="375"/>
      <c r="Q166" s="375"/>
      <c r="R166" s="402"/>
      <c r="S166" s="177"/>
      <c r="T166" s="290"/>
      <c r="U166" s="192"/>
      <c r="V166" s="129"/>
      <c r="W166" s="170"/>
      <c r="X166" s="71"/>
      <c r="Y166" s="72"/>
      <c r="Z166" s="193"/>
      <c r="AA166" s="219"/>
    </row>
    <row r="167" spans="1:27" ht="12.75">
      <c r="A167" s="524"/>
      <c r="B167" s="431"/>
      <c r="C167" s="137"/>
      <c r="D167" s="373"/>
      <c r="E167" s="83"/>
      <c r="F167" s="83"/>
      <c r="G167" s="272"/>
      <c r="H167" s="84"/>
      <c r="I167" s="167"/>
      <c r="J167" s="210"/>
      <c r="K167" s="263"/>
      <c r="L167" s="84"/>
      <c r="M167" s="263"/>
      <c r="N167" s="84"/>
      <c r="O167" s="131"/>
      <c r="P167" s="373"/>
      <c r="Q167" s="373"/>
      <c r="R167" s="165"/>
      <c r="S167" s="131"/>
      <c r="T167" s="189"/>
      <c r="U167" s="190"/>
      <c r="V167" s="174"/>
      <c r="W167" s="175"/>
      <c r="X167" s="179"/>
      <c r="Y167" s="179"/>
      <c r="Z167" s="191"/>
      <c r="AA167" s="104"/>
    </row>
    <row r="168" spans="1:27" ht="13.5" thickBot="1">
      <c r="A168" s="89"/>
      <c r="B168" s="160"/>
      <c r="C168" s="64"/>
      <c r="D168" s="446"/>
      <c r="E168" s="392"/>
      <c r="F168" s="406"/>
      <c r="G168" s="75"/>
      <c r="H168" s="271"/>
      <c r="I168" s="171"/>
      <c r="J168" s="122"/>
      <c r="K168" s="170"/>
      <c r="L168" s="62"/>
      <c r="M168" s="170"/>
      <c r="N168" s="62"/>
      <c r="O168" s="171"/>
      <c r="P168" s="375"/>
      <c r="Q168" s="375"/>
      <c r="R168" s="402"/>
      <c r="S168" s="177"/>
      <c r="T168" s="516"/>
      <c r="U168" s="513"/>
      <c r="V168" s="129"/>
      <c r="W168" s="170"/>
      <c r="X168" s="71"/>
      <c r="Y168" s="72"/>
      <c r="Z168" s="193"/>
      <c r="AA168" s="219"/>
    </row>
    <row r="169" spans="1:27" ht="13.5" thickBot="1">
      <c r="A169" s="526" t="s">
        <v>384</v>
      </c>
      <c r="B169" s="527"/>
      <c r="C169" s="527"/>
      <c r="D169" s="528"/>
      <c r="E169" s="41"/>
      <c r="F169" s="13"/>
      <c r="G169" s="13"/>
      <c r="H169" s="41"/>
      <c r="I169" s="13"/>
      <c r="J169" s="13"/>
      <c r="K169" s="41"/>
      <c r="L169" s="41"/>
      <c r="M169" s="41"/>
      <c r="N169" s="41"/>
      <c r="O169" s="302"/>
      <c r="P169" s="33"/>
      <c r="Q169" s="33"/>
      <c r="R169" s="258"/>
      <c r="S169" s="258"/>
      <c r="T169" s="299"/>
      <c r="U169" s="298"/>
      <c r="V169" s="266">
        <f>SUM(V142:V168)</f>
        <v>0</v>
      </c>
      <c r="W169" s="294"/>
      <c r="X169" s="42"/>
      <c r="Y169" s="306"/>
      <c r="Z169" s="42"/>
      <c r="AA169" s="43"/>
    </row>
    <row r="170" spans="1:27" ht="13.5" thickBot="1">
      <c r="A170" s="529"/>
      <c r="B170" s="530"/>
      <c r="C170" s="530"/>
      <c r="D170" s="531"/>
      <c r="E170" s="120">
        <f>SUM(E143:E168)</f>
        <v>140503.10000000003</v>
      </c>
      <c r="F170" s="390">
        <f>SUM(F143:F168)</f>
        <v>67058</v>
      </c>
      <c r="G170" s="44"/>
      <c r="H170" s="253">
        <f>SUM(H139:H168)</f>
        <v>0</v>
      </c>
      <c r="I170" s="99"/>
      <c r="J170" s="99">
        <f>SUM(J142:J169)</f>
        <v>0</v>
      </c>
      <c r="K170" s="99"/>
      <c r="L170" s="99">
        <f>SUM(L142:L169)</f>
        <v>0</v>
      </c>
      <c r="M170" s="99"/>
      <c r="N170" s="99">
        <f>SUM(N142:N169)</f>
        <v>0</v>
      </c>
      <c r="O170" s="99">
        <f>SUM(O142:O169)</f>
        <v>424.5050304300001</v>
      </c>
      <c r="P170" s="517" t="s">
        <v>386</v>
      </c>
      <c r="Q170" s="518">
        <f>SUM(J170:O170)</f>
        <v>424.5050304300001</v>
      </c>
      <c r="R170" s="347"/>
      <c r="S170" s="260"/>
      <c r="T170" s="261">
        <f>SUM(T142:T168)</f>
        <v>0</v>
      </c>
      <c r="U170" s="262">
        <f>SUM(U142:U168)</f>
        <v>0</v>
      </c>
      <c r="V170" s="253">
        <f>V169+H170</f>
        <v>0</v>
      </c>
      <c r="W170" s="252">
        <f>V170/E170</f>
        <v>0</v>
      </c>
      <c r="X170" s="74">
        <v>100</v>
      </c>
      <c r="Y170" s="74">
        <f>SUM(Y145:Y169)/12</f>
        <v>32.5</v>
      </c>
      <c r="Z170" s="74"/>
      <c r="AA170" s="46"/>
    </row>
    <row r="171" spans="6:7" ht="12.75">
      <c r="F171" s="150">
        <f>F170-E170</f>
        <v>-73445.10000000003</v>
      </c>
      <c r="G171" s="150" t="str">
        <f>IF(F171&lt;0,"za mało",IF(F171&gt;0,"za dużo","równo"))</f>
        <v>za mało</v>
      </c>
    </row>
  </sheetData>
  <sheetProtection/>
  <mergeCells count="77">
    <mergeCell ref="A35:A36"/>
    <mergeCell ref="A33:A34"/>
    <mergeCell ref="A19:A20"/>
    <mergeCell ref="A31:A32"/>
    <mergeCell ref="A29:A30"/>
    <mergeCell ref="A27:A28"/>
    <mergeCell ref="A25:A26"/>
    <mergeCell ref="A23:A24"/>
    <mergeCell ref="A21:A22"/>
    <mergeCell ref="AA10:AA17"/>
    <mergeCell ref="E10:H10"/>
    <mergeCell ref="P10:T10"/>
    <mergeCell ref="I11:J14"/>
    <mergeCell ref="I10:J10"/>
    <mergeCell ref="K10:N10"/>
    <mergeCell ref="K11:L14"/>
    <mergeCell ref="M11:N14"/>
    <mergeCell ref="T11:T16"/>
    <mergeCell ref="Z10:Z17"/>
    <mergeCell ref="A1:I1"/>
    <mergeCell ref="A4:AD4"/>
    <mergeCell ref="A6:AB6"/>
    <mergeCell ref="A7:AB7"/>
    <mergeCell ref="A8:D8"/>
    <mergeCell ref="A5:C5"/>
    <mergeCell ref="A10:A17"/>
    <mergeCell ref="C10:C17"/>
    <mergeCell ref="A46:A47"/>
    <mergeCell ref="A48:A49"/>
    <mergeCell ref="A50:A51"/>
    <mergeCell ref="A52:A53"/>
    <mergeCell ref="A43:D44"/>
    <mergeCell ref="A41:A42"/>
    <mergeCell ref="A39:A40"/>
    <mergeCell ref="A37:A38"/>
    <mergeCell ref="A54:A55"/>
    <mergeCell ref="A56:A57"/>
    <mergeCell ref="A70:D71"/>
    <mergeCell ref="A58:A59"/>
    <mergeCell ref="A60:A61"/>
    <mergeCell ref="A62:A63"/>
    <mergeCell ref="A64:A65"/>
    <mergeCell ref="A66:A67"/>
    <mergeCell ref="A68:A69"/>
    <mergeCell ref="A73:A74"/>
    <mergeCell ref="A75:A76"/>
    <mergeCell ref="A79:A80"/>
    <mergeCell ref="A81:A82"/>
    <mergeCell ref="A85:A86"/>
    <mergeCell ref="A87:A88"/>
    <mergeCell ref="A105:D106"/>
    <mergeCell ref="A91:A92"/>
    <mergeCell ref="A93:A94"/>
    <mergeCell ref="A97:A98"/>
    <mergeCell ref="A99:A100"/>
    <mergeCell ref="A101:A102"/>
    <mergeCell ref="A103:A104"/>
    <mergeCell ref="A135:D136"/>
    <mergeCell ref="A126:A127"/>
    <mergeCell ref="A128:A129"/>
    <mergeCell ref="A132:A133"/>
    <mergeCell ref="A108:A109"/>
    <mergeCell ref="A110:A111"/>
    <mergeCell ref="A114:A115"/>
    <mergeCell ref="A116:A117"/>
    <mergeCell ref="A120:A121"/>
    <mergeCell ref="A122:A123"/>
    <mergeCell ref="A160:A161"/>
    <mergeCell ref="A162:A163"/>
    <mergeCell ref="A166:A167"/>
    <mergeCell ref="A169:D170"/>
    <mergeCell ref="A142:A143"/>
    <mergeCell ref="A144:A145"/>
    <mergeCell ref="A148:A149"/>
    <mergeCell ref="A150:A151"/>
    <mergeCell ref="A154:A155"/>
    <mergeCell ref="A156:A157"/>
  </mergeCells>
  <printOptions/>
  <pageMargins left="0.47" right="0.44" top="0.74" bottom="0.73" header="0.5" footer="0.5"/>
  <pageSetup fitToHeight="1" fitToWidth="1" horizontalDpi="600" verticalDpi="600" orientation="landscape" paperSize="9" scale="43" r:id="rId3"/>
  <headerFooter alignWithMargins="0">
    <oddFooter>&amp;L&amp;D&amp;R&amp;24 23</oddFooter>
  </headerFooter>
  <ignoredErrors>
    <ignoredError sqref="I59 I79:I82 I86 O88 I92 I75:I7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6"/>
  <sheetViews>
    <sheetView zoomScale="90" zoomScaleNormal="90" zoomScalePageLayoutView="0" workbookViewId="0" topLeftCell="B10">
      <selection activeCell="X145" sqref="X145"/>
    </sheetView>
  </sheetViews>
  <sheetFormatPr defaultColWidth="9.00390625" defaultRowHeight="12.75"/>
  <cols>
    <col min="1" max="1" width="3.625" style="0" hidden="1" customWidth="1"/>
    <col min="2" max="2" width="22.75390625" style="0" customWidth="1"/>
    <col min="3" max="3" width="8.875" style="0" customWidth="1"/>
    <col min="4" max="4" width="8.75390625" style="0" customWidth="1"/>
    <col min="5" max="6" width="8.875" style="0" customWidth="1"/>
    <col min="7" max="7" width="7.875" style="0" customWidth="1"/>
    <col min="8" max="8" width="12.25390625" style="0" customWidth="1"/>
    <col min="9" max="9" width="8.875" style="0" customWidth="1"/>
    <col min="10" max="10" width="10.625" style="0" customWidth="1"/>
    <col min="11" max="11" width="7.875" style="0" customWidth="1"/>
    <col min="12" max="12" width="11.00390625" style="0" customWidth="1"/>
    <col min="13" max="13" width="7.875" style="0" customWidth="1"/>
    <col min="14" max="14" width="9.25390625" style="0" customWidth="1"/>
    <col min="15" max="16" width="8.875" style="0" customWidth="1"/>
    <col min="17" max="17" width="11.25390625" style="0" customWidth="1"/>
    <col min="18" max="18" width="8.875" style="0" customWidth="1"/>
    <col min="19" max="19" width="7.75390625" style="0" customWidth="1"/>
    <col min="20" max="20" width="8.875" style="0" customWidth="1"/>
    <col min="21" max="21" width="10.25390625" style="0" customWidth="1"/>
    <col min="22" max="22" width="11.25390625" style="0" customWidth="1"/>
    <col min="23" max="23" width="9.00390625" style="0" customWidth="1"/>
    <col min="24" max="24" width="8.625" style="0" customWidth="1"/>
    <col min="25" max="25" width="9.375" style="0" customWidth="1"/>
    <col min="26" max="26" width="9.75390625" style="0" customWidth="1"/>
    <col min="27" max="27" width="11.125" style="0" customWidth="1"/>
    <col min="28" max="28" width="11.375" style="0" customWidth="1"/>
    <col min="29" max="29" width="10.125" style="0" customWidth="1"/>
    <col min="30" max="30" width="11.25390625" style="0" customWidth="1"/>
  </cols>
  <sheetData>
    <row r="1" spans="1:25" ht="15">
      <c r="A1" s="549" t="s">
        <v>48</v>
      </c>
      <c r="B1" s="549"/>
      <c r="C1" s="549"/>
      <c r="D1" s="549"/>
      <c r="E1" s="549"/>
      <c r="F1" s="549"/>
      <c r="G1" s="549"/>
      <c r="H1" s="549"/>
      <c r="I1" s="549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234"/>
      <c r="X1" s="234"/>
      <c r="Y1" s="234"/>
    </row>
    <row r="2" spans="1:25" ht="15">
      <c r="A2" s="107"/>
      <c r="B2" s="235"/>
      <c r="C2" s="236"/>
      <c r="D2" s="107"/>
      <c r="E2" s="107"/>
      <c r="F2" s="107"/>
      <c r="G2" s="237"/>
      <c r="H2" s="236"/>
      <c r="I2" s="2" t="s">
        <v>41</v>
      </c>
      <c r="J2" s="107" t="s">
        <v>368</v>
      </c>
      <c r="K2" s="107"/>
      <c r="L2" s="383"/>
      <c r="M2" s="384"/>
      <c r="N2" s="385"/>
      <c r="O2" s="383"/>
      <c r="P2" s="383"/>
      <c r="Q2" s="383"/>
      <c r="R2" s="383"/>
      <c r="S2" s="383"/>
      <c r="T2" s="384"/>
      <c r="U2" s="385"/>
      <c r="V2" s="383"/>
      <c r="W2" s="234"/>
      <c r="X2" s="234"/>
      <c r="Y2" s="234"/>
    </row>
    <row r="3" spans="1:25" ht="15.75">
      <c r="A3" s="107"/>
      <c r="B3" s="237" t="s">
        <v>47</v>
      </c>
      <c r="C3" s="265" t="s">
        <v>354</v>
      </c>
      <c r="D3" s="107"/>
      <c r="E3" s="238"/>
      <c r="F3" s="238"/>
      <c r="G3" s="238"/>
      <c r="H3" s="238"/>
      <c r="I3" s="238"/>
      <c r="J3" s="321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4"/>
      <c r="X3" s="234"/>
      <c r="Y3" s="234"/>
    </row>
    <row r="4" spans="1:30" ht="15" customHeight="1">
      <c r="A4" s="550" t="s">
        <v>39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</row>
    <row r="5" spans="1:30" s="3" customFormat="1" ht="15" customHeight="1">
      <c r="A5" s="564" t="s">
        <v>311</v>
      </c>
      <c r="B5" s="564"/>
      <c r="C5" s="564"/>
      <c r="D5" s="564"/>
      <c r="E5" s="564"/>
      <c r="F5" s="1"/>
      <c r="G5" s="239"/>
      <c r="H5" s="240"/>
      <c r="J5" s="2"/>
      <c r="K5" s="2"/>
      <c r="L5" s="172"/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B5" s="7"/>
      <c r="AC5" s="1"/>
      <c r="AD5" s="2"/>
    </row>
    <row r="6" spans="1:29" s="3" customFormat="1" ht="14.25">
      <c r="A6" s="549" t="s">
        <v>391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</row>
    <row r="7" spans="1:28" s="3" customFormat="1" ht="14.25">
      <c r="A7" s="551" t="s">
        <v>202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1"/>
      <c r="AA7" s="551"/>
      <c r="AB7" s="551"/>
    </row>
    <row r="8" spans="1:30" s="3" customFormat="1" ht="18">
      <c r="A8" s="552" t="s">
        <v>245</v>
      </c>
      <c r="B8" s="552"/>
      <c r="C8" s="552"/>
      <c r="D8" s="552"/>
      <c r="E8" s="5" t="s">
        <v>308</v>
      </c>
      <c r="F8" s="5"/>
      <c r="G8" s="503" t="s">
        <v>0</v>
      </c>
      <c r="H8" s="504" t="s">
        <v>40</v>
      </c>
      <c r="I8" s="4"/>
      <c r="J8" s="8"/>
      <c r="L8" s="1"/>
      <c r="N8" s="2"/>
      <c r="O8" s="1"/>
      <c r="P8" s="1"/>
      <c r="R8" s="1"/>
      <c r="S8" s="1"/>
      <c r="T8" s="172" t="s">
        <v>42</v>
      </c>
      <c r="U8" s="1"/>
      <c r="V8" s="1"/>
      <c r="W8" s="1"/>
      <c r="X8" s="1"/>
      <c r="Y8" s="2"/>
      <c r="Z8" s="73"/>
      <c r="AA8" s="73"/>
      <c r="AB8" s="73"/>
      <c r="AC8" s="73"/>
      <c r="AD8" s="1"/>
    </row>
    <row r="9" spans="1:30" s="3" customFormat="1" ht="15" thickBot="1">
      <c r="A9" s="3" t="s">
        <v>1</v>
      </c>
      <c r="B9" s="4"/>
      <c r="C9" s="9"/>
      <c r="D9" s="2"/>
      <c r="G9" s="10"/>
      <c r="H9" s="4"/>
      <c r="I9" s="9"/>
      <c r="J9" s="2"/>
      <c r="N9" s="4"/>
      <c r="O9" s="9"/>
      <c r="P9" s="9"/>
      <c r="Q9" s="9"/>
      <c r="R9" s="9"/>
      <c r="S9" s="9"/>
      <c r="T9" s="2"/>
      <c r="U9" s="11"/>
      <c r="V9" s="12"/>
      <c r="X9" s="12" t="s">
        <v>33</v>
      </c>
      <c r="Y9" s="256">
        <v>30</v>
      </c>
      <c r="AA9" s="12"/>
      <c r="AB9" s="521"/>
      <c r="AC9" s="521"/>
      <c r="AD9" s="522"/>
    </row>
    <row r="10" spans="1:30" ht="12.75" customHeight="1">
      <c r="A10" s="558" t="s">
        <v>2</v>
      </c>
      <c r="B10" s="13"/>
      <c r="C10" s="561" t="s">
        <v>237</v>
      </c>
      <c r="D10" s="13"/>
      <c r="E10" s="537" t="s">
        <v>3</v>
      </c>
      <c r="F10" s="538"/>
      <c r="G10" s="538"/>
      <c r="H10" s="539"/>
      <c r="I10" s="553" t="s">
        <v>243</v>
      </c>
      <c r="J10" s="554"/>
      <c r="K10" s="553" t="s">
        <v>244</v>
      </c>
      <c r="L10" s="555"/>
      <c r="M10" s="555"/>
      <c r="N10" s="554"/>
      <c r="O10" s="13"/>
      <c r="P10" s="537" t="s">
        <v>37</v>
      </c>
      <c r="Q10" s="538"/>
      <c r="R10" s="538"/>
      <c r="S10" s="538"/>
      <c r="T10" s="539"/>
      <c r="U10" s="14" t="s">
        <v>4</v>
      </c>
      <c r="V10" s="15" t="s">
        <v>5</v>
      </c>
      <c r="W10" s="14" t="s">
        <v>9</v>
      </c>
      <c r="X10" s="14" t="s">
        <v>10</v>
      </c>
      <c r="Y10" s="16"/>
      <c r="Z10" s="546" t="s">
        <v>246</v>
      </c>
      <c r="AA10" s="534" t="s">
        <v>53</v>
      </c>
      <c r="AC10" s="334"/>
      <c r="AD10" s="334"/>
    </row>
    <row r="11" spans="1:27" ht="12.75" customHeight="1">
      <c r="A11" s="559"/>
      <c r="B11" s="18"/>
      <c r="C11" s="562"/>
      <c r="D11" s="18"/>
      <c r="E11" s="20"/>
      <c r="F11" s="20"/>
      <c r="G11" s="20"/>
      <c r="H11" s="20"/>
      <c r="I11" s="540" t="s">
        <v>399</v>
      </c>
      <c r="J11" s="541"/>
      <c r="K11" s="540" t="s">
        <v>238</v>
      </c>
      <c r="L11" s="541"/>
      <c r="M11" s="540" t="s">
        <v>239</v>
      </c>
      <c r="N11" s="541"/>
      <c r="O11" s="195"/>
      <c r="P11" s="21"/>
      <c r="Q11" s="21"/>
      <c r="R11" s="152"/>
      <c r="S11" s="151"/>
      <c r="T11" s="556" t="s">
        <v>247</v>
      </c>
      <c r="U11" s="22" t="s">
        <v>7</v>
      </c>
      <c r="V11" s="22" t="s">
        <v>8</v>
      </c>
      <c r="W11" s="21" t="s">
        <v>13</v>
      </c>
      <c r="X11" s="18" t="s">
        <v>14</v>
      </c>
      <c r="Y11" s="19"/>
      <c r="Z11" s="547"/>
      <c r="AA11" s="535"/>
    </row>
    <row r="12" spans="1:27" ht="12.75" customHeight="1">
      <c r="A12" s="559"/>
      <c r="B12" s="109"/>
      <c r="C12" s="562"/>
      <c r="D12" s="18"/>
      <c r="E12" s="18"/>
      <c r="F12" s="18"/>
      <c r="G12" s="18"/>
      <c r="H12" s="18"/>
      <c r="I12" s="542"/>
      <c r="J12" s="543"/>
      <c r="K12" s="542"/>
      <c r="L12" s="543"/>
      <c r="M12" s="542"/>
      <c r="N12" s="543"/>
      <c r="O12" s="22" t="s">
        <v>241</v>
      </c>
      <c r="P12" s="22" t="s">
        <v>50</v>
      </c>
      <c r="Q12" s="22" t="s">
        <v>50</v>
      </c>
      <c r="R12" s="22" t="s">
        <v>16</v>
      </c>
      <c r="T12" s="557"/>
      <c r="U12" s="23" t="s">
        <v>11</v>
      </c>
      <c r="V12" s="18" t="s">
        <v>12</v>
      </c>
      <c r="W12" s="21" t="s">
        <v>22</v>
      </c>
      <c r="X12" s="17" t="s">
        <v>23</v>
      </c>
      <c r="Y12" s="22" t="s">
        <v>6</v>
      </c>
      <c r="Z12" s="547"/>
      <c r="AA12" s="535"/>
    </row>
    <row r="13" spans="1:27" ht="12.75" customHeight="1">
      <c r="A13" s="559" t="s">
        <v>2</v>
      </c>
      <c r="B13" s="18" t="s">
        <v>236</v>
      </c>
      <c r="C13" s="562"/>
      <c r="D13" s="18" t="s">
        <v>15</v>
      </c>
      <c r="E13" s="22" t="s">
        <v>16</v>
      </c>
      <c r="F13" s="22" t="s">
        <v>16</v>
      </c>
      <c r="G13" s="22" t="s">
        <v>17</v>
      </c>
      <c r="H13" s="22" t="s">
        <v>18</v>
      </c>
      <c r="I13" s="542"/>
      <c r="J13" s="543"/>
      <c r="K13" s="542"/>
      <c r="L13" s="543"/>
      <c r="M13" s="542"/>
      <c r="N13" s="543"/>
      <c r="O13" s="18" t="s">
        <v>19</v>
      </c>
      <c r="P13" s="22" t="s">
        <v>51</v>
      </c>
      <c r="Q13" s="22" t="s">
        <v>52</v>
      </c>
      <c r="R13" s="100" t="s">
        <v>242</v>
      </c>
      <c r="S13" s="195" t="s">
        <v>26</v>
      </c>
      <c r="T13" s="557"/>
      <c r="U13" s="18" t="s">
        <v>20</v>
      </c>
      <c r="V13" s="18" t="s">
        <v>21</v>
      </c>
      <c r="X13" s="19"/>
      <c r="Y13" s="21" t="s">
        <v>235</v>
      </c>
      <c r="Z13" s="547"/>
      <c r="AA13" s="535"/>
    </row>
    <row r="14" spans="1:27" ht="12.75">
      <c r="A14" s="559"/>
      <c r="B14" s="18"/>
      <c r="C14" s="562"/>
      <c r="D14" s="18" t="s">
        <v>24</v>
      </c>
      <c r="E14" s="18" t="s">
        <v>49</v>
      </c>
      <c r="F14" s="18" t="s">
        <v>27</v>
      </c>
      <c r="G14" s="18"/>
      <c r="H14" s="18"/>
      <c r="I14" s="544"/>
      <c r="J14" s="545"/>
      <c r="K14" s="544"/>
      <c r="L14" s="545"/>
      <c r="M14" s="544"/>
      <c r="N14" s="545"/>
      <c r="O14" s="18" t="s">
        <v>240</v>
      </c>
      <c r="P14" s="18"/>
      <c r="Q14" s="18"/>
      <c r="R14" s="22" t="s">
        <v>38</v>
      </c>
      <c r="S14" s="195" t="s">
        <v>61</v>
      </c>
      <c r="T14" s="557"/>
      <c r="U14" s="18" t="s">
        <v>23</v>
      </c>
      <c r="V14" s="24"/>
      <c r="W14" s="21"/>
      <c r="X14" s="17"/>
      <c r="Y14" s="17" t="s">
        <v>35</v>
      </c>
      <c r="Z14" s="547"/>
      <c r="AA14" s="535"/>
    </row>
    <row r="15" spans="1:27" ht="12.75">
      <c r="A15" s="559"/>
      <c r="B15" s="18"/>
      <c r="C15" s="562"/>
      <c r="D15" s="18"/>
      <c r="E15" s="18"/>
      <c r="F15" s="18"/>
      <c r="G15" s="18"/>
      <c r="H15" s="18"/>
      <c r="I15" s="18" t="s">
        <v>25</v>
      </c>
      <c r="J15" s="18" t="s">
        <v>26</v>
      </c>
      <c r="K15" s="18" t="s">
        <v>25</v>
      </c>
      <c r="L15" s="18" t="s">
        <v>26</v>
      </c>
      <c r="M15" s="18" t="s">
        <v>25</v>
      </c>
      <c r="N15" s="18" t="s">
        <v>26</v>
      </c>
      <c r="O15" s="396" t="s">
        <v>280</v>
      </c>
      <c r="P15" s="18"/>
      <c r="Q15" s="18"/>
      <c r="R15" s="22"/>
      <c r="T15" s="557"/>
      <c r="U15" s="18"/>
      <c r="V15" s="24"/>
      <c r="W15" s="21"/>
      <c r="X15" s="25"/>
      <c r="Y15" s="25"/>
      <c r="Z15" s="547"/>
      <c r="AA15" s="535"/>
    </row>
    <row r="16" spans="1:27" ht="15">
      <c r="A16" s="559"/>
      <c r="B16" s="108"/>
      <c r="C16" s="562"/>
      <c r="E16" s="18"/>
      <c r="F16" s="18"/>
      <c r="G16" s="18"/>
      <c r="H16" s="18"/>
      <c r="J16" s="18"/>
      <c r="K16" s="18"/>
      <c r="L16" s="18"/>
      <c r="M16" s="18"/>
      <c r="N16" s="18"/>
      <c r="O16" s="18" t="s">
        <v>397</v>
      </c>
      <c r="P16" s="195"/>
      <c r="Q16" s="195"/>
      <c r="R16" s="22"/>
      <c r="S16" s="291"/>
      <c r="T16" s="557"/>
      <c r="U16" s="26"/>
      <c r="V16" s="359" t="s">
        <v>250</v>
      </c>
      <c r="W16" s="27"/>
      <c r="X16" s="25"/>
      <c r="Y16" s="25"/>
      <c r="Z16" s="547"/>
      <c r="AA16" s="535"/>
    </row>
    <row r="17" spans="1:27" ht="12.75">
      <c r="A17" s="560"/>
      <c r="B17" s="28"/>
      <c r="C17" s="563"/>
      <c r="D17" s="28"/>
      <c r="E17" s="28" t="s">
        <v>29</v>
      </c>
      <c r="F17" s="28" t="s">
        <v>29</v>
      </c>
      <c r="G17" s="28" t="s">
        <v>30</v>
      </c>
      <c r="H17" s="28" t="s">
        <v>31</v>
      </c>
      <c r="I17" s="28" t="s">
        <v>28</v>
      </c>
      <c r="J17" s="28" t="s">
        <v>31</v>
      </c>
      <c r="K17" s="28" t="s">
        <v>30</v>
      </c>
      <c r="L17" s="28" t="s">
        <v>31</v>
      </c>
      <c r="M17" s="28" t="s">
        <v>30</v>
      </c>
      <c r="N17" s="28" t="s">
        <v>31</v>
      </c>
      <c r="O17" s="28" t="s">
        <v>31</v>
      </c>
      <c r="P17" s="196"/>
      <c r="Q17" s="196"/>
      <c r="R17" s="343" t="s">
        <v>60</v>
      </c>
      <c r="S17" s="153"/>
      <c r="T17" s="153" t="s">
        <v>31</v>
      </c>
      <c r="U17" s="28" t="s">
        <v>31</v>
      </c>
      <c r="V17" s="28" t="s">
        <v>31</v>
      </c>
      <c r="W17" s="28" t="s">
        <v>30</v>
      </c>
      <c r="X17" s="30" t="s">
        <v>32</v>
      </c>
      <c r="Y17" s="30" t="s">
        <v>32</v>
      </c>
      <c r="Z17" s="548"/>
      <c r="AA17" s="536"/>
    </row>
    <row r="18" spans="1:27" ht="13.5" thickBot="1">
      <c r="A18" s="31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2"/>
      <c r="H18" s="32"/>
      <c r="I18" s="32">
        <v>9</v>
      </c>
      <c r="J18" s="32"/>
      <c r="K18" s="32"/>
      <c r="L18" s="32">
        <v>12</v>
      </c>
      <c r="M18" s="32">
        <v>13</v>
      </c>
      <c r="N18" s="32">
        <v>14</v>
      </c>
      <c r="O18" s="32">
        <v>15</v>
      </c>
      <c r="P18" s="32">
        <v>16</v>
      </c>
      <c r="Q18" s="32">
        <v>17</v>
      </c>
      <c r="R18" s="32">
        <v>18</v>
      </c>
      <c r="S18" s="32">
        <v>19</v>
      </c>
      <c r="T18" s="32">
        <v>20</v>
      </c>
      <c r="U18" s="32">
        <v>21</v>
      </c>
      <c r="V18" s="32">
        <v>22</v>
      </c>
      <c r="W18" s="32">
        <v>23</v>
      </c>
      <c r="X18" s="32">
        <v>27</v>
      </c>
      <c r="Y18" s="32">
        <v>28</v>
      </c>
      <c r="Z18" s="32">
        <v>29</v>
      </c>
      <c r="AA18" s="145">
        <v>30</v>
      </c>
    </row>
    <row r="19" spans="1:27" ht="12.75" hidden="1">
      <c r="A19" s="318"/>
      <c r="B19" s="310" t="s">
        <v>77</v>
      </c>
      <c r="C19" s="35" t="s">
        <v>63</v>
      </c>
      <c r="D19" s="105"/>
      <c r="E19" s="233" t="s">
        <v>203</v>
      </c>
      <c r="F19" s="203">
        <v>0.001</v>
      </c>
      <c r="G19" s="75"/>
      <c r="H19" s="242"/>
      <c r="I19" s="66"/>
      <c r="J19" s="314"/>
      <c r="K19" s="313"/>
      <c r="L19" s="128"/>
      <c r="M19" s="313"/>
      <c r="N19" s="66"/>
      <c r="O19" s="206"/>
      <c r="P19" s="161"/>
      <c r="Q19" s="161"/>
      <c r="R19" s="161"/>
      <c r="S19" s="206"/>
      <c r="T19" s="182"/>
      <c r="U19" s="77"/>
      <c r="V19" s="315"/>
      <c r="W19" s="316"/>
      <c r="X19" s="29"/>
      <c r="Y19" s="317"/>
      <c r="Z19" s="29"/>
      <c r="AA19" s="219"/>
    </row>
    <row r="20" spans="1:27" ht="12.75" hidden="1">
      <c r="A20" s="525">
        <v>1</v>
      </c>
      <c r="B20" s="109" t="s">
        <v>66</v>
      </c>
      <c r="D20" s="106"/>
      <c r="E20" s="78"/>
      <c r="F20" s="78"/>
      <c r="G20" s="275"/>
      <c r="H20" s="241"/>
      <c r="I20" s="80">
        <f>0.85*1.23</f>
        <v>1.0454999999999999</v>
      </c>
      <c r="J20" s="142"/>
      <c r="K20" s="125"/>
      <c r="L20" s="277"/>
      <c r="M20" s="125"/>
      <c r="N20" s="76"/>
      <c r="O20" s="112">
        <f>16*1.23</f>
        <v>19.68</v>
      </c>
      <c r="P20" s="118">
        <v>2.07075</v>
      </c>
      <c r="Q20" s="118">
        <v>2.14542</v>
      </c>
      <c r="R20" s="118">
        <f aca="true" t="shared" si="0" ref="R20:R29">(Q20-P20)*30</f>
        <v>2.240100000000007</v>
      </c>
      <c r="S20" s="112">
        <f>R20/(E20+E21)</f>
        <v>0.14356854451067147</v>
      </c>
      <c r="T20" s="181"/>
      <c r="U20" s="79"/>
      <c r="V20" s="126"/>
      <c r="W20" s="100"/>
      <c r="X20" s="19"/>
      <c r="Y20" s="249"/>
      <c r="Z20" s="19"/>
      <c r="AA20" s="218">
        <f>V21/1.23</f>
        <v>596.07223</v>
      </c>
    </row>
    <row r="21" spans="1:27" ht="12.75" hidden="1">
      <c r="A21" s="524">
        <v>19</v>
      </c>
      <c r="B21" s="114" t="s">
        <v>83</v>
      </c>
      <c r="C21" s="35" t="s">
        <v>67</v>
      </c>
      <c r="D21" s="105">
        <v>27.896</v>
      </c>
      <c r="E21" s="59">
        <v>15.603</v>
      </c>
      <c r="F21" s="287">
        <v>15.603</v>
      </c>
      <c r="G21" s="75"/>
      <c r="H21" s="282"/>
      <c r="I21" s="36">
        <f>15.77*1.23</f>
        <v>19.3971</v>
      </c>
      <c r="J21" s="127"/>
      <c r="K21" s="124"/>
      <c r="L21" s="270">
        <f>(E21)*K21*1000</f>
        <v>0</v>
      </c>
      <c r="M21" s="124">
        <f>0.0129*1.23</f>
        <v>0.015867</v>
      </c>
      <c r="N21" s="61">
        <f>(E21)*M21*1000</f>
        <v>247.57280099999997</v>
      </c>
      <c r="O21" s="147">
        <f>E21*2.51*1.23</f>
        <v>48.171141899999995</v>
      </c>
      <c r="P21" s="52">
        <v>0.60679</v>
      </c>
      <c r="Q21" s="52">
        <v>0.62984</v>
      </c>
      <c r="R21" s="194">
        <f t="shared" si="0"/>
        <v>0.6914999999999971</v>
      </c>
      <c r="S21" s="86"/>
      <c r="T21" s="148">
        <f>339.63*1.23</f>
        <v>417.7449</v>
      </c>
      <c r="U21" s="163"/>
      <c r="V21" s="127">
        <f>J21+L20+L21+N20+N21+O20+O21+T20+T21+U21</f>
        <v>733.1688429</v>
      </c>
      <c r="W21" s="37">
        <f>(V21+H21)/(E20+E21)/1000</f>
        <v>0.046988966410305706</v>
      </c>
      <c r="X21" s="38">
        <v>70</v>
      </c>
      <c r="Y21" s="71">
        <v>64</v>
      </c>
      <c r="Z21" s="201"/>
      <c r="AA21" s="219"/>
    </row>
    <row r="22" spans="1:27" ht="12.75" hidden="1">
      <c r="A22" s="525">
        <v>2</v>
      </c>
      <c r="B22" s="109" t="s">
        <v>71</v>
      </c>
      <c r="D22" s="106"/>
      <c r="E22" s="78"/>
      <c r="F22" s="78"/>
      <c r="G22" s="275"/>
      <c r="H22" s="241"/>
      <c r="I22" s="80">
        <f>1.65*1.23</f>
        <v>2.0295</v>
      </c>
      <c r="J22" s="142"/>
      <c r="K22" s="125"/>
      <c r="L22" s="277"/>
      <c r="M22" s="125"/>
      <c r="N22" s="76"/>
      <c r="O22" s="112">
        <f>15*1.23</f>
        <v>18.45</v>
      </c>
      <c r="P22" s="118">
        <v>2.14542</v>
      </c>
      <c r="Q22" s="118">
        <v>2.21202</v>
      </c>
      <c r="R22" s="118">
        <f t="shared" si="0"/>
        <v>1.9979999999999931</v>
      </c>
      <c r="S22" s="112">
        <f>R22/(E22+E23)</f>
        <v>0.1172906907118454</v>
      </c>
      <c r="T22" s="181"/>
      <c r="U22" s="79"/>
      <c r="V22" s="126"/>
      <c r="W22" s="100"/>
      <c r="X22" s="19"/>
      <c r="Y22" s="19"/>
      <c r="Z22" s="19"/>
      <c r="AA22" s="218">
        <f>V23/1.23</f>
        <v>647.7774399999987</v>
      </c>
    </row>
    <row r="23" spans="1:27" ht="12.75" hidden="1">
      <c r="A23" s="524">
        <v>19</v>
      </c>
      <c r="B23" s="114" t="s">
        <v>69</v>
      </c>
      <c r="C23" s="35" t="s">
        <v>72</v>
      </c>
      <c r="D23" s="105">
        <v>28.46382</v>
      </c>
      <c r="E23" s="59">
        <f>(D23-D21)*Y$9</f>
        <v>17.034599999999926</v>
      </c>
      <c r="F23" s="287">
        <v>17.035</v>
      </c>
      <c r="G23" s="75"/>
      <c r="H23" s="282"/>
      <c r="I23" s="36">
        <f>15.77*1.23</f>
        <v>19.3971</v>
      </c>
      <c r="J23" s="127"/>
      <c r="K23" s="124"/>
      <c r="L23" s="270">
        <f>(E23)*K23*1000</f>
        <v>0</v>
      </c>
      <c r="M23" s="124">
        <f>0.0127*1.23</f>
        <v>0.015621</v>
      </c>
      <c r="N23" s="61">
        <f>(E23)*M23*1000</f>
        <v>266.09748659999883</v>
      </c>
      <c r="O23" s="147">
        <f>E23*3.7*1.23</f>
        <v>77.52446459999966</v>
      </c>
      <c r="P23" s="52">
        <v>0.62984</v>
      </c>
      <c r="Q23" s="52">
        <v>0.65293</v>
      </c>
      <c r="R23" s="194">
        <f t="shared" si="0"/>
        <v>0.6927000000000016</v>
      </c>
      <c r="S23" s="86"/>
      <c r="T23" s="148">
        <f>353.41*1.23</f>
        <v>434.6943</v>
      </c>
      <c r="U23" s="163"/>
      <c r="V23" s="127">
        <f>J23+L22+L23+N22+N23+O22+O23+T22+T23+U23</f>
        <v>796.7662511999985</v>
      </c>
      <c r="W23" s="37">
        <f>(V23+H23)/(E22+E23)/1000</f>
        <v>0.04677340537494287</v>
      </c>
      <c r="X23" s="38">
        <v>70</v>
      </c>
      <c r="Y23" s="71">
        <v>70</v>
      </c>
      <c r="Z23" s="201"/>
      <c r="AA23" s="219"/>
    </row>
    <row r="24" spans="1:27" ht="12.75" hidden="1">
      <c r="A24" s="525"/>
      <c r="B24" s="109" t="s">
        <v>93</v>
      </c>
      <c r="D24" s="106"/>
      <c r="E24" s="78"/>
      <c r="F24" s="78"/>
      <c r="G24" s="275"/>
      <c r="H24" s="241"/>
      <c r="I24" s="80">
        <f>1.65*1.23</f>
        <v>2.0295</v>
      </c>
      <c r="J24" s="142"/>
      <c r="K24" s="125"/>
      <c r="L24" s="277"/>
      <c r="M24" s="125"/>
      <c r="N24" s="76"/>
      <c r="O24" s="112"/>
      <c r="P24" s="118"/>
      <c r="Q24" s="118"/>
      <c r="R24" s="118"/>
      <c r="S24" s="112"/>
      <c r="T24" s="181"/>
      <c r="U24" s="79"/>
      <c r="V24" s="126"/>
      <c r="W24" s="100"/>
      <c r="X24" s="19"/>
      <c r="Y24" s="19"/>
      <c r="Z24" s="19"/>
      <c r="AA24" s="225">
        <f>V25/1.23</f>
        <v>0</v>
      </c>
    </row>
    <row r="25" spans="1:27" ht="12.75" hidden="1">
      <c r="A25" s="524"/>
      <c r="B25" s="186" t="s">
        <v>94</v>
      </c>
      <c r="C25" s="35" t="s">
        <v>72</v>
      </c>
      <c r="D25" s="105">
        <v>28.46382</v>
      </c>
      <c r="E25" s="59"/>
      <c r="F25" s="287"/>
      <c r="G25" s="75"/>
      <c r="H25" s="282"/>
      <c r="I25" s="36">
        <f>15.77*1.23</f>
        <v>19.3971</v>
      </c>
      <c r="J25" s="146"/>
      <c r="K25" s="124"/>
      <c r="L25" s="270"/>
      <c r="M25" s="124"/>
      <c r="N25" s="61"/>
      <c r="O25" s="147"/>
      <c r="P25" s="52"/>
      <c r="Q25" s="52"/>
      <c r="R25" s="194"/>
      <c r="S25" s="86"/>
      <c r="T25" s="148"/>
      <c r="U25" s="163"/>
      <c r="V25" s="146">
        <f>J25+L24+L25+N24+N25+O24+O25+T24+T25+U25</f>
        <v>0</v>
      </c>
      <c r="W25" s="37" t="e">
        <f>(V25+H25)/(E24+E25)/1000</f>
        <v>#DIV/0!</v>
      </c>
      <c r="X25" s="201">
        <v>14</v>
      </c>
      <c r="Y25" s="162"/>
      <c r="Z25" s="201"/>
      <c r="AA25" s="219"/>
    </row>
    <row r="26" spans="1:27" ht="12.75" hidden="1">
      <c r="A26" s="89"/>
      <c r="B26" s="109" t="s">
        <v>151</v>
      </c>
      <c r="D26" s="106"/>
      <c r="E26" s="78"/>
      <c r="F26" s="78"/>
      <c r="G26" s="275"/>
      <c r="H26" s="241"/>
      <c r="I26" s="80">
        <f>1.65*1.23</f>
        <v>2.0295</v>
      </c>
      <c r="J26" s="142"/>
      <c r="K26" s="125"/>
      <c r="L26" s="277"/>
      <c r="M26" s="125"/>
      <c r="N26" s="76"/>
      <c r="O26" s="112"/>
      <c r="P26" s="118"/>
      <c r="Q26" s="118"/>
      <c r="R26" s="118"/>
      <c r="S26" s="112"/>
      <c r="T26" s="181"/>
      <c r="U26" s="79"/>
      <c r="V26" s="126"/>
      <c r="W26" s="100"/>
      <c r="X26" s="19"/>
      <c r="Y26" s="19"/>
      <c r="Z26" s="19"/>
      <c r="AA26" s="225">
        <f>V27/1.23</f>
        <v>0</v>
      </c>
    </row>
    <row r="27" spans="1:27" ht="12.75" hidden="1">
      <c r="A27" s="89"/>
      <c r="B27" s="186" t="s">
        <v>199</v>
      </c>
      <c r="C27" s="35" t="s">
        <v>72</v>
      </c>
      <c r="D27" s="105">
        <v>28.46382</v>
      </c>
      <c r="E27" s="59"/>
      <c r="F27" s="287"/>
      <c r="G27" s="75"/>
      <c r="H27" s="282"/>
      <c r="I27" s="36">
        <f>15.77*1.23</f>
        <v>19.3971</v>
      </c>
      <c r="J27" s="146"/>
      <c r="K27" s="124"/>
      <c r="L27" s="270"/>
      <c r="M27" s="124"/>
      <c r="N27" s="61"/>
      <c r="O27" s="147"/>
      <c r="P27" s="52"/>
      <c r="Q27" s="52"/>
      <c r="R27" s="194"/>
      <c r="S27" s="86"/>
      <c r="T27" s="148"/>
      <c r="U27" s="163"/>
      <c r="V27" s="146">
        <f>J27+L26+L27+N26+N27+O26+O27+T26+T27+U27</f>
        <v>0</v>
      </c>
      <c r="W27" s="37" t="e">
        <f>(V27+H27)/(E26+E27)/1000</f>
        <v>#DIV/0!</v>
      </c>
      <c r="X27" s="201">
        <v>-14</v>
      </c>
      <c r="Y27" s="162"/>
      <c r="Z27" s="201"/>
      <c r="AA27" s="219"/>
    </row>
    <row r="28" spans="1:27" ht="12.75" hidden="1">
      <c r="A28" s="525">
        <v>3</v>
      </c>
      <c r="B28" s="109" t="s">
        <v>84</v>
      </c>
      <c r="D28" s="106"/>
      <c r="E28" s="78"/>
      <c r="F28" s="78"/>
      <c r="G28" s="275"/>
      <c r="H28" s="241"/>
      <c r="I28" s="80">
        <f>1.65*1.23</f>
        <v>2.0295</v>
      </c>
      <c r="J28" s="142"/>
      <c r="K28" s="125"/>
      <c r="L28" s="277"/>
      <c r="M28" s="125"/>
      <c r="N28" s="76"/>
      <c r="O28" s="112">
        <f>15*1.23</f>
        <v>18.45</v>
      </c>
      <c r="P28" s="118">
        <v>2.21202</v>
      </c>
      <c r="Q28" s="118">
        <v>2.26933</v>
      </c>
      <c r="R28" s="118">
        <f t="shared" si="0"/>
        <v>1.7193000000000058</v>
      </c>
      <c r="S28" s="112">
        <f>R28/(E28+E29)</f>
        <v>0.1097871688281834</v>
      </c>
      <c r="T28" s="181"/>
      <c r="U28" s="79"/>
      <c r="V28" s="126"/>
      <c r="W28" s="100"/>
      <c r="X28" s="19"/>
      <c r="Y28" s="19"/>
      <c r="Z28" s="19"/>
      <c r="AA28" s="218">
        <f>V29/1.23</f>
        <v>912.5889200000008</v>
      </c>
    </row>
    <row r="29" spans="1:27" ht="12.75" hidden="1">
      <c r="A29" s="524">
        <v>19</v>
      </c>
      <c r="B29" s="114" t="s">
        <v>85</v>
      </c>
      <c r="C29" s="35" t="s">
        <v>87</v>
      </c>
      <c r="D29" s="105">
        <v>28.98583</v>
      </c>
      <c r="E29" s="59">
        <f>(D29-D23)*Y$9</f>
        <v>15.66030000000005</v>
      </c>
      <c r="F29" s="287">
        <v>15.66</v>
      </c>
      <c r="G29" s="75"/>
      <c r="H29" s="282"/>
      <c r="I29" s="36">
        <f>15.77*1.23</f>
        <v>19.3971</v>
      </c>
      <c r="J29" s="127"/>
      <c r="K29" s="124"/>
      <c r="L29" s="270">
        <f>(E29)*K29*1000</f>
        <v>0</v>
      </c>
      <c r="M29" s="124">
        <f>0.0127*1.23</f>
        <v>0.015621</v>
      </c>
      <c r="N29" s="61">
        <f>(E29)*M29*1000</f>
        <v>244.62954630000075</v>
      </c>
      <c r="O29" s="147">
        <f>E29*3.7*1.23</f>
        <v>71.27002530000023</v>
      </c>
      <c r="P29" s="52">
        <v>0.65293</v>
      </c>
      <c r="Q29" s="52">
        <v>0.67419</v>
      </c>
      <c r="R29" s="194">
        <f t="shared" si="0"/>
        <v>0.6377999999999984</v>
      </c>
      <c r="S29" s="86"/>
      <c r="T29" s="148">
        <f>325.36*1.23</f>
        <v>400.19280000000003</v>
      </c>
      <c r="U29" s="163">
        <f>I29*(6+8+3+3)</f>
        <v>387.94199999999995</v>
      </c>
      <c r="V29" s="127">
        <f>J29+L28+L29+N28+N29+O28+O29+T28+T29+U29</f>
        <v>1122.484371600001</v>
      </c>
      <c r="W29" s="37">
        <f>(V29+H29)/(E28+E29)/1000</f>
        <v>0.0716770669527402</v>
      </c>
      <c r="X29" s="38">
        <v>70</v>
      </c>
      <c r="Y29" s="162">
        <v>78</v>
      </c>
      <c r="Z29" s="201">
        <f>Y29-X29</f>
        <v>8</v>
      </c>
      <c r="AA29" s="219"/>
    </row>
    <row r="30" spans="1:27" ht="12.75" hidden="1">
      <c r="A30" s="525"/>
      <c r="B30" s="109" t="s">
        <v>95</v>
      </c>
      <c r="D30" s="106"/>
      <c r="E30" s="78"/>
      <c r="F30" s="78"/>
      <c r="G30" s="275"/>
      <c r="H30" s="241"/>
      <c r="I30" s="80">
        <f>1.65*1.23</f>
        <v>2.0295</v>
      </c>
      <c r="J30" s="142"/>
      <c r="K30" s="125"/>
      <c r="L30" s="277"/>
      <c r="M30" s="125"/>
      <c r="N30" s="76"/>
      <c r="O30" s="112"/>
      <c r="P30" s="118"/>
      <c r="Q30" s="118"/>
      <c r="R30" s="118"/>
      <c r="S30" s="112"/>
      <c r="T30" s="181"/>
      <c r="U30" s="79"/>
      <c r="V30" s="126"/>
      <c r="W30" s="100"/>
      <c r="X30" s="19"/>
      <c r="Y30" s="19"/>
      <c r="Z30" s="19"/>
      <c r="AA30" s="225">
        <f>V31/1.23</f>
        <v>-315.4</v>
      </c>
    </row>
    <row r="31" spans="1:27" ht="12.75" hidden="1">
      <c r="A31" s="524"/>
      <c r="B31" s="186" t="s">
        <v>96</v>
      </c>
      <c r="C31" s="35" t="s">
        <v>87</v>
      </c>
      <c r="D31" s="105">
        <v>28.98583</v>
      </c>
      <c r="E31" s="59"/>
      <c r="F31" s="287"/>
      <c r="G31" s="75"/>
      <c r="H31" s="282"/>
      <c r="I31" s="36">
        <f>15.77*1.23</f>
        <v>19.3971</v>
      </c>
      <c r="J31" s="146"/>
      <c r="K31" s="124"/>
      <c r="L31" s="270"/>
      <c r="M31" s="124"/>
      <c r="N31" s="61"/>
      <c r="O31" s="147"/>
      <c r="P31" s="52"/>
      <c r="Q31" s="52"/>
      <c r="R31" s="194"/>
      <c r="S31" s="86"/>
      <c r="T31" s="148"/>
      <c r="U31" s="163">
        <f>-U29</f>
        <v>-387.94199999999995</v>
      </c>
      <c r="V31" s="146">
        <f>J31+L30+L31+N30+N31+O30+O31+T30+T31+U31</f>
        <v>-387.94199999999995</v>
      </c>
      <c r="W31" s="37" t="e">
        <f>(V31+H31)/(E30+E31)/1000</f>
        <v>#DIV/0!</v>
      </c>
      <c r="X31" s="201">
        <v>14</v>
      </c>
      <c r="Y31" s="162"/>
      <c r="Z31" s="201"/>
      <c r="AA31" s="219"/>
    </row>
    <row r="32" spans="1:27" ht="12.75" hidden="1">
      <c r="A32" s="525">
        <v>4</v>
      </c>
      <c r="B32" s="109" t="s">
        <v>97</v>
      </c>
      <c r="D32" s="106"/>
      <c r="E32" s="78"/>
      <c r="F32" s="78"/>
      <c r="G32" s="275"/>
      <c r="H32" s="241"/>
      <c r="I32" s="80">
        <f>1.65*1.23</f>
        <v>2.0295</v>
      </c>
      <c r="J32" s="142"/>
      <c r="K32" s="125"/>
      <c r="L32" s="277"/>
      <c r="M32" s="125"/>
      <c r="N32" s="76"/>
      <c r="O32" s="112">
        <f>15*1.23</f>
        <v>18.45</v>
      </c>
      <c r="P32" s="118">
        <v>2.26933</v>
      </c>
      <c r="Q32" s="118">
        <v>2.32647</v>
      </c>
      <c r="R32" s="118">
        <f aca="true" t="shared" si="1" ref="R32:R37">(Q32-P32)*30</f>
        <v>1.714199999999999</v>
      </c>
      <c r="S32" s="112">
        <f>R32/(E32+E33)</f>
        <v>0.11069781859041446</v>
      </c>
      <c r="T32" s="181"/>
      <c r="U32" s="79"/>
      <c r="V32" s="126"/>
      <c r="W32" s="100"/>
      <c r="X32" s="19"/>
      <c r="Y32" s="19"/>
      <c r="Z32" s="19"/>
      <c r="AA32" s="218">
        <f>V33/1.23</f>
        <v>622.8805599999993</v>
      </c>
    </row>
    <row r="33" spans="1:27" ht="12.75" hidden="1">
      <c r="A33" s="524">
        <v>19</v>
      </c>
      <c r="B33" s="114" t="s">
        <v>98</v>
      </c>
      <c r="C33" s="35" t="s">
        <v>100</v>
      </c>
      <c r="D33" s="105">
        <v>29.50201</v>
      </c>
      <c r="E33" s="59">
        <f>(D33-D29)*Y$9</f>
        <v>15.485399999999956</v>
      </c>
      <c r="F33" s="287">
        <v>15.485</v>
      </c>
      <c r="G33" s="75"/>
      <c r="H33" s="282"/>
      <c r="I33" s="36">
        <f>15.77*1.23</f>
        <v>19.3971</v>
      </c>
      <c r="J33" s="127"/>
      <c r="K33" s="124"/>
      <c r="L33" s="270">
        <f>(E33)*K33*1000</f>
        <v>0</v>
      </c>
      <c r="M33" s="124">
        <f>0.0127*1.23</f>
        <v>0.015621</v>
      </c>
      <c r="N33" s="61">
        <f>(E33)*M33*1000</f>
        <v>241.8974333999993</v>
      </c>
      <c r="O33" s="147">
        <f>E33*3.7*1.23</f>
        <v>70.4740553999998</v>
      </c>
      <c r="P33" s="52">
        <v>0.67419</v>
      </c>
      <c r="Q33" s="52">
        <v>0.69733</v>
      </c>
      <c r="R33" s="194">
        <f t="shared" si="1"/>
        <v>0.6942000000000015</v>
      </c>
      <c r="S33" s="86"/>
      <c r="T33" s="148">
        <f>353.92*1.23</f>
        <v>435.3216</v>
      </c>
      <c r="U33" s="163"/>
      <c r="V33" s="127">
        <f>J33+L32+L33+N32+N33+O32+O33+T32+T33+U33</f>
        <v>766.1430887999991</v>
      </c>
      <c r="W33" s="37">
        <f>(V33+H33)/(E32+E33)/1000</f>
        <v>0.049475188810105084</v>
      </c>
      <c r="X33" s="201">
        <v>84</v>
      </c>
      <c r="Y33" s="71">
        <v>64</v>
      </c>
      <c r="Z33" s="201"/>
      <c r="AA33" s="219"/>
    </row>
    <row r="34" spans="1:27" ht="12.75" hidden="1">
      <c r="A34" s="525">
        <v>5</v>
      </c>
      <c r="B34" s="109" t="s">
        <v>112</v>
      </c>
      <c r="D34" s="106"/>
      <c r="E34" s="78"/>
      <c r="F34" s="78"/>
      <c r="G34" s="275"/>
      <c r="H34" s="241"/>
      <c r="I34" s="80">
        <f>1.65*1.23</f>
        <v>2.0295</v>
      </c>
      <c r="J34" s="142"/>
      <c r="K34" s="125"/>
      <c r="L34" s="277"/>
      <c r="M34" s="125"/>
      <c r="N34" s="76"/>
      <c r="O34" s="112">
        <f>15*1.23</f>
        <v>18.45</v>
      </c>
      <c r="P34" s="118">
        <v>2.32647</v>
      </c>
      <c r="Q34" s="118">
        <v>2.36381</v>
      </c>
      <c r="R34" s="118">
        <f t="shared" si="1"/>
        <v>1.1201999999999979</v>
      </c>
      <c r="S34" s="112">
        <f>R34/(E34+E35)</f>
        <v>0.09605638875311834</v>
      </c>
      <c r="T34" s="181"/>
      <c r="U34" s="79"/>
      <c r="V34" s="126"/>
      <c r="W34" s="100"/>
      <c r="X34" s="19"/>
      <c r="Y34" s="19"/>
      <c r="Z34" s="19"/>
      <c r="AA34" s="218">
        <f>V35/1.23</f>
        <v>542.3251600000011</v>
      </c>
    </row>
    <row r="35" spans="1:27" ht="12.75" hidden="1">
      <c r="A35" s="524">
        <v>19</v>
      </c>
      <c r="B35" s="114" t="s">
        <v>110</v>
      </c>
      <c r="C35" s="35" t="s">
        <v>111</v>
      </c>
      <c r="D35" s="105">
        <v>29.89074</v>
      </c>
      <c r="E35" s="59">
        <f>(D35-D33)*Y$9</f>
        <v>11.661900000000074</v>
      </c>
      <c r="F35" s="287">
        <v>11.662</v>
      </c>
      <c r="G35" s="75"/>
      <c r="H35" s="282"/>
      <c r="I35" s="36">
        <f>15.77*1.23</f>
        <v>19.3971</v>
      </c>
      <c r="J35" s="127"/>
      <c r="K35" s="124"/>
      <c r="L35" s="270">
        <f>(E35)*K35*1000</f>
        <v>0</v>
      </c>
      <c r="M35" s="124">
        <f>0.0127*1.23</f>
        <v>0.015621</v>
      </c>
      <c r="N35" s="61">
        <f>(E35)*M35*1000</f>
        <v>182.17053990000116</v>
      </c>
      <c r="O35" s="147">
        <f>E35*3.7*1.23</f>
        <v>53.07330690000033</v>
      </c>
      <c r="P35" s="52">
        <v>0.69733</v>
      </c>
      <c r="Q35" s="52">
        <v>0.71931</v>
      </c>
      <c r="R35" s="194">
        <f t="shared" si="1"/>
        <v>0.6594</v>
      </c>
      <c r="S35" s="86"/>
      <c r="T35" s="148">
        <f>336.07*1.23</f>
        <v>413.36609999999996</v>
      </c>
      <c r="U35" s="163"/>
      <c r="V35" s="127">
        <f>J35+L34+L35+N34+N35+O34+O35+T34+T35+U35</f>
        <v>667.0599468000014</v>
      </c>
      <c r="W35" s="37">
        <f>(V35+H35)/(E34+E35)/1000</f>
        <v>0.057199937128598013</v>
      </c>
      <c r="X35" s="201">
        <v>84</v>
      </c>
      <c r="Y35" s="71">
        <v>55</v>
      </c>
      <c r="Z35" s="201"/>
      <c r="AA35" s="219"/>
    </row>
    <row r="36" spans="1:27" ht="12.75" hidden="1">
      <c r="A36" s="525">
        <v>6</v>
      </c>
      <c r="B36" s="109" t="s">
        <v>120</v>
      </c>
      <c r="D36" s="106"/>
      <c r="E36" s="78"/>
      <c r="F36" s="78"/>
      <c r="G36" s="275"/>
      <c r="H36" s="241"/>
      <c r="I36" s="80">
        <f>1.65*1.23</f>
        <v>2.0295</v>
      </c>
      <c r="J36" s="142"/>
      <c r="K36" s="125"/>
      <c r="L36" s="277"/>
      <c r="M36" s="125"/>
      <c r="N36" s="76"/>
      <c r="O36" s="112">
        <f>15*1.23</f>
        <v>18.45</v>
      </c>
      <c r="P36" s="118">
        <v>2.36381</v>
      </c>
      <c r="Q36" s="118">
        <v>2.40055</v>
      </c>
      <c r="R36" s="118">
        <f t="shared" si="1"/>
        <v>1.1021999999999998</v>
      </c>
      <c r="S36" s="112">
        <f>R36/(E36+E37)</f>
        <v>0.0808663306407239</v>
      </c>
      <c r="T36" s="181"/>
      <c r="U36" s="79"/>
      <c r="V36" s="126"/>
      <c r="W36" s="100"/>
      <c r="X36" s="19"/>
      <c r="Y36" s="19"/>
      <c r="Z36" s="19"/>
      <c r="AA36" s="218">
        <f>V37/1.23</f>
        <v>600.6103599999993</v>
      </c>
    </row>
    <row r="37" spans="1:27" ht="12.75" hidden="1">
      <c r="A37" s="524">
        <v>19</v>
      </c>
      <c r="B37" s="114" t="s">
        <v>118</v>
      </c>
      <c r="C37" s="35" t="s">
        <v>121</v>
      </c>
      <c r="D37" s="105">
        <v>30.34507</v>
      </c>
      <c r="E37" s="59">
        <f>(D37-D35)*Y$9</f>
        <v>13.629899999999964</v>
      </c>
      <c r="F37" s="287">
        <v>13.63</v>
      </c>
      <c r="G37" s="75"/>
      <c r="H37" s="282"/>
      <c r="I37" s="36">
        <f>15.77*1.23</f>
        <v>19.3971</v>
      </c>
      <c r="J37" s="127"/>
      <c r="K37" s="124"/>
      <c r="L37" s="270">
        <f>(E37)*K37*1000</f>
        <v>0</v>
      </c>
      <c r="M37" s="124">
        <f>0.0127*1.23</f>
        <v>0.015621</v>
      </c>
      <c r="N37" s="61">
        <f>(E37)*M37*1000</f>
        <v>212.91266789999943</v>
      </c>
      <c r="O37" s="147">
        <f>E37*3.7*1.23</f>
        <v>62.02967489999983</v>
      </c>
      <c r="P37" s="52">
        <v>0.71931</v>
      </c>
      <c r="Q37" s="52">
        <v>0.74299</v>
      </c>
      <c r="R37" s="194">
        <f t="shared" si="1"/>
        <v>0.710400000000001</v>
      </c>
      <c r="S37" s="86"/>
      <c r="T37" s="148">
        <f>362.08*1.23</f>
        <v>445.35839999999996</v>
      </c>
      <c r="U37" s="163"/>
      <c r="V37" s="127">
        <f>J37+L36+L37+N36+N37+O36+O37+T36+T37+U37</f>
        <v>738.7507427999992</v>
      </c>
      <c r="W37" s="37">
        <f>(V37+H37)/(E36+E37)/1000</f>
        <v>0.054200745625426545</v>
      </c>
      <c r="X37" s="201">
        <v>84</v>
      </c>
      <c r="Y37" s="71">
        <v>77</v>
      </c>
      <c r="Z37" s="201"/>
      <c r="AA37" s="219"/>
    </row>
    <row r="38" spans="1:27" ht="12.75" hidden="1">
      <c r="A38" s="89"/>
      <c r="B38" s="109" t="s">
        <v>194</v>
      </c>
      <c r="D38" s="106"/>
      <c r="E38" s="78"/>
      <c r="F38" s="78"/>
      <c r="G38" s="275"/>
      <c r="H38" s="241"/>
      <c r="I38" s="80"/>
      <c r="J38" s="142"/>
      <c r="K38" s="125"/>
      <c r="L38" s="277"/>
      <c r="M38" s="125"/>
      <c r="N38" s="76"/>
      <c r="O38" s="112"/>
      <c r="P38" s="118"/>
      <c r="Q38" s="118"/>
      <c r="R38" s="118"/>
      <c r="S38" s="112"/>
      <c r="T38" s="181"/>
      <c r="U38" s="79"/>
      <c r="V38" s="126"/>
      <c r="W38" s="100"/>
      <c r="X38" s="19"/>
      <c r="Y38" s="19"/>
      <c r="Z38" s="19"/>
      <c r="AA38" s="218"/>
    </row>
    <row r="39" spans="1:27" ht="12.75" hidden="1">
      <c r="A39" s="89"/>
      <c r="B39" s="186" t="s">
        <v>195</v>
      </c>
      <c r="C39" s="35" t="s">
        <v>121</v>
      </c>
      <c r="D39" s="105"/>
      <c r="E39" s="59"/>
      <c r="F39" s="287"/>
      <c r="G39" s="75"/>
      <c r="H39" s="282"/>
      <c r="I39" s="36"/>
      <c r="J39" s="127"/>
      <c r="K39" s="124"/>
      <c r="L39" s="270"/>
      <c r="M39" s="124"/>
      <c r="N39" s="61"/>
      <c r="O39" s="147"/>
      <c r="P39" s="52"/>
      <c r="Q39" s="52"/>
      <c r="R39" s="194"/>
      <c r="S39" s="86"/>
      <c r="T39" s="148"/>
      <c r="U39" s="163"/>
      <c r="V39" s="146">
        <v>-559.81</v>
      </c>
      <c r="W39" s="37"/>
      <c r="X39" s="201" t="s">
        <v>196</v>
      </c>
      <c r="Y39" s="71"/>
      <c r="Z39" s="201" t="s">
        <v>197</v>
      </c>
      <c r="AA39" s="217">
        <f>V39/1.23</f>
        <v>-455.13008130081295</v>
      </c>
    </row>
    <row r="40" spans="1:27" ht="12.75" hidden="1">
      <c r="A40" s="525">
        <v>7</v>
      </c>
      <c r="B40" s="109" t="s">
        <v>134</v>
      </c>
      <c r="D40" s="106"/>
      <c r="E40" s="78"/>
      <c r="F40" s="78"/>
      <c r="G40" s="275"/>
      <c r="H40" s="241"/>
      <c r="I40" s="80">
        <f>1.65*1.23</f>
        <v>2.0295</v>
      </c>
      <c r="J40" s="142"/>
      <c r="K40" s="125"/>
      <c r="L40" s="277"/>
      <c r="M40" s="125"/>
      <c r="N40" s="76"/>
      <c r="O40" s="112">
        <f>15*1.23</f>
        <v>18.45</v>
      </c>
      <c r="P40" s="118">
        <v>2.40055</v>
      </c>
      <c r="Q40" s="118">
        <v>2.42922</v>
      </c>
      <c r="R40" s="118">
        <f aca="true" t="shared" si="2" ref="R40:R45">(Q40-P40)*30</f>
        <v>0.8600999999999992</v>
      </c>
      <c r="S40" s="112">
        <f>R40/(E40+E41)</f>
        <v>0.08558719923577478</v>
      </c>
      <c r="T40" s="181"/>
      <c r="U40" s="79"/>
      <c r="V40" s="126"/>
      <c r="W40" s="100"/>
      <c r="X40" s="19"/>
      <c r="Y40" s="19"/>
      <c r="Z40" s="19"/>
      <c r="AA40" s="218">
        <f>V41/1.23</f>
        <v>462.3301600000007</v>
      </c>
    </row>
    <row r="41" spans="1:27" ht="12.75" hidden="1">
      <c r="A41" s="524">
        <v>19</v>
      </c>
      <c r="B41" s="114" t="s">
        <v>133</v>
      </c>
      <c r="C41" s="35" t="s">
        <v>129</v>
      </c>
      <c r="D41" s="105">
        <v>30.68005</v>
      </c>
      <c r="E41" s="59">
        <f>(D41-D37)*Y$9</f>
        <v>10.049400000000048</v>
      </c>
      <c r="F41" s="287">
        <v>10.049</v>
      </c>
      <c r="G41" s="75"/>
      <c r="H41" s="282"/>
      <c r="I41" s="36">
        <f>15.77*1.23</f>
        <v>19.3971</v>
      </c>
      <c r="J41" s="127"/>
      <c r="K41" s="124"/>
      <c r="L41" s="270">
        <f>(E41)*K41*1000</f>
        <v>0</v>
      </c>
      <c r="M41" s="124">
        <f>0.0127*1.23</f>
        <v>0.015621</v>
      </c>
      <c r="N41" s="61">
        <f>(E41)*M41*1000</f>
        <v>156.98167740000073</v>
      </c>
      <c r="O41" s="147">
        <f>E41*3.7*1.23</f>
        <v>45.73481940000022</v>
      </c>
      <c r="P41" s="52">
        <v>0.74299</v>
      </c>
      <c r="Q41" s="52">
        <v>0.76146</v>
      </c>
      <c r="R41" s="194">
        <f t="shared" si="2"/>
        <v>0.5540999999999996</v>
      </c>
      <c r="S41" s="86"/>
      <c r="T41" s="148">
        <f>282.52*1.23</f>
        <v>347.4996</v>
      </c>
      <c r="U41" s="163"/>
      <c r="V41" s="127">
        <f>J41+L40+L41+N40+N41+O40+O41+T40+T41+U41</f>
        <v>568.6660968000009</v>
      </c>
      <c r="W41" s="37">
        <f>(V41+H41)/(E40+E41)/1000</f>
        <v>0.05658706955639124</v>
      </c>
      <c r="X41" s="201">
        <v>70</v>
      </c>
      <c r="Y41" s="71">
        <v>39</v>
      </c>
      <c r="Z41" s="201"/>
      <c r="AA41" s="219"/>
    </row>
    <row r="42" spans="1:27" ht="12.75" hidden="1">
      <c r="A42" s="525">
        <v>8</v>
      </c>
      <c r="B42" s="109" t="s">
        <v>145</v>
      </c>
      <c r="D42" s="106"/>
      <c r="E42" s="78"/>
      <c r="F42" s="78"/>
      <c r="G42" s="275"/>
      <c r="H42" s="241"/>
      <c r="I42" s="80">
        <f>1.65*1.23</f>
        <v>2.0295</v>
      </c>
      <c r="J42" s="142"/>
      <c r="K42" s="125"/>
      <c r="L42" s="277"/>
      <c r="M42" s="125"/>
      <c r="N42" s="76"/>
      <c r="O42" s="112">
        <f>15*1.23</f>
        <v>18.45</v>
      </c>
      <c r="P42" s="118">
        <v>2.42922</v>
      </c>
      <c r="Q42" s="118">
        <v>2.45864</v>
      </c>
      <c r="R42" s="118">
        <f t="shared" si="2"/>
        <v>0.8826</v>
      </c>
      <c r="S42" s="112">
        <f>R42/(E42+E43)</f>
        <v>0.08897625888401672</v>
      </c>
      <c r="T42" s="181"/>
      <c r="U42" s="79"/>
      <c r="V42" s="126"/>
      <c r="W42" s="100"/>
      <c r="X42" s="19"/>
      <c r="Y42" s="19"/>
      <c r="Z42" s="19"/>
      <c r="AA42" s="218">
        <f>V43/1.23</f>
        <v>426.54979999999927</v>
      </c>
    </row>
    <row r="43" spans="1:27" ht="12.75" hidden="1">
      <c r="A43" s="524">
        <v>19</v>
      </c>
      <c r="B43" s="114" t="s">
        <v>141</v>
      </c>
      <c r="C43" s="35" t="s">
        <v>135</v>
      </c>
      <c r="D43" s="105">
        <v>31.0107</v>
      </c>
      <c r="E43" s="59">
        <f>(D43-D41)*Y$9</f>
        <v>9.919499999999957</v>
      </c>
      <c r="F43" s="287">
        <v>9.92</v>
      </c>
      <c r="G43" s="75"/>
      <c r="H43" s="282"/>
      <c r="I43" s="36">
        <f>15.77*1.23</f>
        <v>19.3971</v>
      </c>
      <c r="J43" s="127"/>
      <c r="K43" s="124"/>
      <c r="L43" s="270">
        <f>(E43)*K43*1000</f>
        <v>0</v>
      </c>
      <c r="M43" s="124">
        <f>0.0127*1.23</f>
        <v>0.015621</v>
      </c>
      <c r="N43" s="61">
        <f>(E43)*M43*1000</f>
        <v>154.9525094999993</v>
      </c>
      <c r="O43" s="147">
        <f>E43*3.7*1.23</f>
        <v>45.1436444999998</v>
      </c>
      <c r="P43" s="52">
        <v>0.76146</v>
      </c>
      <c r="Q43" s="52">
        <v>0.77771</v>
      </c>
      <c r="R43" s="194">
        <f t="shared" si="2"/>
        <v>0.4874999999999996</v>
      </c>
      <c r="S43" s="86"/>
      <c r="T43" s="148">
        <f>248.87*1.23</f>
        <v>306.1101</v>
      </c>
      <c r="U43" s="163"/>
      <c r="V43" s="127">
        <f>J43+L42+L43+N42+N43+O42+O43+T42+T43+U43</f>
        <v>524.6562539999991</v>
      </c>
      <c r="W43" s="37">
        <f>(V43+H43)/(E42+E43)/1000</f>
        <v>0.05289140117949507</v>
      </c>
      <c r="X43" s="201">
        <v>70</v>
      </c>
      <c r="Y43" s="71">
        <v>40</v>
      </c>
      <c r="Z43" s="201"/>
      <c r="AA43" s="219"/>
    </row>
    <row r="44" spans="1:27" ht="12.75" hidden="1">
      <c r="A44" s="525">
        <v>9</v>
      </c>
      <c r="B44" s="109" t="s">
        <v>163</v>
      </c>
      <c r="D44" s="106"/>
      <c r="E44" s="78"/>
      <c r="F44" s="78"/>
      <c r="G44" s="275"/>
      <c r="H44" s="241"/>
      <c r="I44" s="80">
        <f>1.65*1.23</f>
        <v>2.0295</v>
      </c>
      <c r="J44" s="142"/>
      <c r="K44" s="125"/>
      <c r="L44" s="277"/>
      <c r="M44" s="125"/>
      <c r="N44" s="76"/>
      <c r="O44" s="112">
        <f>15*1.23</f>
        <v>18.45</v>
      </c>
      <c r="P44" s="118">
        <v>2.45864</v>
      </c>
      <c r="Q44" s="118">
        <v>2.49485</v>
      </c>
      <c r="R44" s="118">
        <f t="shared" si="2"/>
        <v>1.0863000000000023</v>
      </c>
      <c r="S44" s="112">
        <f>R44/(E44+E45)</f>
        <v>0.10783846566204093</v>
      </c>
      <c r="T44" s="181"/>
      <c r="U44" s="79"/>
      <c r="V44" s="126"/>
      <c r="W44" s="100"/>
      <c r="X44" s="19"/>
      <c r="Y44" s="19"/>
      <c r="Z44" s="19"/>
      <c r="AA44" s="218">
        <f>V45/1.23</f>
        <v>395.92375999999985</v>
      </c>
    </row>
    <row r="45" spans="1:27" ht="12.75" hidden="1">
      <c r="A45" s="524">
        <v>19</v>
      </c>
      <c r="B45" s="114" t="s">
        <v>155</v>
      </c>
      <c r="C45" s="35" t="s">
        <v>154</v>
      </c>
      <c r="D45" s="105">
        <v>31.34648</v>
      </c>
      <c r="E45" s="59">
        <f>(D45-D43)*Y$9</f>
        <v>10.073399999999992</v>
      </c>
      <c r="F45" s="287">
        <v>10.073</v>
      </c>
      <c r="G45" s="75"/>
      <c r="H45" s="282"/>
      <c r="I45" s="36">
        <f>15.77*1.23</f>
        <v>19.3971</v>
      </c>
      <c r="J45" s="127"/>
      <c r="K45" s="124"/>
      <c r="L45" s="270">
        <f>(E45)*K45*1000</f>
        <v>0</v>
      </c>
      <c r="M45" s="124">
        <f>0.0127*1.23</f>
        <v>0.015621</v>
      </c>
      <c r="N45" s="61">
        <f>(E45)*M45*1000</f>
        <v>157.35658139999987</v>
      </c>
      <c r="O45" s="147">
        <f>E45*3.7*1.23</f>
        <v>45.84404339999996</v>
      </c>
      <c r="P45" s="52">
        <v>0.77771</v>
      </c>
      <c r="Q45" s="52">
        <v>0.79182</v>
      </c>
      <c r="R45" s="194">
        <f t="shared" si="2"/>
        <v>0.4232999999999987</v>
      </c>
      <c r="S45" s="86"/>
      <c r="T45" s="148">
        <f>215.72*1.23</f>
        <v>265.3356</v>
      </c>
      <c r="U45" s="163"/>
      <c r="V45" s="127">
        <f>J45+L44+L45+N44+N45+O44+O45+T44+T45+U45</f>
        <v>486.98622479999983</v>
      </c>
      <c r="W45" s="37">
        <f>(V45+H45)/(E44+E45)/1000</f>
        <v>0.04834377914110431</v>
      </c>
      <c r="X45" s="201">
        <v>70</v>
      </c>
      <c r="Y45" s="71">
        <v>43</v>
      </c>
      <c r="Z45" s="201"/>
      <c r="AA45" s="219"/>
    </row>
    <row r="46" spans="1:27" ht="12.75" hidden="1">
      <c r="A46" s="525">
        <v>10</v>
      </c>
      <c r="B46" s="109" t="s">
        <v>175</v>
      </c>
      <c r="D46" s="106"/>
      <c r="E46" s="78"/>
      <c r="F46" s="78"/>
      <c r="G46" s="275"/>
      <c r="H46" s="241"/>
      <c r="I46" s="80">
        <f>1.65*1.23</f>
        <v>2.0295</v>
      </c>
      <c r="J46" s="142"/>
      <c r="K46" s="125"/>
      <c r="L46" s="277"/>
      <c r="M46" s="125"/>
      <c r="N46" s="76"/>
      <c r="O46" s="112">
        <f>15*1.23</f>
        <v>18.45</v>
      </c>
      <c r="P46" s="118"/>
      <c r="Q46" s="118"/>
      <c r="R46" s="118"/>
      <c r="S46" s="112"/>
      <c r="T46" s="181"/>
      <c r="U46" s="79"/>
      <c r="V46" s="126"/>
      <c r="W46" s="100"/>
      <c r="X46" s="19"/>
      <c r="Y46" s="19"/>
      <c r="Z46" s="19"/>
      <c r="AA46" s="218">
        <f>V47/1.23</f>
        <v>485.0308800000005</v>
      </c>
    </row>
    <row r="47" spans="1:27" ht="12.75" hidden="1">
      <c r="A47" s="524">
        <v>19</v>
      </c>
      <c r="B47" s="114" t="s">
        <v>156</v>
      </c>
      <c r="C47" s="35" t="s">
        <v>158</v>
      </c>
      <c r="D47" s="105">
        <v>31.79512</v>
      </c>
      <c r="E47" s="59">
        <f>(D47-D45)*Y$9</f>
        <v>13.459200000000031</v>
      </c>
      <c r="F47" s="287">
        <v>13.459</v>
      </c>
      <c r="G47" s="75"/>
      <c r="H47" s="282"/>
      <c r="I47" s="36">
        <f>15.77*1.23</f>
        <v>19.3971</v>
      </c>
      <c r="J47" s="127"/>
      <c r="K47" s="124"/>
      <c r="L47" s="270">
        <f>(E47)*K47*1000</f>
        <v>0</v>
      </c>
      <c r="M47" s="124">
        <f>0.0127*1.23</f>
        <v>0.015621</v>
      </c>
      <c r="N47" s="61">
        <f>(E47)*M47*1000</f>
        <v>210.24616320000047</v>
      </c>
      <c r="O47" s="147">
        <f>E47*3.7*1.23</f>
        <v>61.25281920000015</v>
      </c>
      <c r="P47" s="52">
        <v>0.79182</v>
      </c>
      <c r="Q47" s="52">
        <v>0.80606</v>
      </c>
      <c r="R47" s="194">
        <f>(Q47-P47)*30</f>
        <v>0.4272000000000009</v>
      </c>
      <c r="S47" s="86"/>
      <c r="T47" s="148">
        <f>217.76*1.23</f>
        <v>267.84479999999996</v>
      </c>
      <c r="U47" s="163">
        <f>I47*(1+1)</f>
        <v>38.7942</v>
      </c>
      <c r="V47" s="127">
        <f>J47+L46+L47+N46+N47+O46+O47+T46+T47+U47</f>
        <v>596.5879824000006</v>
      </c>
      <c r="W47" s="37">
        <f>(V47+H47)/(E46+E47)/1000</f>
        <v>0.044325664407988526</v>
      </c>
      <c r="X47" s="201">
        <v>70</v>
      </c>
      <c r="Y47" s="162">
        <v>71</v>
      </c>
      <c r="Z47" s="201">
        <f>Y47-X47</f>
        <v>1</v>
      </c>
      <c r="AA47" s="219"/>
    </row>
    <row r="48" spans="1:27" ht="12.75" hidden="1">
      <c r="A48" s="525">
        <v>11</v>
      </c>
      <c r="B48" s="109" t="s">
        <v>185</v>
      </c>
      <c r="D48" s="106"/>
      <c r="E48" s="78"/>
      <c r="F48" s="78"/>
      <c r="G48" s="275"/>
      <c r="H48" s="241"/>
      <c r="I48" s="80">
        <f>1.65*1.23</f>
        <v>2.0295</v>
      </c>
      <c r="J48" s="142"/>
      <c r="K48" s="125"/>
      <c r="L48" s="277"/>
      <c r="M48" s="125"/>
      <c r="N48" s="76"/>
      <c r="O48" s="112">
        <f>15*1.23</f>
        <v>18.45</v>
      </c>
      <c r="P48" s="118"/>
      <c r="Q48" s="118"/>
      <c r="R48" s="118"/>
      <c r="S48" s="112"/>
      <c r="T48" s="181"/>
      <c r="U48" s="79"/>
      <c r="V48" s="126"/>
      <c r="W48" s="100"/>
      <c r="X48" s="19"/>
      <c r="Y48" s="326"/>
      <c r="Z48" s="19"/>
      <c r="AA48" s="218">
        <f>V49/1.23</f>
        <v>4905.71204</v>
      </c>
    </row>
    <row r="49" spans="1:27" ht="12.75" hidden="1">
      <c r="A49" s="524">
        <v>19</v>
      </c>
      <c r="B49" s="114" t="s">
        <v>157</v>
      </c>
      <c r="C49" s="35" t="s">
        <v>159</v>
      </c>
      <c r="D49" s="105">
        <v>32.52049</v>
      </c>
      <c r="E49" s="59">
        <f>(D49-D47)*Y$9</f>
        <v>21.76110000000005</v>
      </c>
      <c r="F49" s="287">
        <v>21.761</v>
      </c>
      <c r="G49" s="75"/>
      <c r="H49" s="282"/>
      <c r="I49" s="36">
        <f>15.77*1.23</f>
        <v>19.3971</v>
      </c>
      <c r="J49" s="127"/>
      <c r="K49" s="124"/>
      <c r="L49" s="270">
        <f>(E49)*K49*1000</f>
        <v>0</v>
      </c>
      <c r="M49" s="124">
        <f>0.0127*1.23</f>
        <v>0.015621</v>
      </c>
      <c r="N49" s="61">
        <f>(E49)*M49*1000</f>
        <v>339.93014310000075</v>
      </c>
      <c r="O49" s="147">
        <f>E49*3.7*1.23</f>
        <v>99.03476610000023</v>
      </c>
      <c r="P49" s="52">
        <v>0.80606</v>
      </c>
      <c r="Q49" s="52">
        <v>0.81172</v>
      </c>
      <c r="R49" s="194">
        <f>(Q49-P49)*30</f>
        <v>0.16979999999999995</v>
      </c>
      <c r="S49" s="86"/>
      <c r="T49" s="148">
        <f>86.69*1.23</f>
        <v>106.6287</v>
      </c>
      <c r="U49" s="163">
        <f>I49*(21+23+20+29+29+29+41+32+38+20)</f>
        <v>5469.9821999999995</v>
      </c>
      <c r="V49" s="127">
        <f>J49+L48+L49+N48+N49+O48+O49+T48+T49+U49</f>
        <v>6034.0258092</v>
      </c>
      <c r="W49" s="37">
        <f>(V49+H49)/(E48+E49)/1000</f>
        <v>0.2772849630395516</v>
      </c>
      <c r="X49" s="201">
        <v>70</v>
      </c>
      <c r="Y49" s="162">
        <v>111</v>
      </c>
      <c r="Z49" s="201">
        <f>Y49-X49</f>
        <v>41</v>
      </c>
      <c r="AA49" s="219"/>
    </row>
    <row r="50" spans="1:27" ht="12.75" hidden="1">
      <c r="A50" s="89"/>
      <c r="B50" s="109" t="s">
        <v>192</v>
      </c>
      <c r="D50" s="106"/>
      <c r="E50" s="78"/>
      <c r="F50" s="78"/>
      <c r="G50" s="275"/>
      <c r="H50" s="241"/>
      <c r="I50" s="80">
        <f>1.65*1.23</f>
        <v>2.0295</v>
      </c>
      <c r="J50" s="142"/>
      <c r="K50" s="125"/>
      <c r="L50" s="277"/>
      <c r="M50" s="125"/>
      <c r="N50" s="76"/>
      <c r="O50" s="112">
        <f>15*1.23</f>
        <v>18.45</v>
      </c>
      <c r="P50" s="118"/>
      <c r="Q50" s="118"/>
      <c r="R50" s="118"/>
      <c r="S50" s="112"/>
      <c r="T50" s="181"/>
      <c r="U50" s="79"/>
      <c r="V50" s="126"/>
      <c r="W50" s="100"/>
      <c r="X50" s="19"/>
      <c r="Y50" s="19"/>
      <c r="Z50" s="19"/>
      <c r="AA50" s="218">
        <f>V51/1.23</f>
        <v>469.2500799999986</v>
      </c>
    </row>
    <row r="51" spans="1:27" ht="13.5" hidden="1" thickBot="1">
      <c r="A51" s="89"/>
      <c r="B51" s="114" t="s">
        <v>160</v>
      </c>
      <c r="C51" s="35" t="s">
        <v>161</v>
      </c>
      <c r="D51" s="105">
        <v>33.18423</v>
      </c>
      <c r="E51" s="59">
        <f>(D51-D49)*Y$9</f>
        <v>19.912199999999913</v>
      </c>
      <c r="F51" s="287">
        <v>19.912</v>
      </c>
      <c r="G51" s="75"/>
      <c r="H51" s="282"/>
      <c r="I51" s="36">
        <f>15.77*1.23</f>
        <v>19.3971</v>
      </c>
      <c r="J51" s="127"/>
      <c r="K51" s="124"/>
      <c r="L51" s="270">
        <f>(E51)*K51*1000</f>
        <v>0</v>
      </c>
      <c r="M51" s="124">
        <f>0.0127*1.23</f>
        <v>0.015621</v>
      </c>
      <c r="N51" s="61">
        <f>(E51)*M51*1000</f>
        <v>311.0484761999987</v>
      </c>
      <c r="O51" s="147">
        <f>E51*3.7*1.23</f>
        <v>90.62042219999961</v>
      </c>
      <c r="P51" s="52">
        <v>0.81172</v>
      </c>
      <c r="Q51" s="52">
        <v>0.81183</v>
      </c>
      <c r="R51" s="194">
        <f>(Q51-P51)*30</f>
        <v>0.003300000000001635</v>
      </c>
      <c r="S51" s="86"/>
      <c r="T51" s="148">
        <f>1.53*1.23</f>
        <v>1.8819</v>
      </c>
      <c r="U51" s="163">
        <f>I51*(1+2+2+3)</f>
        <v>155.1768</v>
      </c>
      <c r="V51" s="127">
        <f>J51+L50+L51+N50+N51+O50+O51+T50+T51+U51</f>
        <v>577.1775983999983</v>
      </c>
      <c r="W51" s="37">
        <f>(V51+H51)/(E50+E51)/1000</f>
        <v>0.028986129026426048</v>
      </c>
      <c r="X51" s="201">
        <v>70</v>
      </c>
      <c r="Y51" s="162">
        <v>73</v>
      </c>
      <c r="Z51" s="201">
        <f>Y51-X51</f>
        <v>3</v>
      </c>
      <c r="AA51" s="219"/>
    </row>
    <row r="52" spans="1:27" ht="12.75" customHeight="1">
      <c r="A52" s="526" t="s">
        <v>352</v>
      </c>
      <c r="B52" s="527"/>
      <c r="C52" s="527"/>
      <c r="D52" s="528"/>
      <c r="E52" s="41"/>
      <c r="F52" s="13"/>
      <c r="G52" s="228"/>
      <c r="H52" s="248"/>
      <c r="I52" s="13"/>
      <c r="J52" s="13"/>
      <c r="K52" s="41"/>
      <c r="L52" s="41"/>
      <c r="M52" s="41"/>
      <c r="N52" s="41"/>
      <c r="O52" s="302">
        <f>O21+O23+O29+O33+O35+O37+O41+O43+O45+O47+O49+O51</f>
        <v>770.1731837999996</v>
      </c>
      <c r="P52" s="33"/>
      <c r="Q52" s="246">
        <f>R52/E53</f>
        <v>0.10831684838843528</v>
      </c>
      <c r="R52" s="245">
        <f>SUM(R20:R51)</f>
        <v>18.874200000000005</v>
      </c>
      <c r="S52" s="33"/>
      <c r="T52" s="198"/>
      <c r="U52" s="255"/>
      <c r="V52" s="293"/>
      <c r="W52" s="294"/>
      <c r="X52" s="42"/>
      <c r="Y52" s="305">
        <f>Y53/X53</f>
        <v>0.9345238095238096</v>
      </c>
      <c r="Z52" s="42"/>
      <c r="AA52" s="43"/>
    </row>
    <row r="53" spans="1:27" ht="13.5" thickBot="1">
      <c r="A53" s="529"/>
      <c r="B53" s="530"/>
      <c r="C53" s="530"/>
      <c r="D53" s="531"/>
      <c r="E53" s="69">
        <f>SUM(E20:E51)</f>
        <v>174.24989999999997</v>
      </c>
      <c r="F53" s="251">
        <f>SUM(F19:F51)</f>
        <v>174.25</v>
      </c>
      <c r="G53" s="252"/>
      <c r="H53" s="253"/>
      <c r="I53" s="99"/>
      <c r="J53" s="99"/>
      <c r="K53" s="99"/>
      <c r="L53" s="99">
        <f>SUM(L20:L51)</f>
        <v>0</v>
      </c>
      <c r="M53" s="99"/>
      <c r="N53" s="99">
        <f>SUM(N20:N51)</f>
        <v>2725.796025899999</v>
      </c>
      <c r="O53" s="99">
        <f>SUM(O20:O51)</f>
        <v>992.8031837999999</v>
      </c>
      <c r="P53" s="99"/>
      <c r="Q53" s="99"/>
      <c r="R53" s="244"/>
      <c r="S53" s="149"/>
      <c r="T53" s="197"/>
      <c r="U53" s="197"/>
      <c r="V53" s="99"/>
      <c r="W53" s="44"/>
      <c r="X53" s="45">
        <f>X23</f>
        <v>70</v>
      </c>
      <c r="Y53" s="120">
        <f>SUM(Y20:Y51)/12</f>
        <v>65.41666666666667</v>
      </c>
      <c r="Z53" s="120"/>
      <c r="AA53" s="46"/>
    </row>
    <row r="54" spans="6:7" ht="12.75" hidden="1">
      <c r="F54" s="319">
        <f>F53-E53</f>
        <v>0.00010000000003174137</v>
      </c>
      <c r="G54" s="150"/>
    </row>
    <row r="55" spans="1:27" ht="12.75" hidden="1">
      <c r="A55" s="525"/>
      <c r="B55" s="109" t="s">
        <v>212</v>
      </c>
      <c r="D55" s="106"/>
      <c r="E55" s="78"/>
      <c r="F55" s="78"/>
      <c r="G55" s="275"/>
      <c r="H55" s="241"/>
      <c r="I55" s="80">
        <f>1.65*1.23</f>
        <v>2.0295</v>
      </c>
      <c r="J55" s="142"/>
      <c r="K55" s="125"/>
      <c r="L55" s="277"/>
      <c r="M55" s="125"/>
      <c r="N55" s="76"/>
      <c r="O55" s="112">
        <f>15*1.23</f>
        <v>18.45</v>
      </c>
      <c r="P55" s="118"/>
      <c r="Q55" s="118"/>
      <c r="R55" s="118"/>
      <c r="S55" s="112"/>
      <c r="T55" s="181"/>
      <c r="U55" s="79"/>
      <c r="V55" s="126"/>
      <c r="W55" s="100"/>
      <c r="X55" s="19"/>
      <c r="Y55" s="19"/>
      <c r="Z55" s="19"/>
      <c r="AA55" s="218"/>
    </row>
    <row r="56" spans="1:27" ht="12.75" hidden="1">
      <c r="A56" s="524"/>
      <c r="B56" s="114" t="s">
        <v>204</v>
      </c>
      <c r="C56" s="35" t="s">
        <v>205</v>
      </c>
      <c r="D56" s="105">
        <v>33.92143</v>
      </c>
      <c r="E56" s="59">
        <f>(D56-D51)*Y$9</f>
        <v>22.116000000000042</v>
      </c>
      <c r="F56" s="287">
        <v>22.116</v>
      </c>
      <c r="G56" s="75"/>
      <c r="H56" s="282"/>
      <c r="I56" s="36">
        <f>15.77*1.23</f>
        <v>19.3971</v>
      </c>
      <c r="J56" s="127"/>
      <c r="K56" s="124"/>
      <c r="L56" s="270">
        <f>(E56)*K56*1000</f>
        <v>0</v>
      </c>
      <c r="M56" s="124"/>
      <c r="N56" s="61">
        <f>(E56)*M56*1000</f>
        <v>0</v>
      </c>
      <c r="O56" s="147">
        <f>E56*3.7*1.23</f>
        <v>100.64991600000019</v>
      </c>
      <c r="P56" s="52">
        <v>0.81183</v>
      </c>
      <c r="Q56" s="52">
        <v>0.81216</v>
      </c>
      <c r="R56" s="52">
        <f>(Q56-P56)*30</f>
        <v>0.009899999999998244</v>
      </c>
      <c r="S56" s="86"/>
      <c r="T56" s="148"/>
      <c r="U56" s="163"/>
      <c r="V56" s="127"/>
      <c r="W56" s="37"/>
      <c r="X56" s="38">
        <v>70</v>
      </c>
      <c r="Y56" s="162">
        <v>91</v>
      </c>
      <c r="Z56" s="201"/>
      <c r="AA56" s="219"/>
    </row>
    <row r="57" spans="1:27" ht="12.75" hidden="1">
      <c r="A57" s="525"/>
      <c r="B57" s="109" t="s">
        <v>215</v>
      </c>
      <c r="D57" s="106"/>
      <c r="E57" s="78"/>
      <c r="F57" s="78"/>
      <c r="G57" s="275"/>
      <c r="H57" s="241"/>
      <c r="I57" s="80">
        <f>1.65*1.23</f>
        <v>2.0295</v>
      </c>
      <c r="J57" s="142"/>
      <c r="K57" s="125"/>
      <c r="L57" s="277"/>
      <c r="M57" s="125"/>
      <c r="N57" s="76"/>
      <c r="O57" s="112">
        <f>11.5*1.23</f>
        <v>14.145</v>
      </c>
      <c r="P57" s="118"/>
      <c r="Q57" s="118"/>
      <c r="R57" s="119"/>
      <c r="S57" s="112"/>
      <c r="T57" s="181"/>
      <c r="U57" s="79"/>
      <c r="V57" s="126"/>
      <c r="W57" s="100"/>
      <c r="X57" s="249"/>
      <c r="Y57" s="19"/>
      <c r="Z57" s="19"/>
      <c r="AA57" s="218"/>
    </row>
    <row r="58" spans="1:27" ht="13.5" hidden="1" thickBot="1">
      <c r="A58" s="524"/>
      <c r="B58" s="133" t="s">
        <v>210</v>
      </c>
      <c r="C58" s="35" t="s">
        <v>178</v>
      </c>
      <c r="D58" s="105">
        <v>34.67426</v>
      </c>
      <c r="E58" s="59">
        <f>(D58-D56)*Y$9</f>
        <v>22.584899999999877</v>
      </c>
      <c r="F58" s="287">
        <v>22.585</v>
      </c>
      <c r="G58" s="75"/>
      <c r="H58" s="282"/>
      <c r="I58" s="36">
        <f>15.78*1.23</f>
        <v>19.409399999999998</v>
      </c>
      <c r="J58" s="127"/>
      <c r="K58" s="124"/>
      <c r="L58" s="270">
        <f>(E58)*K58*1000</f>
        <v>0</v>
      </c>
      <c r="M58" s="124"/>
      <c r="N58" s="61">
        <f>(E58)*M58*1000</f>
        <v>0</v>
      </c>
      <c r="O58" s="86"/>
      <c r="P58" s="52">
        <v>0.81216</v>
      </c>
      <c r="Q58" s="52">
        <v>0.81257</v>
      </c>
      <c r="R58" s="52">
        <f>(Q58-P58)*30</f>
        <v>0.012300000000000644</v>
      </c>
      <c r="S58" s="86"/>
      <c r="T58" s="148"/>
      <c r="U58" s="163"/>
      <c r="V58" s="127"/>
      <c r="W58" s="37"/>
      <c r="X58" s="38">
        <v>70</v>
      </c>
      <c r="Y58" s="162">
        <v>88</v>
      </c>
      <c r="Z58" s="201"/>
      <c r="AA58" s="219"/>
    </row>
    <row r="59" spans="1:27" ht="12.75" hidden="1">
      <c r="A59" s="523"/>
      <c r="B59" s="330" t="s">
        <v>218</v>
      </c>
      <c r="D59" s="106"/>
      <c r="E59" s="78"/>
      <c r="F59" s="78"/>
      <c r="G59" s="275"/>
      <c r="H59" s="241"/>
      <c r="I59" s="80">
        <f>1.65*1.23</f>
        <v>2.0295</v>
      </c>
      <c r="J59" s="142"/>
      <c r="K59" s="125"/>
      <c r="L59" s="277"/>
      <c r="M59" s="125"/>
      <c r="N59" s="76"/>
      <c r="O59" s="180">
        <f>0*1.23</f>
        <v>0</v>
      </c>
      <c r="P59" s="118"/>
      <c r="Q59" s="118"/>
      <c r="R59" s="118"/>
      <c r="S59" s="112"/>
      <c r="T59" s="181"/>
      <c r="U59" s="79"/>
      <c r="V59" s="126"/>
      <c r="W59" s="100"/>
      <c r="X59" s="249"/>
      <c r="Y59" s="19"/>
      <c r="Z59" s="19"/>
      <c r="AA59" s="218"/>
    </row>
    <row r="60" spans="1:27" ht="12.75" hidden="1">
      <c r="A60" s="532"/>
      <c r="B60" s="331" t="s">
        <v>211</v>
      </c>
      <c r="C60" s="329" t="s">
        <v>220</v>
      </c>
      <c r="D60" s="105">
        <v>35.05191</v>
      </c>
      <c r="E60" s="59">
        <f>(D60-D58)*Y$9</f>
        <v>11.329500000000081</v>
      </c>
      <c r="F60" s="287">
        <v>11.33</v>
      </c>
      <c r="G60" s="75"/>
      <c r="H60" s="282"/>
      <c r="I60" s="36">
        <f>15.78*1.23</f>
        <v>19.409399999999998</v>
      </c>
      <c r="J60" s="127"/>
      <c r="K60" s="124"/>
      <c r="L60" s="270">
        <f>(E60)*K60*1000</f>
        <v>0</v>
      </c>
      <c r="M60" s="124"/>
      <c r="N60" s="61">
        <f>(E60)*M60*1000</f>
        <v>0</v>
      </c>
      <c r="O60" s="86"/>
      <c r="P60" s="52">
        <v>0.81257</v>
      </c>
      <c r="Q60" s="52">
        <v>0.8232</v>
      </c>
      <c r="R60" s="52">
        <f>(Q60-P60)*30</f>
        <v>0.31890000000000085</v>
      </c>
      <c r="S60" s="86"/>
      <c r="T60" s="148"/>
      <c r="U60" s="163"/>
      <c r="V60" s="127"/>
      <c r="W60" s="37"/>
      <c r="X60" s="38"/>
      <c r="Y60" s="162"/>
      <c r="Z60" s="201"/>
      <c r="AA60" s="219"/>
    </row>
    <row r="61" spans="1:27" ht="12.75" hidden="1">
      <c r="A61" s="199"/>
      <c r="B61" s="333"/>
      <c r="D61" s="106">
        <v>0</v>
      </c>
      <c r="E61" s="78"/>
      <c r="F61" s="78"/>
      <c r="G61" s="275"/>
      <c r="H61" s="241"/>
      <c r="I61" s="80">
        <f>1.65*1.23</f>
        <v>2.0295</v>
      </c>
      <c r="J61" s="142"/>
      <c r="K61" s="125"/>
      <c r="L61" s="277"/>
      <c r="M61" s="125"/>
      <c r="N61" s="76"/>
      <c r="O61" s="180">
        <f>11.5*1.23</f>
        <v>14.145</v>
      </c>
      <c r="P61" s="118"/>
      <c r="Q61" s="118"/>
      <c r="R61" s="118"/>
      <c r="S61" s="112"/>
      <c r="T61" s="181"/>
      <c r="U61" s="79"/>
      <c r="V61" s="126"/>
      <c r="W61" s="100"/>
      <c r="X61" s="249"/>
      <c r="Y61" s="19"/>
      <c r="Z61" s="19"/>
      <c r="AA61" s="218"/>
    </row>
    <row r="62" spans="1:27" ht="13.5" hidden="1" thickBot="1">
      <c r="A62" s="199"/>
      <c r="B62" s="332" t="s">
        <v>221</v>
      </c>
      <c r="C62" s="329" t="s">
        <v>198</v>
      </c>
      <c r="D62" s="105">
        <v>0.16681</v>
      </c>
      <c r="E62" s="59">
        <f>(D62-D61)*Y$9</f>
        <v>5.004300000000001</v>
      </c>
      <c r="F62" s="287">
        <v>5.004</v>
      </c>
      <c r="G62" s="75"/>
      <c r="H62" s="282"/>
      <c r="I62" s="36">
        <f>15.78*1.23</f>
        <v>19.409399999999998</v>
      </c>
      <c r="J62" s="127"/>
      <c r="K62" s="124"/>
      <c r="L62" s="270">
        <f>(E62)*K62*1000</f>
        <v>0</v>
      </c>
      <c r="M62" s="124"/>
      <c r="N62" s="61">
        <f>(E62)*M62*1000</f>
        <v>0</v>
      </c>
      <c r="O62" s="86"/>
      <c r="P62" s="52">
        <v>0</v>
      </c>
      <c r="Q62" s="52">
        <v>0.00166</v>
      </c>
      <c r="R62" s="52">
        <f>(Q62-P62)*30</f>
        <v>0.0498</v>
      </c>
      <c r="S62" s="86"/>
      <c r="T62" s="148"/>
      <c r="U62" s="163"/>
      <c r="V62" s="127"/>
      <c r="W62" s="37"/>
      <c r="X62" s="38">
        <v>70</v>
      </c>
      <c r="Y62" s="162">
        <v>62</v>
      </c>
      <c r="Z62" s="201"/>
      <c r="AA62" s="217"/>
    </row>
    <row r="63" spans="1:27" ht="12.75" hidden="1">
      <c r="A63" s="571"/>
      <c r="B63" s="109" t="s">
        <v>225</v>
      </c>
      <c r="D63" s="106"/>
      <c r="E63" s="78"/>
      <c r="F63" s="78"/>
      <c r="G63" s="275"/>
      <c r="H63" s="241"/>
      <c r="I63" s="80">
        <f>1.65*1.23</f>
        <v>2.0295</v>
      </c>
      <c r="J63" s="142"/>
      <c r="K63" s="125"/>
      <c r="L63" s="277"/>
      <c r="M63" s="125"/>
      <c r="N63" s="76"/>
      <c r="O63" s="112">
        <f>11.5*1.23</f>
        <v>14.145</v>
      </c>
      <c r="P63" s="118"/>
      <c r="Q63" s="118"/>
      <c r="R63" s="119"/>
      <c r="S63" s="112"/>
      <c r="T63" s="181"/>
      <c r="U63" s="79"/>
      <c r="V63" s="126"/>
      <c r="W63" s="100"/>
      <c r="X63" s="249"/>
      <c r="Y63" s="19"/>
      <c r="Z63" s="19"/>
      <c r="AA63" s="218"/>
    </row>
    <row r="64" spans="1:27" ht="12.75" hidden="1">
      <c r="A64" s="524"/>
      <c r="B64" s="160" t="s">
        <v>223</v>
      </c>
      <c r="C64" s="35" t="s">
        <v>219</v>
      </c>
      <c r="D64" s="105">
        <v>0.7209</v>
      </c>
      <c r="E64" s="59">
        <f>(D64-D62)*Y$9</f>
        <v>16.6227</v>
      </c>
      <c r="F64" s="287">
        <v>16.623</v>
      </c>
      <c r="G64" s="75"/>
      <c r="H64" s="282"/>
      <c r="I64" s="36">
        <f>15.78*1.23</f>
        <v>19.409399999999998</v>
      </c>
      <c r="J64" s="127"/>
      <c r="K64" s="124"/>
      <c r="L64" s="270">
        <f>(E64)*K64*1000</f>
        <v>0</v>
      </c>
      <c r="M64" s="124"/>
      <c r="N64" s="61">
        <f>(E64)*M64*1000</f>
        <v>0</v>
      </c>
      <c r="O64" s="86"/>
      <c r="P64" s="52">
        <v>0.00166</v>
      </c>
      <c r="Q64" s="52">
        <v>0.00951</v>
      </c>
      <c r="R64" s="52">
        <f>(Q64-P64)*30</f>
        <v>0.2355</v>
      </c>
      <c r="S64" s="86"/>
      <c r="T64" s="148"/>
      <c r="U64" s="163"/>
      <c r="V64" s="127"/>
      <c r="W64" s="37"/>
      <c r="X64" s="38">
        <v>80</v>
      </c>
      <c r="Y64" s="71">
        <v>60</v>
      </c>
      <c r="Z64" s="201"/>
      <c r="AA64" s="219"/>
    </row>
    <row r="65" spans="1:27" ht="12.75" hidden="1">
      <c r="A65" s="525"/>
      <c r="B65" s="109" t="s">
        <v>226</v>
      </c>
      <c r="D65" s="106"/>
      <c r="E65" s="78"/>
      <c r="F65" s="78"/>
      <c r="G65" s="275"/>
      <c r="H65" s="241"/>
      <c r="I65" s="80">
        <f>1.65*1.23</f>
        <v>2.0295</v>
      </c>
      <c r="J65" s="142"/>
      <c r="K65" s="125"/>
      <c r="L65" s="277"/>
      <c r="M65" s="125"/>
      <c r="N65" s="76"/>
      <c r="O65" s="112">
        <f>11.5*1.23</f>
        <v>14.145</v>
      </c>
      <c r="P65" s="118"/>
      <c r="Q65" s="118"/>
      <c r="R65" s="119"/>
      <c r="S65" s="112"/>
      <c r="T65" s="181"/>
      <c r="U65" s="79"/>
      <c r="V65" s="126"/>
      <c r="W65" s="100"/>
      <c r="X65" s="249"/>
      <c r="Y65" s="19"/>
      <c r="Z65" s="19"/>
      <c r="AA65" s="218"/>
    </row>
    <row r="66" spans="1:27" ht="12.75" hidden="1">
      <c r="A66" s="524"/>
      <c r="B66" s="160" t="s">
        <v>227</v>
      </c>
      <c r="C66" s="35" t="s">
        <v>113</v>
      </c>
      <c r="D66" s="105">
        <v>1.12802</v>
      </c>
      <c r="E66" s="59">
        <f>(D66-D64)*Y$9</f>
        <v>12.213600000000001</v>
      </c>
      <c r="F66" s="287">
        <v>12.214</v>
      </c>
      <c r="G66" s="75"/>
      <c r="H66" s="282"/>
      <c r="I66" s="36">
        <f>15.78*1.23</f>
        <v>19.409399999999998</v>
      </c>
      <c r="J66" s="127"/>
      <c r="K66" s="124"/>
      <c r="L66" s="270">
        <f>(E66)*K66*1000</f>
        <v>0</v>
      </c>
      <c r="M66" s="124"/>
      <c r="N66" s="61">
        <f>(E66)*M66*1000</f>
        <v>0</v>
      </c>
      <c r="O66" s="86"/>
      <c r="P66" s="52">
        <v>0.00951</v>
      </c>
      <c r="Q66" s="52">
        <v>0.01506</v>
      </c>
      <c r="R66" s="52">
        <f>(Q66-P66)*30</f>
        <v>0.16650000000000004</v>
      </c>
      <c r="S66" s="86"/>
      <c r="T66" s="148"/>
      <c r="U66" s="163"/>
      <c r="V66" s="127"/>
      <c r="W66" s="37"/>
      <c r="X66" s="38">
        <v>80</v>
      </c>
      <c r="Y66" s="71">
        <v>52</v>
      </c>
      <c r="Z66" s="201"/>
      <c r="AA66" s="219"/>
    </row>
    <row r="67" spans="1:27" ht="12.75" hidden="1">
      <c r="A67" s="525"/>
      <c r="B67" s="109" t="s">
        <v>230</v>
      </c>
      <c r="D67" s="106"/>
      <c r="E67" s="78"/>
      <c r="F67" s="78"/>
      <c r="G67" s="275"/>
      <c r="H67" s="241"/>
      <c r="I67" s="80">
        <f>1.65*1.23</f>
        <v>2.0295</v>
      </c>
      <c r="J67" s="142"/>
      <c r="K67" s="125"/>
      <c r="L67" s="277"/>
      <c r="M67" s="125"/>
      <c r="N67" s="76"/>
      <c r="O67" s="112">
        <f>11.5*1.23</f>
        <v>14.145</v>
      </c>
      <c r="P67" s="118"/>
      <c r="Q67" s="118"/>
      <c r="R67" s="119"/>
      <c r="S67" s="112"/>
      <c r="T67" s="181"/>
      <c r="U67" s="79"/>
      <c r="V67" s="126"/>
      <c r="W67" s="100"/>
      <c r="X67" s="249"/>
      <c r="Y67" s="19"/>
      <c r="Z67" s="19"/>
      <c r="AA67" s="218"/>
    </row>
    <row r="68" spans="1:27" ht="12.75" hidden="1">
      <c r="A68" s="524"/>
      <c r="B68" s="160" t="s">
        <v>229</v>
      </c>
      <c r="C68" s="35" t="s">
        <v>122</v>
      </c>
      <c r="D68" s="105">
        <v>1.44932</v>
      </c>
      <c r="E68" s="59">
        <f>(D68-D66)*Y$9</f>
        <v>9.638999999999998</v>
      </c>
      <c r="F68" s="287">
        <v>9.638999999999998</v>
      </c>
      <c r="G68" s="75"/>
      <c r="H68" s="282"/>
      <c r="I68" s="36">
        <f>15.78*1.23</f>
        <v>19.409399999999998</v>
      </c>
      <c r="J68" s="127"/>
      <c r="K68" s="124"/>
      <c r="L68" s="270">
        <f>(E68)*K68*1000</f>
        <v>0</v>
      </c>
      <c r="M68" s="124"/>
      <c r="N68" s="61">
        <f>(E68)*M68*1000</f>
        <v>0</v>
      </c>
      <c r="O68" s="86"/>
      <c r="P68" s="52">
        <v>0.01506</v>
      </c>
      <c r="Q68" s="52">
        <v>0.01921</v>
      </c>
      <c r="R68" s="52">
        <f>(Q68-P68)*30</f>
        <v>0.12450000000000003</v>
      </c>
      <c r="S68" s="86"/>
      <c r="T68" s="148"/>
      <c r="U68" s="163"/>
      <c r="V68" s="127"/>
      <c r="W68" s="37"/>
      <c r="X68" s="38">
        <v>80</v>
      </c>
      <c r="Y68" s="71">
        <v>46</v>
      </c>
      <c r="Z68" s="201"/>
      <c r="AA68" s="219"/>
    </row>
    <row r="69" spans="1:27" ht="12.75" hidden="1">
      <c r="A69" s="525"/>
      <c r="B69" s="109" t="s">
        <v>234</v>
      </c>
      <c r="D69" s="106"/>
      <c r="E69" s="78"/>
      <c r="F69" s="78"/>
      <c r="G69" s="275"/>
      <c r="H69" s="241"/>
      <c r="I69" s="80">
        <f>1.65*1.23</f>
        <v>2.0295</v>
      </c>
      <c r="J69" s="142"/>
      <c r="K69" s="125"/>
      <c r="L69" s="277"/>
      <c r="M69" s="125"/>
      <c r="N69" s="76"/>
      <c r="O69" s="112">
        <f>11.5*1.23</f>
        <v>14.145</v>
      </c>
      <c r="P69" s="118"/>
      <c r="Q69" s="118"/>
      <c r="R69" s="119"/>
      <c r="S69" s="112"/>
      <c r="T69" s="181"/>
      <c r="U69" s="79"/>
      <c r="V69" s="126"/>
      <c r="W69" s="100"/>
      <c r="X69" s="249"/>
      <c r="Y69" s="19"/>
      <c r="Z69" s="19"/>
      <c r="AA69" s="218"/>
    </row>
    <row r="70" spans="1:27" ht="12.75" hidden="1">
      <c r="A70" s="524"/>
      <c r="B70" s="160" t="s">
        <v>233</v>
      </c>
      <c r="C70" s="35" t="s">
        <v>136</v>
      </c>
      <c r="D70" s="105">
        <v>1.79938</v>
      </c>
      <c r="E70" s="59">
        <f>(D70-D68)*Y$9</f>
        <v>10.501800000000001</v>
      </c>
      <c r="F70" s="287">
        <v>10.502</v>
      </c>
      <c r="G70" s="75"/>
      <c r="H70" s="282"/>
      <c r="I70" s="36">
        <f>15.78*1.23</f>
        <v>19.409399999999998</v>
      </c>
      <c r="J70" s="127"/>
      <c r="K70" s="124"/>
      <c r="L70" s="270">
        <f>(E70)*K70*1000</f>
        <v>0</v>
      </c>
      <c r="M70" s="124"/>
      <c r="N70" s="61">
        <f>(E70)*M70*1000</f>
        <v>0</v>
      </c>
      <c r="O70" s="86"/>
      <c r="P70" s="52">
        <v>0.01921</v>
      </c>
      <c r="Q70" s="52">
        <v>0.02189</v>
      </c>
      <c r="R70" s="52">
        <f>(Q70-P70)*30</f>
        <v>0.08039999999999994</v>
      </c>
      <c r="S70" s="86"/>
      <c r="T70" s="148"/>
      <c r="U70" s="163"/>
      <c r="V70" s="127"/>
      <c r="W70" s="37"/>
      <c r="X70" s="38">
        <v>80</v>
      </c>
      <c r="Y70" s="71">
        <v>43</v>
      </c>
      <c r="Z70" s="201"/>
      <c r="AA70" s="219"/>
    </row>
    <row r="71" spans="1:27" ht="12.75" hidden="1">
      <c r="A71" s="525"/>
      <c r="B71" s="109" t="s">
        <v>251</v>
      </c>
      <c r="D71" s="106"/>
      <c r="E71" s="78"/>
      <c r="F71" s="78"/>
      <c r="G71" s="275"/>
      <c r="H71" s="241"/>
      <c r="I71" s="80">
        <f>1.65*1.23</f>
        <v>2.0295</v>
      </c>
      <c r="J71" s="142"/>
      <c r="K71" s="125"/>
      <c r="L71" s="277"/>
      <c r="M71" s="125"/>
      <c r="N71" s="76"/>
      <c r="O71" s="112">
        <f>11.5*1.23</f>
        <v>14.145</v>
      </c>
      <c r="P71" s="118"/>
      <c r="Q71" s="118"/>
      <c r="R71" s="119"/>
      <c r="S71" s="112"/>
      <c r="T71" s="181"/>
      <c r="U71" s="79"/>
      <c r="V71" s="126"/>
      <c r="W71" s="100"/>
      <c r="X71" s="249"/>
      <c r="Y71" s="19"/>
      <c r="Z71" s="19"/>
      <c r="AA71" s="218"/>
    </row>
    <row r="72" spans="1:27" ht="12.75" hidden="1">
      <c r="A72" s="524"/>
      <c r="B72" s="160" t="s">
        <v>249</v>
      </c>
      <c r="C72" s="35" t="s">
        <v>146</v>
      </c>
      <c r="D72" s="105">
        <v>2.26445</v>
      </c>
      <c r="E72" s="59">
        <f>(D72-D70)*Y$9</f>
        <v>13.952100000000003</v>
      </c>
      <c r="F72" s="287">
        <v>13.952</v>
      </c>
      <c r="G72" s="75"/>
      <c r="H72" s="282"/>
      <c r="I72" s="36">
        <f>15.78*1.23</f>
        <v>19.409399999999998</v>
      </c>
      <c r="J72" s="127"/>
      <c r="K72" s="124"/>
      <c r="L72" s="270">
        <f>(E72)*K72*1000</f>
        <v>0</v>
      </c>
      <c r="M72" s="124"/>
      <c r="N72" s="61">
        <f>(E72)*M72*1000</f>
        <v>0</v>
      </c>
      <c r="O72" s="86"/>
      <c r="P72" s="52">
        <v>0.02189</v>
      </c>
      <c r="Q72" s="52">
        <v>0.02364</v>
      </c>
      <c r="R72" s="52">
        <f>(Q72-P72)*30</f>
        <v>0.05250000000000005</v>
      </c>
      <c r="S72" s="86"/>
      <c r="T72" s="148"/>
      <c r="U72" s="163"/>
      <c r="V72" s="127"/>
      <c r="W72" s="37"/>
      <c r="X72" s="38">
        <v>80</v>
      </c>
      <c r="Y72" s="71">
        <v>42</v>
      </c>
      <c r="Z72" s="201"/>
      <c r="AA72" s="219"/>
    </row>
    <row r="73" spans="1:27" ht="12.75" hidden="1">
      <c r="A73" s="89"/>
      <c r="B73" s="109" t="s">
        <v>255</v>
      </c>
      <c r="D73" s="106"/>
      <c r="E73" s="78"/>
      <c r="F73" s="78"/>
      <c r="G73" s="275"/>
      <c r="H73" s="241"/>
      <c r="I73" s="80">
        <f>1.65*1.23</f>
        <v>2.0295</v>
      </c>
      <c r="J73" s="142"/>
      <c r="K73" s="125"/>
      <c r="L73" s="277"/>
      <c r="M73" s="125"/>
      <c r="N73" s="76"/>
      <c r="O73" s="112">
        <f>11.5*1.23</f>
        <v>14.145</v>
      </c>
      <c r="P73" s="118"/>
      <c r="Q73" s="118"/>
      <c r="R73" s="119"/>
      <c r="S73" s="112"/>
      <c r="T73" s="181"/>
      <c r="U73" s="79"/>
      <c r="V73" s="126"/>
      <c r="W73" s="100"/>
      <c r="X73" s="249"/>
      <c r="Y73" s="19"/>
      <c r="Z73" s="19"/>
      <c r="AA73" s="218"/>
    </row>
    <row r="74" spans="1:27" ht="12.75" hidden="1">
      <c r="A74" s="89"/>
      <c r="B74" s="160" t="s">
        <v>253</v>
      </c>
      <c r="C74" s="35" t="s">
        <v>164</v>
      </c>
      <c r="D74" s="105">
        <v>2.71802</v>
      </c>
      <c r="E74" s="59">
        <f>(D74-D72)*Y$9</f>
        <v>13.6071</v>
      </c>
      <c r="F74" s="287">
        <v>13.607</v>
      </c>
      <c r="G74" s="75"/>
      <c r="H74" s="282"/>
      <c r="I74" s="36">
        <f>15.78*1.23</f>
        <v>19.409399999999998</v>
      </c>
      <c r="J74" s="127"/>
      <c r="K74" s="124"/>
      <c r="L74" s="270">
        <f>(E74)*K74*1000</f>
        <v>0</v>
      </c>
      <c r="M74" s="124"/>
      <c r="N74" s="61">
        <f>(E74)*M74*1000</f>
        <v>0</v>
      </c>
      <c r="O74" s="86"/>
      <c r="P74" s="52">
        <v>0.02364</v>
      </c>
      <c r="Q74" s="52">
        <v>0.02537</v>
      </c>
      <c r="R74" s="52">
        <f>(Q74-P74)*30</f>
        <v>0.05189999999999997</v>
      </c>
      <c r="S74" s="86"/>
      <c r="T74" s="148"/>
      <c r="U74" s="163"/>
      <c r="V74" s="127"/>
      <c r="W74" s="37"/>
      <c r="X74" s="38">
        <v>80</v>
      </c>
      <c r="Y74" s="71">
        <v>42</v>
      </c>
      <c r="Z74" s="201"/>
      <c r="AA74" s="219"/>
    </row>
    <row r="75" spans="1:27" ht="12.75" hidden="1">
      <c r="A75" s="525"/>
      <c r="B75" s="109" t="s">
        <v>260</v>
      </c>
      <c r="D75" s="106"/>
      <c r="E75" s="78"/>
      <c r="F75" s="78"/>
      <c r="G75" s="275"/>
      <c r="H75" s="241"/>
      <c r="I75" s="80">
        <f>1.65*1.23</f>
        <v>2.0295</v>
      </c>
      <c r="J75" s="142"/>
      <c r="K75" s="125"/>
      <c r="L75" s="277"/>
      <c r="M75" s="125"/>
      <c r="N75" s="76"/>
      <c r="O75" s="112">
        <f>11.5*1.23</f>
        <v>14.145</v>
      </c>
      <c r="P75" s="118"/>
      <c r="Q75" s="118"/>
      <c r="R75" s="119"/>
      <c r="S75" s="112"/>
      <c r="T75" s="181"/>
      <c r="U75" s="79"/>
      <c r="V75" s="126"/>
      <c r="W75" s="100"/>
      <c r="X75" s="249"/>
      <c r="Y75" s="19"/>
      <c r="Z75" s="19"/>
      <c r="AA75" s="218"/>
    </row>
    <row r="76" spans="1:27" ht="12.75" hidden="1">
      <c r="A76" s="524"/>
      <c r="B76" s="160" t="s">
        <v>258</v>
      </c>
      <c r="C76" s="35" t="s">
        <v>179</v>
      </c>
      <c r="D76" s="105">
        <v>3.16065</v>
      </c>
      <c r="E76" s="59">
        <f>(D76-D74)*Y$9</f>
        <v>13.278899999999997</v>
      </c>
      <c r="F76" s="287">
        <v>13.279</v>
      </c>
      <c r="G76" s="75"/>
      <c r="H76" s="282"/>
      <c r="I76" s="36">
        <f>15.78*1.23</f>
        <v>19.409399999999998</v>
      </c>
      <c r="J76" s="127"/>
      <c r="K76" s="124"/>
      <c r="L76" s="270">
        <f>(E76)*K76*1000</f>
        <v>0</v>
      </c>
      <c r="M76" s="124"/>
      <c r="N76" s="61">
        <f>(E76)*M76*1000</f>
        <v>0</v>
      </c>
      <c r="O76" s="86"/>
      <c r="P76" s="52">
        <v>0.02537</v>
      </c>
      <c r="Q76" s="52">
        <v>0.02731</v>
      </c>
      <c r="R76" s="52">
        <f>(Q76-P76)*30</f>
        <v>0.05820000000000002</v>
      </c>
      <c r="S76" s="86"/>
      <c r="T76" s="148"/>
      <c r="U76" s="163"/>
      <c r="V76" s="127"/>
      <c r="W76" s="37"/>
      <c r="X76" s="38">
        <v>80</v>
      </c>
      <c r="Y76" s="71">
        <v>54</v>
      </c>
      <c r="Z76" s="201"/>
      <c r="AA76" s="219"/>
    </row>
    <row r="77" spans="1:27" ht="12.75" hidden="1">
      <c r="A77" s="525"/>
      <c r="B77" s="109" t="s">
        <v>265</v>
      </c>
      <c r="D77" s="106"/>
      <c r="E77" s="78"/>
      <c r="F77" s="78"/>
      <c r="G77" s="275"/>
      <c r="H77" s="241"/>
      <c r="I77" s="80">
        <f>1.65*1.23</f>
        <v>2.0295</v>
      </c>
      <c r="J77" s="142"/>
      <c r="K77" s="125"/>
      <c r="L77" s="277"/>
      <c r="M77" s="125"/>
      <c r="N77" s="76"/>
      <c r="O77" s="112">
        <f>11.5*1.23</f>
        <v>14.145</v>
      </c>
      <c r="P77" s="118"/>
      <c r="Q77" s="118"/>
      <c r="R77" s="119"/>
      <c r="S77" s="112"/>
      <c r="T77" s="181"/>
      <c r="U77" s="79"/>
      <c r="V77" s="126"/>
      <c r="W77" s="100"/>
      <c r="X77" s="249"/>
      <c r="Y77" s="19"/>
      <c r="Z77" s="19"/>
      <c r="AA77" s="218"/>
    </row>
    <row r="78" spans="1:27" ht="12.75" hidden="1">
      <c r="A78" s="524"/>
      <c r="B78" s="160" t="s">
        <v>263</v>
      </c>
      <c r="C78" s="35" t="s">
        <v>186</v>
      </c>
      <c r="D78" s="105">
        <v>3.78419</v>
      </c>
      <c r="E78" s="59">
        <f>(D78-D76)*Y$9</f>
        <v>18.706200000000006</v>
      </c>
      <c r="F78" s="287">
        <v>18.706</v>
      </c>
      <c r="G78" s="75"/>
      <c r="H78" s="282"/>
      <c r="I78" s="36">
        <f>15.78*1.23</f>
        <v>19.409399999999998</v>
      </c>
      <c r="J78" s="127"/>
      <c r="K78" s="124"/>
      <c r="L78" s="270">
        <f>(E78)*K78*1000</f>
        <v>0</v>
      </c>
      <c r="M78" s="124"/>
      <c r="N78" s="61">
        <f>(E78)*M78*1000</f>
        <v>0</v>
      </c>
      <c r="O78" s="86"/>
      <c r="P78" s="52">
        <v>0.02731</v>
      </c>
      <c r="Q78" s="52">
        <v>0.03118</v>
      </c>
      <c r="R78" s="52">
        <f>(Q78-P78)*30</f>
        <v>0.11609999999999995</v>
      </c>
      <c r="S78" s="86"/>
      <c r="T78" s="148"/>
      <c r="U78" s="163"/>
      <c r="V78" s="127"/>
      <c r="W78" s="37"/>
      <c r="X78" s="38">
        <v>80</v>
      </c>
      <c r="Y78" s="71">
        <v>64</v>
      </c>
      <c r="Z78" s="201"/>
      <c r="AA78" s="219"/>
    </row>
    <row r="79" spans="1:27" ht="12.75" hidden="1">
      <c r="A79" s="525"/>
      <c r="B79" s="109"/>
      <c r="D79" s="106"/>
      <c r="E79" s="78"/>
      <c r="F79" s="78"/>
      <c r="G79" s="275"/>
      <c r="H79" s="241"/>
      <c r="I79" s="80">
        <f>1.65*1.23</f>
        <v>2.0295</v>
      </c>
      <c r="J79" s="142"/>
      <c r="K79" s="125"/>
      <c r="L79" s="277"/>
      <c r="M79" s="125"/>
      <c r="N79" s="76"/>
      <c r="O79" s="112">
        <f>11.5*1.23</f>
        <v>14.145</v>
      </c>
      <c r="P79" s="118"/>
      <c r="Q79" s="118"/>
      <c r="R79" s="119"/>
      <c r="S79" s="112"/>
      <c r="T79" s="181"/>
      <c r="U79" s="79"/>
      <c r="V79" s="126"/>
      <c r="W79" s="100"/>
      <c r="X79" s="249"/>
      <c r="Y79" s="19"/>
      <c r="Z79" s="19"/>
      <c r="AA79" s="218"/>
    </row>
    <row r="80" spans="1:27" ht="13.5" hidden="1" thickBot="1">
      <c r="A80" s="524"/>
      <c r="B80" s="160" t="s">
        <v>267</v>
      </c>
      <c r="C80" s="35" t="s">
        <v>193</v>
      </c>
      <c r="D80" s="105">
        <v>4.45052</v>
      </c>
      <c r="E80" s="59">
        <f>(D80-D78)*Y$9</f>
        <v>19.989899999999995</v>
      </c>
      <c r="F80" s="287">
        <v>19.99</v>
      </c>
      <c r="G80" s="75"/>
      <c r="H80" s="282"/>
      <c r="I80" s="36">
        <f>15.78*1.23</f>
        <v>19.409399999999998</v>
      </c>
      <c r="J80" s="127"/>
      <c r="K80" s="124"/>
      <c r="L80" s="270">
        <f>(E80)*K80*1000</f>
        <v>0</v>
      </c>
      <c r="M80" s="124"/>
      <c r="N80" s="61">
        <f>(E80)*M80*1000</f>
        <v>0</v>
      </c>
      <c r="O80" s="86"/>
      <c r="P80" s="52">
        <v>0.03118</v>
      </c>
      <c r="Q80" s="52">
        <v>0.03316</v>
      </c>
      <c r="R80" s="52">
        <f>(Q80-P80)*30</f>
        <v>0.05940000000000008</v>
      </c>
      <c r="S80" s="86"/>
      <c r="T80" s="148"/>
      <c r="U80" s="163"/>
      <c r="V80" s="127"/>
      <c r="W80" s="37"/>
      <c r="X80" s="38">
        <v>80</v>
      </c>
      <c r="Y80" s="71">
        <v>58</v>
      </c>
      <c r="Z80" s="201"/>
      <c r="AA80" s="219"/>
    </row>
    <row r="81" spans="1:27" ht="12.75">
      <c r="A81" s="526" t="s">
        <v>316</v>
      </c>
      <c r="B81" s="527"/>
      <c r="C81" s="527"/>
      <c r="D81" s="528"/>
      <c r="E81" s="41"/>
      <c r="F81" s="13"/>
      <c r="G81" s="228"/>
      <c r="H81" s="248"/>
      <c r="I81" s="13"/>
      <c r="J81" s="13"/>
      <c r="K81" s="41"/>
      <c r="L81" s="41"/>
      <c r="M81" s="41"/>
      <c r="N81" s="41"/>
      <c r="O81" s="345"/>
      <c r="P81" s="33" t="s">
        <v>277</v>
      </c>
      <c r="Q81" s="246"/>
      <c r="R81" s="245"/>
      <c r="S81" s="33"/>
      <c r="T81" s="198"/>
      <c r="U81" s="255"/>
      <c r="V81" s="266"/>
      <c r="W81" s="294"/>
      <c r="X81" s="42"/>
      <c r="Y81" s="305"/>
      <c r="Z81" s="42"/>
      <c r="AA81" s="43"/>
    </row>
    <row r="82" spans="1:27" ht="13.5" thickBot="1">
      <c r="A82" s="529"/>
      <c r="B82" s="530"/>
      <c r="C82" s="530"/>
      <c r="D82" s="531"/>
      <c r="E82" s="69">
        <f>SUM(E56:E80)</f>
        <v>189.546</v>
      </c>
      <c r="F82" s="251">
        <f>SUM(F55:F80)</f>
        <v>189.547</v>
      </c>
      <c r="G82" s="252"/>
      <c r="H82" s="253"/>
      <c r="I82" s="99"/>
      <c r="J82" s="349"/>
      <c r="K82" s="99"/>
      <c r="L82" s="349">
        <f>SUM(L56:L81)</f>
        <v>0</v>
      </c>
      <c r="M82" s="99"/>
      <c r="N82" s="349">
        <f>SUM(N56:N81)</f>
        <v>0</v>
      </c>
      <c r="O82" s="349">
        <f>SUM(O55:O81)</f>
        <v>274.69491600000026</v>
      </c>
      <c r="P82" s="395">
        <f>SUM(J82:O82)</f>
        <v>274.69491600000026</v>
      </c>
      <c r="Q82" s="99"/>
      <c r="R82" s="244"/>
      <c r="S82" s="149"/>
      <c r="T82" s="197"/>
      <c r="U82" s="197"/>
      <c r="V82" s="253"/>
      <c r="W82" s="252"/>
      <c r="X82" s="45">
        <v>80</v>
      </c>
      <c r="Y82" s="394">
        <f>SUM(Y56:Y80)/12</f>
        <v>58.5</v>
      </c>
      <c r="Z82" s="120"/>
      <c r="AA82" s="46"/>
    </row>
    <row r="83" spans="2:7" ht="15" hidden="1">
      <c r="B83" s="380" t="s">
        <v>273</v>
      </c>
      <c r="F83" s="319">
        <f>F82-E82</f>
        <v>0.0010000000000047748</v>
      </c>
      <c r="G83" s="150"/>
    </row>
    <row r="84" spans="1:27" ht="12.75" hidden="1">
      <c r="A84" s="525"/>
      <c r="B84" s="109"/>
      <c r="D84" s="97">
        <v>4450.52</v>
      </c>
      <c r="E84" s="78"/>
      <c r="F84" s="78"/>
      <c r="G84" s="275"/>
      <c r="H84" s="241"/>
      <c r="I84" s="80">
        <f>1.65*1.23</f>
        <v>2.0295</v>
      </c>
      <c r="J84" s="142"/>
      <c r="K84" s="125"/>
      <c r="L84" s="277"/>
      <c r="M84" s="125"/>
      <c r="N84" s="76"/>
      <c r="O84" s="112">
        <f>11.5*1.23</f>
        <v>14.145</v>
      </c>
      <c r="P84" s="118"/>
      <c r="Q84" s="118"/>
      <c r="R84" s="119"/>
      <c r="S84" s="112"/>
      <c r="T84" s="181"/>
      <c r="U84" s="79"/>
      <c r="V84" s="126"/>
      <c r="W84" s="100"/>
      <c r="X84" s="249"/>
      <c r="Y84" s="19"/>
      <c r="Z84" s="19"/>
      <c r="AA84" s="218"/>
    </row>
    <row r="85" spans="1:27" ht="12.75" hidden="1">
      <c r="A85" s="524"/>
      <c r="B85" s="160" t="s">
        <v>270</v>
      </c>
      <c r="C85" s="35" t="s">
        <v>209</v>
      </c>
      <c r="D85" s="97">
        <v>5132.57</v>
      </c>
      <c r="E85" s="377">
        <f>(D85-D84)*Y$9</f>
        <v>20461.499999999978</v>
      </c>
      <c r="F85" s="400">
        <v>20462</v>
      </c>
      <c r="G85" s="75"/>
      <c r="H85" s="282"/>
      <c r="I85" s="36">
        <f>15.78*1.23</f>
        <v>19.409399999999998</v>
      </c>
      <c r="J85" s="127"/>
      <c r="K85" s="124"/>
      <c r="L85" s="270">
        <f>(E85)*K85</f>
        <v>0</v>
      </c>
      <c r="M85" s="124"/>
      <c r="N85" s="61">
        <f>(E85)*M85</f>
        <v>0</v>
      </c>
      <c r="O85" s="86"/>
      <c r="P85" s="97">
        <v>33.16</v>
      </c>
      <c r="Q85" s="97">
        <v>35.23</v>
      </c>
      <c r="R85" s="378">
        <f>(Q85-P85)*30</f>
        <v>62.10000000000001</v>
      </c>
      <c r="S85" s="86"/>
      <c r="T85" s="148"/>
      <c r="U85" s="163"/>
      <c r="V85" s="127"/>
      <c r="W85" s="37"/>
      <c r="X85" s="38">
        <v>80</v>
      </c>
      <c r="Y85" s="71">
        <v>58</v>
      </c>
      <c r="Z85" s="201"/>
      <c r="AA85" s="219"/>
    </row>
    <row r="86" spans="1:27" ht="12.75" hidden="1">
      <c r="A86" s="525"/>
      <c r="B86" s="109"/>
      <c r="D86" s="97"/>
      <c r="E86" s="78"/>
      <c r="F86" s="78"/>
      <c r="G86" s="275"/>
      <c r="H86" s="241"/>
      <c r="I86" s="80">
        <f>0.08*1.23</f>
        <v>0.0984</v>
      </c>
      <c r="J86" s="142"/>
      <c r="K86" s="125"/>
      <c r="L86" s="277"/>
      <c r="M86" s="125"/>
      <c r="N86" s="76"/>
      <c r="O86" s="112">
        <f>11.5*1.23</f>
        <v>14.145</v>
      </c>
      <c r="P86" s="118"/>
      <c r="Q86" s="118"/>
      <c r="R86" s="119"/>
      <c r="S86" s="112"/>
      <c r="T86" s="181"/>
      <c r="U86" s="79"/>
      <c r="V86" s="126"/>
      <c r="W86" s="100"/>
      <c r="X86" s="249"/>
      <c r="Y86" s="19"/>
      <c r="Z86" s="19"/>
      <c r="AA86" s="218"/>
    </row>
    <row r="87" spans="1:27" ht="12.75" hidden="1">
      <c r="A87" s="524"/>
      <c r="B87" s="160" t="s">
        <v>287</v>
      </c>
      <c r="C87" s="35" t="s">
        <v>276</v>
      </c>
      <c r="D87" s="97">
        <v>5864.71</v>
      </c>
      <c r="E87" s="469">
        <f>(D87-D85)*Y$9</f>
        <v>21964.20000000001</v>
      </c>
      <c r="F87" s="400">
        <v>21964</v>
      </c>
      <c r="G87" s="75"/>
      <c r="H87" s="282"/>
      <c r="I87" s="36">
        <f>15.78*1.23</f>
        <v>19.409399999999998</v>
      </c>
      <c r="J87" s="127"/>
      <c r="K87" s="124"/>
      <c r="L87" s="471">
        <f>(E87)*K87</f>
        <v>0</v>
      </c>
      <c r="M87" s="124"/>
      <c r="N87" s="61">
        <f>(E87)*M87</f>
        <v>0</v>
      </c>
      <c r="O87" s="86">
        <f>0.00158*4842*1.23</f>
        <v>9.4099428</v>
      </c>
      <c r="P87" s="97">
        <v>35.23</v>
      </c>
      <c r="Q87" s="97">
        <v>36.72</v>
      </c>
      <c r="R87" s="378">
        <f>(Q87-P87)*30</f>
        <v>44.70000000000006</v>
      </c>
      <c r="S87" s="86"/>
      <c r="T87" s="148"/>
      <c r="U87" s="163"/>
      <c r="V87" s="127"/>
      <c r="W87" s="37"/>
      <c r="X87" s="38">
        <v>110</v>
      </c>
      <c r="Y87" s="71">
        <v>61</v>
      </c>
      <c r="Z87" s="201"/>
      <c r="AA87" s="219"/>
    </row>
    <row r="88" spans="1:27" ht="12.75" hidden="1">
      <c r="A88" s="525"/>
      <c r="B88" s="109"/>
      <c r="D88" s="97"/>
      <c r="E88" s="470"/>
      <c r="F88" s="78"/>
      <c r="G88" s="275"/>
      <c r="H88" s="241"/>
      <c r="I88" s="80">
        <f>0.08*1.23</f>
        <v>0.0984</v>
      </c>
      <c r="J88" s="142"/>
      <c r="K88" s="125"/>
      <c r="L88" s="472"/>
      <c r="M88" s="125"/>
      <c r="N88" s="76"/>
      <c r="O88" s="112"/>
      <c r="P88" s="118"/>
      <c r="Q88" s="118"/>
      <c r="R88" s="119"/>
      <c r="S88" s="112"/>
      <c r="T88" s="181"/>
      <c r="U88" s="79"/>
      <c r="V88" s="126"/>
      <c r="W88" s="100"/>
      <c r="X88" s="249"/>
      <c r="Y88" s="19"/>
      <c r="Z88" s="19"/>
      <c r="AA88" s="218"/>
    </row>
    <row r="89" spans="1:27" ht="12.75" hidden="1">
      <c r="A89" s="524"/>
      <c r="B89" s="292" t="s">
        <v>325</v>
      </c>
      <c r="C89" s="35" t="s">
        <v>276</v>
      </c>
      <c r="D89" s="97"/>
      <c r="E89" s="469"/>
      <c r="F89" s="400"/>
      <c r="G89" s="75"/>
      <c r="H89" s="282"/>
      <c r="I89" s="36">
        <f>15.78*1.23</f>
        <v>19.409399999999998</v>
      </c>
      <c r="J89" s="127"/>
      <c r="K89" s="124"/>
      <c r="L89" s="471"/>
      <c r="M89" s="124"/>
      <c r="N89" s="61"/>
      <c r="O89" s="86"/>
      <c r="P89" s="97"/>
      <c r="Q89" s="97"/>
      <c r="R89" s="378"/>
      <c r="S89" s="86"/>
      <c r="T89" s="148"/>
      <c r="U89" s="163"/>
      <c r="V89" s="127"/>
      <c r="W89" s="37"/>
      <c r="X89" s="38">
        <v>-30</v>
      </c>
      <c r="Y89" s="71"/>
      <c r="Z89" s="201"/>
      <c r="AA89" s="219"/>
    </row>
    <row r="90" spans="1:27" ht="12.75" hidden="1">
      <c r="A90" s="199"/>
      <c r="B90" s="327"/>
      <c r="D90" s="97"/>
      <c r="E90" s="470"/>
      <c r="F90" s="78"/>
      <c r="G90" s="275"/>
      <c r="H90" s="241"/>
      <c r="I90" s="39"/>
      <c r="J90" s="140"/>
      <c r="K90" s="141"/>
      <c r="L90" s="473"/>
      <c r="M90" s="141"/>
      <c r="N90" s="39"/>
      <c r="O90" s="135"/>
      <c r="P90" s="113"/>
      <c r="Q90" s="113"/>
      <c r="R90" s="388"/>
      <c r="S90" s="135"/>
      <c r="T90" s="187"/>
      <c r="U90" s="223"/>
      <c r="V90" s="140"/>
      <c r="W90" s="213"/>
      <c r="X90" s="40"/>
      <c r="Y90" s="82"/>
      <c r="Z90" s="202"/>
      <c r="AA90" s="218"/>
    </row>
    <row r="91" spans="1:27" ht="12.75" hidden="1">
      <c r="A91" s="199"/>
      <c r="B91" s="186" t="s">
        <v>275</v>
      </c>
      <c r="C91" s="35" t="s">
        <v>276</v>
      </c>
      <c r="D91" s="97"/>
      <c r="E91" s="469"/>
      <c r="F91" s="400"/>
      <c r="G91" s="75"/>
      <c r="H91" s="282"/>
      <c r="I91" s="36"/>
      <c r="J91" s="295"/>
      <c r="K91" s="313"/>
      <c r="L91" s="474"/>
      <c r="M91" s="313"/>
      <c r="N91" s="36"/>
      <c r="O91" s="86"/>
      <c r="P91" s="97"/>
      <c r="Q91" s="97"/>
      <c r="R91" s="378"/>
      <c r="S91" s="86"/>
      <c r="T91" s="148"/>
      <c r="U91" s="163"/>
      <c r="V91" s="295"/>
      <c r="W91" s="230"/>
      <c r="X91" s="38"/>
      <c r="Y91" s="71"/>
      <c r="Z91" s="201"/>
      <c r="AA91" s="219"/>
    </row>
    <row r="92" spans="1:27" ht="12.75" hidden="1">
      <c r="A92" s="523"/>
      <c r="B92" s="109"/>
      <c r="D92" s="97"/>
      <c r="E92" s="470"/>
      <c r="F92" s="78"/>
      <c r="G92" s="275"/>
      <c r="H92" s="241"/>
      <c r="I92" s="80">
        <f>0.08*1.23</f>
        <v>0.0984</v>
      </c>
      <c r="J92" s="142"/>
      <c r="K92" s="125"/>
      <c r="L92" s="472"/>
      <c r="M92" s="125"/>
      <c r="N92" s="76"/>
      <c r="O92" s="112">
        <f>11.5*1.23</f>
        <v>14.145</v>
      </c>
      <c r="P92" s="118"/>
      <c r="Q92" s="118"/>
      <c r="R92" s="119"/>
      <c r="S92" s="112"/>
      <c r="T92" s="181"/>
      <c r="U92" s="79"/>
      <c r="V92" s="126"/>
      <c r="W92" s="100"/>
      <c r="X92" s="249"/>
      <c r="Y92" s="19"/>
      <c r="Z92" s="19"/>
      <c r="AA92" s="218"/>
    </row>
    <row r="93" spans="1:27" ht="12.75" hidden="1">
      <c r="A93" s="532"/>
      <c r="B93" s="160" t="s">
        <v>288</v>
      </c>
      <c r="C93" s="35" t="s">
        <v>278</v>
      </c>
      <c r="D93" s="97">
        <v>6508.25</v>
      </c>
      <c r="E93" s="469">
        <f>(D93-D87)*Y$9</f>
        <v>19306.199999999997</v>
      </c>
      <c r="F93" s="400">
        <v>19306</v>
      </c>
      <c r="G93" s="75"/>
      <c r="H93" s="282"/>
      <c r="I93" s="36">
        <f>15.78*1.23</f>
        <v>19.409399999999998</v>
      </c>
      <c r="J93" s="127"/>
      <c r="K93" s="124"/>
      <c r="L93" s="471">
        <f>(E93)*K93</f>
        <v>0</v>
      </c>
      <c r="M93" s="124"/>
      <c r="N93" s="61">
        <f>(E93)*M93</f>
        <v>0</v>
      </c>
      <c r="O93" s="86">
        <f>0.00158*E93*1.23</f>
        <v>37.51966907999999</v>
      </c>
      <c r="P93" s="97">
        <v>36.72</v>
      </c>
      <c r="Q93" s="97">
        <v>38.21</v>
      </c>
      <c r="R93" s="378">
        <f>(Q93-P93)*30</f>
        <v>44.70000000000006</v>
      </c>
      <c r="S93" s="86"/>
      <c r="T93" s="148"/>
      <c r="U93" s="163"/>
      <c r="V93" s="127"/>
      <c r="W93" s="37"/>
      <c r="X93" s="38">
        <v>110</v>
      </c>
      <c r="Y93" s="71">
        <v>54</v>
      </c>
      <c r="Z93" s="201"/>
      <c r="AA93" s="219"/>
    </row>
    <row r="94" spans="1:27" ht="12.75" hidden="1">
      <c r="A94" s="525"/>
      <c r="B94" s="109"/>
      <c r="D94" s="97"/>
      <c r="E94" s="78"/>
      <c r="F94" s="78"/>
      <c r="G94" s="275"/>
      <c r="H94" s="241"/>
      <c r="I94" s="80">
        <f>0.08*1.23</f>
        <v>0.0984</v>
      </c>
      <c r="J94" s="142"/>
      <c r="K94" s="125"/>
      <c r="L94" s="277"/>
      <c r="M94" s="125"/>
      <c r="N94" s="76"/>
      <c r="O94" s="112"/>
      <c r="P94" s="118"/>
      <c r="Q94" s="118"/>
      <c r="R94" s="119"/>
      <c r="S94" s="112"/>
      <c r="T94" s="181"/>
      <c r="U94" s="79"/>
      <c r="V94" s="126"/>
      <c r="W94" s="100"/>
      <c r="X94" s="249"/>
      <c r="Y94" s="19"/>
      <c r="Z94" s="19"/>
      <c r="AA94" s="218"/>
    </row>
    <row r="95" spans="1:27" ht="12.75" hidden="1">
      <c r="A95" s="524"/>
      <c r="B95" s="292" t="s">
        <v>326</v>
      </c>
      <c r="C95" s="35" t="s">
        <v>278</v>
      </c>
      <c r="D95" s="97"/>
      <c r="E95" s="377"/>
      <c r="F95" s="400"/>
      <c r="G95" s="75"/>
      <c r="H95" s="282"/>
      <c r="I95" s="36">
        <f>15.78*1.23</f>
        <v>19.409399999999998</v>
      </c>
      <c r="J95" s="127"/>
      <c r="K95" s="124"/>
      <c r="L95" s="270"/>
      <c r="M95" s="124"/>
      <c r="N95" s="61"/>
      <c r="O95" s="86"/>
      <c r="P95" s="97"/>
      <c r="Q95" s="97"/>
      <c r="R95" s="378"/>
      <c r="S95" s="86"/>
      <c r="T95" s="148"/>
      <c r="U95" s="163"/>
      <c r="V95" s="127"/>
      <c r="W95" s="37"/>
      <c r="X95" s="38">
        <v>-30</v>
      </c>
      <c r="Y95" s="71"/>
      <c r="Z95" s="201"/>
      <c r="AA95" s="219"/>
    </row>
    <row r="96" spans="1:27" ht="12.75" hidden="1">
      <c r="A96" s="199"/>
      <c r="B96" s="109"/>
      <c r="D96" s="97"/>
      <c r="E96" s="78"/>
      <c r="F96" s="78"/>
      <c r="G96" s="275"/>
      <c r="H96" s="241"/>
      <c r="I96" s="80">
        <f>0.08*1.23</f>
        <v>0.0984</v>
      </c>
      <c r="J96" s="142"/>
      <c r="K96" s="125"/>
      <c r="L96" s="277"/>
      <c r="M96" s="125"/>
      <c r="N96" s="76"/>
      <c r="O96" s="112">
        <f>11.5*1.23</f>
        <v>14.145</v>
      </c>
      <c r="P96" s="118"/>
      <c r="Q96" s="118"/>
      <c r="R96" s="119"/>
      <c r="S96" s="112"/>
      <c r="T96" s="181"/>
      <c r="U96" s="79"/>
      <c r="V96" s="126"/>
      <c r="W96" s="100"/>
      <c r="X96" s="249"/>
      <c r="Y96" s="19"/>
      <c r="Z96" s="19"/>
      <c r="AA96" s="218"/>
    </row>
    <row r="97" spans="1:27" ht="12.75" hidden="1">
      <c r="A97" s="199"/>
      <c r="B97" s="363" t="s">
        <v>289</v>
      </c>
      <c r="C97" s="35" t="s">
        <v>281</v>
      </c>
      <c r="D97" s="97">
        <v>7185.52</v>
      </c>
      <c r="E97" s="377">
        <f>(D97-D93)*Y$9</f>
        <v>20318.100000000013</v>
      </c>
      <c r="F97" s="400">
        <v>20318</v>
      </c>
      <c r="G97" s="75"/>
      <c r="H97" s="282"/>
      <c r="I97" s="36">
        <f>15.78*1.23</f>
        <v>19.409399999999998</v>
      </c>
      <c r="J97" s="127"/>
      <c r="K97" s="124"/>
      <c r="L97" s="270">
        <f>(E97)*K97</f>
        <v>0</v>
      </c>
      <c r="M97" s="124"/>
      <c r="N97" s="61">
        <f>(E97)*M97</f>
        <v>0</v>
      </c>
      <c r="O97" s="86">
        <f>0.00158*E97*1.23</f>
        <v>39.486195540000026</v>
      </c>
      <c r="P97" s="97">
        <v>38.21</v>
      </c>
      <c r="Q97" s="97">
        <v>41.49</v>
      </c>
      <c r="R97" s="378">
        <f>(Q97-P97)*30</f>
        <v>98.40000000000003</v>
      </c>
      <c r="S97" s="86"/>
      <c r="T97" s="148"/>
      <c r="U97" s="163"/>
      <c r="V97" s="127"/>
      <c r="W97" s="37"/>
      <c r="X97" s="38">
        <v>110</v>
      </c>
      <c r="Y97" s="71">
        <v>53</v>
      </c>
      <c r="Z97" s="201"/>
      <c r="AA97" s="219"/>
    </row>
    <row r="98" spans="1:27" ht="12.75" hidden="1">
      <c r="A98" s="199"/>
      <c r="B98" s="431"/>
      <c r="D98" s="97"/>
      <c r="E98" s="78"/>
      <c r="F98" s="78"/>
      <c r="G98" s="275"/>
      <c r="H98" s="241"/>
      <c r="I98" s="80">
        <f>0.08*1.23</f>
        <v>0.0984</v>
      </c>
      <c r="J98" s="142"/>
      <c r="K98" s="125"/>
      <c r="L98" s="277"/>
      <c r="M98" s="125"/>
      <c r="N98" s="76"/>
      <c r="O98" s="112"/>
      <c r="P98" s="118"/>
      <c r="Q98" s="118"/>
      <c r="R98" s="119"/>
      <c r="S98" s="112"/>
      <c r="T98" s="181"/>
      <c r="U98" s="79"/>
      <c r="V98" s="126"/>
      <c r="W98" s="100"/>
      <c r="X98" s="249"/>
      <c r="Y98" s="19"/>
      <c r="Z98" s="19"/>
      <c r="AA98" s="218"/>
    </row>
    <row r="99" spans="1:27" ht="13.5" hidden="1" thickBot="1">
      <c r="A99" s="199"/>
      <c r="B99" s="292" t="s">
        <v>327</v>
      </c>
      <c r="C99" s="35" t="s">
        <v>281</v>
      </c>
      <c r="D99" s="97"/>
      <c r="E99" s="377"/>
      <c r="F99" s="400"/>
      <c r="G99" s="75"/>
      <c r="H99" s="282"/>
      <c r="I99" s="36">
        <f>15.78*1.23</f>
        <v>19.409399999999998</v>
      </c>
      <c r="J99" s="127"/>
      <c r="K99" s="124"/>
      <c r="L99" s="270"/>
      <c r="M99" s="124"/>
      <c r="N99" s="61"/>
      <c r="O99" s="86"/>
      <c r="P99" s="97"/>
      <c r="Q99" s="97"/>
      <c r="R99" s="378"/>
      <c r="S99" s="86"/>
      <c r="T99" s="148"/>
      <c r="U99" s="163"/>
      <c r="V99" s="127"/>
      <c r="W99" s="37"/>
      <c r="X99" s="38">
        <v>-30</v>
      </c>
      <c r="Y99" s="71"/>
      <c r="Z99" s="201"/>
      <c r="AA99" s="219"/>
    </row>
    <row r="100" spans="1:27" ht="12.75" hidden="1">
      <c r="A100" s="570"/>
      <c r="B100" s="330"/>
      <c r="D100" s="97"/>
      <c r="E100" s="78"/>
      <c r="F100" s="78"/>
      <c r="G100" s="275"/>
      <c r="H100" s="241"/>
      <c r="I100" s="80">
        <f>0.08*1.23*0.17</f>
        <v>0.016728</v>
      </c>
      <c r="J100" s="142"/>
      <c r="K100" s="125"/>
      <c r="L100" s="277"/>
      <c r="M100" s="125"/>
      <c r="N100" s="76"/>
      <c r="O100" s="112">
        <f>11.5*1.23*0.17</f>
        <v>2.40465</v>
      </c>
      <c r="P100" s="118"/>
      <c r="Q100" s="118"/>
      <c r="R100" s="119"/>
      <c r="S100" s="112"/>
      <c r="T100" s="181"/>
      <c r="U100" s="79"/>
      <c r="V100" s="126"/>
      <c r="W100" s="100"/>
      <c r="X100" s="249"/>
      <c r="Y100" s="19"/>
      <c r="Z100" s="19"/>
      <c r="AA100" s="218"/>
    </row>
    <row r="101" spans="1:27" ht="12.75" hidden="1">
      <c r="A101" s="532"/>
      <c r="B101" s="364" t="s">
        <v>296</v>
      </c>
      <c r="C101" s="329" t="s">
        <v>292</v>
      </c>
      <c r="D101" s="97">
        <v>7282.06</v>
      </c>
      <c r="E101" s="377">
        <f>(D101-D97)*Y$9</f>
        <v>2896.199999999999</v>
      </c>
      <c r="F101" s="400"/>
      <c r="G101" s="75"/>
      <c r="H101" s="282"/>
      <c r="I101" s="36">
        <f>15.78*1.23*0.17</f>
        <v>3.299598</v>
      </c>
      <c r="J101" s="127"/>
      <c r="K101" s="124"/>
      <c r="L101" s="270">
        <f>(E101)*K101</f>
        <v>0</v>
      </c>
      <c r="M101" s="124"/>
      <c r="N101" s="61">
        <f>(E101)*M101</f>
        <v>0</v>
      </c>
      <c r="O101" s="86">
        <f>0.00158*E101*1.23</f>
        <v>5.628475079999998</v>
      </c>
      <c r="P101" s="97">
        <v>41.49</v>
      </c>
      <c r="Q101" s="97">
        <v>41.64</v>
      </c>
      <c r="R101" s="378">
        <f>(Q101-P101)*30</f>
        <v>4.499999999999957</v>
      </c>
      <c r="S101" s="86"/>
      <c r="T101" s="148"/>
      <c r="U101" s="163"/>
      <c r="V101" s="127"/>
      <c r="W101" s="37"/>
      <c r="X101" s="38">
        <v>110</v>
      </c>
      <c r="Y101" s="71">
        <v>50</v>
      </c>
      <c r="Z101" s="201"/>
      <c r="AA101" s="219"/>
    </row>
    <row r="102" spans="1:27" ht="12.75" hidden="1">
      <c r="A102" s="523"/>
      <c r="B102" s="358"/>
      <c r="D102" s="97"/>
      <c r="E102" s="78"/>
      <c r="F102" s="78"/>
      <c r="G102" s="275"/>
      <c r="H102" s="241"/>
      <c r="I102" s="80">
        <f>0.08*1.23*0.83</f>
        <v>0.081672</v>
      </c>
      <c r="J102" s="142"/>
      <c r="K102" s="125"/>
      <c r="L102" s="277"/>
      <c r="M102" s="125"/>
      <c r="N102" s="76"/>
      <c r="O102" s="112">
        <f>9.5*1.23*0.83</f>
        <v>9.69855</v>
      </c>
      <c r="P102" s="118"/>
      <c r="Q102" s="118"/>
      <c r="R102" s="119"/>
      <c r="S102" s="112"/>
      <c r="T102" s="181"/>
      <c r="U102" s="79"/>
      <c r="V102" s="126"/>
      <c r="W102" s="100"/>
      <c r="X102" s="249"/>
      <c r="Y102" s="19"/>
      <c r="Z102" s="19"/>
      <c r="AA102" s="218"/>
    </row>
    <row r="103" spans="1:27" ht="13.5" hidden="1" thickBot="1">
      <c r="A103" s="532"/>
      <c r="B103" s="426" t="s">
        <v>217</v>
      </c>
      <c r="C103" s="329" t="s">
        <v>291</v>
      </c>
      <c r="D103" s="97">
        <v>7659.14</v>
      </c>
      <c r="E103" s="377">
        <f>(D103-D101)*Y$9</f>
        <v>11312.399999999998</v>
      </c>
      <c r="F103" s="400">
        <v>14209</v>
      </c>
      <c r="G103" s="75"/>
      <c r="H103" s="282"/>
      <c r="I103" s="36">
        <f>16.34*1.23*0.83</f>
        <v>16.681506</v>
      </c>
      <c r="J103" s="127"/>
      <c r="K103" s="124"/>
      <c r="L103" s="270">
        <f>(E103)*K103</f>
        <v>0</v>
      </c>
      <c r="M103" s="124"/>
      <c r="N103" s="61">
        <f>(E103)*M103</f>
        <v>0</v>
      </c>
      <c r="O103" s="86">
        <f>0.00158*E103*1.23</f>
        <v>21.984518159999997</v>
      </c>
      <c r="P103" s="97">
        <v>41.64</v>
      </c>
      <c r="Q103" s="97">
        <v>43.02</v>
      </c>
      <c r="R103" s="378">
        <f>(Q103-P103)*30</f>
        <v>41.40000000000008</v>
      </c>
      <c r="S103" s="86"/>
      <c r="T103" s="148"/>
      <c r="U103" s="163"/>
      <c r="V103" s="127"/>
      <c r="W103" s="37"/>
      <c r="X103" s="38">
        <v>110</v>
      </c>
      <c r="Y103" s="71">
        <v>50</v>
      </c>
      <c r="Z103" s="408"/>
      <c r="AA103" s="424"/>
    </row>
    <row r="104" spans="1:27" ht="12.75" hidden="1">
      <c r="A104" s="199"/>
      <c r="B104" s="431"/>
      <c r="D104" s="97"/>
      <c r="E104" s="78"/>
      <c r="F104" s="78"/>
      <c r="G104" s="275"/>
      <c r="H104" s="241"/>
      <c r="I104" s="80">
        <f>0.08*1.23</f>
        <v>0.0984</v>
      </c>
      <c r="J104" s="142"/>
      <c r="K104" s="125"/>
      <c r="L104" s="277"/>
      <c r="M104" s="125"/>
      <c r="N104" s="76"/>
      <c r="O104" s="112"/>
      <c r="P104" s="118"/>
      <c r="Q104" s="118"/>
      <c r="R104" s="119"/>
      <c r="S104" s="112"/>
      <c r="T104" s="181"/>
      <c r="U104" s="79"/>
      <c r="V104" s="126"/>
      <c r="W104" s="100"/>
      <c r="X104" s="249"/>
      <c r="Y104" s="19"/>
      <c r="Z104" s="19"/>
      <c r="AA104" s="218"/>
    </row>
    <row r="105" spans="1:27" ht="12.75" hidden="1">
      <c r="A105" s="199"/>
      <c r="B105" s="292" t="s">
        <v>328</v>
      </c>
      <c r="C105" s="35" t="s">
        <v>291</v>
      </c>
      <c r="D105" s="97"/>
      <c r="E105" s="377"/>
      <c r="F105" s="400"/>
      <c r="G105" s="75"/>
      <c r="H105" s="282"/>
      <c r="I105" s="36">
        <f>((15.78*0.17)+(16.34*0.83))*1.23</f>
        <v>19.981104</v>
      </c>
      <c r="J105" s="127"/>
      <c r="K105" s="124"/>
      <c r="L105" s="270"/>
      <c r="M105" s="124"/>
      <c r="N105" s="61"/>
      <c r="O105" s="86"/>
      <c r="P105" s="97"/>
      <c r="Q105" s="97"/>
      <c r="R105" s="378"/>
      <c r="S105" s="86"/>
      <c r="T105" s="148"/>
      <c r="U105" s="163"/>
      <c r="V105" s="127"/>
      <c r="W105" s="37"/>
      <c r="X105" s="38">
        <v>-30</v>
      </c>
      <c r="Y105" s="71"/>
      <c r="Z105" s="201"/>
      <c r="AA105" s="219"/>
    </row>
    <row r="106" spans="1:27" ht="12.75" hidden="1">
      <c r="A106" s="523"/>
      <c r="B106" s="109"/>
      <c r="D106" s="97"/>
      <c r="E106" s="78"/>
      <c r="F106" s="78"/>
      <c r="G106" s="275"/>
      <c r="H106" s="241"/>
      <c r="I106" s="80">
        <f>0.08*1.23</f>
        <v>0.0984</v>
      </c>
      <c r="J106" s="142"/>
      <c r="K106" s="125"/>
      <c r="L106" s="277"/>
      <c r="M106" s="125"/>
      <c r="N106" s="76"/>
      <c r="O106" s="112">
        <f>9.5*1.23</f>
        <v>11.685</v>
      </c>
      <c r="P106" s="118"/>
      <c r="Q106" s="118"/>
      <c r="R106" s="119"/>
      <c r="S106" s="112"/>
      <c r="T106" s="181"/>
      <c r="U106" s="79"/>
      <c r="V106" s="126"/>
      <c r="W106" s="100"/>
      <c r="X106" s="249"/>
      <c r="Y106" s="19"/>
      <c r="Z106" s="19"/>
      <c r="AA106" s="218"/>
    </row>
    <row r="107" spans="1:27" ht="12.75" hidden="1">
      <c r="A107" s="532"/>
      <c r="B107" s="160" t="s">
        <v>302</v>
      </c>
      <c r="C107" s="329" t="s">
        <v>299</v>
      </c>
      <c r="D107" s="97">
        <v>8189.98</v>
      </c>
      <c r="E107" s="377">
        <f>(D107-D103)*Y$9</f>
        <v>15925.199999999977</v>
      </c>
      <c r="F107" s="400">
        <v>15925</v>
      </c>
      <c r="G107" s="75"/>
      <c r="H107" s="282"/>
      <c r="I107" s="36">
        <f>16.34*1.23</f>
        <v>20.0982</v>
      </c>
      <c r="J107" s="127"/>
      <c r="K107" s="124"/>
      <c r="L107" s="270">
        <f>(E107)*K107</f>
        <v>0</v>
      </c>
      <c r="M107" s="124"/>
      <c r="N107" s="61">
        <f>(E107)*M107</f>
        <v>0</v>
      </c>
      <c r="O107" s="86">
        <f>0.00158*E107*1.23</f>
        <v>30.949033679999953</v>
      </c>
      <c r="P107" s="97">
        <v>43.02</v>
      </c>
      <c r="Q107" s="97">
        <v>43.65</v>
      </c>
      <c r="R107" s="378">
        <f>(Q107-P107)*30</f>
        <v>18.899999999999864</v>
      </c>
      <c r="S107" s="86"/>
      <c r="T107" s="148"/>
      <c r="U107" s="192"/>
      <c r="V107" s="127"/>
      <c r="W107" s="37"/>
      <c r="X107" s="38">
        <v>60</v>
      </c>
      <c r="Y107" s="71">
        <v>72</v>
      </c>
      <c r="Z107" s="201"/>
      <c r="AA107" s="424"/>
    </row>
    <row r="108" spans="1:27" ht="12.75" hidden="1">
      <c r="A108" s="199"/>
      <c r="B108" s="133"/>
      <c r="D108" s="97"/>
      <c r="E108" s="78"/>
      <c r="F108" s="78"/>
      <c r="G108" s="275"/>
      <c r="H108" s="241"/>
      <c r="I108" s="39"/>
      <c r="J108" s="140"/>
      <c r="K108" s="141"/>
      <c r="L108" s="144"/>
      <c r="M108" s="141"/>
      <c r="N108" s="39"/>
      <c r="O108" s="135"/>
      <c r="P108" s="113"/>
      <c r="Q108" s="113"/>
      <c r="R108" s="388"/>
      <c r="S108" s="135"/>
      <c r="T108" s="187"/>
      <c r="U108" s="209"/>
      <c r="V108" s="140"/>
      <c r="W108" s="213"/>
      <c r="X108" s="40"/>
      <c r="Y108" s="82"/>
      <c r="Z108" s="202"/>
      <c r="AA108" s="416"/>
    </row>
    <row r="109" spans="1:27" ht="12.75" hidden="1">
      <c r="A109" s="199"/>
      <c r="B109" s="186" t="s">
        <v>275</v>
      </c>
      <c r="C109" s="329" t="s">
        <v>299</v>
      </c>
      <c r="D109" s="97"/>
      <c r="E109" s="377"/>
      <c r="F109" s="400"/>
      <c r="G109" s="75"/>
      <c r="H109" s="282"/>
      <c r="I109" s="36"/>
      <c r="J109" s="295"/>
      <c r="K109" s="313"/>
      <c r="L109" s="128"/>
      <c r="M109" s="313"/>
      <c r="N109" s="36"/>
      <c r="O109" s="86"/>
      <c r="P109" s="97"/>
      <c r="Q109" s="97"/>
      <c r="R109" s="378"/>
      <c r="S109" s="86"/>
      <c r="T109" s="148"/>
      <c r="U109" s="192"/>
      <c r="V109" s="295"/>
      <c r="W109" s="230"/>
      <c r="X109" s="38"/>
      <c r="Y109" s="71"/>
      <c r="Z109" s="201"/>
      <c r="AA109" s="424"/>
    </row>
    <row r="110" spans="1:27" ht="12.75" hidden="1">
      <c r="A110" s="525"/>
      <c r="B110" s="109"/>
      <c r="D110" s="97"/>
      <c r="E110" s="78"/>
      <c r="F110" s="78"/>
      <c r="G110" s="275"/>
      <c r="H110" s="241"/>
      <c r="I110" s="80">
        <f>0.08*1.23</f>
        <v>0.0984</v>
      </c>
      <c r="J110" s="142"/>
      <c r="K110" s="125"/>
      <c r="L110" s="277"/>
      <c r="M110" s="125"/>
      <c r="N110" s="76"/>
      <c r="O110" s="112">
        <f>9.5*1.23</f>
        <v>11.685</v>
      </c>
      <c r="P110" s="118"/>
      <c r="Q110" s="118"/>
      <c r="R110" s="119"/>
      <c r="S110" s="112"/>
      <c r="T110" s="181"/>
      <c r="U110" s="79"/>
      <c r="V110" s="126"/>
      <c r="W110" s="100"/>
      <c r="X110" s="249"/>
      <c r="Y110" s="19"/>
      <c r="Z110" s="19"/>
      <c r="AA110" s="218"/>
    </row>
    <row r="111" spans="1:27" ht="13.5" hidden="1" thickBot="1">
      <c r="A111" s="524"/>
      <c r="B111" s="363" t="s">
        <v>304</v>
      </c>
      <c r="C111" s="329" t="s">
        <v>297</v>
      </c>
      <c r="D111" s="97">
        <v>8582.55</v>
      </c>
      <c r="E111" s="377">
        <f>(D111-D107)*Y$9</f>
        <v>11777.099999999991</v>
      </c>
      <c r="F111" s="400">
        <v>11777</v>
      </c>
      <c r="G111" s="75"/>
      <c r="H111" s="282"/>
      <c r="I111" s="36">
        <f>16.34*1.23</f>
        <v>20.0982</v>
      </c>
      <c r="J111" s="127"/>
      <c r="K111" s="124"/>
      <c r="L111" s="270">
        <f>(E111)*K111</f>
        <v>0</v>
      </c>
      <c r="M111" s="124"/>
      <c r="N111" s="61">
        <f>(E111)*M111</f>
        <v>0</v>
      </c>
      <c r="O111" s="86">
        <f>0.00158*E111*1.23</f>
        <v>22.887616139999984</v>
      </c>
      <c r="P111" s="97">
        <v>43.65</v>
      </c>
      <c r="Q111" s="97">
        <v>45.44</v>
      </c>
      <c r="R111" s="378">
        <f>(Q111-P111)*30</f>
        <v>53.699999999999974</v>
      </c>
      <c r="S111" s="86"/>
      <c r="T111" s="148"/>
      <c r="U111" s="192"/>
      <c r="V111" s="127"/>
      <c r="W111" s="37"/>
      <c r="X111" s="38">
        <v>60</v>
      </c>
      <c r="Y111" s="71">
        <v>38</v>
      </c>
      <c r="Z111" s="201"/>
      <c r="AA111" s="424"/>
    </row>
    <row r="112" spans="1:27" ht="12.75" hidden="1">
      <c r="A112" s="523"/>
      <c r="B112" s="330"/>
      <c r="D112" s="97"/>
      <c r="E112" s="78"/>
      <c r="F112" s="78"/>
      <c r="G112" s="275"/>
      <c r="H112" s="241"/>
      <c r="I112" s="80">
        <f>0.08*1.23*0.9</f>
        <v>0.08856</v>
      </c>
      <c r="J112" s="142"/>
      <c r="K112" s="125"/>
      <c r="L112" s="277"/>
      <c r="M112" s="125"/>
      <c r="N112" s="76"/>
      <c r="O112" s="112">
        <f>9.5*1.23*0.9</f>
        <v>10.5165</v>
      </c>
      <c r="P112" s="118"/>
      <c r="Q112" s="118"/>
      <c r="R112" s="119"/>
      <c r="S112" s="112"/>
      <c r="T112" s="181"/>
      <c r="U112" s="79"/>
      <c r="V112" s="126"/>
      <c r="W112" s="100"/>
      <c r="X112" s="249"/>
      <c r="Y112" s="19"/>
      <c r="Z112" s="19"/>
      <c r="AA112" s="218"/>
    </row>
    <row r="113" spans="1:27" ht="12.75" hidden="1">
      <c r="A113" s="532"/>
      <c r="B113" s="410" t="s">
        <v>309</v>
      </c>
      <c r="C113" s="329" t="s">
        <v>310</v>
      </c>
      <c r="D113" s="97">
        <v>8846.34</v>
      </c>
      <c r="E113" s="377">
        <f>(D113-D111)*Y$9</f>
        <v>7913.700000000026</v>
      </c>
      <c r="F113" s="400">
        <v>7914</v>
      </c>
      <c r="G113" s="75"/>
      <c r="H113" s="282"/>
      <c r="I113" s="36">
        <f>16.34*1.23*0.9</f>
        <v>18.08838</v>
      </c>
      <c r="J113" s="127"/>
      <c r="K113" s="124"/>
      <c r="L113" s="270">
        <f>(E113)*K113</f>
        <v>0</v>
      </c>
      <c r="M113" s="124"/>
      <c r="N113" s="61">
        <f>(E113)*M113</f>
        <v>0</v>
      </c>
      <c r="O113" s="86">
        <f>0.00158*E113*1.23</f>
        <v>15.379484580000051</v>
      </c>
      <c r="P113" s="97">
        <v>45.44</v>
      </c>
      <c r="Q113" s="97">
        <v>47.18</v>
      </c>
      <c r="R113" s="378">
        <f>(Q113-P113)*30</f>
        <v>52.20000000000006</v>
      </c>
      <c r="S113" s="86"/>
      <c r="T113" s="148"/>
      <c r="U113" s="192"/>
      <c r="V113" s="127"/>
      <c r="W113" s="37"/>
      <c r="X113" s="38">
        <v>60</v>
      </c>
      <c r="Y113" s="71"/>
      <c r="Z113" s="201"/>
      <c r="AA113" s="424"/>
    </row>
    <row r="114" spans="1:27" ht="12.75" hidden="1">
      <c r="A114" s="199"/>
      <c r="B114" s="436"/>
      <c r="C114" s="247"/>
      <c r="D114" s="425">
        <v>0</v>
      </c>
      <c r="E114" s="407"/>
      <c r="F114" s="399"/>
      <c r="G114" s="134"/>
      <c r="H114" s="288"/>
      <c r="I114" s="39"/>
      <c r="J114" s="140"/>
      <c r="K114" s="141"/>
      <c r="L114" s="144"/>
      <c r="M114" s="141"/>
      <c r="N114" s="143"/>
      <c r="O114" s="135"/>
      <c r="P114" s="113"/>
      <c r="Q114" s="113"/>
      <c r="R114" s="382"/>
      <c r="S114" s="135"/>
      <c r="T114" s="187"/>
      <c r="U114" s="340"/>
      <c r="V114" s="140"/>
      <c r="W114" s="136"/>
      <c r="X114" s="82"/>
      <c r="Y114" s="82"/>
      <c r="Z114" s="200"/>
      <c r="AA114" s="222"/>
    </row>
    <row r="115" spans="1:27" ht="12.75" hidden="1">
      <c r="A115" s="199"/>
      <c r="B115" s="436"/>
      <c r="C115" s="247"/>
      <c r="D115" s="113">
        <v>10.48</v>
      </c>
      <c r="E115" s="407">
        <f>(D115-D114)*Y9</f>
        <v>314.40000000000003</v>
      </c>
      <c r="F115" s="399"/>
      <c r="G115" s="134"/>
      <c r="H115" s="288"/>
      <c r="I115" s="39"/>
      <c r="J115" s="140"/>
      <c r="K115" s="141"/>
      <c r="L115" s="144"/>
      <c r="M115" s="141"/>
      <c r="N115" s="143"/>
      <c r="O115" s="135"/>
      <c r="P115" s="113">
        <v>0</v>
      </c>
      <c r="Q115" s="113">
        <v>0</v>
      </c>
      <c r="R115" s="370">
        <f aca="true" t="shared" si="3" ref="R115:R122">(Q115-P115)*30</f>
        <v>0</v>
      </c>
      <c r="S115" s="437"/>
      <c r="T115" s="187"/>
      <c r="U115" s="441"/>
      <c r="V115" s="140"/>
      <c r="W115" s="136"/>
      <c r="X115" s="82"/>
      <c r="Y115" s="82"/>
      <c r="Z115" s="418"/>
      <c r="AA115" s="419"/>
    </row>
    <row r="116" spans="1:27" ht="12.75" hidden="1">
      <c r="A116" s="199"/>
      <c r="B116" s="358"/>
      <c r="D116" s="113">
        <v>2.93</v>
      </c>
      <c r="E116" s="407">
        <f>(D116-D114)*Y9</f>
        <v>87.9</v>
      </c>
      <c r="F116" s="166"/>
      <c r="G116" s="276"/>
      <c r="H116" s="243"/>
      <c r="I116" s="39">
        <f>0.08*1.23*0.1</f>
        <v>0.009840000000000002</v>
      </c>
      <c r="J116" s="142"/>
      <c r="K116" s="141"/>
      <c r="L116" s="144"/>
      <c r="M116" s="141"/>
      <c r="N116" s="144"/>
      <c r="O116" s="112">
        <f>9.5*1.23*0.1</f>
        <v>1.1685</v>
      </c>
      <c r="P116" s="113">
        <v>0</v>
      </c>
      <c r="Q116" s="113">
        <v>0</v>
      </c>
      <c r="R116" s="370">
        <f t="shared" si="3"/>
        <v>0</v>
      </c>
      <c r="S116" s="438"/>
      <c r="T116" s="187"/>
      <c r="U116" s="442"/>
      <c r="V116" s="126"/>
      <c r="W116" s="116"/>
      <c r="X116" s="82"/>
      <c r="Y116" s="200"/>
      <c r="Z116" s="418"/>
      <c r="AA116" s="419"/>
    </row>
    <row r="117" spans="1:27" ht="13.5" hidden="1" thickBot="1">
      <c r="A117" s="199"/>
      <c r="B117" s="365" t="s">
        <v>305</v>
      </c>
      <c r="C117" s="440" t="s">
        <v>306</v>
      </c>
      <c r="D117" s="97">
        <v>15.28</v>
      </c>
      <c r="E117" s="439">
        <f>(D117-D114)*Y9</f>
        <v>458.4</v>
      </c>
      <c r="F117" s="400">
        <v>861</v>
      </c>
      <c r="G117" s="75"/>
      <c r="H117" s="271"/>
      <c r="I117" s="36">
        <f>16.34*1.23*0.1</f>
        <v>2.00982</v>
      </c>
      <c r="J117" s="127"/>
      <c r="K117" s="124"/>
      <c r="L117" s="270">
        <f>(E115*K115)+(E116*K116)+(E117*K117)</f>
        <v>0</v>
      </c>
      <c r="M117" s="124"/>
      <c r="N117" s="250">
        <f>(E115+E116+E117)*M117</f>
        <v>0</v>
      </c>
      <c r="O117" s="86">
        <f>0.00158*(E115+E116+E117)*1.23</f>
        <v>1.67268438</v>
      </c>
      <c r="P117" s="97">
        <v>0</v>
      </c>
      <c r="Q117" s="97">
        <v>0.04</v>
      </c>
      <c r="R117" s="371">
        <f t="shared" si="3"/>
        <v>1.2</v>
      </c>
      <c r="S117" s="430"/>
      <c r="T117" s="148"/>
      <c r="U117" s="443"/>
      <c r="V117" s="127"/>
      <c r="W117" s="37"/>
      <c r="X117" s="71">
        <v>60</v>
      </c>
      <c r="Y117" s="71">
        <v>33</v>
      </c>
      <c r="Z117" s="162"/>
      <c r="AA117" s="221"/>
    </row>
    <row r="118" spans="1:27" ht="12.75" hidden="1">
      <c r="A118" s="199"/>
      <c r="B118" s="427"/>
      <c r="D118" s="113"/>
      <c r="E118" s="407"/>
      <c r="F118" s="166"/>
      <c r="G118" s="276"/>
      <c r="H118" s="243"/>
      <c r="I118" s="39"/>
      <c r="J118" s="140"/>
      <c r="K118" s="141"/>
      <c r="L118" s="144"/>
      <c r="M118" s="141"/>
      <c r="N118" s="143"/>
      <c r="O118" s="135"/>
      <c r="P118" s="113"/>
      <c r="Q118" s="113"/>
      <c r="R118" s="370"/>
      <c r="S118" s="437"/>
      <c r="T118" s="187"/>
      <c r="U118" s="441"/>
      <c r="V118" s="140"/>
      <c r="W118" s="136"/>
      <c r="X118" s="82"/>
      <c r="Y118" s="82"/>
      <c r="Z118" s="200"/>
      <c r="AA118" s="222"/>
    </row>
    <row r="119" spans="1:27" ht="12.75" hidden="1">
      <c r="A119" s="199"/>
      <c r="B119" s="186" t="s">
        <v>275</v>
      </c>
      <c r="C119" s="440" t="s">
        <v>306</v>
      </c>
      <c r="D119" s="97"/>
      <c r="E119" s="439"/>
      <c r="F119" s="400"/>
      <c r="G119" s="75"/>
      <c r="H119" s="271"/>
      <c r="I119" s="36"/>
      <c r="J119" s="295"/>
      <c r="K119" s="313"/>
      <c r="L119" s="128"/>
      <c r="M119" s="313"/>
      <c r="N119" s="127"/>
      <c r="O119" s="86"/>
      <c r="P119" s="97"/>
      <c r="Q119" s="97"/>
      <c r="R119" s="371"/>
      <c r="S119" s="430"/>
      <c r="T119" s="148"/>
      <c r="U119" s="443"/>
      <c r="V119" s="295"/>
      <c r="W119" s="37"/>
      <c r="X119" s="71"/>
      <c r="Y119" s="71"/>
      <c r="Z119" s="162"/>
      <c r="AA119" s="221"/>
    </row>
    <row r="120" spans="1:27" ht="12.75" hidden="1">
      <c r="A120" s="199"/>
      <c r="B120" s="327"/>
      <c r="C120" s="247"/>
      <c r="D120" s="113">
        <v>108.88</v>
      </c>
      <c r="E120" s="407">
        <f>(D120-D115)*Y9</f>
        <v>2951.9999999999995</v>
      </c>
      <c r="F120" s="399"/>
      <c r="G120" s="134"/>
      <c r="H120" s="288"/>
      <c r="I120" s="39"/>
      <c r="J120" s="140"/>
      <c r="K120" s="141"/>
      <c r="L120" s="144"/>
      <c r="M120" s="141"/>
      <c r="N120" s="143"/>
      <c r="O120" s="135"/>
      <c r="P120" s="113">
        <v>0</v>
      </c>
      <c r="Q120" s="113">
        <v>0.55</v>
      </c>
      <c r="R120" s="370">
        <f t="shared" si="3"/>
        <v>16.5</v>
      </c>
      <c r="S120" s="437"/>
      <c r="T120" s="187"/>
      <c r="U120" s="441"/>
      <c r="V120" s="140"/>
      <c r="W120" s="136"/>
      <c r="X120" s="82"/>
      <c r="Y120" s="82"/>
      <c r="Z120" s="418"/>
      <c r="AA120" s="419"/>
    </row>
    <row r="121" spans="1:27" ht="12.75" hidden="1">
      <c r="A121" s="199"/>
      <c r="B121" s="109"/>
      <c r="D121" s="113">
        <v>27.66</v>
      </c>
      <c r="E121" s="407">
        <f>(D121-D116)*Y9</f>
        <v>741.9</v>
      </c>
      <c r="F121" s="166"/>
      <c r="G121" s="276"/>
      <c r="H121" s="243"/>
      <c r="I121" s="39">
        <f>0.08*1.23</f>
        <v>0.0984</v>
      </c>
      <c r="J121" s="142"/>
      <c r="K121" s="141"/>
      <c r="L121" s="144"/>
      <c r="M121" s="141"/>
      <c r="N121" s="144"/>
      <c r="O121" s="112">
        <f>9.5*1.23</f>
        <v>11.685</v>
      </c>
      <c r="P121" s="113">
        <v>0</v>
      </c>
      <c r="Q121" s="113">
        <v>0.26</v>
      </c>
      <c r="R121" s="370">
        <f t="shared" si="3"/>
        <v>7.800000000000001</v>
      </c>
      <c r="S121" s="438"/>
      <c r="T121" s="187"/>
      <c r="U121" s="442"/>
      <c r="V121" s="126"/>
      <c r="W121" s="116"/>
      <c r="X121" s="82"/>
      <c r="Y121" s="200"/>
      <c r="Z121" s="418"/>
      <c r="AA121" s="419"/>
    </row>
    <row r="122" spans="1:27" ht="12.75" hidden="1">
      <c r="A122" s="523"/>
      <c r="B122" s="160" t="s">
        <v>305</v>
      </c>
      <c r="C122" s="440" t="s">
        <v>313</v>
      </c>
      <c r="D122" s="97">
        <v>179.21</v>
      </c>
      <c r="E122" s="439">
        <f>(D122-D117)*Y9</f>
        <v>4917.900000000001</v>
      </c>
      <c r="F122" s="400">
        <v>8612</v>
      </c>
      <c r="G122" s="75"/>
      <c r="H122" s="271"/>
      <c r="I122" s="36">
        <f>16.34*1.23</f>
        <v>20.0982</v>
      </c>
      <c r="J122" s="127"/>
      <c r="K122" s="124"/>
      <c r="L122" s="270">
        <f>(E120*K120)+(E121*K121)+(E122*K122)</f>
        <v>0</v>
      </c>
      <c r="M122" s="124"/>
      <c r="N122" s="250">
        <f>(E120+E121+E122)*M122</f>
        <v>0</v>
      </c>
      <c r="O122" s="86">
        <f>0.00158*(E120+E121+E122)*1.23</f>
        <v>16.73617212</v>
      </c>
      <c r="P122" s="97">
        <v>0.04</v>
      </c>
      <c r="Q122" s="97">
        <v>2.86</v>
      </c>
      <c r="R122" s="371">
        <f t="shared" si="3"/>
        <v>84.6</v>
      </c>
      <c r="S122" s="430"/>
      <c r="T122" s="148"/>
      <c r="U122" s="443"/>
      <c r="V122" s="127"/>
      <c r="W122" s="37"/>
      <c r="X122" s="71">
        <v>60</v>
      </c>
      <c r="Y122" s="71">
        <v>33</v>
      </c>
      <c r="Z122" s="162"/>
      <c r="AA122" s="221"/>
    </row>
    <row r="123" spans="1:27" ht="12.75" hidden="1">
      <c r="A123" s="523"/>
      <c r="B123" s="453"/>
      <c r="C123" s="247"/>
      <c r="D123" s="112">
        <v>244.05</v>
      </c>
      <c r="E123" s="407">
        <f>(D123-D120)*Y$9</f>
        <v>4055.1000000000004</v>
      </c>
      <c r="F123" s="447"/>
      <c r="G123" s="134"/>
      <c r="H123" s="288"/>
      <c r="I123" s="39"/>
      <c r="J123" s="142"/>
      <c r="K123" s="141"/>
      <c r="L123" s="144"/>
      <c r="M123" s="141"/>
      <c r="N123" s="39"/>
      <c r="O123" s="135"/>
      <c r="P123" s="113">
        <v>0.55</v>
      </c>
      <c r="Q123" s="113">
        <v>2.19</v>
      </c>
      <c r="R123" s="448">
        <f aca="true" t="shared" si="4" ref="R123:R130">(Q123-P123)*30</f>
        <v>49.199999999999996</v>
      </c>
      <c r="S123" s="180"/>
      <c r="T123" s="164"/>
      <c r="U123" s="117"/>
      <c r="V123" s="140"/>
      <c r="W123" s="213"/>
      <c r="X123" s="40"/>
      <c r="Y123" s="82"/>
      <c r="Z123" s="420"/>
      <c r="AA123" s="449"/>
    </row>
    <row r="124" spans="1:27" ht="12.75" hidden="1">
      <c r="A124" s="524"/>
      <c r="B124" s="109"/>
      <c r="D124" s="112">
        <v>59.83</v>
      </c>
      <c r="E124" s="407">
        <f>(D124-D121)*Y$9</f>
        <v>965.1</v>
      </c>
      <c r="F124" s="78"/>
      <c r="G124" s="275"/>
      <c r="H124" s="241"/>
      <c r="I124" s="80">
        <f>0.08*1.23</f>
        <v>0.0984</v>
      </c>
      <c r="J124" s="142"/>
      <c r="K124" s="141"/>
      <c r="L124" s="144"/>
      <c r="M124" s="125"/>
      <c r="N124" s="76"/>
      <c r="O124" s="112">
        <f>9.5*1.23</f>
        <v>11.685</v>
      </c>
      <c r="P124" s="113">
        <v>0.26</v>
      </c>
      <c r="Q124" s="113">
        <v>0.68</v>
      </c>
      <c r="R124" s="386">
        <f t="shared" si="4"/>
        <v>12.600000000000001</v>
      </c>
      <c r="S124" s="112"/>
      <c r="T124" s="164"/>
      <c r="U124" s="79"/>
      <c r="V124" s="126"/>
      <c r="W124" s="100"/>
      <c r="X124" s="19"/>
      <c r="Y124" s="79"/>
      <c r="Z124" s="40"/>
      <c r="AA124" s="218"/>
    </row>
    <row r="125" spans="1:27" ht="12.75" hidden="1">
      <c r="A125" s="525"/>
      <c r="B125" s="160" t="s">
        <v>317</v>
      </c>
      <c r="C125" s="440" t="s">
        <v>315</v>
      </c>
      <c r="D125" s="206">
        <v>374.98</v>
      </c>
      <c r="E125" s="439">
        <f>(D125-D122)*Y$9</f>
        <v>5873.1</v>
      </c>
      <c r="F125" s="400">
        <v>10893</v>
      </c>
      <c r="G125" s="75"/>
      <c r="H125" s="282"/>
      <c r="I125" s="36">
        <f>16.34*1.23</f>
        <v>20.0982</v>
      </c>
      <c r="J125" s="128"/>
      <c r="K125" s="124"/>
      <c r="L125" s="270">
        <f>(E123*K123)+(E124*K124)+(E125*K125)</f>
        <v>0</v>
      </c>
      <c r="M125" s="124"/>
      <c r="N125" s="61">
        <f>(E123+E124+E125)*M125</f>
        <v>0</v>
      </c>
      <c r="O125" s="86">
        <f>0.00158*(E123+E124+E125)*1.23</f>
        <v>21.17003922</v>
      </c>
      <c r="P125" s="97">
        <v>2.86</v>
      </c>
      <c r="Q125" s="97">
        <v>11.63</v>
      </c>
      <c r="R125" s="421">
        <f t="shared" si="4"/>
        <v>263.1</v>
      </c>
      <c r="S125" s="130"/>
      <c r="T125" s="452"/>
      <c r="U125" s="81"/>
      <c r="V125" s="127"/>
      <c r="W125" s="37"/>
      <c r="X125" s="38">
        <v>110</v>
      </c>
      <c r="Y125" s="71">
        <v>49</v>
      </c>
      <c r="Z125" s="422"/>
      <c r="AA125" s="423"/>
    </row>
    <row r="126" spans="1:27" ht="12.75" hidden="1">
      <c r="A126" s="525"/>
      <c r="B126" s="431"/>
      <c r="D126" s="97"/>
      <c r="E126" s="78"/>
      <c r="F126" s="78"/>
      <c r="G126" s="275"/>
      <c r="H126" s="241"/>
      <c r="I126" s="80">
        <f>0.08*1.23</f>
        <v>0.0984</v>
      </c>
      <c r="J126" s="142"/>
      <c r="K126" s="125"/>
      <c r="L126" s="277"/>
      <c r="M126" s="125"/>
      <c r="N126" s="76"/>
      <c r="O126" s="112"/>
      <c r="P126" s="118"/>
      <c r="Q126" s="118"/>
      <c r="R126" s="119"/>
      <c r="S126" s="112"/>
      <c r="T126" s="181"/>
      <c r="U126" s="79"/>
      <c r="V126" s="126"/>
      <c r="W126" s="100"/>
      <c r="X126" s="249"/>
      <c r="Y126" s="19"/>
      <c r="Z126" s="19"/>
      <c r="AA126" s="218"/>
    </row>
    <row r="127" spans="1:27" ht="12.75" hidden="1">
      <c r="A127" s="525"/>
      <c r="B127" s="292" t="s">
        <v>330</v>
      </c>
      <c r="C127" s="440" t="s">
        <v>315</v>
      </c>
      <c r="D127" s="97"/>
      <c r="E127" s="377"/>
      <c r="F127" s="400"/>
      <c r="G127" s="75"/>
      <c r="H127" s="282"/>
      <c r="I127" s="36">
        <f>16.34*1.23</f>
        <v>20.0982</v>
      </c>
      <c r="J127" s="127"/>
      <c r="K127" s="124"/>
      <c r="L127" s="270"/>
      <c r="M127" s="124"/>
      <c r="N127" s="61"/>
      <c r="O127" s="86"/>
      <c r="P127" s="97"/>
      <c r="Q127" s="97"/>
      <c r="R127" s="378"/>
      <c r="S127" s="86"/>
      <c r="T127" s="148"/>
      <c r="U127" s="163"/>
      <c r="V127" s="127"/>
      <c r="W127" s="37"/>
      <c r="X127" s="38">
        <v>-30</v>
      </c>
      <c r="Y127" s="71"/>
      <c r="Z127" s="201"/>
      <c r="AA127" s="219"/>
    </row>
    <row r="128" spans="1:27" ht="12.75" hidden="1">
      <c r="A128" s="525"/>
      <c r="B128" s="453"/>
      <c r="C128" s="247"/>
      <c r="D128" s="112">
        <v>434.96</v>
      </c>
      <c r="E128" s="407">
        <f>(D128-D123)*Y$9</f>
        <v>5727.299999999999</v>
      </c>
      <c r="F128" s="447"/>
      <c r="G128" s="134"/>
      <c r="H128" s="288"/>
      <c r="I128" s="39"/>
      <c r="J128" s="142"/>
      <c r="K128" s="141"/>
      <c r="L128" s="144"/>
      <c r="M128" s="141"/>
      <c r="N128" s="39"/>
      <c r="O128" s="135"/>
      <c r="P128" s="113">
        <v>2.19</v>
      </c>
      <c r="Q128" s="113">
        <v>4.13</v>
      </c>
      <c r="R128" s="448">
        <f t="shared" si="4"/>
        <v>58.199999999999996</v>
      </c>
      <c r="S128" s="180"/>
      <c r="T128" s="164"/>
      <c r="U128" s="117"/>
      <c r="V128" s="140"/>
      <c r="W128" s="213"/>
      <c r="X128" s="40"/>
      <c r="Y128" s="82"/>
      <c r="Z128" s="420"/>
      <c r="AA128" s="449"/>
    </row>
    <row r="129" spans="1:27" ht="12.75" hidden="1">
      <c r="A129" s="525"/>
      <c r="B129" s="109"/>
      <c r="D129" s="112">
        <v>144.85</v>
      </c>
      <c r="E129" s="407">
        <f>(D129-D124)*Y$9</f>
        <v>2550.6</v>
      </c>
      <c r="F129" s="78"/>
      <c r="G129" s="275"/>
      <c r="H129" s="241"/>
      <c r="I129" s="80">
        <f>0.08*1.23</f>
        <v>0.0984</v>
      </c>
      <c r="J129" s="142"/>
      <c r="K129" s="141"/>
      <c r="L129" s="144"/>
      <c r="M129" s="125"/>
      <c r="N129" s="76"/>
      <c r="O129" s="112">
        <f>9.5*1.23</f>
        <v>11.685</v>
      </c>
      <c r="P129" s="113">
        <v>0.68</v>
      </c>
      <c r="Q129" s="113">
        <v>3.06</v>
      </c>
      <c r="R129" s="386">
        <f t="shared" si="4"/>
        <v>71.39999999999999</v>
      </c>
      <c r="S129" s="112"/>
      <c r="T129" s="164"/>
      <c r="U129" s="79"/>
      <c r="V129" s="126"/>
      <c r="W129" s="100"/>
      <c r="X129" s="19"/>
      <c r="Y129" s="79"/>
      <c r="Z129" s="40"/>
      <c r="AA129" s="218"/>
    </row>
    <row r="130" spans="1:27" ht="12.75" hidden="1">
      <c r="A130" s="525"/>
      <c r="B130" s="160" t="s">
        <v>320</v>
      </c>
      <c r="C130" s="440" t="s">
        <v>268</v>
      </c>
      <c r="D130" s="206">
        <v>685.11</v>
      </c>
      <c r="E130" s="439">
        <f>(D130-D125)*Y$9</f>
        <v>9303.9</v>
      </c>
      <c r="F130" s="372"/>
      <c r="G130" s="75"/>
      <c r="H130" s="282"/>
      <c r="I130" s="36">
        <f>16.34*1.23</f>
        <v>20.0982</v>
      </c>
      <c r="J130" s="128"/>
      <c r="K130" s="124"/>
      <c r="L130" s="270">
        <f>(E128*K128)+(E129*K129)+(E130*K130)</f>
        <v>0</v>
      </c>
      <c r="M130" s="124"/>
      <c r="N130" s="61">
        <f>(E128+E129+E130)*M130</f>
        <v>0</v>
      </c>
      <c r="O130" s="86">
        <f>0.00158*(E128+E129+E130)*1.23</f>
        <v>34.168470119999995</v>
      </c>
      <c r="P130" s="97">
        <v>11.63</v>
      </c>
      <c r="Q130" s="97">
        <v>18.21</v>
      </c>
      <c r="R130" s="421">
        <f t="shared" si="4"/>
        <v>197.4</v>
      </c>
      <c r="S130" s="130"/>
      <c r="T130" s="452"/>
      <c r="U130" s="81"/>
      <c r="V130" s="127"/>
      <c r="W130" s="37"/>
      <c r="X130" s="38">
        <v>110</v>
      </c>
      <c r="Y130" s="71">
        <v>60</v>
      </c>
      <c r="Z130" s="422"/>
      <c r="AA130" s="423"/>
    </row>
    <row r="131" spans="1:27" ht="12.75" hidden="1">
      <c r="A131" s="525"/>
      <c r="B131" s="431"/>
      <c r="D131" s="97"/>
      <c r="E131" s="78"/>
      <c r="F131" s="78"/>
      <c r="G131" s="275"/>
      <c r="H131" s="241"/>
      <c r="I131" s="80">
        <f>0.08*1.23</f>
        <v>0.0984</v>
      </c>
      <c r="J131" s="142"/>
      <c r="K131" s="125"/>
      <c r="L131" s="277"/>
      <c r="M131" s="125"/>
      <c r="N131" s="76"/>
      <c r="O131" s="112"/>
      <c r="P131" s="118"/>
      <c r="Q131" s="118"/>
      <c r="R131" s="119"/>
      <c r="S131" s="112"/>
      <c r="T131" s="181"/>
      <c r="U131" s="79"/>
      <c r="V131" s="126"/>
      <c r="W131" s="100"/>
      <c r="X131" s="249"/>
      <c r="Y131" s="19"/>
      <c r="Z131" s="19"/>
      <c r="AA131" s="218"/>
    </row>
    <row r="132" spans="1:27" ht="12.75" hidden="1">
      <c r="A132" s="525"/>
      <c r="B132" s="292" t="s">
        <v>331</v>
      </c>
      <c r="C132" s="440" t="s">
        <v>268</v>
      </c>
      <c r="D132" s="97"/>
      <c r="E132" s="377"/>
      <c r="F132" s="400"/>
      <c r="G132" s="75"/>
      <c r="H132" s="282"/>
      <c r="I132" s="36">
        <f>16.34*1.23</f>
        <v>20.0982</v>
      </c>
      <c r="J132" s="127"/>
      <c r="K132" s="124"/>
      <c r="L132" s="270"/>
      <c r="M132" s="124"/>
      <c r="N132" s="61"/>
      <c r="O132" s="86"/>
      <c r="P132" s="97"/>
      <c r="Q132" s="97"/>
      <c r="R132" s="378"/>
      <c r="S132" s="86"/>
      <c r="T132" s="148"/>
      <c r="U132" s="163"/>
      <c r="V132" s="127"/>
      <c r="W132" s="37"/>
      <c r="X132" s="38">
        <v>-30</v>
      </c>
      <c r="Y132" s="71"/>
      <c r="Z132" s="201"/>
      <c r="AA132" s="219"/>
    </row>
    <row r="133" spans="1:27" ht="12.75" hidden="1">
      <c r="A133" s="525"/>
      <c r="B133" s="453"/>
      <c r="C133" s="247"/>
      <c r="D133" s="112">
        <v>591.82</v>
      </c>
      <c r="E133" s="407">
        <f>(D133-D128)*Y$9</f>
        <v>4705.800000000002</v>
      </c>
      <c r="F133" s="447"/>
      <c r="G133" s="134"/>
      <c r="H133" s="288"/>
      <c r="I133" s="39"/>
      <c r="J133" s="142"/>
      <c r="K133" s="141"/>
      <c r="L133" s="144"/>
      <c r="M133" s="141"/>
      <c r="N133" s="39"/>
      <c r="O133" s="135"/>
      <c r="P133" s="113">
        <v>4.13</v>
      </c>
      <c r="Q133" s="113">
        <v>7.11</v>
      </c>
      <c r="R133" s="448">
        <f>(Q133-P133)*30</f>
        <v>89.4</v>
      </c>
      <c r="S133" s="180"/>
      <c r="T133" s="164"/>
      <c r="U133" s="117"/>
      <c r="V133" s="140"/>
      <c r="W133" s="213"/>
      <c r="X133" s="40"/>
      <c r="Y133" s="82"/>
      <c r="Z133" s="420"/>
      <c r="AA133" s="449"/>
    </row>
    <row r="134" spans="1:27" ht="12.75" hidden="1">
      <c r="A134" s="525"/>
      <c r="B134" s="109"/>
      <c r="D134" s="112">
        <v>234.25</v>
      </c>
      <c r="E134" s="407">
        <f>(D134-D129)*Y$9</f>
        <v>2682</v>
      </c>
      <c r="F134" s="78"/>
      <c r="G134" s="275"/>
      <c r="H134" s="241"/>
      <c r="I134" s="80">
        <f>0.08*1.23</f>
        <v>0.0984</v>
      </c>
      <c r="J134" s="142"/>
      <c r="K134" s="141"/>
      <c r="L134" s="144"/>
      <c r="M134" s="125"/>
      <c r="N134" s="76"/>
      <c r="O134" s="112">
        <f>9.5*1.23</f>
        <v>11.685</v>
      </c>
      <c r="P134" s="113">
        <v>3.06</v>
      </c>
      <c r="Q134" s="113">
        <v>3.18</v>
      </c>
      <c r="R134" s="386">
        <f>(Q134-P134)*30</f>
        <v>3.600000000000003</v>
      </c>
      <c r="S134" s="112"/>
      <c r="T134" s="164"/>
      <c r="U134" s="79"/>
      <c r="V134" s="126"/>
      <c r="W134" s="100"/>
      <c r="X134" s="19"/>
      <c r="Y134" s="79"/>
      <c r="Z134" s="40"/>
      <c r="AA134" s="218"/>
    </row>
    <row r="135" spans="1:27" ht="13.5" hidden="1" thickBot="1">
      <c r="A135" s="525"/>
      <c r="B135" s="160" t="s">
        <v>322</v>
      </c>
      <c r="C135" s="440" t="s">
        <v>271</v>
      </c>
      <c r="D135" s="206">
        <v>996.01</v>
      </c>
      <c r="E135" s="439">
        <f>(D135-D130)*Y$9</f>
        <v>9327</v>
      </c>
      <c r="F135" s="372"/>
      <c r="G135" s="75"/>
      <c r="H135" s="282"/>
      <c r="I135" s="36">
        <f>16.34*1.23</f>
        <v>20.0982</v>
      </c>
      <c r="J135" s="128"/>
      <c r="K135" s="124"/>
      <c r="L135" s="270">
        <f>(E133*K133)+(E134*K134)+(E135*K135)</f>
        <v>0</v>
      </c>
      <c r="M135" s="124"/>
      <c r="N135" s="61">
        <f>(E133+E134+E135)*M135</f>
        <v>0</v>
      </c>
      <c r="O135" s="86">
        <f>0.00158*(E133+E134+E135)*1.23</f>
        <v>32.483542320000005</v>
      </c>
      <c r="P135" s="97">
        <v>18.21</v>
      </c>
      <c r="Q135" s="97">
        <v>24.22</v>
      </c>
      <c r="R135" s="421">
        <f>(Q135-P135)*30</f>
        <v>180.29999999999995</v>
      </c>
      <c r="S135" s="130"/>
      <c r="T135" s="452"/>
      <c r="U135" s="81"/>
      <c r="V135" s="127"/>
      <c r="W135" s="37"/>
      <c r="X135" s="38">
        <v>80</v>
      </c>
      <c r="Y135" s="71">
        <v>55</v>
      </c>
      <c r="Z135" s="422"/>
      <c r="AA135" s="423"/>
    </row>
    <row r="136" spans="2:27" ht="12.75">
      <c r="B136" s="526" t="s">
        <v>269</v>
      </c>
      <c r="C136" s="527"/>
      <c r="D136" s="527"/>
      <c r="E136" s="41"/>
      <c r="F136" s="13"/>
      <c r="G136" s="228"/>
      <c r="H136" s="248"/>
      <c r="I136" s="13"/>
      <c r="J136" s="13"/>
      <c r="K136" s="41"/>
      <c r="L136" s="41"/>
      <c r="M136" s="41"/>
      <c r="N136" s="41"/>
      <c r="O136" s="302"/>
      <c r="P136" s="33"/>
      <c r="Q136" s="246"/>
      <c r="R136" s="245"/>
      <c r="S136" s="33"/>
      <c r="T136" s="198"/>
      <c r="U136" s="255"/>
      <c r="V136" s="266"/>
      <c r="W136" s="294"/>
      <c r="X136" s="42"/>
      <c r="Y136" s="305"/>
      <c r="Z136" s="42"/>
      <c r="AA136" s="43"/>
    </row>
    <row r="137" spans="2:27" ht="13.5" thickBot="1">
      <c r="B137" s="529"/>
      <c r="C137" s="530"/>
      <c r="D137" s="530"/>
      <c r="E137" s="120">
        <f>SUM(E85:E135)</f>
        <v>186536.99999999994</v>
      </c>
      <c r="F137" s="390">
        <f>SUM(F84:F135)+F140+F141</f>
        <v>186538</v>
      </c>
      <c r="G137" s="252"/>
      <c r="H137" s="253"/>
      <c r="I137" s="99"/>
      <c r="J137" s="99"/>
      <c r="K137" s="99"/>
      <c r="L137" s="99">
        <f>SUM(L84:L136)</f>
        <v>0</v>
      </c>
      <c r="M137" s="99"/>
      <c r="N137" s="99">
        <f>SUM(N84:N136)</f>
        <v>0</v>
      </c>
      <c r="O137" s="99">
        <f>SUM(O84:O136)</f>
        <v>439.95404322</v>
      </c>
      <c r="P137" s="99"/>
      <c r="Q137" s="99"/>
      <c r="R137" s="244"/>
      <c r="S137" s="149"/>
      <c r="T137" s="197"/>
      <c r="U137" s="197"/>
      <c r="V137" s="253"/>
      <c r="W137" s="252"/>
      <c r="X137" s="478" t="s">
        <v>329</v>
      </c>
      <c r="Y137" s="120">
        <f>SUM(Y84:Y136)/12</f>
        <v>55.5</v>
      </c>
      <c r="Z137" s="120"/>
      <c r="AA137" s="46"/>
    </row>
    <row r="138" spans="6:7" ht="12.75">
      <c r="F138" s="393">
        <f>F137-E137</f>
        <v>1.0000000000582077</v>
      </c>
      <c r="G138" s="150"/>
    </row>
    <row r="139" spans="2:27" ht="12.75">
      <c r="B139" s="109"/>
      <c r="D139" s="97"/>
      <c r="E139" s="78"/>
      <c r="F139" s="447"/>
      <c r="G139" s="275"/>
      <c r="H139" s="288"/>
      <c r="I139" s="80"/>
      <c r="J139" s="142"/>
      <c r="K139" s="125"/>
      <c r="L139" s="277"/>
      <c r="M139" s="125"/>
      <c r="N139" s="76"/>
      <c r="O139" s="112"/>
      <c r="P139" s="118"/>
      <c r="Q139" s="118"/>
      <c r="R139" s="119"/>
      <c r="S139" s="112"/>
      <c r="T139" s="181"/>
      <c r="U139" s="79"/>
      <c r="V139" s="126"/>
      <c r="W139" s="100"/>
      <c r="X139" s="249"/>
      <c r="Y139" s="19"/>
      <c r="Z139" s="19"/>
      <c r="AA139" s="218"/>
    </row>
    <row r="140" spans="2:27" ht="12.75">
      <c r="B140" s="160"/>
      <c r="C140" s="35"/>
      <c r="D140" s="97"/>
      <c r="E140" s="377"/>
      <c r="F140" s="400">
        <v>17582</v>
      </c>
      <c r="G140" s="75"/>
      <c r="H140" s="282"/>
      <c r="I140" s="36"/>
      <c r="J140" s="127"/>
      <c r="K140" s="124"/>
      <c r="L140" s="270"/>
      <c r="M140" s="124"/>
      <c r="N140" s="61"/>
      <c r="O140" s="86"/>
      <c r="P140" s="97"/>
      <c r="Q140" s="97"/>
      <c r="R140" s="378"/>
      <c r="S140" s="86"/>
      <c r="T140" s="148"/>
      <c r="U140" s="163"/>
      <c r="V140" s="127"/>
      <c r="W140" s="37"/>
      <c r="X140" s="38"/>
      <c r="Y140" s="71"/>
      <c r="Z140" s="201"/>
      <c r="AA140" s="219"/>
    </row>
    <row r="141" spans="2:27" ht="12.75">
      <c r="B141" s="231"/>
      <c r="C141" s="440" t="s">
        <v>271</v>
      </c>
      <c r="D141" s="493"/>
      <c r="E141" s="494"/>
      <c r="F141" s="372">
        <v>16715</v>
      </c>
      <c r="G141" s="75"/>
      <c r="H141" s="282"/>
      <c r="I141" s="482"/>
      <c r="J141" s="483"/>
      <c r="K141" s="484"/>
      <c r="L141" s="485"/>
      <c r="M141" s="484"/>
      <c r="N141" s="482"/>
      <c r="O141" s="454"/>
      <c r="P141" s="489"/>
      <c r="Q141" s="489"/>
      <c r="R141" s="486"/>
      <c r="S141" s="454"/>
      <c r="T141" s="490"/>
      <c r="U141" s="487"/>
      <c r="V141" s="488"/>
      <c r="W141" s="491"/>
      <c r="X141" s="492"/>
      <c r="Y141" s="301"/>
      <c r="Z141" s="301"/>
      <c r="AA141" s="481"/>
    </row>
    <row r="142" spans="2:27" ht="12.75">
      <c r="B142" s="453"/>
      <c r="C142" s="247"/>
      <c r="D142" s="112">
        <v>749.25</v>
      </c>
      <c r="E142" s="407">
        <v>4723</v>
      </c>
      <c r="F142" s="447"/>
      <c r="G142" s="134"/>
      <c r="H142" s="288"/>
      <c r="I142" s="39"/>
      <c r="J142" s="142"/>
      <c r="K142" s="141"/>
      <c r="L142" s="144"/>
      <c r="M142" s="141"/>
      <c r="N142" s="39"/>
      <c r="O142" s="135"/>
      <c r="P142" s="113">
        <v>7.11</v>
      </c>
      <c r="Q142" s="113">
        <v>9.69</v>
      </c>
      <c r="R142" s="448">
        <f aca="true" t="shared" si="5" ref="R142:R147">(Q142-P142)*30</f>
        <v>77.39999999999998</v>
      </c>
      <c r="S142" s="180"/>
      <c r="T142" s="164"/>
      <c r="U142" s="117"/>
      <c r="V142" s="140"/>
      <c r="W142" s="213"/>
      <c r="X142" s="40"/>
      <c r="Y142" s="82"/>
      <c r="Z142" s="420"/>
      <c r="AA142" s="449"/>
    </row>
    <row r="143" spans="2:27" ht="12.75">
      <c r="B143" s="109"/>
      <c r="D143" s="112">
        <v>327.56</v>
      </c>
      <c r="E143" s="407">
        <v>2799</v>
      </c>
      <c r="F143" s="78"/>
      <c r="G143" s="275"/>
      <c r="H143" s="241"/>
      <c r="I143" s="80">
        <f>0.08*1.23</f>
        <v>0.0984</v>
      </c>
      <c r="J143" s="142"/>
      <c r="K143" s="141"/>
      <c r="L143" s="144"/>
      <c r="M143" s="125"/>
      <c r="N143" s="76"/>
      <c r="O143" s="112">
        <f>9.5*1.23</f>
        <v>11.685</v>
      </c>
      <c r="P143" s="113">
        <v>3.18</v>
      </c>
      <c r="Q143" s="113">
        <v>3.19</v>
      </c>
      <c r="R143" s="386">
        <f t="shared" si="5"/>
        <v>0.2999999999999936</v>
      </c>
      <c r="S143" s="112"/>
      <c r="T143" s="164"/>
      <c r="U143" s="79"/>
      <c r="V143" s="126"/>
      <c r="W143" s="100"/>
      <c r="X143" s="19"/>
      <c r="Y143" s="79"/>
      <c r="Z143" s="40"/>
      <c r="AA143" s="218"/>
    </row>
    <row r="144" spans="2:27" ht="12.75">
      <c r="B144" s="160" t="s">
        <v>338</v>
      </c>
      <c r="C144" s="440" t="s">
        <v>274</v>
      </c>
      <c r="D144" s="206">
        <v>1333.39</v>
      </c>
      <c r="E144" s="439">
        <v>10121</v>
      </c>
      <c r="F144" s="372">
        <v>17644</v>
      </c>
      <c r="G144" s="75"/>
      <c r="H144" s="282"/>
      <c r="I144" s="36">
        <f>16.34*1.23</f>
        <v>20.0982</v>
      </c>
      <c r="J144" s="128"/>
      <c r="K144" s="124"/>
      <c r="L144" s="270">
        <f>(E142*K142)+(E143*K143)+(E144*K144)</f>
        <v>0</v>
      </c>
      <c r="M144" s="124"/>
      <c r="N144" s="61">
        <f>(E142+E143+E144)*M144</f>
        <v>0</v>
      </c>
      <c r="O144" s="86">
        <f>0.00158*(E142+E143+E144)*1.23</f>
        <v>34.2874062</v>
      </c>
      <c r="P144" s="97">
        <v>24.22</v>
      </c>
      <c r="Q144" s="97">
        <v>29.71</v>
      </c>
      <c r="R144" s="421">
        <f t="shared" si="5"/>
        <v>164.70000000000005</v>
      </c>
      <c r="S144" s="130"/>
      <c r="T144" s="452"/>
      <c r="U144" s="81"/>
      <c r="V144" s="127"/>
      <c r="W144" s="37"/>
      <c r="X144" s="38">
        <v>80</v>
      </c>
      <c r="Y144" s="71">
        <v>56</v>
      </c>
      <c r="Z144" s="422"/>
      <c r="AA144" s="423"/>
    </row>
    <row r="145" spans="2:27" ht="12.75">
      <c r="B145" s="453"/>
      <c r="C145" s="247"/>
      <c r="D145" s="112">
        <v>911.52</v>
      </c>
      <c r="E145" s="407">
        <f aca="true" t="shared" si="6" ref="E145:E150">(D145-D142)*Y$9</f>
        <v>4868.099999999999</v>
      </c>
      <c r="F145" s="447"/>
      <c r="G145" s="134"/>
      <c r="H145" s="288"/>
      <c r="I145" s="39"/>
      <c r="J145" s="142"/>
      <c r="K145" s="141"/>
      <c r="L145" s="144"/>
      <c r="M145" s="141"/>
      <c r="N145" s="39"/>
      <c r="O145" s="135"/>
      <c r="P145" s="113">
        <v>9.69</v>
      </c>
      <c r="Q145" s="113">
        <v>12.45</v>
      </c>
      <c r="R145" s="448">
        <f t="shared" si="5"/>
        <v>82.8</v>
      </c>
      <c r="S145" s="180"/>
      <c r="T145" s="164"/>
      <c r="U145" s="117"/>
      <c r="V145" s="140"/>
      <c r="W145" s="213"/>
      <c r="X145" s="40"/>
      <c r="Y145" s="82"/>
      <c r="Z145" s="420"/>
      <c r="AA145" s="449"/>
    </row>
    <row r="146" spans="2:27" ht="12.75">
      <c r="B146" s="109"/>
      <c r="D146" s="112">
        <v>421.81</v>
      </c>
      <c r="E146" s="407">
        <f t="shared" si="6"/>
        <v>2827.5</v>
      </c>
      <c r="F146" s="78"/>
      <c r="G146" s="275"/>
      <c r="H146" s="241"/>
      <c r="I146" s="80">
        <f>0.08*1.23</f>
        <v>0.0984</v>
      </c>
      <c r="J146" s="142"/>
      <c r="K146" s="141"/>
      <c r="L146" s="144"/>
      <c r="M146" s="125"/>
      <c r="N146" s="76"/>
      <c r="O146" s="112">
        <f>9.5*1.23</f>
        <v>11.685</v>
      </c>
      <c r="P146" s="113">
        <v>3.19</v>
      </c>
      <c r="Q146" s="113">
        <v>3.59</v>
      </c>
      <c r="R146" s="386">
        <f t="shared" si="5"/>
        <v>11.999999999999996</v>
      </c>
      <c r="S146" s="112"/>
      <c r="T146" s="164"/>
      <c r="U146" s="79"/>
      <c r="V146" s="126"/>
      <c r="W146" s="100"/>
      <c r="X146" s="19"/>
      <c r="Y146" s="79"/>
      <c r="Z146" s="40"/>
      <c r="AA146" s="218"/>
    </row>
    <row r="147" spans="2:27" ht="12.75">
      <c r="B147" s="160" t="s">
        <v>339</v>
      </c>
      <c r="C147" s="440" t="s">
        <v>332</v>
      </c>
      <c r="D147" s="206">
        <v>1666.7</v>
      </c>
      <c r="E147" s="439">
        <f t="shared" si="6"/>
        <v>9999.3</v>
      </c>
      <c r="F147" s="372">
        <v>17695</v>
      </c>
      <c r="G147" s="75"/>
      <c r="H147" s="282"/>
      <c r="I147" s="36">
        <f>16.75*1.23</f>
        <v>20.6025</v>
      </c>
      <c r="J147" s="128"/>
      <c r="K147" s="124"/>
      <c r="L147" s="270">
        <f>(E145*K145)+(E146*K146)+(E147*K147)</f>
        <v>0</v>
      </c>
      <c r="M147" s="124"/>
      <c r="N147" s="61">
        <f>(E145+E146+E147)*M147</f>
        <v>0</v>
      </c>
      <c r="O147" s="86">
        <f>0.00139*(E145+E146+E147)*1.23</f>
        <v>30.252970529999995</v>
      </c>
      <c r="P147" s="97">
        <v>29.71</v>
      </c>
      <c r="Q147" s="97">
        <v>35.82</v>
      </c>
      <c r="R147" s="421">
        <f t="shared" si="5"/>
        <v>183.29999999999998</v>
      </c>
      <c r="S147" s="130"/>
      <c r="T147" s="452"/>
      <c r="U147" s="81"/>
      <c r="V147" s="127"/>
      <c r="W147" s="37"/>
      <c r="X147" s="38">
        <v>80</v>
      </c>
      <c r="Y147" s="71">
        <v>53</v>
      </c>
      <c r="Z147" s="422"/>
      <c r="AA147" s="423"/>
    </row>
    <row r="148" spans="2:27" ht="12.75">
      <c r="B148" s="453"/>
      <c r="C148" s="247"/>
      <c r="D148" s="112">
        <v>1060.92</v>
      </c>
      <c r="E148" s="407">
        <f t="shared" si="6"/>
        <v>4482.000000000003</v>
      </c>
      <c r="F148" s="447"/>
      <c r="G148" s="134"/>
      <c r="H148" s="288"/>
      <c r="I148" s="39"/>
      <c r="J148" s="142"/>
      <c r="K148" s="141"/>
      <c r="L148" s="144"/>
      <c r="M148" s="141"/>
      <c r="N148" s="39"/>
      <c r="O148" s="135"/>
      <c r="P148" s="113">
        <v>12.45</v>
      </c>
      <c r="Q148" s="113">
        <v>16.52</v>
      </c>
      <c r="R148" s="448">
        <f aca="true" t="shared" si="7" ref="R148:R153">(Q148-P148)*30</f>
        <v>122.10000000000001</v>
      </c>
      <c r="S148" s="180"/>
      <c r="T148" s="164"/>
      <c r="U148" s="117"/>
      <c r="V148" s="140"/>
      <c r="W148" s="213"/>
      <c r="X148" s="40"/>
      <c r="Y148" s="82"/>
      <c r="Z148" s="420"/>
      <c r="AA148" s="449"/>
    </row>
    <row r="149" spans="2:27" ht="12.75">
      <c r="B149" s="109"/>
      <c r="D149" s="112">
        <v>509.05</v>
      </c>
      <c r="E149" s="407">
        <f t="shared" si="6"/>
        <v>2617.2000000000003</v>
      </c>
      <c r="F149" s="78"/>
      <c r="G149" s="275"/>
      <c r="H149" s="241"/>
      <c r="I149" s="80">
        <f>0.08*1.23</f>
        <v>0.0984</v>
      </c>
      <c r="J149" s="142"/>
      <c r="K149" s="141"/>
      <c r="L149" s="144"/>
      <c r="M149" s="125"/>
      <c r="N149" s="76"/>
      <c r="O149" s="112">
        <f>9.5*1.23</f>
        <v>11.685</v>
      </c>
      <c r="P149" s="113">
        <v>3.59</v>
      </c>
      <c r="Q149" s="113">
        <v>5.31</v>
      </c>
      <c r="R149" s="386">
        <f t="shared" si="7"/>
        <v>51.599999999999994</v>
      </c>
      <c r="S149" s="112"/>
      <c r="T149" s="164"/>
      <c r="U149" s="79"/>
      <c r="V149" s="126"/>
      <c r="W149" s="100"/>
      <c r="X149" s="19"/>
      <c r="Y149" s="79"/>
      <c r="Z149" s="40"/>
      <c r="AA149" s="218"/>
    </row>
    <row r="150" spans="2:27" ht="12.75">
      <c r="B150" s="160" t="s">
        <v>343</v>
      </c>
      <c r="C150" s="440" t="s">
        <v>341</v>
      </c>
      <c r="D150" s="206">
        <v>1964.52</v>
      </c>
      <c r="E150" s="439">
        <f t="shared" si="6"/>
        <v>8934.599999999999</v>
      </c>
      <c r="F150" s="372">
        <v>16034</v>
      </c>
      <c r="G150" s="75"/>
      <c r="H150" s="282"/>
      <c r="I150" s="36">
        <f>16.75*1.23</f>
        <v>20.6025</v>
      </c>
      <c r="J150" s="128"/>
      <c r="K150" s="124"/>
      <c r="L150" s="270">
        <f>(E148*K148)+(E149*K149)+(E150*K150)</f>
        <v>0</v>
      </c>
      <c r="M150" s="124"/>
      <c r="N150" s="61">
        <f>(E148+E149+E150)*M150</f>
        <v>0</v>
      </c>
      <c r="O150" s="86">
        <f>0.00139*(E148+E149+E150)*1.23</f>
        <v>27.41298786</v>
      </c>
      <c r="P150" s="97">
        <v>35.82</v>
      </c>
      <c r="Q150" s="97">
        <v>42.68</v>
      </c>
      <c r="R150" s="421">
        <f t="shared" si="7"/>
        <v>205.79999999999998</v>
      </c>
      <c r="S150" s="130"/>
      <c r="T150" s="452"/>
      <c r="U150" s="81"/>
      <c r="V150" s="127"/>
      <c r="W150" s="37"/>
      <c r="X150" s="38">
        <v>80</v>
      </c>
      <c r="Y150" s="71">
        <v>52</v>
      </c>
      <c r="Z150" s="422"/>
      <c r="AA150" s="423"/>
    </row>
    <row r="151" spans="2:27" ht="12.75">
      <c r="B151" s="453"/>
      <c r="C151" s="247"/>
      <c r="D151" s="112">
        <v>1221.71</v>
      </c>
      <c r="E151" s="407">
        <f aca="true" t="shared" si="8" ref="E151:E156">(D151-D148)*Y$9</f>
        <v>4823.699999999999</v>
      </c>
      <c r="F151" s="447"/>
      <c r="G151" s="134"/>
      <c r="H151" s="288"/>
      <c r="I151" s="39"/>
      <c r="J151" s="142"/>
      <c r="K151" s="141"/>
      <c r="L151" s="144"/>
      <c r="M151" s="141"/>
      <c r="N151" s="39"/>
      <c r="O151" s="135"/>
      <c r="P151" s="113">
        <v>16.52</v>
      </c>
      <c r="Q151" s="113">
        <v>19.95</v>
      </c>
      <c r="R151" s="448">
        <f t="shared" si="7"/>
        <v>102.89999999999999</v>
      </c>
      <c r="S151" s="180"/>
      <c r="T151" s="164"/>
      <c r="U151" s="117"/>
      <c r="V151" s="140"/>
      <c r="W151" s="213"/>
      <c r="X151" s="40"/>
      <c r="Y151" s="82"/>
      <c r="Z151" s="420"/>
      <c r="AA151" s="449"/>
    </row>
    <row r="152" spans="2:27" ht="12.75">
      <c r="B152" s="109"/>
      <c r="D152" s="112">
        <v>591.68</v>
      </c>
      <c r="E152" s="407">
        <f t="shared" si="8"/>
        <v>2478.8999999999983</v>
      </c>
      <c r="F152" s="78"/>
      <c r="G152" s="275"/>
      <c r="H152" s="241"/>
      <c r="I152" s="80">
        <f>0.08*1.23</f>
        <v>0.0984</v>
      </c>
      <c r="J152" s="142"/>
      <c r="K152" s="141"/>
      <c r="L152" s="144"/>
      <c r="M152" s="125"/>
      <c r="N152" s="76"/>
      <c r="O152" s="112">
        <f>9.5*1.23</f>
        <v>11.685</v>
      </c>
      <c r="P152" s="113">
        <v>5.31</v>
      </c>
      <c r="Q152" s="113">
        <v>9.01</v>
      </c>
      <c r="R152" s="386">
        <f t="shared" si="7"/>
        <v>111</v>
      </c>
      <c r="S152" s="112"/>
      <c r="T152" s="164"/>
      <c r="U152" s="79"/>
      <c r="V152" s="126"/>
      <c r="W152" s="100"/>
      <c r="X152" s="19"/>
      <c r="Y152" s="79"/>
      <c r="Z152" s="40"/>
      <c r="AA152" s="218"/>
    </row>
    <row r="153" spans="2:27" ht="12.75">
      <c r="B153" s="160" t="s">
        <v>347</v>
      </c>
      <c r="C153" s="440" t="s">
        <v>346</v>
      </c>
      <c r="D153" s="206">
        <v>2281.12</v>
      </c>
      <c r="E153" s="439">
        <f t="shared" si="8"/>
        <v>9497.999999999996</v>
      </c>
      <c r="F153" s="372">
        <v>16801</v>
      </c>
      <c r="G153" s="75"/>
      <c r="H153" s="282"/>
      <c r="I153" s="36">
        <f>16.75*1.23</f>
        <v>20.6025</v>
      </c>
      <c r="J153" s="128"/>
      <c r="K153" s="124"/>
      <c r="L153" s="270">
        <f>(E151*K151)+(E152*K152)+(E153*K153)</f>
        <v>0</v>
      </c>
      <c r="M153" s="124"/>
      <c r="N153" s="61">
        <f>(E151+E152+E153)*M153</f>
        <v>0</v>
      </c>
      <c r="O153" s="86">
        <f>0.00139*(E151+E152+E153)*1.23</f>
        <v>28.723985819999985</v>
      </c>
      <c r="P153" s="97">
        <v>42.68</v>
      </c>
      <c r="Q153" s="97">
        <v>52.78</v>
      </c>
      <c r="R153" s="421">
        <f t="shared" si="7"/>
        <v>303.00000000000006</v>
      </c>
      <c r="S153" s="130"/>
      <c r="T153" s="452"/>
      <c r="U153" s="81"/>
      <c r="V153" s="127"/>
      <c r="W153" s="37"/>
      <c r="X153" s="38">
        <v>80</v>
      </c>
      <c r="Y153" s="71">
        <v>44</v>
      </c>
      <c r="Z153" s="422"/>
      <c r="AA153" s="423"/>
    </row>
    <row r="154" spans="2:27" ht="12.75">
      <c r="B154" s="453"/>
      <c r="C154" s="247"/>
      <c r="D154" s="112">
        <v>1361.12</v>
      </c>
      <c r="E154" s="407">
        <f t="shared" si="8"/>
        <v>4182.299999999996</v>
      </c>
      <c r="F154" s="447"/>
      <c r="G154" s="134"/>
      <c r="H154" s="288"/>
      <c r="I154" s="39"/>
      <c r="J154" s="142"/>
      <c r="K154" s="141"/>
      <c r="L154" s="144"/>
      <c r="M154" s="141"/>
      <c r="N154" s="39"/>
      <c r="O154" s="135"/>
      <c r="P154" s="113">
        <v>19.95</v>
      </c>
      <c r="Q154" s="113">
        <v>26.05</v>
      </c>
      <c r="R154" s="448">
        <f aca="true" t="shared" si="9" ref="R154:R159">(Q154-P154)*30</f>
        <v>183.00000000000006</v>
      </c>
      <c r="S154" s="180"/>
      <c r="T154" s="164"/>
      <c r="U154" s="117"/>
      <c r="V154" s="140"/>
      <c r="W154" s="213"/>
      <c r="X154" s="40"/>
      <c r="Y154" s="82"/>
      <c r="Z154" s="420"/>
      <c r="AA154" s="449"/>
    </row>
    <row r="155" spans="2:27" ht="12.75">
      <c r="B155" s="109"/>
      <c r="D155" s="112">
        <v>643.2</v>
      </c>
      <c r="E155" s="407">
        <f t="shared" si="8"/>
        <v>1545.6000000000029</v>
      </c>
      <c r="F155" s="78"/>
      <c r="G155" s="275"/>
      <c r="H155" s="241"/>
      <c r="I155" s="80">
        <f>0.08*1.23</f>
        <v>0.0984</v>
      </c>
      <c r="J155" s="142"/>
      <c r="K155" s="141"/>
      <c r="L155" s="144"/>
      <c r="M155" s="125"/>
      <c r="N155" s="76"/>
      <c r="O155" s="112">
        <f>9.5*1.23</f>
        <v>11.685</v>
      </c>
      <c r="P155" s="113">
        <v>9.01</v>
      </c>
      <c r="Q155" s="113">
        <v>10.7</v>
      </c>
      <c r="R155" s="386">
        <f t="shared" si="9"/>
        <v>50.69999999999999</v>
      </c>
      <c r="S155" s="112"/>
      <c r="T155" s="164"/>
      <c r="U155" s="79"/>
      <c r="V155" s="126"/>
      <c r="W155" s="100"/>
      <c r="X155" s="19"/>
      <c r="Y155" s="79"/>
      <c r="Z155" s="40"/>
      <c r="AA155" s="218"/>
    </row>
    <row r="156" spans="2:27" ht="12.75">
      <c r="B156" s="160" t="s">
        <v>350</v>
      </c>
      <c r="C156" s="440" t="s">
        <v>349</v>
      </c>
      <c r="D156" s="206">
        <v>2594.11</v>
      </c>
      <c r="E156" s="439">
        <f t="shared" si="8"/>
        <v>9389.700000000008</v>
      </c>
      <c r="F156" s="372">
        <v>15118</v>
      </c>
      <c r="G156" s="75"/>
      <c r="H156" s="282"/>
      <c r="I156" s="36">
        <f>16.75*1.23</f>
        <v>20.6025</v>
      </c>
      <c r="J156" s="128"/>
      <c r="K156" s="124"/>
      <c r="L156" s="270">
        <f>(E154*K154)+(E155*K155)+(E156*K156)</f>
        <v>0</v>
      </c>
      <c r="M156" s="124"/>
      <c r="N156" s="61">
        <f>(E154+E155+E156)*M156</f>
        <v>0</v>
      </c>
      <c r="O156" s="86">
        <f>0.00139*(E154+E155+E156)*1.23</f>
        <v>25.846560720000006</v>
      </c>
      <c r="P156" s="97">
        <v>52.78</v>
      </c>
      <c r="Q156" s="97">
        <v>70.15</v>
      </c>
      <c r="R156" s="421">
        <f t="shared" si="9"/>
        <v>521.1000000000001</v>
      </c>
      <c r="S156" s="130"/>
      <c r="T156" s="452"/>
      <c r="U156" s="81"/>
      <c r="V156" s="127"/>
      <c r="W156" s="37"/>
      <c r="X156" s="38">
        <v>80</v>
      </c>
      <c r="Y156" s="71">
        <v>41</v>
      </c>
      <c r="Z156" s="422"/>
      <c r="AA156" s="423"/>
    </row>
    <row r="157" spans="2:27" ht="12.75">
      <c r="B157" s="453"/>
      <c r="C157" s="247"/>
      <c r="D157" s="112">
        <v>1516.12</v>
      </c>
      <c r="E157" s="407">
        <f aca="true" t="shared" si="10" ref="E157:E162">(D157-D154)*Y$9</f>
        <v>4650</v>
      </c>
      <c r="F157" s="447"/>
      <c r="G157" s="134"/>
      <c r="H157" s="288"/>
      <c r="I157" s="39"/>
      <c r="J157" s="142"/>
      <c r="K157" s="141"/>
      <c r="L157" s="144"/>
      <c r="M157" s="141"/>
      <c r="N157" s="39"/>
      <c r="O157" s="135"/>
      <c r="P157" s="113">
        <v>26.05</v>
      </c>
      <c r="Q157" s="113">
        <v>32.53</v>
      </c>
      <c r="R157" s="448">
        <f t="shared" si="9"/>
        <v>194.4</v>
      </c>
      <c r="S157" s="180"/>
      <c r="T157" s="164"/>
      <c r="U157" s="117"/>
      <c r="V157" s="140"/>
      <c r="W157" s="213"/>
      <c r="X157" s="40"/>
      <c r="Y157" s="82"/>
      <c r="Z157" s="420"/>
      <c r="AA157" s="449"/>
    </row>
    <row r="158" spans="2:27" ht="12.75">
      <c r="B158" s="109"/>
      <c r="D158" s="112">
        <v>671.93</v>
      </c>
      <c r="E158" s="407">
        <f t="shared" si="10"/>
        <v>861.8999999999971</v>
      </c>
      <c r="F158" s="78"/>
      <c r="G158" s="275"/>
      <c r="H158" s="241"/>
      <c r="I158" s="80">
        <f>0.08*1.23</f>
        <v>0.0984</v>
      </c>
      <c r="J158" s="142"/>
      <c r="K158" s="141"/>
      <c r="L158" s="144"/>
      <c r="M158" s="125"/>
      <c r="N158" s="76"/>
      <c r="O158" s="112">
        <f>9.5*1.23</f>
        <v>11.685</v>
      </c>
      <c r="P158" s="113">
        <v>10.7</v>
      </c>
      <c r="Q158" s="113">
        <v>13.75</v>
      </c>
      <c r="R158" s="386">
        <f t="shared" si="9"/>
        <v>91.50000000000003</v>
      </c>
      <c r="S158" s="112"/>
      <c r="T158" s="164"/>
      <c r="U158" s="79"/>
      <c r="V158" s="126"/>
      <c r="W158" s="100"/>
      <c r="X158" s="19"/>
      <c r="Y158" s="79"/>
      <c r="Z158" s="40"/>
      <c r="AA158" s="218"/>
    </row>
    <row r="159" spans="2:27" ht="12.75">
      <c r="B159" s="160" t="s">
        <v>358</v>
      </c>
      <c r="C159" s="440" t="s">
        <v>359</v>
      </c>
      <c r="D159" s="206">
        <v>2827.18</v>
      </c>
      <c r="E159" s="439">
        <f t="shared" si="10"/>
        <v>6992.099999999991</v>
      </c>
      <c r="F159" s="372">
        <v>12504</v>
      </c>
      <c r="G159" s="75"/>
      <c r="H159" s="282"/>
      <c r="I159" s="36">
        <f>16.75*1.23</f>
        <v>20.6025</v>
      </c>
      <c r="J159" s="128"/>
      <c r="K159" s="124"/>
      <c r="L159" s="270">
        <f>(E157*K157)+(E158*K158)+(E159*K159)</f>
        <v>0</v>
      </c>
      <c r="M159" s="124"/>
      <c r="N159" s="61">
        <f>(E157+E158+E159)*M159</f>
        <v>0</v>
      </c>
      <c r="O159" s="86">
        <f>0.00139*(E157+E158+E159)*1.23</f>
        <v>21.378088799999983</v>
      </c>
      <c r="P159" s="97">
        <v>70.15</v>
      </c>
      <c r="Q159" s="97">
        <v>89.69</v>
      </c>
      <c r="R159" s="421">
        <f t="shared" si="9"/>
        <v>586.1999999999998</v>
      </c>
      <c r="S159" s="130"/>
      <c r="T159" s="452"/>
      <c r="U159" s="81"/>
      <c r="V159" s="127"/>
      <c r="W159" s="37"/>
      <c r="X159" s="38">
        <v>60</v>
      </c>
      <c r="Y159" s="71">
        <v>49</v>
      </c>
      <c r="Z159" s="422"/>
      <c r="AA159" s="423"/>
    </row>
    <row r="160" spans="2:27" ht="12.75">
      <c r="B160" s="453"/>
      <c r="C160" s="247"/>
      <c r="D160" s="112">
        <v>1635.67</v>
      </c>
      <c r="E160" s="407">
        <f t="shared" si="10"/>
        <v>3586.5000000000055</v>
      </c>
      <c r="F160" s="447"/>
      <c r="G160" s="134"/>
      <c r="H160" s="288"/>
      <c r="I160" s="39"/>
      <c r="J160" s="142"/>
      <c r="K160" s="141"/>
      <c r="L160" s="144"/>
      <c r="M160" s="141"/>
      <c r="N160" s="39"/>
      <c r="O160" s="135"/>
      <c r="P160" s="113">
        <v>32.53</v>
      </c>
      <c r="Q160" s="113">
        <v>39.29</v>
      </c>
      <c r="R160" s="448">
        <f aca="true" t="shared" si="11" ref="R160:R165">(Q160-P160)*30</f>
        <v>202.79999999999995</v>
      </c>
      <c r="S160" s="180"/>
      <c r="T160" s="164"/>
      <c r="U160" s="117"/>
      <c r="V160" s="140"/>
      <c r="W160" s="213"/>
      <c r="X160" s="40"/>
      <c r="Y160" s="82"/>
      <c r="Z160" s="420"/>
      <c r="AA160" s="449"/>
    </row>
    <row r="161" spans="2:27" ht="12.75">
      <c r="B161" s="109"/>
      <c r="D161" s="112">
        <v>695.18</v>
      </c>
      <c r="E161" s="407">
        <f t="shared" si="10"/>
        <v>697.5</v>
      </c>
      <c r="F161" s="78"/>
      <c r="G161" s="275"/>
      <c r="H161" s="241"/>
      <c r="I161" s="80">
        <f>0.08*1.23</f>
        <v>0.0984</v>
      </c>
      <c r="J161" s="142"/>
      <c r="K161" s="141"/>
      <c r="L161" s="144"/>
      <c r="M161" s="125"/>
      <c r="N161" s="76"/>
      <c r="O161" s="112">
        <f>9.5*1.23</f>
        <v>11.685</v>
      </c>
      <c r="P161" s="113">
        <v>13.75</v>
      </c>
      <c r="Q161" s="113">
        <v>17.58</v>
      </c>
      <c r="R161" s="386">
        <f t="shared" si="11"/>
        <v>114.89999999999995</v>
      </c>
      <c r="S161" s="112"/>
      <c r="T161" s="164"/>
      <c r="U161" s="79"/>
      <c r="V161" s="126"/>
      <c r="W161" s="100"/>
      <c r="X161" s="19"/>
      <c r="Y161" s="79"/>
      <c r="Z161" s="40"/>
      <c r="AA161" s="218"/>
    </row>
    <row r="162" spans="2:27" ht="12.75">
      <c r="B162" s="160" t="s">
        <v>361</v>
      </c>
      <c r="C162" s="440" t="s">
        <v>362</v>
      </c>
      <c r="D162" s="206">
        <v>3029.27</v>
      </c>
      <c r="E162" s="439">
        <f t="shared" si="10"/>
        <v>6062.700000000004</v>
      </c>
      <c r="F162" s="372">
        <v>10347</v>
      </c>
      <c r="G162" s="75"/>
      <c r="H162" s="282"/>
      <c r="I162" s="36">
        <f>16.75*1.23</f>
        <v>20.6025</v>
      </c>
      <c r="J162" s="128"/>
      <c r="K162" s="124"/>
      <c r="L162" s="270">
        <f>(E160*K160)+(E161*K161)+(E162*K162)</f>
        <v>0</v>
      </c>
      <c r="M162" s="124"/>
      <c r="N162" s="61">
        <f>(E160+E161+E162)*M162</f>
        <v>0</v>
      </c>
      <c r="O162" s="86">
        <f>0.00139*(E160+E161+E162)*1.23</f>
        <v>17.689752990000017</v>
      </c>
      <c r="P162" s="97">
        <v>89.69</v>
      </c>
      <c r="Q162" s="97">
        <v>109.16</v>
      </c>
      <c r="R162" s="421">
        <f t="shared" si="11"/>
        <v>584.0999999999999</v>
      </c>
      <c r="S162" s="130"/>
      <c r="T162" s="452"/>
      <c r="U162" s="81"/>
      <c r="V162" s="127"/>
      <c r="W162" s="37"/>
      <c r="X162" s="38">
        <v>60</v>
      </c>
      <c r="Y162" s="71">
        <v>47</v>
      </c>
      <c r="Z162" s="422"/>
      <c r="AA162" s="423"/>
    </row>
    <row r="163" spans="2:27" ht="12.75">
      <c r="B163" s="453"/>
      <c r="C163" s="247"/>
      <c r="D163" s="112">
        <v>1745.21</v>
      </c>
      <c r="E163" s="407">
        <f aca="true" t="shared" si="12" ref="E163:E168">(D163-D160)*Y$9</f>
        <v>3286.199999999999</v>
      </c>
      <c r="F163" s="447"/>
      <c r="G163" s="134"/>
      <c r="H163" s="288"/>
      <c r="I163" s="39"/>
      <c r="J163" s="142"/>
      <c r="K163" s="141"/>
      <c r="L163" s="144"/>
      <c r="M163" s="141"/>
      <c r="N163" s="39"/>
      <c r="O163" s="135"/>
      <c r="P163" s="113">
        <v>39.29</v>
      </c>
      <c r="Q163" s="113">
        <v>46.13</v>
      </c>
      <c r="R163" s="448">
        <f t="shared" si="11"/>
        <v>205.2000000000001</v>
      </c>
      <c r="S163" s="180"/>
      <c r="T163" s="164"/>
      <c r="U163" s="117"/>
      <c r="V163" s="140"/>
      <c r="W163" s="213"/>
      <c r="X163" s="40"/>
      <c r="Y163" s="82"/>
      <c r="Z163" s="420"/>
      <c r="AA163" s="449"/>
    </row>
    <row r="164" spans="2:27" ht="12.75">
      <c r="B164" s="109"/>
      <c r="D164" s="112">
        <v>720.84</v>
      </c>
      <c r="E164" s="407">
        <f t="shared" si="12"/>
        <v>769.8000000000025</v>
      </c>
      <c r="F164" s="78"/>
      <c r="G164" s="275"/>
      <c r="H164" s="241"/>
      <c r="I164" s="80">
        <f>0.08*1.23</f>
        <v>0.0984</v>
      </c>
      <c r="J164" s="142"/>
      <c r="K164" s="141"/>
      <c r="L164" s="144"/>
      <c r="M164" s="125"/>
      <c r="N164" s="76"/>
      <c r="O164" s="112">
        <f>9.5*1.23</f>
        <v>11.685</v>
      </c>
      <c r="P164" s="113">
        <v>17.58</v>
      </c>
      <c r="Q164" s="113">
        <v>21.6</v>
      </c>
      <c r="R164" s="386">
        <f t="shared" si="11"/>
        <v>120.6000000000001</v>
      </c>
      <c r="S164" s="112"/>
      <c r="T164" s="164"/>
      <c r="U164" s="79"/>
      <c r="V164" s="126"/>
      <c r="W164" s="100"/>
      <c r="X164" s="19"/>
      <c r="Y164" s="79"/>
      <c r="Z164" s="40"/>
      <c r="AA164" s="218"/>
    </row>
    <row r="165" spans="2:27" ht="12.75">
      <c r="B165" s="160" t="s">
        <v>365</v>
      </c>
      <c r="C165" s="440" t="s">
        <v>364</v>
      </c>
      <c r="D165" s="206">
        <v>3229.82</v>
      </c>
      <c r="E165" s="439">
        <f t="shared" si="12"/>
        <v>6016.5000000000055</v>
      </c>
      <c r="F165" s="372">
        <v>10073</v>
      </c>
      <c r="G165" s="75"/>
      <c r="H165" s="282"/>
      <c r="I165" s="36">
        <f>16.75*1.23</f>
        <v>20.6025</v>
      </c>
      <c r="J165" s="128"/>
      <c r="K165" s="124"/>
      <c r="L165" s="270">
        <f>(E163*K163)+(E164*K164)+(E165*K165)</f>
        <v>0</v>
      </c>
      <c r="M165" s="124"/>
      <c r="N165" s="61">
        <f>(E163+E164+E165)*M165</f>
        <v>0</v>
      </c>
      <c r="O165" s="86">
        <f>0.00139*(E163+E164+E165)*1.23</f>
        <v>17.22095325000001</v>
      </c>
      <c r="P165" s="97">
        <v>109.16</v>
      </c>
      <c r="Q165" s="97">
        <v>130.22</v>
      </c>
      <c r="R165" s="421">
        <f t="shared" si="11"/>
        <v>631.8000000000001</v>
      </c>
      <c r="S165" s="130"/>
      <c r="T165" s="452"/>
      <c r="U165" s="81"/>
      <c r="V165" s="127"/>
      <c r="W165" s="37"/>
      <c r="X165" s="38">
        <v>60</v>
      </c>
      <c r="Y165" s="71">
        <v>35</v>
      </c>
      <c r="Z165" s="422"/>
      <c r="AA165" s="423"/>
    </row>
    <row r="166" spans="2:27" ht="12.75">
      <c r="B166" s="453"/>
      <c r="C166" s="247"/>
      <c r="D166" s="112">
        <v>1844.85</v>
      </c>
      <c r="E166" s="407">
        <f t="shared" si="12"/>
        <v>2989.199999999996</v>
      </c>
      <c r="F166" s="447"/>
      <c r="G166" s="134"/>
      <c r="H166" s="288"/>
      <c r="I166" s="39"/>
      <c r="J166" s="142"/>
      <c r="K166" s="141"/>
      <c r="L166" s="144"/>
      <c r="M166" s="141"/>
      <c r="N166" s="39"/>
      <c r="O166" s="135"/>
      <c r="P166" s="113">
        <v>46.13</v>
      </c>
      <c r="Q166" s="113">
        <v>51.69</v>
      </c>
      <c r="R166" s="448">
        <f aca="true" t="shared" si="13" ref="R166:R171">(Q166-P166)*30</f>
        <v>166.79999999999984</v>
      </c>
      <c r="S166" s="180"/>
      <c r="T166" s="164"/>
      <c r="U166" s="117"/>
      <c r="V166" s="140"/>
      <c r="W166" s="213"/>
      <c r="X166" s="40"/>
      <c r="Y166" s="82"/>
      <c r="Z166" s="420"/>
      <c r="AA166" s="449"/>
    </row>
    <row r="167" spans="2:27" ht="12.75">
      <c r="B167" s="109"/>
      <c r="D167" s="112">
        <v>753.21</v>
      </c>
      <c r="E167" s="407">
        <f t="shared" si="12"/>
        <v>971.1000000000001</v>
      </c>
      <c r="F167" s="78"/>
      <c r="G167" s="275"/>
      <c r="H167" s="241"/>
      <c r="I167" s="80">
        <f>0.08*1.23</f>
        <v>0.0984</v>
      </c>
      <c r="J167" s="142"/>
      <c r="K167" s="141"/>
      <c r="L167" s="144"/>
      <c r="M167" s="125"/>
      <c r="N167" s="76"/>
      <c r="O167" s="112">
        <f>9.5*1.23</f>
        <v>11.685</v>
      </c>
      <c r="P167" s="113">
        <v>21.6</v>
      </c>
      <c r="Q167" s="113">
        <v>23.38</v>
      </c>
      <c r="R167" s="386">
        <f t="shared" si="13"/>
        <v>53.39999999999993</v>
      </c>
      <c r="S167" s="112"/>
      <c r="T167" s="164"/>
      <c r="U167" s="79"/>
      <c r="V167" s="126"/>
      <c r="W167" s="100"/>
      <c r="X167" s="19"/>
      <c r="Y167" s="79"/>
      <c r="Z167" s="40"/>
      <c r="AA167" s="218"/>
    </row>
    <row r="168" spans="2:27" ht="12.75">
      <c r="B168" s="160" t="s">
        <v>372</v>
      </c>
      <c r="C168" s="440" t="s">
        <v>371</v>
      </c>
      <c r="D168" s="206">
        <v>3448.41</v>
      </c>
      <c r="E168" s="439">
        <f t="shared" si="12"/>
        <v>6557.699999999991</v>
      </c>
      <c r="F168" s="372">
        <v>10518</v>
      </c>
      <c r="G168" s="75"/>
      <c r="H168" s="282"/>
      <c r="I168" s="36">
        <f>16.75*1.23</f>
        <v>20.6025</v>
      </c>
      <c r="J168" s="128"/>
      <c r="K168" s="124"/>
      <c r="L168" s="270">
        <f>(E166*K166)+(E167*K167)+(E168*K168)</f>
        <v>0</v>
      </c>
      <c r="M168" s="124"/>
      <c r="N168" s="61">
        <f>(E166+E167+E168)*M168</f>
        <v>0</v>
      </c>
      <c r="O168" s="86">
        <f>0.00139*(E166+E167+E168)*1.23</f>
        <v>17.98262459999998</v>
      </c>
      <c r="P168" s="97">
        <v>130.22</v>
      </c>
      <c r="Q168" s="97">
        <v>145.59</v>
      </c>
      <c r="R168" s="421">
        <f t="shared" si="13"/>
        <v>461.10000000000014</v>
      </c>
      <c r="S168" s="130"/>
      <c r="T168" s="452"/>
      <c r="U168" s="81"/>
      <c r="V168" s="127"/>
      <c r="W168" s="37"/>
      <c r="X168" s="38">
        <v>60</v>
      </c>
      <c r="Y168" s="71">
        <v>31</v>
      </c>
      <c r="Z168" s="422"/>
      <c r="AA168" s="423"/>
    </row>
    <row r="169" spans="2:27" ht="12.75">
      <c r="B169" s="453"/>
      <c r="C169" s="247"/>
      <c r="D169" s="112">
        <v>1968.94</v>
      </c>
      <c r="E169" s="407">
        <f aca="true" t="shared" si="14" ref="E169:E174">(D169-D166)*Y$9</f>
        <v>3722.7000000000044</v>
      </c>
      <c r="F169" s="447"/>
      <c r="G169" s="134"/>
      <c r="H169" s="288"/>
      <c r="I169" s="39"/>
      <c r="J169" s="142"/>
      <c r="K169" s="141"/>
      <c r="L169" s="144"/>
      <c r="M169" s="141"/>
      <c r="N169" s="39"/>
      <c r="O169" s="135"/>
      <c r="P169" s="113">
        <v>51.69</v>
      </c>
      <c r="Q169" s="113">
        <v>57.07</v>
      </c>
      <c r="R169" s="448">
        <f t="shared" si="13"/>
        <v>161.4000000000001</v>
      </c>
      <c r="S169" s="180"/>
      <c r="T169" s="164"/>
      <c r="U169" s="117"/>
      <c r="V169" s="140"/>
      <c r="W169" s="213"/>
      <c r="X169" s="40"/>
      <c r="Y169" s="82"/>
      <c r="Z169" s="420"/>
      <c r="AA169" s="449"/>
    </row>
    <row r="170" spans="2:27" ht="12.75">
      <c r="B170" s="109"/>
      <c r="D170" s="112">
        <v>794.67</v>
      </c>
      <c r="E170" s="407">
        <f t="shared" si="14"/>
        <v>1243.7999999999977</v>
      </c>
      <c r="F170" s="78"/>
      <c r="G170" s="275"/>
      <c r="H170" s="241"/>
      <c r="I170" s="80">
        <f>0.08*1.23</f>
        <v>0.0984</v>
      </c>
      <c r="J170" s="142"/>
      <c r="K170" s="141"/>
      <c r="L170" s="144"/>
      <c r="M170" s="125"/>
      <c r="N170" s="76"/>
      <c r="O170" s="112">
        <f>9.5*1.23</f>
        <v>11.685</v>
      </c>
      <c r="P170" s="113">
        <v>23.38</v>
      </c>
      <c r="Q170" s="113">
        <v>23.74</v>
      </c>
      <c r="R170" s="386">
        <f t="shared" si="13"/>
        <v>10.799999999999983</v>
      </c>
      <c r="S170" s="112"/>
      <c r="T170" s="164"/>
      <c r="U170" s="79"/>
      <c r="V170" s="126"/>
      <c r="W170" s="100"/>
      <c r="X170" s="19"/>
      <c r="Y170" s="79"/>
      <c r="Z170" s="40"/>
      <c r="AA170" s="218"/>
    </row>
    <row r="171" spans="2:27" ht="12.75">
      <c r="B171" s="160" t="s">
        <v>376</v>
      </c>
      <c r="C171" s="440" t="s">
        <v>375</v>
      </c>
      <c r="D171" s="206">
        <v>3668.34</v>
      </c>
      <c r="E171" s="439">
        <f t="shared" si="14"/>
        <v>6597.900000000009</v>
      </c>
      <c r="F171" s="372"/>
      <c r="G171" s="75"/>
      <c r="H171" s="282"/>
      <c r="I171" s="36">
        <f>16.75*1.23</f>
        <v>20.6025</v>
      </c>
      <c r="J171" s="128"/>
      <c r="K171" s="124"/>
      <c r="L171" s="270">
        <f>(E169*K169)+(E170*K170)+(E171*K171)</f>
        <v>0</v>
      </c>
      <c r="M171" s="124"/>
      <c r="N171" s="61">
        <f>(E169+E170+E171)*M171</f>
        <v>0</v>
      </c>
      <c r="O171" s="86">
        <f>0.00139*(E169+E170+E171)*1.23</f>
        <v>19.771654680000015</v>
      </c>
      <c r="P171" s="97">
        <v>145.59</v>
      </c>
      <c r="Q171" s="97">
        <v>160.13</v>
      </c>
      <c r="R171" s="421">
        <f t="shared" si="13"/>
        <v>436.19999999999976</v>
      </c>
      <c r="S171" s="130"/>
      <c r="T171" s="452"/>
      <c r="U171" s="81"/>
      <c r="V171" s="127"/>
      <c r="W171" s="37"/>
      <c r="X171" s="38">
        <v>80</v>
      </c>
      <c r="Y171" s="71">
        <v>41</v>
      </c>
      <c r="Z171" s="422"/>
      <c r="AA171" s="423"/>
    </row>
    <row r="172" spans="2:27" ht="12.75">
      <c r="B172" s="453"/>
      <c r="C172" s="247"/>
      <c r="D172" s="112">
        <v>2137.97</v>
      </c>
      <c r="E172" s="407">
        <f t="shared" si="14"/>
        <v>5070.899999999992</v>
      </c>
      <c r="F172" s="447"/>
      <c r="G172" s="134"/>
      <c r="H172" s="288"/>
      <c r="I172" s="39"/>
      <c r="J172" s="142"/>
      <c r="K172" s="141"/>
      <c r="L172" s="144"/>
      <c r="M172" s="141"/>
      <c r="N172" s="39"/>
      <c r="O172" s="135"/>
      <c r="P172" s="113">
        <v>57.07</v>
      </c>
      <c r="Q172" s="113">
        <v>62.66</v>
      </c>
      <c r="R172" s="448">
        <f aca="true" t="shared" si="15" ref="R172:R177">(Q172-P172)*30</f>
        <v>167.69999999999987</v>
      </c>
      <c r="S172" s="180"/>
      <c r="T172" s="164"/>
      <c r="U172" s="117"/>
      <c r="V172" s="140"/>
      <c r="W172" s="213"/>
      <c r="X172" s="40"/>
      <c r="Y172" s="82"/>
      <c r="Z172" s="420"/>
      <c r="AA172" s="449"/>
    </row>
    <row r="173" spans="2:27" ht="12.75">
      <c r="B173" s="109"/>
      <c r="D173" s="112">
        <v>874.61</v>
      </c>
      <c r="E173" s="407">
        <f t="shared" si="14"/>
        <v>2398.2000000000016</v>
      </c>
      <c r="F173" s="78"/>
      <c r="G173" s="275"/>
      <c r="H173" s="241"/>
      <c r="I173" s="80">
        <f>0.08*1.23</f>
        <v>0.0984</v>
      </c>
      <c r="J173" s="142"/>
      <c r="K173" s="141"/>
      <c r="L173" s="144"/>
      <c r="M173" s="125"/>
      <c r="N173" s="76"/>
      <c r="O173" s="112">
        <f>9.5*1.23</f>
        <v>11.685</v>
      </c>
      <c r="P173" s="113">
        <v>23.74</v>
      </c>
      <c r="Q173" s="113">
        <v>27</v>
      </c>
      <c r="R173" s="386">
        <f t="shared" si="15"/>
        <v>97.80000000000004</v>
      </c>
      <c r="S173" s="112"/>
      <c r="T173" s="164"/>
      <c r="U173" s="79"/>
      <c r="V173" s="126"/>
      <c r="W173" s="100"/>
      <c r="X173" s="19"/>
      <c r="Y173" s="79"/>
      <c r="Z173" s="40"/>
      <c r="AA173" s="218"/>
    </row>
    <row r="174" spans="2:27" ht="12.75">
      <c r="B174" s="160" t="s">
        <v>380</v>
      </c>
      <c r="C174" s="440" t="s">
        <v>379</v>
      </c>
      <c r="D174" s="206">
        <v>3966.88</v>
      </c>
      <c r="E174" s="439">
        <f t="shared" si="14"/>
        <v>8956.199999999999</v>
      </c>
      <c r="F174" s="372"/>
      <c r="G174" s="75"/>
      <c r="H174" s="282"/>
      <c r="I174" s="36">
        <f>16.75*1.23</f>
        <v>20.6025</v>
      </c>
      <c r="J174" s="128"/>
      <c r="K174" s="124"/>
      <c r="L174" s="270">
        <f>(E172*K172)+(E173*K173)+(E174*K174)</f>
        <v>0</v>
      </c>
      <c r="M174" s="124"/>
      <c r="N174" s="61">
        <f>(E172+E173+E174)*M174</f>
        <v>0</v>
      </c>
      <c r="O174" s="86">
        <f>0.00139*(E172+E173+E174)*1.23</f>
        <v>28.082335409999985</v>
      </c>
      <c r="P174" s="97">
        <v>160.13</v>
      </c>
      <c r="Q174" s="97">
        <v>168.55</v>
      </c>
      <c r="R174" s="421">
        <f t="shared" si="15"/>
        <v>252.60000000000048</v>
      </c>
      <c r="S174" s="130"/>
      <c r="T174" s="452"/>
      <c r="U174" s="81"/>
      <c r="V174" s="127"/>
      <c r="W174" s="37"/>
      <c r="X174" s="38">
        <v>80</v>
      </c>
      <c r="Y174" s="71">
        <v>52</v>
      </c>
      <c r="Z174" s="422"/>
      <c r="AA174" s="423"/>
    </row>
    <row r="175" spans="2:27" ht="12.75">
      <c r="B175" s="453"/>
      <c r="C175" s="247"/>
      <c r="D175" s="112">
        <v>2302.78</v>
      </c>
      <c r="E175" s="407">
        <f>(D175-D172)*Y$9</f>
        <v>4944.300000000012</v>
      </c>
      <c r="F175" s="447"/>
      <c r="G175" s="134"/>
      <c r="H175" s="288"/>
      <c r="I175" s="39"/>
      <c r="J175" s="142"/>
      <c r="K175" s="141"/>
      <c r="L175" s="144"/>
      <c r="M175" s="141"/>
      <c r="N175" s="39"/>
      <c r="O175" s="135"/>
      <c r="P175" s="113">
        <v>62.66</v>
      </c>
      <c r="Q175" s="113">
        <v>69.68</v>
      </c>
      <c r="R175" s="448">
        <f t="shared" si="15"/>
        <v>210.6000000000003</v>
      </c>
      <c r="S175" s="180"/>
      <c r="T175" s="164"/>
      <c r="U175" s="117"/>
      <c r="V175" s="140"/>
      <c r="W175" s="213"/>
      <c r="X175" s="40"/>
      <c r="Y175" s="82"/>
      <c r="Z175" s="420"/>
      <c r="AA175" s="449"/>
    </row>
    <row r="176" spans="2:27" ht="12.75">
      <c r="B176" s="109"/>
      <c r="D176" s="112">
        <v>968.86</v>
      </c>
      <c r="E176" s="407">
        <f>(D176-D173)*Y$9</f>
        <v>2827.5</v>
      </c>
      <c r="F176" s="78"/>
      <c r="G176" s="275"/>
      <c r="H176" s="241"/>
      <c r="I176" s="80">
        <f>0.08*1.23</f>
        <v>0.0984</v>
      </c>
      <c r="J176" s="142"/>
      <c r="K176" s="141"/>
      <c r="L176" s="144"/>
      <c r="M176" s="125"/>
      <c r="N176" s="76"/>
      <c r="O176" s="112">
        <f>9.5*1.23</f>
        <v>11.685</v>
      </c>
      <c r="P176" s="113">
        <v>27</v>
      </c>
      <c r="Q176" s="113">
        <v>27.78</v>
      </c>
      <c r="R176" s="386">
        <f t="shared" si="15"/>
        <v>23.400000000000034</v>
      </c>
      <c r="S176" s="112"/>
      <c r="T176" s="164"/>
      <c r="U176" s="79"/>
      <c r="V176" s="126"/>
      <c r="W176" s="100"/>
      <c r="X176" s="19"/>
      <c r="Y176" s="79"/>
      <c r="Z176" s="40"/>
      <c r="AA176" s="218"/>
    </row>
    <row r="177" spans="2:27" ht="13.5" thickBot="1">
      <c r="B177" s="160" t="s">
        <v>382</v>
      </c>
      <c r="C177" s="440" t="s">
        <v>381</v>
      </c>
      <c r="D177" s="206">
        <v>4300.07</v>
      </c>
      <c r="E177" s="439">
        <f>(D177-D174)*Y$9</f>
        <v>9995.699999999988</v>
      </c>
      <c r="F177" s="372"/>
      <c r="G177" s="519"/>
      <c r="H177" s="508"/>
      <c r="I177" s="36">
        <f>16.75*1.23</f>
        <v>20.6025</v>
      </c>
      <c r="J177" s="128"/>
      <c r="K177" s="124"/>
      <c r="L177" s="270">
        <f>(E175*K175)+(E176*K176)+(E177*K177)</f>
        <v>0</v>
      </c>
      <c r="M177" s="124"/>
      <c r="N177" s="61">
        <f>(E175+E176+E177)*M177</f>
        <v>0</v>
      </c>
      <c r="O177" s="86">
        <f>0.00139*(E175+E176+E177)*1.23</f>
        <v>30.37709475</v>
      </c>
      <c r="P177" s="97">
        <v>168.55</v>
      </c>
      <c r="Q177" s="97">
        <v>180.16</v>
      </c>
      <c r="R177" s="421">
        <f t="shared" si="15"/>
        <v>348.29999999999956</v>
      </c>
      <c r="S177" s="130"/>
      <c r="T177" s="456"/>
      <c r="U177" s="307"/>
      <c r="V177" s="127"/>
      <c r="W177" s="37"/>
      <c r="X177" s="38">
        <v>80</v>
      </c>
      <c r="Y177" s="71">
        <v>49</v>
      </c>
      <c r="Z177" s="422"/>
      <c r="AA177" s="423"/>
    </row>
    <row r="178" spans="2:27" ht="13.5" thickBot="1">
      <c r="B178" s="526" t="s">
        <v>333</v>
      </c>
      <c r="C178" s="565"/>
      <c r="D178" s="566"/>
      <c r="E178" s="41"/>
      <c r="F178" s="13"/>
      <c r="G178" s="228"/>
      <c r="H178" s="248"/>
      <c r="I178" s="13"/>
      <c r="J178" s="13"/>
      <c r="K178" s="41"/>
      <c r="L178" s="41"/>
      <c r="M178" s="41"/>
      <c r="N178" s="41"/>
      <c r="O178" s="302"/>
      <c r="P178" s="33"/>
      <c r="Q178" s="246"/>
      <c r="R178" s="245"/>
      <c r="S178" s="33"/>
      <c r="T178" s="198"/>
      <c r="U178" s="255"/>
      <c r="V178" s="266"/>
      <c r="W178" s="294"/>
      <c r="X178" s="42"/>
      <c r="Y178" s="305"/>
      <c r="Z178" s="42"/>
      <c r="AA178" s="43"/>
    </row>
    <row r="179" spans="2:27" ht="13.5" thickBot="1">
      <c r="B179" s="567"/>
      <c r="C179" s="568"/>
      <c r="D179" s="569"/>
      <c r="E179" s="120">
        <f>SUM(E142:E177)</f>
        <v>172488.30000000002</v>
      </c>
      <c r="F179" s="390">
        <f>SUM(F142:F177)+F182+F184</f>
        <v>172491</v>
      </c>
      <c r="G179" s="252"/>
      <c r="H179" s="253"/>
      <c r="I179" s="99"/>
      <c r="J179" s="99"/>
      <c r="K179" s="99"/>
      <c r="L179" s="99">
        <f>SUM(L139:L178)</f>
        <v>0</v>
      </c>
      <c r="M179" s="99"/>
      <c r="N179" s="99">
        <f>SUM(N139:N178)</f>
        <v>0</v>
      </c>
      <c r="O179" s="99">
        <f>SUM(O139:O178)</f>
        <v>439.2464156100001</v>
      </c>
      <c r="P179" s="517" t="s">
        <v>386</v>
      </c>
      <c r="Q179" s="518">
        <f>SUM(J179:O179)</f>
        <v>439.2464156100001</v>
      </c>
      <c r="R179" s="244"/>
      <c r="S179" s="149"/>
      <c r="T179" s="197"/>
      <c r="U179" s="197"/>
      <c r="V179" s="253"/>
      <c r="W179" s="252"/>
      <c r="X179" s="478" t="s">
        <v>329</v>
      </c>
      <c r="Y179" s="120">
        <f>SUM(Y139:Y178)/12</f>
        <v>45.833333333333336</v>
      </c>
      <c r="Z179" s="120"/>
      <c r="AA179" s="46"/>
    </row>
    <row r="180" spans="6:7" ht="12.75">
      <c r="F180" s="393">
        <f>F179-E179</f>
        <v>2.6999999999825377</v>
      </c>
      <c r="G180" s="150"/>
    </row>
    <row r="181" spans="6:8" ht="12.75">
      <c r="F181" s="78"/>
      <c r="G181" s="275"/>
      <c r="H181" s="241"/>
    </row>
    <row r="182" spans="2:27" ht="12.75">
      <c r="B182" s="335"/>
      <c r="C182" s="440" t="s">
        <v>379</v>
      </c>
      <c r="D182" s="335"/>
      <c r="E182" s="335"/>
      <c r="F182" s="372">
        <v>27989</v>
      </c>
      <c r="G182" s="75"/>
      <c r="H182" s="282"/>
      <c r="I182" s="335"/>
      <c r="J182" s="335"/>
      <c r="K182" s="335"/>
      <c r="L182" s="335"/>
      <c r="M182" s="335"/>
      <c r="N182" s="335"/>
      <c r="O182" s="335"/>
      <c r="P182" s="335"/>
      <c r="Q182" s="335"/>
      <c r="R182" s="335"/>
      <c r="S182" s="335"/>
      <c r="T182" s="335"/>
      <c r="U182" s="335"/>
      <c r="V182" s="335"/>
      <c r="W182" s="335"/>
      <c r="X182" s="335"/>
      <c r="Y182" s="335"/>
      <c r="Z182" s="335"/>
      <c r="AA182" s="335"/>
    </row>
    <row r="183" spans="2:27" ht="12.75">
      <c r="B183" s="334"/>
      <c r="C183" s="247"/>
      <c r="D183" s="334"/>
      <c r="E183" s="334"/>
      <c r="F183" s="520"/>
      <c r="G183" s="275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T183" s="334"/>
      <c r="U183" s="334"/>
      <c r="V183" s="334"/>
      <c r="W183" s="334"/>
      <c r="X183" s="334"/>
      <c r="Y183" s="334"/>
      <c r="Z183" s="334"/>
      <c r="AA183" s="334"/>
    </row>
    <row r="184" spans="2:27" ht="12.75">
      <c r="B184" s="335"/>
      <c r="C184" s="440" t="s">
        <v>381</v>
      </c>
      <c r="D184" s="335"/>
      <c r="E184" s="335"/>
      <c r="F184" s="372">
        <v>17768</v>
      </c>
      <c r="G184" s="519"/>
      <c r="H184" s="282"/>
      <c r="I184" s="336"/>
      <c r="J184" s="335"/>
      <c r="K184" s="335"/>
      <c r="L184" s="335"/>
      <c r="M184" s="335"/>
      <c r="N184" s="335"/>
      <c r="O184" s="335"/>
      <c r="P184" s="335"/>
      <c r="Q184" s="335"/>
      <c r="R184" s="335"/>
      <c r="S184" s="335"/>
      <c r="T184" s="335"/>
      <c r="U184" s="335"/>
      <c r="V184" s="335"/>
      <c r="W184" s="335"/>
      <c r="X184" s="335"/>
      <c r="Y184" s="335"/>
      <c r="Z184" s="335"/>
      <c r="AA184" s="335"/>
    </row>
    <row r="185" spans="2:27" ht="12.75">
      <c r="B185" s="453"/>
      <c r="C185" s="247"/>
      <c r="D185" s="112">
        <v>2478.75</v>
      </c>
      <c r="E185" s="407">
        <f>(D185-D175)*Y$9</f>
        <v>5279.099999999994</v>
      </c>
      <c r="F185" s="447"/>
      <c r="G185" s="134"/>
      <c r="H185" s="288"/>
      <c r="I185" s="39"/>
      <c r="J185" s="142"/>
      <c r="K185" s="141"/>
      <c r="L185" s="144"/>
      <c r="M185" s="141"/>
      <c r="N185" s="39"/>
      <c r="O185" s="135"/>
      <c r="P185" s="113">
        <v>69.68</v>
      </c>
      <c r="Q185" s="113">
        <v>76.77</v>
      </c>
      <c r="R185" s="448">
        <f aca="true" t="shared" si="16" ref="R185:R190">(Q185-P185)*30</f>
        <v>212.69999999999968</v>
      </c>
      <c r="S185" s="180"/>
      <c r="T185" s="164"/>
      <c r="U185" s="117"/>
      <c r="V185" s="140"/>
      <c r="W185" s="213"/>
      <c r="X185" s="40"/>
      <c r="Y185" s="82"/>
      <c r="Z185" s="420"/>
      <c r="AA185" s="449"/>
    </row>
    <row r="186" spans="2:27" ht="12.75">
      <c r="B186" s="109"/>
      <c r="D186" s="112">
        <v>1069.99</v>
      </c>
      <c r="E186" s="407">
        <f>(D186-D176)*Y$9</f>
        <v>3033.8999999999996</v>
      </c>
      <c r="F186" s="78"/>
      <c r="G186" s="275"/>
      <c r="H186" s="241"/>
      <c r="I186" s="80">
        <f>0.08*1.23</f>
        <v>0.0984</v>
      </c>
      <c r="J186" s="142"/>
      <c r="K186" s="141"/>
      <c r="L186" s="144"/>
      <c r="M186" s="125"/>
      <c r="N186" s="76"/>
      <c r="O186" s="112">
        <f>9.5*1.23</f>
        <v>11.685</v>
      </c>
      <c r="P186" s="113">
        <v>27.78</v>
      </c>
      <c r="Q186" s="113">
        <v>29.22</v>
      </c>
      <c r="R186" s="386">
        <f t="shared" si="16"/>
        <v>43.19999999999993</v>
      </c>
      <c r="S186" s="112"/>
      <c r="T186" s="164"/>
      <c r="U186" s="79"/>
      <c r="V186" s="126"/>
      <c r="W186" s="100"/>
      <c r="X186" s="19"/>
      <c r="Y186" s="79"/>
      <c r="Z186" s="40"/>
      <c r="AA186" s="218"/>
    </row>
    <row r="187" spans="2:27" ht="12.75">
      <c r="B187" s="160" t="s">
        <v>390</v>
      </c>
      <c r="C187" s="440" t="s">
        <v>387</v>
      </c>
      <c r="D187" s="206">
        <v>4652.78</v>
      </c>
      <c r="E187" s="439">
        <f>(D187-D177)*Y$9</f>
        <v>10581.300000000001</v>
      </c>
      <c r="F187" s="372">
        <v>18894</v>
      </c>
      <c r="G187" s="519"/>
      <c r="H187" s="282"/>
      <c r="I187" s="36">
        <f>16.75*1.23</f>
        <v>20.6025</v>
      </c>
      <c r="J187" s="128"/>
      <c r="K187" s="124"/>
      <c r="L187" s="270">
        <f>(E185*K185)+(E186*K186)+(E187*K187)</f>
        <v>0</v>
      </c>
      <c r="M187" s="124"/>
      <c r="N187" s="61">
        <f>(E185+E186+E187)*M187</f>
        <v>0</v>
      </c>
      <c r="O187" s="86">
        <f>0.00139*(E185+E186+E187)*1.23</f>
        <v>32.30358470999999</v>
      </c>
      <c r="P187" s="97">
        <v>180.16</v>
      </c>
      <c r="Q187" s="97">
        <v>192.91</v>
      </c>
      <c r="R187" s="421">
        <f t="shared" si="16"/>
        <v>382.5</v>
      </c>
      <c r="S187" s="130"/>
      <c r="T187" s="452"/>
      <c r="U187" s="81"/>
      <c r="V187" s="127"/>
      <c r="W187" s="37"/>
      <c r="X187" s="38">
        <v>80</v>
      </c>
      <c r="Y187" s="71">
        <v>55</v>
      </c>
      <c r="Z187" s="422"/>
      <c r="AA187" s="423"/>
    </row>
    <row r="188" spans="2:27" ht="12.75">
      <c r="B188" s="453"/>
      <c r="C188" s="247"/>
      <c r="D188" s="112">
        <v>2641.59</v>
      </c>
      <c r="E188" s="407">
        <f aca="true" t="shared" si="17" ref="E188:E193">(D188-D185)*Y$9</f>
        <v>4885.200000000004</v>
      </c>
      <c r="F188" s="447"/>
      <c r="G188" s="134"/>
      <c r="H188" s="288"/>
      <c r="I188" s="39">
        <f>0.0762*1.23</f>
        <v>0.093726</v>
      </c>
      <c r="J188" s="142"/>
      <c r="K188" s="141"/>
      <c r="L188" s="144"/>
      <c r="M188" s="141"/>
      <c r="N188" s="39"/>
      <c r="O188" s="135"/>
      <c r="P188" s="113">
        <v>76.77</v>
      </c>
      <c r="Q188" s="113">
        <v>83.11</v>
      </c>
      <c r="R188" s="448">
        <f t="shared" si="16"/>
        <v>190.2000000000001</v>
      </c>
      <c r="S188" s="180"/>
      <c r="T188" s="164"/>
      <c r="U188" s="117"/>
      <c r="V188" s="140"/>
      <c r="W188" s="213"/>
      <c r="X188" s="40"/>
      <c r="Y188" s="82"/>
      <c r="Z188" s="420"/>
      <c r="AA188" s="449"/>
    </row>
    <row r="189" spans="2:27" ht="12.75">
      <c r="B189" s="109"/>
      <c r="D189" s="112">
        <v>1163.73</v>
      </c>
      <c r="E189" s="407">
        <f t="shared" si="17"/>
        <v>2812.2000000000003</v>
      </c>
      <c r="F189" s="78"/>
      <c r="G189" s="275"/>
      <c r="H189" s="241"/>
      <c r="I189" s="80">
        <f>0.08*1.23</f>
        <v>0.0984</v>
      </c>
      <c r="J189" s="142"/>
      <c r="K189" s="141"/>
      <c r="L189" s="144"/>
      <c r="M189" s="125"/>
      <c r="N189" s="76"/>
      <c r="O189" s="112">
        <f>9.5*1.23</f>
        <v>11.685</v>
      </c>
      <c r="P189" s="113">
        <v>29.22</v>
      </c>
      <c r="Q189" s="113">
        <v>32</v>
      </c>
      <c r="R189" s="386">
        <f t="shared" si="16"/>
        <v>83.40000000000003</v>
      </c>
      <c r="S189" s="112"/>
      <c r="T189" s="164"/>
      <c r="U189" s="79"/>
      <c r="V189" s="126"/>
      <c r="W189" s="100"/>
      <c r="X189" s="19"/>
      <c r="Y189" s="79"/>
      <c r="Z189" s="40"/>
      <c r="AA189" s="218"/>
    </row>
    <row r="190" spans="2:27" ht="12.75">
      <c r="B190" s="160" t="s">
        <v>392</v>
      </c>
      <c r="C190" s="440" t="s">
        <v>388</v>
      </c>
      <c r="D190" s="206">
        <v>5007.88</v>
      </c>
      <c r="E190" s="439">
        <f t="shared" si="17"/>
        <v>10653.000000000011</v>
      </c>
      <c r="F190" s="372">
        <v>18350</v>
      </c>
      <c r="G190" s="519"/>
      <c r="H190" s="282"/>
      <c r="I190" s="36">
        <f>16.75*1.23</f>
        <v>20.6025</v>
      </c>
      <c r="J190" s="128"/>
      <c r="K190" s="124"/>
      <c r="L190" s="270">
        <f>(E188*K188)+(E189*K189)+(E190*K190)</f>
        <v>0</v>
      </c>
      <c r="M190" s="124"/>
      <c r="N190" s="61">
        <f>(E188+E189+E190)*M190</f>
        <v>0</v>
      </c>
      <c r="O190" s="86">
        <f>0.0022*(E188+E189+E190)*1.23</f>
        <v>49.65618240000004</v>
      </c>
      <c r="P190" s="97">
        <v>192.91</v>
      </c>
      <c r="Q190" s="97">
        <v>211.31</v>
      </c>
      <c r="R190" s="421">
        <f t="shared" si="16"/>
        <v>552.0000000000002</v>
      </c>
      <c r="S190" s="130"/>
      <c r="T190" s="452"/>
      <c r="U190" s="81"/>
      <c r="V190" s="127"/>
      <c r="W190" s="37"/>
      <c r="X190" s="38">
        <v>65</v>
      </c>
      <c r="Y190" s="71">
        <v>54</v>
      </c>
      <c r="Z190" s="422"/>
      <c r="AA190" s="423"/>
    </row>
    <row r="191" spans="2:27" ht="12.75">
      <c r="B191" s="453"/>
      <c r="C191" s="247"/>
      <c r="D191" s="112">
        <v>2811.79</v>
      </c>
      <c r="E191" s="407">
        <f t="shared" si="17"/>
        <v>5105.9999999999945</v>
      </c>
      <c r="F191" s="447"/>
      <c r="G191" s="134"/>
      <c r="H191" s="288"/>
      <c r="I191" s="39">
        <f>0.0762*1.23</f>
        <v>0.093726</v>
      </c>
      <c r="J191" s="142"/>
      <c r="K191" s="450"/>
      <c r="L191" s="144"/>
      <c r="M191" s="141"/>
      <c r="N191" s="39"/>
      <c r="O191" s="135"/>
      <c r="P191" s="113">
        <v>83.11</v>
      </c>
      <c r="Q191" s="113">
        <v>89.25</v>
      </c>
      <c r="R191" s="448">
        <f>(Q191-P191)*30</f>
        <v>184.20000000000002</v>
      </c>
      <c r="S191" s="180"/>
      <c r="T191" s="164"/>
      <c r="U191" s="117"/>
      <c r="V191" s="140"/>
      <c r="W191" s="213"/>
      <c r="X191" s="40"/>
      <c r="Y191" s="82"/>
      <c r="Z191" s="420"/>
      <c r="AA191" s="449"/>
    </row>
    <row r="192" spans="2:27" ht="12.75">
      <c r="B192" s="109"/>
      <c r="D192" s="112">
        <v>1251.82</v>
      </c>
      <c r="E192" s="407">
        <f t="shared" si="17"/>
        <v>2642.6999999999975</v>
      </c>
      <c r="F192" s="78"/>
      <c r="G192" s="275"/>
      <c r="H192" s="241"/>
      <c r="I192" s="80">
        <f>0.08*1.23</f>
        <v>0.0984</v>
      </c>
      <c r="J192" s="142"/>
      <c r="K192" s="141"/>
      <c r="L192" s="144"/>
      <c r="M192" s="125"/>
      <c r="N192" s="76"/>
      <c r="O192" s="112">
        <f>9.5*1.23</f>
        <v>11.685</v>
      </c>
      <c r="P192" s="113">
        <v>32</v>
      </c>
      <c r="Q192" s="113">
        <v>36.67</v>
      </c>
      <c r="R192" s="386">
        <f>(Q192-P192)*30</f>
        <v>140.10000000000005</v>
      </c>
      <c r="S192" s="112"/>
      <c r="T192" s="164"/>
      <c r="U192" s="79"/>
      <c r="V192" s="126"/>
      <c r="W192" s="100"/>
      <c r="X192" s="19"/>
      <c r="Y192" s="79"/>
      <c r="Z192" s="40"/>
      <c r="AA192" s="218"/>
    </row>
    <row r="193" spans="2:27" ht="12.75">
      <c r="B193" s="160" t="s">
        <v>394</v>
      </c>
      <c r="C193" s="440" t="s">
        <v>395</v>
      </c>
      <c r="D193" s="206">
        <v>5318.98</v>
      </c>
      <c r="E193" s="439">
        <f t="shared" si="17"/>
        <v>9332.999999999984</v>
      </c>
      <c r="F193" s="372"/>
      <c r="G193" s="519"/>
      <c r="H193" s="282"/>
      <c r="I193" s="36">
        <f>16.75*1.23</f>
        <v>20.6025</v>
      </c>
      <c r="J193" s="128"/>
      <c r="K193" s="313"/>
      <c r="L193" s="270">
        <f>(E191*K191)+(E192*K192)+(E193*K193)</f>
        <v>0</v>
      </c>
      <c r="M193" s="124"/>
      <c r="N193" s="61">
        <f>(E191+E192+E193)*M193</f>
        <v>0</v>
      </c>
      <c r="O193" s="86">
        <f>0.0022*(E191+E192+E193)*1.23</f>
        <v>46.22308019999994</v>
      </c>
      <c r="P193" s="97">
        <v>211.31</v>
      </c>
      <c r="Q193" s="97">
        <v>228.34</v>
      </c>
      <c r="R193" s="421">
        <f>(Q193-P193)*30</f>
        <v>510.90000000000003</v>
      </c>
      <c r="S193" s="130"/>
      <c r="T193" s="452"/>
      <c r="U193" s="81"/>
      <c r="V193" s="127"/>
      <c r="W193" s="37"/>
      <c r="X193" s="38">
        <v>65</v>
      </c>
      <c r="Y193" s="71">
        <v>50</v>
      </c>
      <c r="Z193" s="422"/>
      <c r="AA193" s="423"/>
    </row>
    <row r="194" spans="2:27" ht="12.75">
      <c r="B194" s="453"/>
      <c r="C194" s="247"/>
      <c r="D194" s="112"/>
      <c r="E194" s="407"/>
      <c r="F194" s="447"/>
      <c r="G194" s="134"/>
      <c r="H194" s="288"/>
      <c r="I194" s="39"/>
      <c r="J194" s="142"/>
      <c r="K194" s="141"/>
      <c r="L194" s="144"/>
      <c r="M194" s="141"/>
      <c r="N194" s="39"/>
      <c r="O194" s="135"/>
      <c r="P194" s="113"/>
      <c r="Q194" s="113"/>
      <c r="R194" s="448"/>
      <c r="S194" s="180"/>
      <c r="T194" s="164"/>
      <c r="U194" s="117"/>
      <c r="V194" s="140"/>
      <c r="W194" s="213"/>
      <c r="X194" s="40"/>
      <c r="Y194" s="82"/>
      <c r="Z194" s="420"/>
      <c r="AA194" s="449"/>
    </row>
    <row r="195" spans="2:27" ht="12.75">
      <c r="B195" s="109"/>
      <c r="D195" s="112"/>
      <c r="E195" s="407"/>
      <c r="F195" s="78"/>
      <c r="G195" s="275"/>
      <c r="H195" s="241"/>
      <c r="I195" s="80"/>
      <c r="J195" s="142"/>
      <c r="K195" s="141"/>
      <c r="L195" s="144"/>
      <c r="M195" s="125"/>
      <c r="N195" s="76"/>
      <c r="O195" s="112"/>
      <c r="P195" s="113"/>
      <c r="Q195" s="113"/>
      <c r="R195" s="386"/>
      <c r="S195" s="112"/>
      <c r="T195" s="164"/>
      <c r="U195" s="79"/>
      <c r="V195" s="126"/>
      <c r="W195" s="100"/>
      <c r="X195" s="19"/>
      <c r="Y195" s="79"/>
      <c r="Z195" s="40"/>
      <c r="AA195" s="218"/>
    </row>
    <row r="196" spans="2:27" ht="12.75">
      <c r="B196" s="160"/>
      <c r="C196" s="440"/>
      <c r="D196" s="206"/>
      <c r="E196" s="439"/>
      <c r="F196" s="372"/>
      <c r="G196" s="75"/>
      <c r="H196" s="282"/>
      <c r="I196" s="36"/>
      <c r="J196" s="128"/>
      <c r="K196" s="124"/>
      <c r="L196" s="270"/>
      <c r="M196" s="124"/>
      <c r="N196" s="61"/>
      <c r="O196" s="86"/>
      <c r="P196" s="97"/>
      <c r="Q196" s="97"/>
      <c r="R196" s="421"/>
      <c r="S196" s="130"/>
      <c r="T196" s="452"/>
      <c r="U196" s="81"/>
      <c r="V196" s="127"/>
      <c r="W196" s="37"/>
      <c r="X196" s="38"/>
      <c r="Y196" s="71"/>
      <c r="Z196" s="422"/>
      <c r="AA196" s="423"/>
    </row>
    <row r="197" spans="2:27" ht="12.75">
      <c r="B197" s="453"/>
      <c r="C197" s="247"/>
      <c r="D197" s="112"/>
      <c r="E197" s="407"/>
      <c r="F197" s="447"/>
      <c r="G197" s="134"/>
      <c r="H197" s="288"/>
      <c r="I197" s="39"/>
      <c r="J197" s="142"/>
      <c r="K197" s="141"/>
      <c r="L197" s="144"/>
      <c r="M197" s="141"/>
      <c r="N197" s="39"/>
      <c r="O197" s="135"/>
      <c r="P197" s="113"/>
      <c r="Q197" s="113"/>
      <c r="R197" s="448"/>
      <c r="S197" s="180"/>
      <c r="T197" s="164"/>
      <c r="U197" s="117"/>
      <c r="V197" s="140"/>
      <c r="W197" s="213"/>
      <c r="X197" s="40"/>
      <c r="Y197" s="82"/>
      <c r="Z197" s="420"/>
      <c r="AA197" s="449"/>
    </row>
    <row r="198" spans="2:27" ht="12.75">
      <c r="B198" s="109"/>
      <c r="D198" s="112"/>
      <c r="E198" s="407"/>
      <c r="F198" s="78"/>
      <c r="G198" s="275"/>
      <c r="H198" s="241"/>
      <c r="I198" s="80"/>
      <c r="J198" s="142"/>
      <c r="K198" s="141"/>
      <c r="L198" s="144"/>
      <c r="M198" s="125"/>
      <c r="N198" s="76"/>
      <c r="O198" s="112"/>
      <c r="P198" s="113"/>
      <c r="Q198" s="113"/>
      <c r="R198" s="386"/>
      <c r="S198" s="112"/>
      <c r="T198" s="164"/>
      <c r="U198" s="79"/>
      <c r="V198" s="126"/>
      <c r="W198" s="100"/>
      <c r="X198" s="19"/>
      <c r="Y198" s="79"/>
      <c r="Z198" s="40"/>
      <c r="AA198" s="218"/>
    </row>
    <row r="199" spans="2:27" ht="12.75">
      <c r="B199" s="160"/>
      <c r="C199" s="440"/>
      <c r="D199" s="206"/>
      <c r="E199" s="439"/>
      <c r="F199" s="372"/>
      <c r="G199" s="75"/>
      <c r="H199" s="282"/>
      <c r="I199" s="36"/>
      <c r="J199" s="128"/>
      <c r="K199" s="124"/>
      <c r="L199" s="270"/>
      <c r="M199" s="124"/>
      <c r="N199" s="61"/>
      <c r="O199" s="86"/>
      <c r="P199" s="97"/>
      <c r="Q199" s="97"/>
      <c r="R199" s="421"/>
      <c r="S199" s="130"/>
      <c r="T199" s="452"/>
      <c r="U199" s="81"/>
      <c r="V199" s="127"/>
      <c r="W199" s="37"/>
      <c r="X199" s="38"/>
      <c r="Y199" s="71"/>
      <c r="Z199" s="422"/>
      <c r="AA199" s="423"/>
    </row>
    <row r="200" spans="2:27" ht="12.75">
      <c r="B200" s="453"/>
      <c r="C200" s="247"/>
      <c r="D200" s="112"/>
      <c r="E200" s="407"/>
      <c r="F200" s="447"/>
      <c r="G200" s="134"/>
      <c r="H200" s="288"/>
      <c r="I200" s="39"/>
      <c r="J200" s="142"/>
      <c r="K200" s="141"/>
      <c r="L200" s="144"/>
      <c r="M200" s="141"/>
      <c r="N200" s="39"/>
      <c r="O200" s="135"/>
      <c r="P200" s="113"/>
      <c r="Q200" s="113"/>
      <c r="R200" s="448"/>
      <c r="S200" s="180"/>
      <c r="T200" s="164"/>
      <c r="U200" s="117"/>
      <c r="V200" s="140"/>
      <c r="W200" s="213"/>
      <c r="X200" s="40"/>
      <c r="Y200" s="82"/>
      <c r="Z200" s="420"/>
      <c r="AA200" s="449"/>
    </row>
    <row r="201" spans="2:27" ht="12.75">
      <c r="B201" s="109"/>
      <c r="D201" s="112"/>
      <c r="E201" s="407"/>
      <c r="F201" s="78"/>
      <c r="G201" s="275"/>
      <c r="H201" s="241"/>
      <c r="I201" s="80"/>
      <c r="J201" s="142"/>
      <c r="K201" s="141"/>
      <c r="L201" s="144"/>
      <c r="M201" s="125"/>
      <c r="N201" s="76"/>
      <c r="O201" s="112"/>
      <c r="P201" s="113"/>
      <c r="Q201" s="113"/>
      <c r="R201" s="386"/>
      <c r="S201" s="112"/>
      <c r="T201" s="164"/>
      <c r="U201" s="79"/>
      <c r="V201" s="126"/>
      <c r="W201" s="100"/>
      <c r="X201" s="19"/>
      <c r="Y201" s="79"/>
      <c r="Z201" s="40"/>
      <c r="AA201" s="218"/>
    </row>
    <row r="202" spans="2:27" ht="12.75">
      <c r="B202" s="160"/>
      <c r="C202" s="440"/>
      <c r="D202" s="206"/>
      <c r="E202" s="439"/>
      <c r="F202" s="372"/>
      <c r="G202" s="75"/>
      <c r="H202" s="282"/>
      <c r="I202" s="36"/>
      <c r="J202" s="128"/>
      <c r="K202" s="124"/>
      <c r="L202" s="270"/>
      <c r="M202" s="124"/>
      <c r="N202" s="61"/>
      <c r="O202" s="86"/>
      <c r="P202" s="97"/>
      <c r="Q202" s="97"/>
      <c r="R202" s="421"/>
      <c r="S202" s="130"/>
      <c r="T202" s="452"/>
      <c r="U202" s="81"/>
      <c r="V202" s="127"/>
      <c r="W202" s="37"/>
      <c r="X202" s="38"/>
      <c r="Y202" s="71"/>
      <c r="Z202" s="422"/>
      <c r="AA202" s="423"/>
    </row>
    <row r="203" spans="2:27" ht="12.75">
      <c r="B203" s="453"/>
      <c r="C203" s="247"/>
      <c r="D203" s="112"/>
      <c r="E203" s="407"/>
      <c r="F203" s="447"/>
      <c r="G203" s="134"/>
      <c r="H203" s="288"/>
      <c r="I203" s="39"/>
      <c r="J203" s="142"/>
      <c r="K203" s="141"/>
      <c r="L203" s="144"/>
      <c r="M203" s="141"/>
      <c r="N203" s="39"/>
      <c r="O203" s="135"/>
      <c r="P203" s="113"/>
      <c r="Q203" s="113"/>
      <c r="R203" s="448"/>
      <c r="S203" s="180"/>
      <c r="T203" s="164"/>
      <c r="U203" s="117"/>
      <c r="V203" s="140"/>
      <c r="W203" s="213"/>
      <c r="X203" s="40"/>
      <c r="Y203" s="82"/>
      <c r="Z203" s="420"/>
      <c r="AA203" s="449"/>
    </row>
    <row r="204" spans="2:27" ht="12.75">
      <c r="B204" s="109"/>
      <c r="D204" s="112"/>
      <c r="E204" s="407"/>
      <c r="F204" s="78"/>
      <c r="G204" s="275"/>
      <c r="H204" s="241"/>
      <c r="I204" s="80"/>
      <c r="J204" s="142"/>
      <c r="K204" s="141"/>
      <c r="L204" s="144"/>
      <c r="M204" s="125"/>
      <c r="N204" s="76"/>
      <c r="O204" s="112"/>
      <c r="P204" s="113"/>
      <c r="Q204" s="113"/>
      <c r="R204" s="386"/>
      <c r="S204" s="112"/>
      <c r="T204" s="164"/>
      <c r="U204" s="79"/>
      <c r="V204" s="126"/>
      <c r="W204" s="100"/>
      <c r="X204" s="19"/>
      <c r="Y204" s="79"/>
      <c r="Z204" s="40"/>
      <c r="AA204" s="218"/>
    </row>
    <row r="205" spans="2:27" ht="12.75">
      <c r="B205" s="160"/>
      <c r="C205" s="440"/>
      <c r="D205" s="206"/>
      <c r="E205" s="439"/>
      <c r="F205" s="372"/>
      <c r="G205" s="75"/>
      <c r="H205" s="282"/>
      <c r="I205" s="36"/>
      <c r="J205" s="128"/>
      <c r="K205" s="124"/>
      <c r="L205" s="270"/>
      <c r="M205" s="124"/>
      <c r="N205" s="61"/>
      <c r="O205" s="86"/>
      <c r="P205" s="97"/>
      <c r="Q205" s="97"/>
      <c r="R205" s="421"/>
      <c r="S205" s="130"/>
      <c r="T205" s="452"/>
      <c r="U205" s="81"/>
      <c r="V205" s="127"/>
      <c r="W205" s="37"/>
      <c r="X205" s="38"/>
      <c r="Y205" s="71"/>
      <c r="Z205" s="422"/>
      <c r="AA205" s="423"/>
    </row>
    <row r="206" spans="2:27" ht="12.75">
      <c r="B206" s="453"/>
      <c r="C206" s="247"/>
      <c r="D206" s="112"/>
      <c r="E206" s="407"/>
      <c r="F206" s="447"/>
      <c r="G206" s="134"/>
      <c r="H206" s="288"/>
      <c r="I206" s="39"/>
      <c r="J206" s="142"/>
      <c r="K206" s="141"/>
      <c r="L206" s="144"/>
      <c r="M206" s="141"/>
      <c r="N206" s="39"/>
      <c r="O206" s="135"/>
      <c r="P206" s="113"/>
      <c r="Q206" s="113"/>
      <c r="R206" s="448"/>
      <c r="S206" s="180"/>
      <c r="T206" s="164"/>
      <c r="U206" s="117"/>
      <c r="V206" s="140"/>
      <c r="W206" s="213"/>
      <c r="X206" s="40"/>
      <c r="Y206" s="82"/>
      <c r="Z206" s="420"/>
      <c r="AA206" s="449"/>
    </row>
    <row r="207" spans="2:27" ht="12.75">
      <c r="B207" s="109"/>
      <c r="D207" s="112"/>
      <c r="E207" s="407"/>
      <c r="F207" s="78"/>
      <c r="G207" s="275"/>
      <c r="H207" s="241"/>
      <c r="I207" s="80"/>
      <c r="J207" s="142"/>
      <c r="K207" s="141"/>
      <c r="L207" s="144"/>
      <c r="M207" s="125"/>
      <c r="N207" s="76"/>
      <c r="O207" s="112"/>
      <c r="P207" s="113"/>
      <c r="Q207" s="113"/>
      <c r="R207" s="386"/>
      <c r="S207" s="112"/>
      <c r="T207" s="164"/>
      <c r="U207" s="79"/>
      <c r="V207" s="126"/>
      <c r="W207" s="100"/>
      <c r="X207" s="19"/>
      <c r="Y207" s="79"/>
      <c r="Z207" s="40"/>
      <c r="AA207" s="218"/>
    </row>
    <row r="208" spans="2:27" ht="12.75">
      <c r="B208" s="160"/>
      <c r="C208" s="440"/>
      <c r="D208" s="206"/>
      <c r="E208" s="439"/>
      <c r="F208" s="372"/>
      <c r="G208" s="75"/>
      <c r="H208" s="282"/>
      <c r="I208" s="36"/>
      <c r="J208" s="128"/>
      <c r="K208" s="124"/>
      <c r="L208" s="270"/>
      <c r="M208" s="124"/>
      <c r="N208" s="61"/>
      <c r="O208" s="86"/>
      <c r="P208" s="97"/>
      <c r="Q208" s="97"/>
      <c r="R208" s="421"/>
      <c r="S208" s="130"/>
      <c r="T208" s="452"/>
      <c r="U208" s="81"/>
      <c r="V208" s="127"/>
      <c r="W208" s="37"/>
      <c r="X208" s="38"/>
      <c r="Y208" s="71"/>
      <c r="Z208" s="422"/>
      <c r="AA208" s="423"/>
    </row>
    <row r="209" spans="2:27" ht="12.75">
      <c r="B209" s="453"/>
      <c r="C209" s="247"/>
      <c r="D209" s="112"/>
      <c r="E209" s="407"/>
      <c r="F209" s="447"/>
      <c r="G209" s="134"/>
      <c r="H209" s="288"/>
      <c r="I209" s="39"/>
      <c r="J209" s="142"/>
      <c r="K209" s="141"/>
      <c r="L209" s="144"/>
      <c r="M209" s="141"/>
      <c r="N209" s="39"/>
      <c r="O209" s="135"/>
      <c r="P209" s="113"/>
      <c r="Q209" s="113"/>
      <c r="R209" s="448"/>
      <c r="S209" s="180"/>
      <c r="T209" s="164"/>
      <c r="U209" s="117"/>
      <c r="V209" s="140"/>
      <c r="W209" s="213"/>
      <c r="X209" s="40"/>
      <c r="Y209" s="82"/>
      <c r="Z209" s="420"/>
      <c r="AA209" s="449"/>
    </row>
    <row r="210" spans="2:27" ht="12.75">
      <c r="B210" s="109"/>
      <c r="D210" s="112"/>
      <c r="E210" s="407"/>
      <c r="F210" s="78"/>
      <c r="G210" s="275"/>
      <c r="H210" s="241"/>
      <c r="I210" s="80"/>
      <c r="J210" s="142"/>
      <c r="K210" s="141"/>
      <c r="L210" s="144"/>
      <c r="M210" s="125"/>
      <c r="N210" s="76"/>
      <c r="O210" s="112"/>
      <c r="P210" s="113"/>
      <c r="Q210" s="113"/>
      <c r="R210" s="386"/>
      <c r="S210" s="112"/>
      <c r="T210" s="164"/>
      <c r="U210" s="79"/>
      <c r="V210" s="126"/>
      <c r="W210" s="100"/>
      <c r="X210" s="19"/>
      <c r="Y210" s="79"/>
      <c r="Z210" s="40"/>
      <c r="AA210" s="218"/>
    </row>
    <row r="211" spans="2:27" ht="12.75">
      <c r="B211" s="160"/>
      <c r="C211" s="440"/>
      <c r="D211" s="206"/>
      <c r="E211" s="439"/>
      <c r="F211" s="372"/>
      <c r="G211" s="75"/>
      <c r="H211" s="282"/>
      <c r="I211" s="36"/>
      <c r="J211" s="128"/>
      <c r="K211" s="124"/>
      <c r="L211" s="270"/>
      <c r="M211" s="124"/>
      <c r="N211" s="61"/>
      <c r="O211" s="86"/>
      <c r="P211" s="97"/>
      <c r="Q211" s="97"/>
      <c r="R211" s="421"/>
      <c r="S211" s="130"/>
      <c r="T211" s="452"/>
      <c r="U211" s="81"/>
      <c r="V211" s="127"/>
      <c r="W211" s="37"/>
      <c r="X211" s="38"/>
      <c r="Y211" s="71"/>
      <c r="Z211" s="422"/>
      <c r="AA211" s="423"/>
    </row>
    <row r="212" spans="2:27" ht="12.75">
      <c r="B212" s="453"/>
      <c r="C212" s="247"/>
      <c r="D212" s="112"/>
      <c r="E212" s="407"/>
      <c r="F212" s="447"/>
      <c r="G212" s="134"/>
      <c r="H212" s="288"/>
      <c r="I212" s="39"/>
      <c r="J212" s="142"/>
      <c r="K212" s="141"/>
      <c r="L212" s="144"/>
      <c r="M212" s="141"/>
      <c r="N212" s="39"/>
      <c r="O212" s="135"/>
      <c r="P212" s="113"/>
      <c r="Q212" s="113"/>
      <c r="R212" s="448"/>
      <c r="S212" s="180"/>
      <c r="T212" s="164"/>
      <c r="U212" s="117"/>
      <c r="V212" s="140"/>
      <c r="W212" s="213"/>
      <c r="X212" s="40"/>
      <c r="Y212" s="82"/>
      <c r="Z212" s="420"/>
      <c r="AA212" s="449"/>
    </row>
    <row r="213" spans="2:27" ht="12.75">
      <c r="B213" s="109"/>
      <c r="D213" s="112"/>
      <c r="E213" s="407"/>
      <c r="F213" s="78"/>
      <c r="G213" s="275"/>
      <c r="H213" s="241"/>
      <c r="I213" s="80"/>
      <c r="J213" s="142"/>
      <c r="K213" s="141"/>
      <c r="L213" s="144"/>
      <c r="M213" s="125"/>
      <c r="N213" s="76"/>
      <c r="O213" s="112"/>
      <c r="P213" s="113"/>
      <c r="Q213" s="113"/>
      <c r="R213" s="386"/>
      <c r="S213" s="112"/>
      <c r="T213" s="164"/>
      <c r="U213" s="79"/>
      <c r="V213" s="126"/>
      <c r="W213" s="100"/>
      <c r="X213" s="19"/>
      <c r="Y213" s="79"/>
      <c r="Z213" s="40"/>
      <c r="AA213" s="218"/>
    </row>
    <row r="214" spans="2:27" ht="12.75">
      <c r="B214" s="160"/>
      <c r="C214" s="440"/>
      <c r="D214" s="206"/>
      <c r="E214" s="439"/>
      <c r="F214" s="372"/>
      <c r="G214" s="75"/>
      <c r="H214" s="282"/>
      <c r="I214" s="36"/>
      <c r="J214" s="128"/>
      <c r="K214" s="124"/>
      <c r="L214" s="270"/>
      <c r="M214" s="124"/>
      <c r="N214" s="61"/>
      <c r="O214" s="86"/>
      <c r="P214" s="97"/>
      <c r="Q214" s="97"/>
      <c r="R214" s="421"/>
      <c r="S214" s="130"/>
      <c r="T214" s="452"/>
      <c r="U214" s="81"/>
      <c r="V214" s="127"/>
      <c r="W214" s="37"/>
      <c r="X214" s="38"/>
      <c r="Y214" s="71"/>
      <c r="Z214" s="422"/>
      <c r="AA214" s="423"/>
    </row>
    <row r="215" spans="2:27" ht="12.75">
      <c r="B215" s="453"/>
      <c r="C215" s="247"/>
      <c r="D215" s="112"/>
      <c r="E215" s="407"/>
      <c r="F215" s="447"/>
      <c r="G215" s="134"/>
      <c r="H215" s="288"/>
      <c r="I215" s="39"/>
      <c r="J215" s="142"/>
      <c r="K215" s="141"/>
      <c r="L215" s="144"/>
      <c r="M215" s="141"/>
      <c r="N215" s="39"/>
      <c r="O215" s="135"/>
      <c r="P215" s="113"/>
      <c r="Q215" s="113"/>
      <c r="R215" s="448"/>
      <c r="S215" s="180"/>
      <c r="T215" s="164"/>
      <c r="U215" s="117"/>
      <c r="V215" s="140"/>
      <c r="W215" s="213"/>
      <c r="X215" s="40"/>
      <c r="Y215" s="82"/>
      <c r="Z215" s="420"/>
      <c r="AA215" s="449"/>
    </row>
    <row r="216" spans="2:27" ht="12.75">
      <c r="B216" s="109"/>
      <c r="D216" s="112"/>
      <c r="E216" s="407"/>
      <c r="F216" s="78"/>
      <c r="G216" s="275"/>
      <c r="H216" s="241"/>
      <c r="I216" s="80"/>
      <c r="J216" s="142"/>
      <c r="K216" s="141"/>
      <c r="L216" s="144"/>
      <c r="M216" s="125"/>
      <c r="N216" s="76"/>
      <c r="O216" s="112"/>
      <c r="P216" s="113"/>
      <c r="Q216" s="113"/>
      <c r="R216" s="386"/>
      <c r="S216" s="112"/>
      <c r="T216" s="164"/>
      <c r="U216" s="79"/>
      <c r="V216" s="126"/>
      <c r="W216" s="100"/>
      <c r="X216" s="19"/>
      <c r="Y216" s="79"/>
      <c r="Z216" s="40"/>
      <c r="AA216" s="218"/>
    </row>
    <row r="217" spans="2:27" ht="12.75">
      <c r="B217" s="160"/>
      <c r="C217" s="440"/>
      <c r="D217" s="206"/>
      <c r="E217" s="439"/>
      <c r="F217" s="372"/>
      <c r="G217" s="75"/>
      <c r="H217" s="282"/>
      <c r="I217" s="36"/>
      <c r="J217" s="128"/>
      <c r="K217" s="124"/>
      <c r="L217" s="270"/>
      <c r="M217" s="124"/>
      <c r="N217" s="61"/>
      <c r="O217" s="86"/>
      <c r="P217" s="97"/>
      <c r="Q217" s="97"/>
      <c r="R217" s="421"/>
      <c r="S217" s="130"/>
      <c r="T217" s="452"/>
      <c r="U217" s="81"/>
      <c r="V217" s="127"/>
      <c r="W217" s="37"/>
      <c r="X217" s="38"/>
      <c r="Y217" s="71"/>
      <c r="Z217" s="422"/>
      <c r="AA217" s="423"/>
    </row>
    <row r="218" spans="2:27" ht="12.75">
      <c r="B218" s="453"/>
      <c r="C218" s="247"/>
      <c r="D218" s="112"/>
      <c r="E218" s="407"/>
      <c r="F218" s="447"/>
      <c r="G218" s="134"/>
      <c r="H218" s="288"/>
      <c r="I218" s="39"/>
      <c r="J218" s="142"/>
      <c r="K218" s="141"/>
      <c r="L218" s="144"/>
      <c r="M218" s="141"/>
      <c r="N218" s="39"/>
      <c r="O218" s="135"/>
      <c r="P218" s="113"/>
      <c r="Q218" s="113"/>
      <c r="R218" s="448"/>
      <c r="S218" s="180"/>
      <c r="T218" s="164"/>
      <c r="U218" s="117"/>
      <c r="V218" s="140"/>
      <c r="W218" s="213"/>
      <c r="X218" s="40"/>
      <c r="Y218" s="82"/>
      <c r="Z218" s="420"/>
      <c r="AA218" s="449"/>
    </row>
    <row r="219" spans="2:27" ht="12.75">
      <c r="B219" s="109"/>
      <c r="D219" s="112"/>
      <c r="E219" s="407"/>
      <c r="F219" s="78"/>
      <c r="G219" s="275"/>
      <c r="H219" s="241"/>
      <c r="I219" s="80"/>
      <c r="J219" s="142"/>
      <c r="K219" s="141"/>
      <c r="L219" s="144"/>
      <c r="M219" s="125"/>
      <c r="N219" s="76"/>
      <c r="O219" s="112"/>
      <c r="P219" s="113"/>
      <c r="Q219" s="113"/>
      <c r="R219" s="386"/>
      <c r="S219" s="112"/>
      <c r="T219" s="164"/>
      <c r="U219" s="79"/>
      <c r="V219" s="126"/>
      <c r="W219" s="100"/>
      <c r="X219" s="19"/>
      <c r="Y219" s="79"/>
      <c r="Z219" s="40"/>
      <c r="AA219" s="218"/>
    </row>
    <row r="220" spans="2:27" ht="12.75">
      <c r="B220" s="160"/>
      <c r="C220" s="440"/>
      <c r="D220" s="206"/>
      <c r="E220" s="439"/>
      <c r="F220" s="372"/>
      <c r="G220" s="75"/>
      <c r="H220" s="282"/>
      <c r="I220" s="36"/>
      <c r="J220" s="128"/>
      <c r="K220" s="124"/>
      <c r="L220" s="270"/>
      <c r="M220" s="124"/>
      <c r="N220" s="61"/>
      <c r="O220" s="86"/>
      <c r="P220" s="97"/>
      <c r="Q220" s="97"/>
      <c r="R220" s="421"/>
      <c r="S220" s="130"/>
      <c r="T220" s="452"/>
      <c r="U220" s="81"/>
      <c r="V220" s="127"/>
      <c r="W220" s="37"/>
      <c r="X220" s="38"/>
      <c r="Y220" s="71"/>
      <c r="Z220" s="422"/>
      <c r="AA220" s="423"/>
    </row>
    <row r="221" spans="2:27" ht="12.75">
      <c r="B221" s="453"/>
      <c r="C221" s="247"/>
      <c r="D221" s="112"/>
      <c r="E221" s="407"/>
      <c r="F221" s="447"/>
      <c r="G221" s="134"/>
      <c r="H221" s="288"/>
      <c r="I221" s="39"/>
      <c r="J221" s="142"/>
      <c r="K221" s="141"/>
      <c r="L221" s="144"/>
      <c r="M221" s="141"/>
      <c r="N221" s="39"/>
      <c r="O221" s="135"/>
      <c r="P221" s="113"/>
      <c r="Q221" s="113"/>
      <c r="R221" s="448"/>
      <c r="S221" s="180"/>
      <c r="T221" s="164"/>
      <c r="U221" s="117"/>
      <c r="V221" s="140"/>
      <c r="W221" s="213"/>
      <c r="X221" s="40"/>
      <c r="Y221" s="82"/>
      <c r="Z221" s="420"/>
      <c r="AA221" s="449"/>
    </row>
    <row r="222" spans="2:27" ht="12.75">
      <c r="B222" s="109"/>
      <c r="D222" s="112"/>
      <c r="E222" s="407"/>
      <c r="F222" s="78"/>
      <c r="G222" s="275"/>
      <c r="H222" s="241"/>
      <c r="I222" s="80"/>
      <c r="J222" s="142"/>
      <c r="K222" s="141"/>
      <c r="L222" s="144"/>
      <c r="M222" s="125"/>
      <c r="N222" s="76"/>
      <c r="O222" s="112"/>
      <c r="P222" s="113"/>
      <c r="Q222" s="113"/>
      <c r="R222" s="386"/>
      <c r="S222" s="112"/>
      <c r="T222" s="164"/>
      <c r="U222" s="79"/>
      <c r="V222" s="126"/>
      <c r="W222" s="100"/>
      <c r="X222" s="19"/>
      <c r="Y222" s="79"/>
      <c r="Z222" s="40"/>
      <c r="AA222" s="218"/>
    </row>
    <row r="223" spans="2:27" ht="13.5" thickBot="1">
      <c r="B223" s="160"/>
      <c r="C223" s="440"/>
      <c r="D223" s="206"/>
      <c r="E223" s="439"/>
      <c r="F223" s="372"/>
      <c r="G223" s="75"/>
      <c r="H223" s="508"/>
      <c r="I223" s="36"/>
      <c r="J223" s="128"/>
      <c r="K223" s="124"/>
      <c r="L223" s="270"/>
      <c r="M223" s="124"/>
      <c r="N223" s="61"/>
      <c r="O223" s="86"/>
      <c r="P223" s="97"/>
      <c r="Q223" s="97"/>
      <c r="R223" s="421"/>
      <c r="S223" s="130"/>
      <c r="T223" s="456"/>
      <c r="U223" s="307"/>
      <c r="V223" s="127"/>
      <c r="W223" s="37"/>
      <c r="X223" s="38"/>
      <c r="Y223" s="71"/>
      <c r="Z223" s="422"/>
      <c r="AA223" s="423"/>
    </row>
    <row r="224" spans="2:27" ht="13.5" thickBot="1">
      <c r="B224" s="526" t="s">
        <v>384</v>
      </c>
      <c r="C224" s="565"/>
      <c r="D224" s="566"/>
      <c r="E224" s="41"/>
      <c r="F224" s="13"/>
      <c r="G224" s="228"/>
      <c r="H224" s="248"/>
      <c r="I224" s="13"/>
      <c r="J224" s="13"/>
      <c r="K224" s="41"/>
      <c r="L224" s="41"/>
      <c r="M224" s="41"/>
      <c r="N224" s="41"/>
      <c r="O224" s="302"/>
      <c r="P224" s="33"/>
      <c r="Q224" s="246"/>
      <c r="R224" s="245"/>
      <c r="S224" s="33"/>
      <c r="T224" s="198"/>
      <c r="U224" s="255"/>
      <c r="V224" s="266">
        <f>SUM(V186:V223)</f>
        <v>0</v>
      </c>
      <c r="W224" s="294"/>
      <c r="X224" s="42"/>
      <c r="Y224" s="305"/>
      <c r="Z224" s="42"/>
      <c r="AA224" s="43"/>
    </row>
    <row r="225" spans="2:27" ht="13.5" thickBot="1">
      <c r="B225" s="567"/>
      <c r="C225" s="568"/>
      <c r="D225" s="569"/>
      <c r="E225" s="120">
        <f>SUM(E185:E223)</f>
        <v>54326.39999999999</v>
      </c>
      <c r="F225" s="390">
        <f>SUM(F185:F223)</f>
        <v>37244</v>
      </c>
      <c r="G225" s="252"/>
      <c r="H225" s="253">
        <f>SUM(H182:H223)</f>
        <v>0</v>
      </c>
      <c r="I225" s="99"/>
      <c r="J225" s="99">
        <f>SUM(J185:J224)</f>
        <v>0</v>
      </c>
      <c r="K225" s="99"/>
      <c r="L225" s="99">
        <f>SUM(L185:L224)</f>
        <v>0</v>
      </c>
      <c r="M225" s="99"/>
      <c r="N225" s="99">
        <f>SUM(N185:N224)</f>
        <v>0</v>
      </c>
      <c r="O225" s="99">
        <f>SUM(O185:O224)</f>
        <v>163.23784730999998</v>
      </c>
      <c r="P225" s="517" t="s">
        <v>386</v>
      </c>
      <c r="Q225" s="518">
        <f>SUM(J225:O225)</f>
        <v>163.23784730999998</v>
      </c>
      <c r="R225" s="244"/>
      <c r="S225" s="149"/>
      <c r="T225" s="197">
        <f>SUM(T186:T223)</f>
        <v>0</v>
      </c>
      <c r="U225" s="197">
        <f>SUM(U186:U223)</f>
        <v>0</v>
      </c>
      <c r="V225" s="253">
        <f>V224+H225</f>
        <v>0</v>
      </c>
      <c r="W225" s="252">
        <f>V225/E225</f>
        <v>0</v>
      </c>
      <c r="X225" s="478">
        <v>65</v>
      </c>
      <c r="Y225" s="120">
        <f>SUM(Y185:Y224)/12</f>
        <v>13.25</v>
      </c>
      <c r="Z225" s="120"/>
      <c r="AA225" s="46"/>
    </row>
    <row r="226" spans="6:7" ht="12.75">
      <c r="F226" s="393">
        <f>F225-E225</f>
        <v>-17082.399999999987</v>
      </c>
      <c r="G226" s="150" t="str">
        <f>IF(F226&lt;0,"za mało",IF(F226&gt;0,"za dużo","równo"))</f>
        <v>za mało</v>
      </c>
    </row>
  </sheetData>
  <sheetProtection/>
  <mergeCells count="59">
    <mergeCell ref="B224:D225"/>
    <mergeCell ref="K11:L14"/>
    <mergeCell ref="M11:N14"/>
    <mergeCell ref="T11:T16"/>
    <mergeCell ref="A71:A72"/>
    <mergeCell ref="A75:A76"/>
    <mergeCell ref="A77:A78"/>
    <mergeCell ref="A57:A58"/>
    <mergeCell ref="A59:A60"/>
    <mergeCell ref="A63:A64"/>
    <mergeCell ref="A6:AC6"/>
    <mergeCell ref="A8:D8"/>
    <mergeCell ref="P10:T10"/>
    <mergeCell ref="A10:A17"/>
    <mergeCell ref="I10:J10"/>
    <mergeCell ref="A7:AB7"/>
    <mergeCell ref="I11:J14"/>
    <mergeCell ref="AA10:AA17"/>
    <mergeCell ref="K10:N10"/>
    <mergeCell ref="Z10:Z17"/>
    <mergeCell ref="A22:A23"/>
    <mergeCell ref="A24:A25"/>
    <mergeCell ref="A30:A31"/>
    <mergeCell ref="A44:A45"/>
    <mergeCell ref="A42:A43"/>
    <mergeCell ref="A20:A21"/>
    <mergeCell ref="A40:A41"/>
    <mergeCell ref="A36:A37"/>
    <mergeCell ref="A34:A35"/>
    <mergeCell ref="A1:I1"/>
    <mergeCell ref="C10:C17"/>
    <mergeCell ref="A4:AD4"/>
    <mergeCell ref="A5:E5"/>
    <mergeCell ref="E10:H10"/>
    <mergeCell ref="A94:A95"/>
    <mergeCell ref="A52:D53"/>
    <mergeCell ref="A48:A49"/>
    <mergeCell ref="A28:A29"/>
    <mergeCell ref="A79:A80"/>
    <mergeCell ref="B178:D179"/>
    <mergeCell ref="A100:A101"/>
    <mergeCell ref="A102:A103"/>
    <mergeCell ref="A46:A47"/>
    <mergeCell ref="A65:A66"/>
    <mergeCell ref="A67:A68"/>
    <mergeCell ref="A55:A56"/>
    <mergeCell ref="A84:A85"/>
    <mergeCell ref="A88:A89"/>
    <mergeCell ref="A92:A93"/>
    <mergeCell ref="A81:D82"/>
    <mergeCell ref="B136:D137"/>
    <mergeCell ref="A110:A111"/>
    <mergeCell ref="A32:A33"/>
    <mergeCell ref="A106:A107"/>
    <mergeCell ref="A86:A87"/>
    <mergeCell ref="A112:A113"/>
    <mergeCell ref="A122:A124"/>
    <mergeCell ref="A125:A135"/>
    <mergeCell ref="A69:A70"/>
  </mergeCells>
  <printOptions/>
  <pageMargins left="0.59" right="0.44" top="0.72" bottom="0.73" header="0.5" footer="0.5"/>
  <pageSetup fitToHeight="1" fitToWidth="1" horizontalDpi="600" verticalDpi="600" orientation="landscape" paperSize="9" scale="47" r:id="rId3"/>
  <headerFooter alignWithMargins="0">
    <oddFooter>&amp;L&amp;D&amp;R&amp;24 47</oddFooter>
  </headerFooter>
  <ignoredErrors>
    <ignoredError sqref="O59 O61 I92 I8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2"/>
  <sheetViews>
    <sheetView tabSelected="1" zoomScale="90" zoomScaleNormal="90" zoomScalePageLayoutView="0" workbookViewId="0" topLeftCell="B67">
      <selection activeCell="AA67" sqref="AA67:AA240"/>
    </sheetView>
  </sheetViews>
  <sheetFormatPr defaultColWidth="9.00390625" defaultRowHeight="12.75"/>
  <cols>
    <col min="1" max="1" width="2.75390625" style="0" hidden="1" customWidth="1"/>
    <col min="2" max="2" width="21.875" style="0" customWidth="1"/>
    <col min="4" max="5" width="8.75390625" style="0" customWidth="1"/>
    <col min="6" max="6" width="8.625" style="0" customWidth="1"/>
    <col min="7" max="7" width="7.875" style="0" customWidth="1"/>
    <col min="8" max="8" width="10.00390625" style="0" customWidth="1"/>
    <col min="9" max="9" width="8.875" style="0" customWidth="1"/>
    <col min="10" max="10" width="10.00390625" style="0" customWidth="1"/>
    <col min="11" max="11" width="7.875" style="0" customWidth="1"/>
    <col min="12" max="12" width="10.25390625" style="0" customWidth="1"/>
    <col min="13" max="13" width="8.625" style="0" customWidth="1"/>
    <col min="14" max="14" width="10.125" style="0" customWidth="1"/>
    <col min="15" max="16" width="8.875" style="0" customWidth="1"/>
    <col min="17" max="17" width="10.75390625" style="0" customWidth="1"/>
    <col min="18" max="19" width="8.875" style="0" customWidth="1"/>
    <col min="20" max="20" width="9.375" style="0" customWidth="1"/>
    <col min="21" max="21" width="9.75390625" style="0" customWidth="1"/>
    <col min="22" max="22" width="11.25390625" style="0" customWidth="1"/>
    <col min="23" max="24" width="9.00390625" style="0" customWidth="1"/>
    <col min="25" max="25" width="10.625" style="0" customWidth="1"/>
    <col min="26" max="26" width="11.00390625" style="0" customWidth="1"/>
    <col min="27" max="27" width="11.125" style="0" customWidth="1"/>
    <col min="28" max="28" width="12.75390625" style="0" customWidth="1"/>
    <col min="29" max="29" width="10.00390625" style="0" customWidth="1"/>
    <col min="30" max="30" width="10.375" style="0" customWidth="1"/>
  </cols>
  <sheetData>
    <row r="1" spans="1:25" ht="15">
      <c r="A1" s="549" t="s">
        <v>36</v>
      </c>
      <c r="B1" s="549"/>
      <c r="C1" s="549"/>
      <c r="D1" s="549"/>
      <c r="E1" s="549"/>
      <c r="F1" s="549"/>
      <c r="G1" s="549"/>
      <c r="H1" s="549"/>
      <c r="I1" s="549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234"/>
      <c r="X1" s="234"/>
      <c r="Y1" s="234"/>
    </row>
    <row r="2" spans="1:25" ht="15">
      <c r="A2" s="107"/>
      <c r="B2" s="235"/>
      <c r="C2" s="236"/>
      <c r="D2" s="107"/>
      <c r="E2" s="107"/>
      <c r="F2" s="107"/>
      <c r="G2" s="237"/>
      <c r="H2" s="236"/>
      <c r="I2" s="2" t="s">
        <v>355</v>
      </c>
      <c r="J2" s="107"/>
      <c r="K2" s="107" t="s">
        <v>369</v>
      </c>
      <c r="L2" s="107"/>
      <c r="M2" s="235"/>
      <c r="N2" s="264"/>
      <c r="O2" s="107"/>
      <c r="P2" s="107"/>
      <c r="Q2" s="107"/>
      <c r="R2" s="107"/>
      <c r="S2" s="107"/>
      <c r="T2" s="235"/>
      <c r="U2" s="264"/>
      <c r="V2" s="107"/>
      <c r="W2" s="234"/>
      <c r="X2" s="234"/>
      <c r="Y2" s="234"/>
    </row>
    <row r="3" spans="1:25" ht="15.75">
      <c r="A3" s="107"/>
      <c r="B3" s="237" t="s">
        <v>47</v>
      </c>
      <c r="C3" s="265" t="s">
        <v>62</v>
      </c>
      <c r="D3" s="107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4"/>
      <c r="X3" s="234"/>
      <c r="Y3" s="234"/>
    </row>
    <row r="4" spans="1:30" ht="15" customHeight="1">
      <c r="A4" s="550" t="s">
        <v>39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</row>
    <row r="5" spans="1:30" s="3" customFormat="1" ht="15" customHeight="1">
      <c r="A5" s="564" t="s">
        <v>357</v>
      </c>
      <c r="B5" s="564"/>
      <c r="C5" s="564"/>
      <c r="D5" s="564"/>
      <c r="E5" s="564"/>
      <c r="F5" s="63"/>
      <c r="H5" s="239"/>
      <c r="I5" s="24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B5" s="7"/>
      <c r="AC5" s="1"/>
      <c r="AD5" s="2"/>
    </row>
    <row r="6" spans="1:29" s="3" customFormat="1" ht="14.25">
      <c r="A6" s="549" t="s">
        <v>391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</row>
    <row r="7" spans="1:28" s="3" customFormat="1" ht="14.25">
      <c r="A7" s="551" t="s">
        <v>206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1"/>
      <c r="AA7" s="551"/>
      <c r="AB7" s="551"/>
    </row>
    <row r="8" spans="1:30" s="3" customFormat="1" ht="18">
      <c r="A8" s="549" t="s">
        <v>345</v>
      </c>
      <c r="B8" s="549"/>
      <c r="C8" s="549"/>
      <c r="D8" s="549"/>
      <c r="E8" s="55"/>
      <c r="F8" s="55"/>
      <c r="G8" s="503" t="s">
        <v>0</v>
      </c>
      <c r="H8" s="504" t="s">
        <v>34</v>
      </c>
      <c r="I8" s="4"/>
      <c r="J8" s="8"/>
      <c r="L8" s="1"/>
      <c r="O8" s="2"/>
      <c r="P8" s="1"/>
      <c r="R8" s="1"/>
      <c r="S8" s="1"/>
      <c r="T8" s="172" t="s">
        <v>43</v>
      </c>
      <c r="U8" s="1"/>
      <c r="V8" s="1"/>
      <c r="W8" s="1"/>
      <c r="X8" s="1"/>
      <c r="Y8" s="2"/>
      <c r="Z8" s="73"/>
      <c r="AA8" s="73"/>
      <c r="AB8" s="73"/>
      <c r="AC8" s="73"/>
      <c r="AD8" s="1"/>
    </row>
    <row r="9" spans="1:27" s="3" customFormat="1" ht="15" thickBot="1">
      <c r="A9" s="3" t="s">
        <v>1</v>
      </c>
      <c r="B9" s="4"/>
      <c r="C9" s="9"/>
      <c r="D9" s="2"/>
      <c r="G9" s="10"/>
      <c r="H9" s="4"/>
      <c r="I9" s="9"/>
      <c r="J9" s="2"/>
      <c r="N9" s="4"/>
      <c r="O9" s="9"/>
      <c r="P9" s="9"/>
      <c r="Q9" s="9"/>
      <c r="R9" s="9"/>
      <c r="S9" s="9"/>
      <c r="T9" s="2"/>
      <c r="U9" s="11"/>
      <c r="V9" s="12"/>
      <c r="X9" s="12" t="s">
        <v>33</v>
      </c>
      <c r="Y9" s="256">
        <v>40</v>
      </c>
      <c r="Z9" s="12"/>
      <c r="AA9" s="12"/>
    </row>
    <row r="10" spans="1:27" ht="12.75" customHeight="1">
      <c r="A10" s="558" t="s">
        <v>2</v>
      </c>
      <c r="B10" s="13"/>
      <c r="C10" s="561" t="s">
        <v>237</v>
      </c>
      <c r="D10" s="13"/>
      <c r="E10" s="537" t="s">
        <v>3</v>
      </c>
      <c r="F10" s="538"/>
      <c r="G10" s="538"/>
      <c r="H10" s="539"/>
      <c r="I10" s="553" t="s">
        <v>243</v>
      </c>
      <c r="J10" s="554"/>
      <c r="K10" s="553" t="s">
        <v>244</v>
      </c>
      <c r="L10" s="555"/>
      <c r="M10" s="555"/>
      <c r="N10" s="554"/>
      <c r="O10" s="13"/>
      <c r="P10" s="537" t="s">
        <v>37</v>
      </c>
      <c r="Q10" s="538"/>
      <c r="R10" s="538"/>
      <c r="S10" s="538"/>
      <c r="T10" s="539"/>
      <c r="U10" s="14" t="s">
        <v>4</v>
      </c>
      <c r="V10" s="15" t="s">
        <v>5</v>
      </c>
      <c r="W10" s="14" t="s">
        <v>9</v>
      </c>
      <c r="X10" s="14" t="s">
        <v>10</v>
      </c>
      <c r="Y10" s="16"/>
      <c r="Z10" s="546" t="s">
        <v>246</v>
      </c>
      <c r="AA10" s="534" t="s">
        <v>53</v>
      </c>
    </row>
    <row r="11" spans="1:27" ht="12.75" customHeight="1">
      <c r="A11" s="559"/>
      <c r="B11" s="18"/>
      <c r="C11" s="562"/>
      <c r="D11" s="18"/>
      <c r="E11" s="20"/>
      <c r="F11" s="20"/>
      <c r="G11" s="20"/>
      <c r="H11" s="20"/>
      <c r="I11" s="540" t="s">
        <v>399</v>
      </c>
      <c r="J11" s="541"/>
      <c r="K11" s="540" t="s">
        <v>238</v>
      </c>
      <c r="L11" s="541"/>
      <c r="M11" s="540" t="s">
        <v>239</v>
      </c>
      <c r="N11" s="541"/>
      <c r="O11" s="195"/>
      <c r="P11" s="21"/>
      <c r="Q11" s="21"/>
      <c r="R11" s="152"/>
      <c r="S11" s="151"/>
      <c r="T11" s="556" t="s">
        <v>247</v>
      </c>
      <c r="U11" s="22" t="s">
        <v>7</v>
      </c>
      <c r="V11" s="22" t="s">
        <v>8</v>
      </c>
      <c r="W11" s="21" t="s">
        <v>13</v>
      </c>
      <c r="X11" s="18" t="s">
        <v>14</v>
      </c>
      <c r="Y11" s="19"/>
      <c r="Z11" s="547"/>
      <c r="AA11" s="535"/>
    </row>
    <row r="12" spans="1:27" ht="12.75" customHeight="1">
      <c r="A12" s="559"/>
      <c r="B12" s="109"/>
      <c r="C12" s="562"/>
      <c r="D12" s="18"/>
      <c r="E12" s="18"/>
      <c r="F12" s="18"/>
      <c r="G12" s="18"/>
      <c r="H12" s="18"/>
      <c r="I12" s="542"/>
      <c r="J12" s="543"/>
      <c r="K12" s="542"/>
      <c r="L12" s="543"/>
      <c r="M12" s="542"/>
      <c r="N12" s="543"/>
      <c r="O12" s="22" t="s">
        <v>241</v>
      </c>
      <c r="P12" s="22" t="s">
        <v>50</v>
      </c>
      <c r="Q12" s="22" t="s">
        <v>50</v>
      </c>
      <c r="R12" s="22" t="s">
        <v>16</v>
      </c>
      <c r="T12" s="557"/>
      <c r="U12" s="23" t="s">
        <v>11</v>
      </c>
      <c r="V12" s="18" t="s">
        <v>12</v>
      </c>
      <c r="W12" s="21" t="s">
        <v>22</v>
      </c>
      <c r="X12" s="17" t="s">
        <v>23</v>
      </c>
      <c r="Y12" s="22" t="s">
        <v>6</v>
      </c>
      <c r="Z12" s="547"/>
      <c r="AA12" s="535"/>
    </row>
    <row r="13" spans="1:27" ht="12.75" customHeight="1">
      <c r="A13" s="559" t="s">
        <v>2</v>
      </c>
      <c r="B13" s="18" t="s">
        <v>236</v>
      </c>
      <c r="C13" s="562"/>
      <c r="D13" s="18" t="s">
        <v>15</v>
      </c>
      <c r="E13" s="22" t="s">
        <v>16</v>
      </c>
      <c r="F13" s="22" t="s">
        <v>16</v>
      </c>
      <c r="G13" s="22" t="s">
        <v>17</v>
      </c>
      <c r="H13" s="22" t="s">
        <v>18</v>
      </c>
      <c r="I13" s="542"/>
      <c r="J13" s="543"/>
      <c r="K13" s="542"/>
      <c r="L13" s="543"/>
      <c r="M13" s="542"/>
      <c r="N13" s="543"/>
      <c r="O13" s="18" t="s">
        <v>19</v>
      </c>
      <c r="P13" s="22" t="s">
        <v>51</v>
      </c>
      <c r="Q13" s="22" t="s">
        <v>52</v>
      </c>
      <c r="R13" s="100" t="s">
        <v>242</v>
      </c>
      <c r="S13" s="195" t="s">
        <v>26</v>
      </c>
      <c r="T13" s="557"/>
      <c r="U13" s="18" t="s">
        <v>20</v>
      </c>
      <c r="V13" s="18" t="s">
        <v>21</v>
      </c>
      <c r="X13" s="19"/>
      <c r="Y13" s="21" t="s">
        <v>235</v>
      </c>
      <c r="Z13" s="547"/>
      <c r="AA13" s="535"/>
    </row>
    <row r="14" spans="1:27" ht="12.75">
      <c r="A14" s="559"/>
      <c r="B14" s="18"/>
      <c r="C14" s="562"/>
      <c r="D14" s="18" t="s">
        <v>24</v>
      </c>
      <c r="E14" s="18" t="s">
        <v>49</v>
      </c>
      <c r="F14" s="18" t="s">
        <v>27</v>
      </c>
      <c r="G14" s="18"/>
      <c r="H14" s="18"/>
      <c r="I14" s="544"/>
      <c r="J14" s="545"/>
      <c r="K14" s="544"/>
      <c r="L14" s="545"/>
      <c r="M14" s="544"/>
      <c r="N14" s="545"/>
      <c r="O14" s="18" t="s">
        <v>240</v>
      </c>
      <c r="P14" s="18"/>
      <c r="Q14" s="18"/>
      <c r="R14" s="22" t="s">
        <v>38</v>
      </c>
      <c r="S14" s="195" t="s">
        <v>61</v>
      </c>
      <c r="T14" s="557"/>
      <c r="U14" s="18" t="s">
        <v>23</v>
      </c>
      <c r="V14" s="24"/>
      <c r="W14" s="21"/>
      <c r="X14" s="17"/>
      <c r="Y14" s="17" t="s">
        <v>35</v>
      </c>
      <c r="Z14" s="547"/>
      <c r="AA14" s="535"/>
    </row>
    <row r="15" spans="1:27" ht="12.75">
      <c r="A15" s="559"/>
      <c r="B15" s="18"/>
      <c r="C15" s="562"/>
      <c r="D15" s="18"/>
      <c r="E15" s="18"/>
      <c r="F15" s="18"/>
      <c r="G15" s="18"/>
      <c r="H15" s="18"/>
      <c r="I15" s="18" t="s">
        <v>25</v>
      </c>
      <c r="J15" s="18" t="s">
        <v>26</v>
      </c>
      <c r="K15" s="18" t="s">
        <v>25</v>
      </c>
      <c r="L15" s="18" t="s">
        <v>26</v>
      </c>
      <c r="M15" s="18" t="s">
        <v>25</v>
      </c>
      <c r="N15" s="18" t="s">
        <v>26</v>
      </c>
      <c r="O15" s="396" t="s">
        <v>280</v>
      </c>
      <c r="P15" s="18"/>
      <c r="Q15" s="18"/>
      <c r="R15" s="22"/>
      <c r="T15" s="557"/>
      <c r="U15" s="18"/>
      <c r="V15" s="24"/>
      <c r="W15" s="21"/>
      <c r="X15" s="25"/>
      <c r="Y15" s="25"/>
      <c r="Z15" s="547"/>
      <c r="AA15" s="535"/>
    </row>
    <row r="16" spans="1:27" ht="15">
      <c r="A16" s="559"/>
      <c r="B16" s="108"/>
      <c r="C16" s="562"/>
      <c r="E16" s="18"/>
      <c r="F16" s="18"/>
      <c r="G16" s="18"/>
      <c r="H16" s="18"/>
      <c r="J16" s="18"/>
      <c r="K16" s="18"/>
      <c r="L16" s="18"/>
      <c r="M16" s="18"/>
      <c r="N16" s="18"/>
      <c r="O16" s="18" t="s">
        <v>397</v>
      </c>
      <c r="P16" s="195"/>
      <c r="Q16" s="195"/>
      <c r="R16" s="22"/>
      <c r="S16" s="291"/>
      <c r="T16" s="557"/>
      <c r="U16" s="26"/>
      <c r="V16" s="359" t="s">
        <v>250</v>
      </c>
      <c r="W16" s="27"/>
      <c r="X16" s="25"/>
      <c r="Y16" s="25"/>
      <c r="Z16" s="547"/>
      <c r="AA16" s="535"/>
    </row>
    <row r="17" spans="1:27" ht="12.75">
      <c r="A17" s="560"/>
      <c r="B17" s="28"/>
      <c r="C17" s="563"/>
      <c r="D17" s="28"/>
      <c r="E17" s="28" t="s">
        <v>29</v>
      </c>
      <c r="F17" s="28" t="s">
        <v>29</v>
      </c>
      <c r="G17" s="28" t="s">
        <v>30</v>
      </c>
      <c r="H17" s="28" t="s">
        <v>31</v>
      </c>
      <c r="I17" s="28" t="s">
        <v>28</v>
      </c>
      <c r="J17" s="28" t="s">
        <v>31</v>
      </c>
      <c r="K17" s="28" t="s">
        <v>30</v>
      </c>
      <c r="L17" s="28" t="s">
        <v>31</v>
      </c>
      <c r="M17" s="28" t="s">
        <v>30</v>
      </c>
      <c r="N17" s="28" t="s">
        <v>31</v>
      </c>
      <c r="O17" s="28" t="s">
        <v>31</v>
      </c>
      <c r="P17" s="196"/>
      <c r="Q17" s="196"/>
      <c r="R17" s="343" t="s">
        <v>60</v>
      </c>
      <c r="S17" s="153"/>
      <c r="T17" s="153" t="s">
        <v>31</v>
      </c>
      <c r="U17" s="28" t="s">
        <v>31</v>
      </c>
      <c r="V17" s="28" t="s">
        <v>31</v>
      </c>
      <c r="W17" s="28" t="s">
        <v>30</v>
      </c>
      <c r="X17" s="30" t="s">
        <v>32</v>
      </c>
      <c r="Y17" s="30" t="s">
        <v>32</v>
      </c>
      <c r="Z17" s="548"/>
      <c r="AA17" s="536"/>
    </row>
    <row r="18" spans="1:27" ht="13.5" thickBot="1">
      <c r="A18" s="31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2">
        <v>10</v>
      </c>
      <c r="K18" s="32">
        <v>11</v>
      </c>
      <c r="L18" s="32">
        <v>12</v>
      </c>
      <c r="M18" s="32">
        <v>13</v>
      </c>
      <c r="N18" s="32">
        <v>14</v>
      </c>
      <c r="O18" s="32">
        <v>15</v>
      </c>
      <c r="P18" s="32">
        <v>16</v>
      </c>
      <c r="Q18" s="32">
        <v>17</v>
      </c>
      <c r="R18" s="32">
        <v>18</v>
      </c>
      <c r="S18" s="32">
        <v>19</v>
      </c>
      <c r="T18" s="32">
        <v>20</v>
      </c>
      <c r="U18" s="32">
        <v>21</v>
      </c>
      <c r="V18" s="32">
        <v>22</v>
      </c>
      <c r="W18" s="32">
        <v>23</v>
      </c>
      <c r="X18" s="32">
        <v>27</v>
      </c>
      <c r="Y18" s="32">
        <v>28</v>
      </c>
      <c r="Z18" s="32">
        <v>29</v>
      </c>
      <c r="AA18" s="145">
        <v>30</v>
      </c>
    </row>
    <row r="19" spans="1:27" ht="12.75" hidden="1">
      <c r="A19" s="89"/>
      <c r="B19" s="133"/>
      <c r="D19" s="165"/>
      <c r="E19" s="87"/>
      <c r="F19" s="87"/>
      <c r="G19" s="87"/>
      <c r="H19" s="87"/>
      <c r="I19" s="87"/>
      <c r="J19" s="123"/>
      <c r="K19" s="93"/>
      <c r="L19" s="87"/>
      <c r="M19" s="93"/>
      <c r="N19" s="87"/>
      <c r="O19" s="102"/>
      <c r="P19" s="94">
        <v>0.04286</v>
      </c>
      <c r="Q19" s="94">
        <v>0.06507</v>
      </c>
      <c r="R19" s="183">
        <f aca="true" t="shared" si="0" ref="R19:R26">(Q19-P19)*40</f>
        <v>0.8884000000000001</v>
      </c>
      <c r="S19" s="167">
        <f>R19/E21</f>
        <v>0.24527885146328</v>
      </c>
      <c r="T19" s="168"/>
      <c r="U19" s="39"/>
      <c r="V19" s="210"/>
      <c r="W19" s="210"/>
      <c r="X19" s="210"/>
      <c r="Y19" s="210"/>
      <c r="Z19" s="212"/>
      <c r="AA19" s="218"/>
    </row>
    <row r="20" spans="1:27" ht="12.75" hidden="1">
      <c r="A20" s="89"/>
      <c r="B20" s="133"/>
      <c r="D20" s="165"/>
      <c r="E20" s="87"/>
      <c r="F20" s="94"/>
      <c r="G20" s="267" t="s">
        <v>75</v>
      </c>
      <c r="H20" s="229"/>
      <c r="I20" s="87"/>
      <c r="J20" s="123"/>
      <c r="K20" s="93"/>
      <c r="L20" s="87"/>
      <c r="M20" s="93"/>
      <c r="N20" s="87"/>
      <c r="O20" s="102"/>
      <c r="P20" s="94">
        <v>0.09043</v>
      </c>
      <c r="Q20" s="94">
        <v>0.12609</v>
      </c>
      <c r="R20" s="183">
        <f t="shared" si="0"/>
        <v>1.4264000000000006</v>
      </c>
      <c r="S20" s="167">
        <f>R20/E22</f>
        <v>0.22619727243894713</v>
      </c>
      <c r="T20" s="168"/>
      <c r="U20" s="39"/>
      <c r="V20" s="210"/>
      <c r="W20" s="210"/>
      <c r="X20" s="210"/>
      <c r="Y20" s="210"/>
      <c r="Z20" s="212"/>
      <c r="AA20" s="218"/>
    </row>
    <row r="21" spans="1:27" ht="12.75" hidden="1">
      <c r="A21" s="525">
        <v>1</v>
      </c>
      <c r="B21" s="109" t="s">
        <v>66</v>
      </c>
      <c r="D21" s="165">
        <v>0.2694</v>
      </c>
      <c r="E21" s="53">
        <v>3.622</v>
      </c>
      <c r="F21" s="284">
        <v>3.622</v>
      </c>
      <c r="G21" s="57">
        <f>0.2153*1.23</f>
        <v>0.26481899999999997</v>
      </c>
      <c r="H21" s="285">
        <f>F21*G21*1000</f>
        <v>959.174418</v>
      </c>
      <c r="I21" s="87">
        <f>0.85*1.23</f>
        <v>1.0454999999999999</v>
      </c>
      <c r="J21" s="296"/>
      <c r="K21" s="57">
        <f>0.1261*1.23</f>
        <v>0.155103</v>
      </c>
      <c r="L21" s="47">
        <f>(E21)*K21*1000</f>
        <v>561.783066</v>
      </c>
      <c r="M21" s="57">
        <f>0.0129*1.23</f>
        <v>0.015867</v>
      </c>
      <c r="N21" s="47">
        <f>(E21)*M21*1000</f>
        <v>57.470273999999996</v>
      </c>
      <c r="O21" s="102">
        <f>16*1.23</f>
        <v>19.68</v>
      </c>
      <c r="P21" s="226">
        <v>0</v>
      </c>
      <c r="Q21" s="226">
        <v>0</v>
      </c>
      <c r="R21" s="165">
        <f t="shared" si="0"/>
        <v>0</v>
      </c>
      <c r="S21" s="111"/>
      <c r="T21" s="158"/>
      <c r="U21" s="65"/>
      <c r="V21" s="121"/>
      <c r="W21" s="67"/>
      <c r="X21" s="156"/>
      <c r="Y21" s="179"/>
      <c r="Z21" s="156"/>
      <c r="AA21" s="218">
        <f>V22/1.23</f>
        <v>1903.8678799999998</v>
      </c>
    </row>
    <row r="22" spans="1:27" ht="12.75" hidden="1">
      <c r="A22" s="524"/>
      <c r="B22" s="115" t="s">
        <v>83</v>
      </c>
      <c r="C22" s="52" t="s">
        <v>67</v>
      </c>
      <c r="D22" s="169">
        <v>0.57309</v>
      </c>
      <c r="E22" s="56">
        <v>6.306</v>
      </c>
      <c r="F22" s="283">
        <v>6.306</v>
      </c>
      <c r="G22" s="58">
        <f>0.2153*1.23</f>
        <v>0.26481899999999997</v>
      </c>
      <c r="H22" s="286">
        <f>F22*G22*1000</f>
        <v>1669.9486139999997</v>
      </c>
      <c r="I22" s="50">
        <f>15.78*1.23</f>
        <v>19.409399999999998</v>
      </c>
      <c r="J22" s="122">
        <f>X22*(I21+I22)</f>
        <v>818.1959999999999</v>
      </c>
      <c r="K22" s="58">
        <f>0.0972*1.23</f>
        <v>0.119556</v>
      </c>
      <c r="L22" s="62">
        <f>(E22)*K22*1000</f>
        <v>753.920136</v>
      </c>
      <c r="M22" s="58">
        <f>0.0129*1.23</f>
        <v>0.015867</v>
      </c>
      <c r="N22" s="62">
        <f>(E22)*M22*1000</f>
        <v>100.057302</v>
      </c>
      <c r="O22" s="205">
        <f>(E21+E22)*2.51*1.23</f>
        <v>30.650714400000002</v>
      </c>
      <c r="P22" s="54">
        <v>0</v>
      </c>
      <c r="Q22" s="54">
        <v>0</v>
      </c>
      <c r="R22" s="54">
        <f t="shared" si="0"/>
        <v>0</v>
      </c>
      <c r="S22" s="90"/>
      <c r="T22" s="171"/>
      <c r="U22" s="36"/>
      <c r="V22" s="129">
        <f>J22+L21+L22+N21+N22+O21+O22+T19+T20+T21+T22+U22</f>
        <v>2341.7574923999996</v>
      </c>
      <c r="W22" s="85">
        <f>(V22+H21+H22)/(E21+E22)/1000</f>
        <v>0.5006930423448831</v>
      </c>
      <c r="X22" s="71">
        <v>40</v>
      </c>
      <c r="Y22" s="71">
        <v>30</v>
      </c>
      <c r="Z22" s="71"/>
      <c r="AA22" s="219"/>
    </row>
    <row r="23" spans="1:27" ht="12.75" hidden="1">
      <c r="A23" s="89"/>
      <c r="B23" s="133"/>
      <c r="D23" s="165"/>
      <c r="E23" s="87"/>
      <c r="F23" s="87"/>
      <c r="G23" s="87"/>
      <c r="H23" s="87"/>
      <c r="I23" s="87"/>
      <c r="J23" s="123"/>
      <c r="K23" s="93"/>
      <c r="L23" s="87"/>
      <c r="M23" s="93"/>
      <c r="N23" s="87"/>
      <c r="O23" s="102"/>
      <c r="P23" s="94">
        <v>0.06507</v>
      </c>
      <c r="Q23" s="94">
        <v>0.08258</v>
      </c>
      <c r="R23" s="183">
        <f t="shared" si="0"/>
        <v>0.7003999999999999</v>
      </c>
      <c r="S23" s="167">
        <f>R23/E25</f>
        <v>0.22111377699204432</v>
      </c>
      <c r="T23" s="278"/>
      <c r="U23" s="80"/>
      <c r="V23" s="210"/>
      <c r="W23" s="210"/>
      <c r="X23" s="210"/>
      <c r="Y23" s="210"/>
      <c r="Z23" s="212"/>
      <c r="AA23" s="218"/>
    </row>
    <row r="24" spans="1:27" ht="12.75" hidden="1">
      <c r="A24" s="89"/>
      <c r="B24" s="133"/>
      <c r="D24" s="165"/>
      <c r="E24" s="87"/>
      <c r="F24" s="94"/>
      <c r="G24" s="267" t="s">
        <v>76</v>
      </c>
      <c r="H24" s="229"/>
      <c r="I24" s="87"/>
      <c r="J24" s="123"/>
      <c r="K24" s="93"/>
      <c r="L24" s="87"/>
      <c r="M24" s="93"/>
      <c r="N24" s="87"/>
      <c r="O24" s="102"/>
      <c r="P24" s="94">
        <v>0.12609</v>
      </c>
      <c r="Q24" s="94">
        <v>0.15423</v>
      </c>
      <c r="R24" s="183">
        <f t="shared" si="0"/>
        <v>1.1256</v>
      </c>
      <c r="S24" s="167">
        <f>R24/E26</f>
        <v>0.19284539473684204</v>
      </c>
      <c r="T24" s="278"/>
      <c r="U24" s="80"/>
      <c r="V24" s="210"/>
      <c r="W24" s="210"/>
      <c r="X24" s="210"/>
      <c r="Y24" s="210"/>
      <c r="Z24" s="212"/>
      <c r="AA24" s="218"/>
    </row>
    <row r="25" spans="1:27" ht="12.75" hidden="1">
      <c r="A25" s="525">
        <v>2</v>
      </c>
      <c r="B25" s="109" t="s">
        <v>71</v>
      </c>
      <c r="D25" s="165">
        <v>0.34859</v>
      </c>
      <c r="E25" s="53">
        <f>(D25-D21)*Y$9</f>
        <v>3.1676000000000015</v>
      </c>
      <c r="F25" s="284">
        <v>3.168</v>
      </c>
      <c r="G25" s="57">
        <f>0.2153*1.23</f>
        <v>0.26481899999999997</v>
      </c>
      <c r="H25" s="285">
        <f>F25*G25*1000</f>
        <v>838.946592</v>
      </c>
      <c r="I25" s="87">
        <f>1.65*1.23</f>
        <v>2.0295</v>
      </c>
      <c r="J25" s="296"/>
      <c r="K25" s="57">
        <f>0.1296*1.23</f>
        <v>0.159408</v>
      </c>
      <c r="L25" s="47">
        <f>(E25)*K25*1000</f>
        <v>504.94078080000025</v>
      </c>
      <c r="M25" s="57">
        <f>0.0127*1.23</f>
        <v>0.015621</v>
      </c>
      <c r="N25" s="47">
        <f>(E25)*M25*1000</f>
        <v>49.48107960000002</v>
      </c>
      <c r="O25" s="102">
        <f>15*1.23</f>
        <v>18.45</v>
      </c>
      <c r="P25" s="226">
        <v>0</v>
      </c>
      <c r="Q25" s="226">
        <v>0</v>
      </c>
      <c r="R25" s="165">
        <f t="shared" si="0"/>
        <v>0</v>
      </c>
      <c r="S25" s="111"/>
      <c r="T25" s="278"/>
      <c r="U25" s="173"/>
      <c r="V25" s="121"/>
      <c r="W25" s="67"/>
      <c r="X25" s="156"/>
      <c r="Y25" s="179"/>
      <c r="Z25" s="156"/>
      <c r="AA25" s="218">
        <f>V26/1.23</f>
        <v>1886.6118400000003</v>
      </c>
    </row>
    <row r="26" spans="1:27" ht="12.75" hidden="1">
      <c r="A26" s="524"/>
      <c r="B26" s="115" t="s">
        <v>69</v>
      </c>
      <c r="C26" s="52" t="s">
        <v>72</v>
      </c>
      <c r="D26" s="169">
        <v>0.71901</v>
      </c>
      <c r="E26" s="56">
        <f>(D26-D22)*Y$9</f>
        <v>5.836800000000002</v>
      </c>
      <c r="F26" s="283">
        <v>5.837</v>
      </c>
      <c r="G26" s="58">
        <f>0.2153*1.23</f>
        <v>0.26481899999999997</v>
      </c>
      <c r="H26" s="286">
        <f>F26*G26*1000</f>
        <v>1545.7485029999998</v>
      </c>
      <c r="I26" s="50">
        <f>15.78*1.23</f>
        <v>19.409399999999998</v>
      </c>
      <c r="J26" s="122">
        <f>X26*(I25+I26)</f>
        <v>857.5559999999998</v>
      </c>
      <c r="K26" s="58">
        <f>0.1054*1.23</f>
        <v>0.12964199999999998</v>
      </c>
      <c r="L26" s="62">
        <f>(E26)*K26*1000</f>
        <v>756.6944256000002</v>
      </c>
      <c r="M26" s="58">
        <f>0.0127*1.23</f>
        <v>0.015621</v>
      </c>
      <c r="N26" s="62">
        <f>(E26)*M26*1000</f>
        <v>91.17665280000003</v>
      </c>
      <c r="O26" s="205">
        <f>(E25+E26)*3.7*1.23</f>
        <v>40.979024400000014</v>
      </c>
      <c r="P26" s="54">
        <v>0</v>
      </c>
      <c r="Q26" s="54">
        <v>4E-05</v>
      </c>
      <c r="R26" s="54">
        <f t="shared" si="0"/>
        <v>0.0016</v>
      </c>
      <c r="S26" s="90"/>
      <c r="T26" s="279">
        <f>1.02*1.23</f>
        <v>1.2546</v>
      </c>
      <c r="U26" s="66"/>
      <c r="V26" s="129">
        <f>J26+L25+L26+N25+N26+O25+O26+T23+T24+T25+T26+U26</f>
        <v>2320.5325632000004</v>
      </c>
      <c r="W26" s="85">
        <f>(V26+H25+H26)/(E25+E26)/1000</f>
        <v>0.5225476054151302</v>
      </c>
      <c r="X26" s="71">
        <v>40</v>
      </c>
      <c r="Y26" s="71">
        <v>30</v>
      </c>
      <c r="Z26" s="71"/>
      <c r="AA26" s="219"/>
    </row>
    <row r="27" spans="1:27" ht="12.75" hidden="1">
      <c r="A27" s="89"/>
      <c r="B27" s="133"/>
      <c r="D27" s="165"/>
      <c r="E27" s="87"/>
      <c r="F27" s="87"/>
      <c r="G27" s="87"/>
      <c r="H27" s="87"/>
      <c r="I27" s="87"/>
      <c r="J27" s="123"/>
      <c r="K27" s="93"/>
      <c r="L27" s="87"/>
      <c r="M27" s="93"/>
      <c r="N27" s="87"/>
      <c r="O27" s="102"/>
      <c r="P27" s="94">
        <v>0.08258</v>
      </c>
      <c r="Q27" s="94">
        <v>0.0968</v>
      </c>
      <c r="R27" s="183">
        <f aca="true" t="shared" si="1" ref="R27:R34">(Q27-P27)*40</f>
        <v>0.5687999999999999</v>
      </c>
      <c r="S27" s="167">
        <f>R27/E29</f>
        <v>0.21663619744058504</v>
      </c>
      <c r="T27" s="278"/>
      <c r="U27" s="80"/>
      <c r="V27" s="210"/>
      <c r="W27" s="210"/>
      <c r="X27" s="210"/>
      <c r="Y27" s="210"/>
      <c r="Z27" s="212"/>
      <c r="AA27" s="218"/>
    </row>
    <row r="28" spans="1:27" ht="12.75" hidden="1">
      <c r="A28" s="89"/>
      <c r="B28" s="133"/>
      <c r="D28" s="165"/>
      <c r="E28" s="87"/>
      <c r="F28" s="94"/>
      <c r="G28" s="267" t="s">
        <v>90</v>
      </c>
      <c r="H28" s="229"/>
      <c r="I28" s="87"/>
      <c r="J28" s="123"/>
      <c r="K28" s="93"/>
      <c r="L28" s="87"/>
      <c r="M28" s="93"/>
      <c r="N28" s="87"/>
      <c r="O28" s="102"/>
      <c r="P28" s="94">
        <v>0.15423</v>
      </c>
      <c r="Q28" s="94">
        <v>0.17529</v>
      </c>
      <c r="R28" s="183">
        <f t="shared" si="1"/>
        <v>0.8423999999999998</v>
      </c>
      <c r="S28" s="167">
        <f>R28/E30</f>
        <v>0.1731196054254008</v>
      </c>
      <c r="T28" s="278"/>
      <c r="U28" s="80"/>
      <c r="V28" s="210"/>
      <c r="W28" s="210"/>
      <c r="X28" s="210"/>
      <c r="Y28" s="210"/>
      <c r="Z28" s="212"/>
      <c r="AA28" s="218"/>
    </row>
    <row r="29" spans="1:27" ht="12.75" hidden="1">
      <c r="A29" s="525">
        <v>3</v>
      </c>
      <c r="B29" s="109" t="s">
        <v>84</v>
      </c>
      <c r="D29" s="165">
        <v>0.41423</v>
      </c>
      <c r="E29" s="53">
        <f>(D29-D25)*Y$9</f>
        <v>2.625599999999999</v>
      </c>
      <c r="F29" s="284">
        <v>2.626</v>
      </c>
      <c r="G29" s="57">
        <f>0.2153*1.23</f>
        <v>0.26481899999999997</v>
      </c>
      <c r="H29" s="285">
        <f>F29*G29*1000</f>
        <v>695.4146939999999</v>
      </c>
      <c r="I29" s="87">
        <f>1.65*1.23</f>
        <v>2.0295</v>
      </c>
      <c r="J29" s="296"/>
      <c r="K29" s="57">
        <f>0.1296*1.23</f>
        <v>0.159408</v>
      </c>
      <c r="L29" s="47">
        <f>(E29)*K29*1000</f>
        <v>418.54164479999986</v>
      </c>
      <c r="M29" s="57">
        <f>0.0127*1.23</f>
        <v>0.015621</v>
      </c>
      <c r="N29" s="47">
        <f>(E29)*M29*1000</f>
        <v>41.014497599999984</v>
      </c>
      <c r="O29" s="102">
        <f>15*1.23</f>
        <v>18.45</v>
      </c>
      <c r="P29" s="226">
        <v>0</v>
      </c>
      <c r="Q29" s="226">
        <v>0</v>
      </c>
      <c r="R29" s="165">
        <f t="shared" si="1"/>
        <v>0</v>
      </c>
      <c r="S29" s="111"/>
      <c r="T29" s="278"/>
      <c r="U29" s="173"/>
      <c r="V29" s="121"/>
      <c r="W29" s="67"/>
      <c r="X29" s="156"/>
      <c r="Y29" s="179"/>
      <c r="Z29" s="156"/>
      <c r="AA29" s="218">
        <f>V30/1.23</f>
        <v>1692.296399999999</v>
      </c>
    </row>
    <row r="30" spans="1:27" ht="12.75" hidden="1">
      <c r="A30" s="524"/>
      <c r="B30" s="115" t="s">
        <v>85</v>
      </c>
      <c r="C30" s="52" t="s">
        <v>87</v>
      </c>
      <c r="D30" s="169">
        <v>0.84066</v>
      </c>
      <c r="E30" s="56">
        <f>(D30-D26)*Y$9</f>
        <v>4.865999999999997</v>
      </c>
      <c r="F30" s="283">
        <v>4.866</v>
      </c>
      <c r="G30" s="58">
        <f>0.2153*1.23</f>
        <v>0.26481899999999997</v>
      </c>
      <c r="H30" s="286">
        <f>F30*G30*1000</f>
        <v>1288.6092539999997</v>
      </c>
      <c r="I30" s="50">
        <f>15.78*1.23</f>
        <v>19.409399999999998</v>
      </c>
      <c r="J30" s="122">
        <f>X30*(I29+I30)</f>
        <v>857.5559999999998</v>
      </c>
      <c r="K30" s="58">
        <f>0.1054*1.23</f>
        <v>0.12964199999999998</v>
      </c>
      <c r="L30" s="62">
        <f>(E30)*K30*1000</f>
        <v>630.8379719999995</v>
      </c>
      <c r="M30" s="58">
        <f>0.0127*1.23</f>
        <v>0.015621</v>
      </c>
      <c r="N30" s="62">
        <f>(E30)*M30*1000</f>
        <v>76.01178599999996</v>
      </c>
      <c r="O30" s="205">
        <f>(E29+E30)*3.7*1.23</f>
        <v>34.094271599999985</v>
      </c>
      <c r="P30" s="54">
        <v>4E-05</v>
      </c>
      <c r="Q30" s="54">
        <v>0.00024</v>
      </c>
      <c r="R30" s="54">
        <f t="shared" si="1"/>
        <v>0.008</v>
      </c>
      <c r="S30" s="90"/>
      <c r="T30" s="279">
        <f>4.08*1.23</f>
        <v>5.0184</v>
      </c>
      <c r="U30" s="66"/>
      <c r="V30" s="129">
        <f>J30+L29+L30+N29+N30+O29+O30+T27+T28+T29+T30+U30</f>
        <v>2081.524571999999</v>
      </c>
      <c r="W30" s="85">
        <f>(V30+H29+H30)/(E29+E30)/1000</f>
        <v>0.5426809386512894</v>
      </c>
      <c r="X30" s="71">
        <v>40</v>
      </c>
      <c r="Y30" s="71">
        <v>32</v>
      </c>
      <c r="Z30" s="71"/>
      <c r="AA30" s="219"/>
    </row>
    <row r="31" spans="1:27" ht="12.75" hidden="1">
      <c r="A31" s="89"/>
      <c r="B31" s="133"/>
      <c r="D31" s="165"/>
      <c r="E31" s="87"/>
      <c r="F31" s="87"/>
      <c r="G31" s="87"/>
      <c r="H31" s="87"/>
      <c r="I31" s="87"/>
      <c r="J31" s="123"/>
      <c r="K31" s="93"/>
      <c r="L31" s="87"/>
      <c r="M31" s="93"/>
      <c r="N31" s="87"/>
      <c r="O31" s="102"/>
      <c r="P31" s="94">
        <v>0.0968</v>
      </c>
      <c r="Q31" s="94">
        <v>0.1108</v>
      </c>
      <c r="R31" s="183">
        <f t="shared" si="1"/>
        <v>0.5599999999999999</v>
      </c>
      <c r="S31" s="167">
        <f>R31/E33</f>
        <v>0.22954582718478442</v>
      </c>
      <c r="T31" s="278"/>
      <c r="U31" s="80"/>
      <c r="V31" s="210"/>
      <c r="W31" s="210"/>
      <c r="X31" s="210"/>
      <c r="Y31" s="210"/>
      <c r="Z31" s="212"/>
      <c r="AA31" s="218"/>
    </row>
    <row r="32" spans="1:27" ht="12.75" hidden="1">
      <c r="A32" s="89"/>
      <c r="B32" s="133"/>
      <c r="D32" s="165"/>
      <c r="E32" s="87"/>
      <c r="F32" s="94"/>
      <c r="G32" s="267" t="s">
        <v>104</v>
      </c>
      <c r="H32" s="229"/>
      <c r="I32" s="87"/>
      <c r="J32" s="123"/>
      <c r="K32" s="93"/>
      <c r="L32" s="87"/>
      <c r="M32" s="93"/>
      <c r="N32" s="87"/>
      <c r="O32" s="102"/>
      <c r="P32" s="94">
        <v>0.17529</v>
      </c>
      <c r="Q32" s="94">
        <v>0.20654</v>
      </c>
      <c r="R32" s="183">
        <f t="shared" si="1"/>
        <v>1.25</v>
      </c>
      <c r="S32" s="167">
        <f>R32/E34</f>
        <v>0.20819453697534976</v>
      </c>
      <c r="T32" s="278"/>
      <c r="U32" s="80"/>
      <c r="V32" s="210"/>
      <c r="W32" s="210"/>
      <c r="X32" s="210"/>
      <c r="Y32" s="210"/>
      <c r="Z32" s="212"/>
      <c r="AA32" s="218"/>
    </row>
    <row r="33" spans="1:27" ht="12.75" hidden="1">
      <c r="A33" s="525">
        <v>4</v>
      </c>
      <c r="B33" s="109" t="s">
        <v>103</v>
      </c>
      <c r="D33" s="165">
        <v>0.47522</v>
      </c>
      <c r="E33" s="53">
        <f>(D33-D29)*Y$9</f>
        <v>2.4395999999999995</v>
      </c>
      <c r="F33" s="284">
        <v>2.44</v>
      </c>
      <c r="G33" s="57">
        <f>0.2153*1.23</f>
        <v>0.26481899999999997</v>
      </c>
      <c r="H33" s="285">
        <f>F33*G33*1000</f>
        <v>646.1583599999999</v>
      </c>
      <c r="I33" s="87">
        <f>1.65*1.23</f>
        <v>2.0295</v>
      </c>
      <c r="J33" s="296"/>
      <c r="K33" s="57">
        <f>0.1296*1.23</f>
        <v>0.159408</v>
      </c>
      <c r="L33" s="47">
        <f>(E33)*K33*1000</f>
        <v>388.89175679999994</v>
      </c>
      <c r="M33" s="57">
        <f>0.0127*1.23</f>
        <v>0.015621</v>
      </c>
      <c r="N33" s="47">
        <f>(E33)*M33*1000</f>
        <v>38.10899159999999</v>
      </c>
      <c r="O33" s="102">
        <f>15*1.23</f>
        <v>18.45</v>
      </c>
      <c r="P33" s="226">
        <v>0</v>
      </c>
      <c r="Q33" s="226">
        <v>0</v>
      </c>
      <c r="R33" s="165">
        <f t="shared" si="1"/>
        <v>0</v>
      </c>
      <c r="S33" s="111"/>
      <c r="T33" s="278"/>
      <c r="U33" s="173"/>
      <c r="V33" s="121"/>
      <c r="W33" s="67"/>
      <c r="X33" s="156"/>
      <c r="Y33" s="179"/>
      <c r="Z33" s="156"/>
      <c r="AA33" s="218">
        <f>V34/1.23</f>
        <v>1799.6687999999995</v>
      </c>
    </row>
    <row r="34" spans="1:27" ht="12.75" hidden="1">
      <c r="A34" s="524"/>
      <c r="B34" s="115" t="s">
        <v>98</v>
      </c>
      <c r="C34" s="52" t="s">
        <v>100</v>
      </c>
      <c r="D34" s="169">
        <v>0.99076</v>
      </c>
      <c r="E34" s="56">
        <f>(D34-D30)*Y$9</f>
        <v>6.0040000000000004</v>
      </c>
      <c r="F34" s="283">
        <v>6.004</v>
      </c>
      <c r="G34" s="58">
        <f>0.2153*1.23</f>
        <v>0.26481899999999997</v>
      </c>
      <c r="H34" s="286">
        <f>F34*G34*1000</f>
        <v>1589.9732759999997</v>
      </c>
      <c r="I34" s="50">
        <f>15.78*1.23</f>
        <v>19.409399999999998</v>
      </c>
      <c r="J34" s="122">
        <f>X34*(I33+I34)</f>
        <v>857.5559999999998</v>
      </c>
      <c r="K34" s="58">
        <f>0.1054*1.23</f>
        <v>0.12964199999999998</v>
      </c>
      <c r="L34" s="62">
        <f>(E34)*K34*1000</f>
        <v>778.3705679999999</v>
      </c>
      <c r="M34" s="58">
        <f>0.0127*1.23</f>
        <v>0.015621</v>
      </c>
      <c r="N34" s="62">
        <f>(E34)*M34*1000</f>
        <v>93.78848400000001</v>
      </c>
      <c r="O34" s="205">
        <f>(E33+E34)*3.7*1.23</f>
        <v>38.4268236</v>
      </c>
      <c r="P34" s="54">
        <v>0.00024</v>
      </c>
      <c r="Q34" s="54">
        <v>0.00024</v>
      </c>
      <c r="R34" s="54">
        <f t="shared" si="1"/>
        <v>0</v>
      </c>
      <c r="S34" s="90"/>
      <c r="T34" s="279"/>
      <c r="U34" s="66"/>
      <c r="V34" s="129">
        <f>J34+L33+L34+N33+N34+O33+O34+T31+T32+T33+T34+U34</f>
        <v>2213.5926239999994</v>
      </c>
      <c r="W34" s="85">
        <f>(V34+H33+H34)/(E33+E34)/1000</f>
        <v>0.5269937301624897</v>
      </c>
      <c r="X34" s="71">
        <v>40</v>
      </c>
      <c r="Y34" s="71">
        <v>26</v>
      </c>
      <c r="Z34" s="71"/>
      <c r="AA34" s="219"/>
    </row>
    <row r="35" spans="1:27" ht="12.75" hidden="1">
      <c r="A35" s="89"/>
      <c r="B35" s="133"/>
      <c r="D35" s="165"/>
      <c r="E35" s="87"/>
      <c r="F35" s="87"/>
      <c r="G35" s="87"/>
      <c r="H35" s="87"/>
      <c r="I35" s="87"/>
      <c r="J35" s="123"/>
      <c r="K35" s="93"/>
      <c r="L35" s="87"/>
      <c r="M35" s="93"/>
      <c r="N35" s="87"/>
      <c r="O35" s="102"/>
      <c r="P35" s="94">
        <v>0.1108</v>
      </c>
      <c r="Q35" s="94">
        <v>0.12159</v>
      </c>
      <c r="R35" s="183">
        <f aca="true" t="shared" si="2" ref="R35:R42">(Q35-P35)*40</f>
        <v>0.4316000000000003</v>
      </c>
      <c r="S35" s="167">
        <f>R35/E37</f>
        <v>0.2540616906051332</v>
      </c>
      <c r="T35" s="278"/>
      <c r="U35" s="80"/>
      <c r="V35" s="210"/>
      <c r="W35" s="210"/>
      <c r="X35" s="210"/>
      <c r="Y35" s="210"/>
      <c r="Z35" s="212"/>
      <c r="AA35" s="218"/>
    </row>
    <row r="36" spans="1:27" ht="12.75" hidden="1">
      <c r="A36" s="89"/>
      <c r="B36" s="133"/>
      <c r="D36" s="165"/>
      <c r="E36" s="87"/>
      <c r="F36" s="94"/>
      <c r="G36" s="267" t="s">
        <v>115</v>
      </c>
      <c r="H36" s="229"/>
      <c r="I36" s="87"/>
      <c r="J36" s="123"/>
      <c r="K36" s="93"/>
      <c r="L36" s="87"/>
      <c r="M36" s="93"/>
      <c r="N36" s="87"/>
      <c r="O36" s="102"/>
      <c r="P36" s="94">
        <v>0.20654</v>
      </c>
      <c r="Q36" s="94">
        <v>0.24052</v>
      </c>
      <c r="R36" s="183">
        <f t="shared" si="2"/>
        <v>1.3592000000000004</v>
      </c>
      <c r="S36" s="167">
        <f>R36/E38</f>
        <v>0.23639905384722407</v>
      </c>
      <c r="T36" s="278"/>
      <c r="U36" s="80"/>
      <c r="V36" s="210"/>
      <c r="W36" s="210"/>
      <c r="X36" s="210"/>
      <c r="Y36" s="210"/>
      <c r="Z36" s="212"/>
      <c r="AA36" s="218"/>
    </row>
    <row r="37" spans="1:27" ht="12.75" hidden="1">
      <c r="A37" s="525">
        <v>5</v>
      </c>
      <c r="B37" s="109" t="s">
        <v>114</v>
      </c>
      <c r="D37" s="165">
        <v>0.51769</v>
      </c>
      <c r="E37" s="53">
        <f>(D37-D33)*Y$9</f>
        <v>1.6988000000000003</v>
      </c>
      <c r="F37" s="284">
        <v>1.699</v>
      </c>
      <c r="G37" s="57">
        <f>0.2153*1.23</f>
        <v>0.26481899999999997</v>
      </c>
      <c r="H37" s="285">
        <f>F37*G37*1000</f>
        <v>449.92748099999994</v>
      </c>
      <c r="I37" s="87">
        <f>1.65*1.23</f>
        <v>2.0295</v>
      </c>
      <c r="J37" s="296"/>
      <c r="K37" s="57">
        <f>0.1296*1.23</f>
        <v>0.159408</v>
      </c>
      <c r="L37" s="47">
        <f>(E37)*K37*1000</f>
        <v>270.8023104</v>
      </c>
      <c r="M37" s="57">
        <f>0.0127*1.23</f>
        <v>0.015621</v>
      </c>
      <c r="N37" s="47">
        <f>(E37)*M37*1000</f>
        <v>26.536954800000004</v>
      </c>
      <c r="O37" s="102">
        <f>15*1.23</f>
        <v>18.45</v>
      </c>
      <c r="P37" s="226">
        <v>0</v>
      </c>
      <c r="Q37" s="226">
        <v>0</v>
      </c>
      <c r="R37" s="165">
        <f t="shared" si="2"/>
        <v>0</v>
      </c>
      <c r="S37" s="111"/>
      <c r="T37" s="278"/>
      <c r="U37" s="173"/>
      <c r="V37" s="121"/>
      <c r="W37" s="67"/>
      <c r="X37" s="156"/>
      <c r="Y37" s="179"/>
      <c r="Z37" s="156"/>
      <c r="AA37" s="218">
        <f>V38/1.23</f>
        <v>1660.5260800000003</v>
      </c>
    </row>
    <row r="38" spans="1:27" ht="12.75" hidden="1">
      <c r="A38" s="524"/>
      <c r="B38" s="115" t="s">
        <v>110</v>
      </c>
      <c r="C38" s="52" t="s">
        <v>111</v>
      </c>
      <c r="D38" s="169">
        <v>1.1345</v>
      </c>
      <c r="E38" s="56">
        <f>(D38-D34)*Y$9</f>
        <v>5.749600000000004</v>
      </c>
      <c r="F38" s="283">
        <v>5.75</v>
      </c>
      <c r="G38" s="58">
        <f>0.2153*1.23</f>
        <v>0.26481899999999997</v>
      </c>
      <c r="H38" s="286">
        <f>F38*G38*1000</f>
        <v>1522.7092499999999</v>
      </c>
      <c r="I38" s="50">
        <f>15.78*1.23</f>
        <v>19.409399999999998</v>
      </c>
      <c r="J38" s="122">
        <f>X38*(I37+I38)</f>
        <v>857.5559999999998</v>
      </c>
      <c r="K38" s="58">
        <f>0.1054*1.23</f>
        <v>0.12964199999999998</v>
      </c>
      <c r="L38" s="62">
        <f>(E38)*K38*1000</f>
        <v>745.3896432000004</v>
      </c>
      <c r="M38" s="58">
        <f>0.0127*1.23</f>
        <v>0.015621</v>
      </c>
      <c r="N38" s="62">
        <f>(E38)*M38*1000</f>
        <v>89.81450160000006</v>
      </c>
      <c r="O38" s="205">
        <f>(E37+E38)*3.7*1.23</f>
        <v>33.89766840000002</v>
      </c>
      <c r="P38" s="54">
        <v>0.00024</v>
      </c>
      <c r="Q38" s="54">
        <v>0.00024</v>
      </c>
      <c r="R38" s="54">
        <f t="shared" si="2"/>
        <v>0</v>
      </c>
      <c r="S38" s="90"/>
      <c r="T38" s="279"/>
      <c r="U38" s="66"/>
      <c r="V38" s="129">
        <f>J38+L37+L38+N37+N38+O37+O38+T35+T36+T37+T38+U38</f>
        <v>2042.4470784000005</v>
      </c>
      <c r="W38" s="85">
        <f>(V38+H37+H38)/(E37+E38)/1000</f>
        <v>0.5390531938939904</v>
      </c>
      <c r="X38" s="71">
        <v>40</v>
      </c>
      <c r="Y38" s="71">
        <v>24</v>
      </c>
      <c r="Z38" s="71"/>
      <c r="AA38" s="219"/>
    </row>
    <row r="39" spans="1:27" ht="12.75" hidden="1">
      <c r="A39" s="89"/>
      <c r="B39" s="133"/>
      <c r="D39" s="165"/>
      <c r="E39" s="87"/>
      <c r="F39" s="87"/>
      <c r="G39" s="87"/>
      <c r="H39" s="87"/>
      <c r="I39" s="87"/>
      <c r="J39" s="123"/>
      <c r="K39" s="93"/>
      <c r="L39" s="87"/>
      <c r="M39" s="93"/>
      <c r="N39" s="87"/>
      <c r="O39" s="102"/>
      <c r="P39" s="94">
        <v>0.12159</v>
      </c>
      <c r="Q39" s="94">
        <v>0.13168</v>
      </c>
      <c r="R39" s="183">
        <f t="shared" si="2"/>
        <v>0.4035999999999995</v>
      </c>
      <c r="S39" s="167">
        <f>R39/E41</f>
        <v>0.25447667087011344</v>
      </c>
      <c r="T39" s="278"/>
      <c r="U39" s="80"/>
      <c r="V39" s="210"/>
      <c r="W39" s="210"/>
      <c r="X39" s="210"/>
      <c r="Y39" s="210"/>
      <c r="Z39" s="212"/>
      <c r="AA39" s="218"/>
    </row>
    <row r="40" spans="1:27" ht="12.75" hidden="1">
      <c r="A40" s="89"/>
      <c r="B40" s="133"/>
      <c r="D40" s="165"/>
      <c r="E40" s="87"/>
      <c r="F40" s="94"/>
      <c r="G40" s="267" t="s">
        <v>126</v>
      </c>
      <c r="H40" s="229"/>
      <c r="I40" s="87"/>
      <c r="J40" s="123"/>
      <c r="K40" s="93"/>
      <c r="L40" s="87"/>
      <c r="M40" s="93"/>
      <c r="N40" s="87"/>
      <c r="O40" s="102"/>
      <c r="P40" s="94">
        <v>0.24052</v>
      </c>
      <c r="Q40" s="94">
        <v>0.27874</v>
      </c>
      <c r="R40" s="183">
        <f t="shared" si="2"/>
        <v>1.528799999999999</v>
      </c>
      <c r="S40" s="167">
        <f>R40/E42</f>
        <v>0.23689103756043117</v>
      </c>
      <c r="T40" s="278"/>
      <c r="U40" s="80"/>
      <c r="V40" s="210"/>
      <c r="W40" s="210"/>
      <c r="X40" s="210"/>
      <c r="Y40" s="210"/>
      <c r="Z40" s="212"/>
      <c r="AA40" s="218"/>
    </row>
    <row r="41" spans="1:27" ht="12.75" hidden="1">
      <c r="A41" s="525">
        <v>6</v>
      </c>
      <c r="B41" s="109" t="s">
        <v>123</v>
      </c>
      <c r="D41" s="165">
        <v>0.55734</v>
      </c>
      <c r="E41" s="53">
        <f>(D41-D37)*Y$9</f>
        <v>1.5859999999999985</v>
      </c>
      <c r="F41" s="284">
        <v>1.586</v>
      </c>
      <c r="G41" s="57">
        <f>0.2153*1.23</f>
        <v>0.26481899999999997</v>
      </c>
      <c r="H41" s="285">
        <f>F41*G41*1000</f>
        <v>420.002934</v>
      </c>
      <c r="I41" s="87">
        <f>1.65*1.23</f>
        <v>2.0295</v>
      </c>
      <c r="J41" s="296"/>
      <c r="K41" s="57">
        <f>0.1296*1.23</f>
        <v>0.159408</v>
      </c>
      <c r="L41" s="47">
        <f>(E41)*K41*1000</f>
        <v>252.82108799999975</v>
      </c>
      <c r="M41" s="57">
        <f>0.0127*1.23</f>
        <v>0.015621</v>
      </c>
      <c r="N41" s="47">
        <f>(E41)*M41*1000</f>
        <v>24.774905999999977</v>
      </c>
      <c r="O41" s="102">
        <f>15*1.23</f>
        <v>18.45</v>
      </c>
      <c r="P41" s="226">
        <v>0</v>
      </c>
      <c r="Q41" s="226">
        <v>0</v>
      </c>
      <c r="R41" s="165">
        <f t="shared" si="2"/>
        <v>0</v>
      </c>
      <c r="S41" s="111"/>
      <c r="T41" s="278"/>
      <c r="U41" s="173"/>
      <c r="V41" s="121"/>
      <c r="W41" s="67"/>
      <c r="X41" s="156"/>
      <c r="Y41" s="179"/>
      <c r="Z41" s="156"/>
      <c r="AA41" s="218">
        <f>V42/1.23</f>
        <v>1729.804479999999</v>
      </c>
    </row>
    <row r="42" spans="1:27" ht="12.75" hidden="1">
      <c r="A42" s="524"/>
      <c r="B42" s="115" t="s">
        <v>118</v>
      </c>
      <c r="C42" s="52" t="s">
        <v>121</v>
      </c>
      <c r="D42" s="169">
        <v>1.29584</v>
      </c>
      <c r="E42" s="56">
        <f>(D42-D38)*Y$9</f>
        <v>6.453600000000002</v>
      </c>
      <c r="F42" s="283">
        <v>6.454</v>
      </c>
      <c r="G42" s="58">
        <f>0.2153*1.23</f>
        <v>0.26481899999999997</v>
      </c>
      <c r="H42" s="286">
        <f>F42*G42*1000</f>
        <v>1709.1418259999998</v>
      </c>
      <c r="I42" s="50">
        <f>15.78*1.23</f>
        <v>19.409399999999998</v>
      </c>
      <c r="J42" s="122">
        <f>X42*(I41+I42)</f>
        <v>857.5559999999998</v>
      </c>
      <c r="K42" s="58">
        <f>0.1054*1.23</f>
        <v>0.12964199999999998</v>
      </c>
      <c r="L42" s="62">
        <f>(E42)*K42*1000</f>
        <v>836.6576112</v>
      </c>
      <c r="M42" s="58">
        <f>0.0127*1.23</f>
        <v>0.015621</v>
      </c>
      <c r="N42" s="62">
        <f>(E42)*M42*1000</f>
        <v>100.81168560000002</v>
      </c>
      <c r="O42" s="205">
        <f>(E41+E42)*3.7*1.23</f>
        <v>36.5882196</v>
      </c>
      <c r="P42" s="54">
        <v>0.00024</v>
      </c>
      <c r="Q42" s="54">
        <v>0.00025</v>
      </c>
      <c r="R42" s="54">
        <f t="shared" si="2"/>
        <v>0.00039999999999999996</v>
      </c>
      <c r="S42" s="90"/>
      <c r="T42" s="279"/>
      <c r="U42" s="66"/>
      <c r="V42" s="129">
        <f>J42+L41+L42+N41+N42+O41+O42+T39+T40+T41+T42+U42</f>
        <v>2127.659510399999</v>
      </c>
      <c r="W42" s="85">
        <f>(V42+H41+H42)/(E41+E42)/1000</f>
        <v>0.5294796097318273</v>
      </c>
      <c r="X42" s="71">
        <v>40</v>
      </c>
      <c r="Y42" s="71">
        <v>30</v>
      </c>
      <c r="Z42" s="71"/>
      <c r="AA42" s="219"/>
    </row>
    <row r="43" spans="1:27" ht="12.75" hidden="1">
      <c r="A43" s="89"/>
      <c r="B43" s="133"/>
      <c r="D43" s="165"/>
      <c r="E43" s="87"/>
      <c r="F43" s="87"/>
      <c r="G43" s="87"/>
      <c r="H43" s="87"/>
      <c r="I43" s="87"/>
      <c r="J43" s="123"/>
      <c r="K43" s="93"/>
      <c r="L43" s="87"/>
      <c r="M43" s="93"/>
      <c r="N43" s="87"/>
      <c r="O43" s="102"/>
      <c r="P43" s="94">
        <v>0.13168</v>
      </c>
      <c r="Q43" s="94">
        <v>0.14056</v>
      </c>
      <c r="R43" s="183">
        <f aca="true" t="shared" si="3" ref="R43:R50">(Q43-P43)*40</f>
        <v>0.35519999999999996</v>
      </c>
      <c r="S43" s="167">
        <f>R43/E45</f>
        <v>0.26041055718475054</v>
      </c>
      <c r="T43" s="278"/>
      <c r="U43" s="80"/>
      <c r="V43" s="210"/>
      <c r="W43" s="210"/>
      <c r="X43" s="210"/>
      <c r="Y43" s="210"/>
      <c r="Z43" s="212"/>
      <c r="AA43" s="218"/>
    </row>
    <row r="44" spans="1:27" ht="12.75" hidden="1">
      <c r="A44" s="89"/>
      <c r="B44" s="133"/>
      <c r="D44" s="165"/>
      <c r="E44" s="87"/>
      <c r="F44" s="94"/>
      <c r="G44" s="267" t="s">
        <v>138</v>
      </c>
      <c r="H44" s="229"/>
      <c r="I44" s="87"/>
      <c r="J44" s="123"/>
      <c r="K44" s="93"/>
      <c r="L44" s="87"/>
      <c r="M44" s="93"/>
      <c r="N44" s="87"/>
      <c r="O44" s="102"/>
      <c r="P44" s="94">
        <v>0.27874</v>
      </c>
      <c r="Q44" s="94">
        <v>0.3137</v>
      </c>
      <c r="R44" s="183">
        <f t="shared" si="3"/>
        <v>1.3983999999999996</v>
      </c>
      <c r="S44" s="167">
        <f>R44/E46</f>
        <v>0.24292960878326728</v>
      </c>
      <c r="T44" s="278"/>
      <c r="U44" s="80"/>
      <c r="V44" s="210"/>
      <c r="W44" s="210"/>
      <c r="X44" s="210"/>
      <c r="Y44" s="210"/>
      <c r="Z44" s="212"/>
      <c r="AA44" s="218"/>
    </row>
    <row r="45" spans="1:27" ht="12.75" hidden="1">
      <c r="A45" s="525">
        <v>7</v>
      </c>
      <c r="B45" s="109" t="s">
        <v>137</v>
      </c>
      <c r="D45" s="165">
        <v>0.59144</v>
      </c>
      <c r="E45" s="53">
        <f>(D45-D41)*Y$9</f>
        <v>1.3640000000000008</v>
      </c>
      <c r="F45" s="284">
        <v>1.3640000000000008</v>
      </c>
      <c r="G45" s="57">
        <f>0.2153*1.23</f>
        <v>0.26481899999999997</v>
      </c>
      <c r="H45" s="285">
        <f>F45*G45*1000</f>
        <v>361.2131160000002</v>
      </c>
      <c r="I45" s="87">
        <f>1.65*1.23</f>
        <v>2.0295</v>
      </c>
      <c r="J45" s="296"/>
      <c r="K45" s="57">
        <f>0.1296*1.23</f>
        <v>0.159408</v>
      </c>
      <c r="L45" s="47">
        <f>(E45)*K45*1000</f>
        <v>217.43251200000012</v>
      </c>
      <c r="M45" s="57">
        <f>0.0127*1.23</f>
        <v>0.015621</v>
      </c>
      <c r="N45" s="47">
        <f>(E45)*M45*1000</f>
        <v>21.307044000000012</v>
      </c>
      <c r="O45" s="102">
        <f>15*1.23</f>
        <v>18.45</v>
      </c>
      <c r="P45" s="226">
        <v>0</v>
      </c>
      <c r="Q45" s="226">
        <v>0</v>
      </c>
      <c r="R45" s="165">
        <f t="shared" si="3"/>
        <v>0</v>
      </c>
      <c r="S45" s="111"/>
      <c r="T45" s="278"/>
      <c r="U45" s="173"/>
      <c r="V45" s="121"/>
      <c r="W45" s="67"/>
      <c r="X45" s="156"/>
      <c r="Y45" s="179"/>
      <c r="Z45" s="156"/>
      <c r="AA45" s="218">
        <f>V46/1.23</f>
        <v>1612.4735199999998</v>
      </c>
    </row>
    <row r="46" spans="1:27" ht="12.75" hidden="1">
      <c r="A46" s="524"/>
      <c r="B46" s="115" t="s">
        <v>133</v>
      </c>
      <c r="C46" s="52" t="s">
        <v>129</v>
      </c>
      <c r="D46" s="169">
        <v>1.43975</v>
      </c>
      <c r="E46" s="56">
        <f>(D46-D42)*Y$9</f>
        <v>5.756399999999999</v>
      </c>
      <c r="F46" s="283">
        <v>5.756</v>
      </c>
      <c r="G46" s="58">
        <f>0.2153*1.23</f>
        <v>0.26481899999999997</v>
      </c>
      <c r="H46" s="286">
        <f>F46*G46*1000</f>
        <v>1524.298164</v>
      </c>
      <c r="I46" s="50">
        <f>15.78*1.23</f>
        <v>19.409399999999998</v>
      </c>
      <c r="J46" s="122">
        <f>X46*(I45+I46)</f>
        <v>857.5559999999998</v>
      </c>
      <c r="K46" s="58">
        <f>0.1054*1.23</f>
        <v>0.12964199999999998</v>
      </c>
      <c r="L46" s="62">
        <f>(E46)*K46*1000</f>
        <v>746.2712087999997</v>
      </c>
      <c r="M46" s="58">
        <f>0.0127*1.23</f>
        <v>0.015621</v>
      </c>
      <c r="N46" s="62">
        <f>(E46)*M46*1000</f>
        <v>89.92072439999998</v>
      </c>
      <c r="O46" s="205">
        <f>(E45+E46)*3.7*1.23</f>
        <v>32.4049404</v>
      </c>
      <c r="P46" s="54">
        <v>0.00025</v>
      </c>
      <c r="Q46" s="54">
        <v>0.00025</v>
      </c>
      <c r="R46" s="54">
        <f t="shared" si="3"/>
        <v>0</v>
      </c>
      <c r="S46" s="90"/>
      <c r="T46" s="279"/>
      <c r="U46" s="66"/>
      <c r="V46" s="129">
        <f>J46+L45+L46+N45+N46+O45+O46+T43+T44+T45+T46+U46</f>
        <v>1983.3424295999996</v>
      </c>
      <c r="W46" s="85">
        <f>(V46+H45+H46)/(E45+E46)/1000</f>
        <v>0.5433478048424246</v>
      </c>
      <c r="X46" s="71">
        <v>40</v>
      </c>
      <c r="Y46" s="71">
        <v>24</v>
      </c>
      <c r="Z46" s="71"/>
      <c r="AA46" s="219"/>
    </row>
    <row r="47" spans="1:27" ht="12.75" hidden="1">
      <c r="A47" s="89"/>
      <c r="B47" s="133"/>
      <c r="D47" s="165"/>
      <c r="E47" s="87"/>
      <c r="F47" s="87"/>
      <c r="G47" s="87"/>
      <c r="H47" s="87"/>
      <c r="I47" s="87"/>
      <c r="J47" s="123"/>
      <c r="K47" s="93"/>
      <c r="L47" s="87"/>
      <c r="M47" s="93"/>
      <c r="N47" s="87"/>
      <c r="O47" s="102"/>
      <c r="P47" s="94">
        <v>0.14056</v>
      </c>
      <c r="Q47" s="94">
        <v>0.14876</v>
      </c>
      <c r="R47" s="183">
        <f t="shared" si="3"/>
        <v>0.3280000000000005</v>
      </c>
      <c r="S47" s="167">
        <f>R47/E49</f>
        <v>0.25794274929223077</v>
      </c>
      <c r="T47" s="278"/>
      <c r="U47" s="80"/>
      <c r="V47" s="210"/>
      <c r="W47" s="210"/>
      <c r="X47" s="210"/>
      <c r="Y47" s="210"/>
      <c r="Z47" s="212"/>
      <c r="AA47" s="218"/>
    </row>
    <row r="48" spans="1:27" ht="12.75" hidden="1">
      <c r="A48" s="89"/>
      <c r="B48" s="133"/>
      <c r="D48" s="165"/>
      <c r="E48" s="87"/>
      <c r="F48" s="94"/>
      <c r="G48" s="267" t="s">
        <v>148</v>
      </c>
      <c r="H48" s="229"/>
      <c r="I48" s="87"/>
      <c r="J48" s="123"/>
      <c r="K48" s="93"/>
      <c r="L48" s="87"/>
      <c r="M48" s="93"/>
      <c r="N48" s="87"/>
      <c r="O48" s="102"/>
      <c r="P48" s="94">
        <v>0.3137</v>
      </c>
      <c r="Q48" s="94">
        <v>0.34629</v>
      </c>
      <c r="R48" s="183">
        <f t="shared" si="3"/>
        <v>1.3036000000000003</v>
      </c>
      <c r="S48" s="167">
        <f>R48/E50</f>
        <v>0.2268392844713581</v>
      </c>
      <c r="T48" s="278"/>
      <c r="U48" s="80"/>
      <c r="V48" s="210"/>
      <c r="W48" s="210"/>
      <c r="X48" s="210"/>
      <c r="Y48" s="210"/>
      <c r="Z48" s="212"/>
      <c r="AA48" s="218"/>
    </row>
    <row r="49" spans="1:27" ht="12.75" hidden="1">
      <c r="A49" s="525">
        <v>8</v>
      </c>
      <c r="B49" s="109" t="s">
        <v>147</v>
      </c>
      <c r="D49" s="165">
        <v>0.62323</v>
      </c>
      <c r="E49" s="53">
        <f>(D49-D45)*Y$9</f>
        <v>1.2715999999999994</v>
      </c>
      <c r="F49" s="284">
        <v>1.272</v>
      </c>
      <c r="G49" s="57">
        <f>0.2153*1.23</f>
        <v>0.26481899999999997</v>
      </c>
      <c r="H49" s="285">
        <f>F49*G49*1000</f>
        <v>336.849768</v>
      </c>
      <c r="I49" s="87">
        <f>1.65*1.23</f>
        <v>2.0295</v>
      </c>
      <c r="J49" s="296"/>
      <c r="K49" s="57">
        <f>0.1296*1.23</f>
        <v>0.159408</v>
      </c>
      <c r="L49" s="47">
        <f>(E49)*K49*1000</f>
        <v>202.7032127999999</v>
      </c>
      <c r="M49" s="57">
        <f>0.0127*1.23</f>
        <v>0.015621</v>
      </c>
      <c r="N49" s="47">
        <f>(E49)*M49*1000</f>
        <v>19.86366359999999</v>
      </c>
      <c r="O49" s="102">
        <f>15*1.23</f>
        <v>18.45</v>
      </c>
      <c r="P49" s="226">
        <v>0</v>
      </c>
      <c r="Q49" s="226">
        <v>0</v>
      </c>
      <c r="R49" s="165">
        <f t="shared" si="3"/>
        <v>0</v>
      </c>
      <c r="S49" s="111"/>
      <c r="T49" s="278"/>
      <c r="U49" s="173"/>
      <c r="V49" s="121"/>
      <c r="W49" s="67"/>
      <c r="X49" s="156"/>
      <c r="Y49" s="179"/>
      <c r="Z49" s="156"/>
      <c r="AA49" s="218">
        <f>V50/1.23</f>
        <v>1597.8138399999993</v>
      </c>
    </row>
    <row r="50" spans="1:27" ht="12.75" hidden="1">
      <c r="A50" s="524"/>
      <c r="B50" s="115" t="s">
        <v>141</v>
      </c>
      <c r="C50" s="52" t="s">
        <v>135</v>
      </c>
      <c r="D50" s="169">
        <v>1.58342</v>
      </c>
      <c r="E50" s="56">
        <f>(D50-D46)*Y$9</f>
        <v>5.746799999999999</v>
      </c>
      <c r="F50" s="283">
        <v>5.747</v>
      </c>
      <c r="G50" s="58">
        <f>0.2153*1.23</f>
        <v>0.26481899999999997</v>
      </c>
      <c r="H50" s="286">
        <f>F50*G50*1000</f>
        <v>1521.914793</v>
      </c>
      <c r="I50" s="50">
        <f>15.78*1.23</f>
        <v>19.409399999999998</v>
      </c>
      <c r="J50" s="122">
        <f>X50*(I49+I50)</f>
        <v>857.5559999999998</v>
      </c>
      <c r="K50" s="58">
        <f>0.1054*1.23</f>
        <v>0.12964199999999998</v>
      </c>
      <c r="L50" s="62">
        <f>(E50)*K50*1000</f>
        <v>745.0266455999996</v>
      </c>
      <c r="M50" s="58">
        <f>0.0127*1.23</f>
        <v>0.015621</v>
      </c>
      <c r="N50" s="62">
        <f>(E50)*M50*1000</f>
        <v>89.77076279999997</v>
      </c>
      <c r="O50" s="205">
        <f>(E49+E50)*3.7*1.23</f>
        <v>31.94073839999999</v>
      </c>
      <c r="P50" s="54">
        <v>0.00025</v>
      </c>
      <c r="Q50" s="54">
        <v>0.00026</v>
      </c>
      <c r="R50" s="54">
        <f t="shared" si="3"/>
        <v>0.0003999999999999989</v>
      </c>
      <c r="S50" s="90"/>
      <c r="T50" s="279"/>
      <c r="U50" s="66"/>
      <c r="V50" s="129">
        <f>J50+L49+L50+N49+N50+O49+O50+T47+T48+T49+T50+U50</f>
        <v>1965.3110231999992</v>
      </c>
      <c r="W50" s="85">
        <f>(V50+H49+H50)/(E49+E50)/1000</f>
        <v>0.5448642973042289</v>
      </c>
      <c r="X50" s="71">
        <v>40</v>
      </c>
      <c r="Y50" s="71">
        <v>22</v>
      </c>
      <c r="Z50" s="71"/>
      <c r="AA50" s="219"/>
    </row>
    <row r="51" spans="1:27" ht="12.75" hidden="1">
      <c r="A51" s="89"/>
      <c r="B51" s="133"/>
      <c r="D51" s="165"/>
      <c r="E51" s="87"/>
      <c r="F51" s="87"/>
      <c r="G51" s="87"/>
      <c r="H51" s="87"/>
      <c r="I51" s="87"/>
      <c r="J51" s="123"/>
      <c r="K51" s="93"/>
      <c r="L51" s="87"/>
      <c r="M51" s="93"/>
      <c r="N51" s="87"/>
      <c r="O51" s="102"/>
      <c r="P51" s="94"/>
      <c r="Q51" s="94"/>
      <c r="R51" s="183"/>
      <c r="S51" s="167"/>
      <c r="T51" s="278"/>
      <c r="U51" s="80"/>
      <c r="V51" s="210"/>
      <c r="W51" s="210"/>
      <c r="X51" s="210"/>
      <c r="Y51" s="210"/>
      <c r="Z51" s="212"/>
      <c r="AA51" s="218"/>
    </row>
    <row r="52" spans="1:27" ht="12.75" hidden="1">
      <c r="A52" s="89"/>
      <c r="B52" s="133"/>
      <c r="D52" s="165"/>
      <c r="E52" s="87"/>
      <c r="F52" s="94"/>
      <c r="G52" s="267" t="s">
        <v>166</v>
      </c>
      <c r="H52" s="229"/>
      <c r="I52" s="87"/>
      <c r="J52" s="123"/>
      <c r="K52" s="93"/>
      <c r="L52" s="87"/>
      <c r="M52" s="93"/>
      <c r="N52" s="87"/>
      <c r="O52" s="102"/>
      <c r="P52" s="94"/>
      <c r="Q52" s="94"/>
      <c r="R52" s="183"/>
      <c r="S52" s="167"/>
      <c r="T52" s="278"/>
      <c r="U52" s="80"/>
      <c r="V52" s="210"/>
      <c r="W52" s="210"/>
      <c r="X52" s="210"/>
      <c r="Y52" s="210"/>
      <c r="Z52" s="212"/>
      <c r="AA52" s="218"/>
    </row>
    <row r="53" spans="1:27" ht="12.75" hidden="1">
      <c r="A53" s="525">
        <v>9</v>
      </c>
      <c r="B53" s="109" t="s">
        <v>165</v>
      </c>
      <c r="D53" s="165">
        <v>0.65814</v>
      </c>
      <c r="E53" s="53">
        <f>(D53-D49)*Y$9</f>
        <v>1.3963999999999999</v>
      </c>
      <c r="F53" s="284">
        <v>1.396</v>
      </c>
      <c r="G53" s="57">
        <f>0.2153*1.23</f>
        <v>0.26481899999999997</v>
      </c>
      <c r="H53" s="285">
        <f>F53*G53*1000</f>
        <v>369.68732399999993</v>
      </c>
      <c r="I53" s="87">
        <f>1.65*1.23</f>
        <v>2.0295</v>
      </c>
      <c r="J53" s="296"/>
      <c r="K53" s="57">
        <f>0.1296*1.23</f>
        <v>0.159408</v>
      </c>
      <c r="L53" s="47">
        <f>(E53)*K53*1000</f>
        <v>222.59733119999996</v>
      </c>
      <c r="M53" s="57">
        <f>0.0127*1.23</f>
        <v>0.015621</v>
      </c>
      <c r="N53" s="47">
        <f>(E53)*M53*1000</f>
        <v>21.813164399999998</v>
      </c>
      <c r="O53" s="102">
        <f>15*1.23</f>
        <v>18.45</v>
      </c>
      <c r="P53" s="226">
        <v>0</v>
      </c>
      <c r="Q53" s="226">
        <v>0</v>
      </c>
      <c r="R53" s="165">
        <f>(Q53-P53)*40</f>
        <v>0</v>
      </c>
      <c r="S53" s="111"/>
      <c r="T53" s="278"/>
      <c r="U53" s="173"/>
      <c r="V53" s="121"/>
      <c r="W53" s="67"/>
      <c r="X53" s="156"/>
      <c r="Y53" s="179"/>
      <c r="Z53" s="156"/>
      <c r="AA53" s="218">
        <f>V54/1.23</f>
        <v>1643.2203999999992</v>
      </c>
    </row>
    <row r="54" spans="1:27" ht="12.75" hidden="1">
      <c r="A54" s="524"/>
      <c r="B54" s="115" t="s">
        <v>155</v>
      </c>
      <c r="C54" s="52" t="s">
        <v>154</v>
      </c>
      <c r="D54" s="169">
        <v>1.73267</v>
      </c>
      <c r="E54" s="56">
        <f>(D54-D50)*Y$9</f>
        <v>5.969999999999995</v>
      </c>
      <c r="F54" s="283">
        <v>5.969999999999995</v>
      </c>
      <c r="G54" s="58">
        <f>0.2153*1.23</f>
        <v>0.26481899999999997</v>
      </c>
      <c r="H54" s="286">
        <f>F54*G54*1000</f>
        <v>1580.9694299999985</v>
      </c>
      <c r="I54" s="50">
        <f>15.78*1.23</f>
        <v>19.409399999999998</v>
      </c>
      <c r="J54" s="122">
        <f>X54*(I53+I54)</f>
        <v>857.5559999999998</v>
      </c>
      <c r="K54" s="58">
        <f>0.1054*1.23</f>
        <v>0.12964199999999998</v>
      </c>
      <c r="L54" s="62">
        <f>(E54)*K54*1000</f>
        <v>773.9627399999994</v>
      </c>
      <c r="M54" s="58">
        <f>0.0127*1.23</f>
        <v>0.015621</v>
      </c>
      <c r="N54" s="62">
        <f>(E54)*M54*1000</f>
        <v>93.25736999999992</v>
      </c>
      <c r="O54" s="205">
        <f>(E53+E54)*3.7*1.23</f>
        <v>33.52448639999998</v>
      </c>
      <c r="P54" s="54">
        <v>0.00026</v>
      </c>
      <c r="Q54" s="54">
        <v>0.00026</v>
      </c>
      <c r="R54" s="54">
        <f>(Q54-P54)*40</f>
        <v>0</v>
      </c>
      <c r="S54" s="90"/>
      <c r="T54" s="279"/>
      <c r="U54" s="66"/>
      <c r="V54" s="129">
        <f>J54+L53+L54+N53+N54+O53+O54+T51+T52+T53+T54+U54</f>
        <v>2021.161091999999</v>
      </c>
      <c r="W54" s="85">
        <f>(V54+H53+H54)/(E53+E54)/1000</f>
        <v>0.5391803114139878</v>
      </c>
      <c r="X54" s="71">
        <v>40</v>
      </c>
      <c r="Y54" s="71">
        <v>22</v>
      </c>
      <c r="Z54" s="71"/>
      <c r="AA54" s="219"/>
    </row>
    <row r="55" spans="1:27" ht="12.75" hidden="1">
      <c r="A55" s="89"/>
      <c r="B55" s="133"/>
      <c r="D55" s="165"/>
      <c r="E55" s="87"/>
      <c r="F55" s="87"/>
      <c r="G55" s="87"/>
      <c r="H55" s="87"/>
      <c r="I55" s="87"/>
      <c r="J55" s="123"/>
      <c r="K55" s="93"/>
      <c r="L55" s="87"/>
      <c r="M55" s="93"/>
      <c r="N55" s="87"/>
      <c r="O55" s="102"/>
      <c r="P55" s="94"/>
      <c r="Q55" s="94"/>
      <c r="R55" s="183"/>
      <c r="S55" s="167"/>
      <c r="T55" s="278"/>
      <c r="U55" s="80"/>
      <c r="V55" s="210"/>
      <c r="W55" s="210"/>
      <c r="X55" s="210"/>
      <c r="Y55" s="210"/>
      <c r="Z55" s="212"/>
      <c r="AA55" s="218"/>
    </row>
    <row r="56" spans="1:27" ht="12.75" hidden="1">
      <c r="A56" s="89"/>
      <c r="B56" s="133"/>
      <c r="D56" s="165"/>
      <c r="E56" s="87"/>
      <c r="F56" s="94"/>
      <c r="G56" s="267" t="s">
        <v>169</v>
      </c>
      <c r="H56" s="229"/>
      <c r="I56" s="87"/>
      <c r="J56" s="123"/>
      <c r="K56" s="93"/>
      <c r="L56" s="87"/>
      <c r="M56" s="93"/>
      <c r="N56" s="87"/>
      <c r="O56" s="102"/>
      <c r="P56" s="94"/>
      <c r="Q56" s="94"/>
      <c r="R56" s="183"/>
      <c r="S56" s="167"/>
      <c r="T56" s="278"/>
      <c r="U56" s="80"/>
      <c r="V56" s="210"/>
      <c r="W56" s="210"/>
      <c r="X56" s="210"/>
      <c r="Y56" s="210"/>
      <c r="Z56" s="212"/>
      <c r="AA56" s="218"/>
    </row>
    <row r="57" spans="1:27" ht="12.75" hidden="1">
      <c r="A57" s="525">
        <v>10</v>
      </c>
      <c r="B57" s="109" t="s">
        <v>167</v>
      </c>
      <c r="D57" s="165">
        <v>0.71952</v>
      </c>
      <c r="E57" s="53">
        <f>(D57-D53)*Y$9</f>
        <v>2.455200000000004</v>
      </c>
      <c r="F57" s="284">
        <v>2.455</v>
      </c>
      <c r="G57" s="57">
        <f>0.2153*1.23</f>
        <v>0.26481899999999997</v>
      </c>
      <c r="H57" s="285">
        <f>F57*G57*1000</f>
        <v>650.130645</v>
      </c>
      <c r="I57" s="87">
        <f>1.65*1.23</f>
        <v>2.0295</v>
      </c>
      <c r="J57" s="296"/>
      <c r="K57" s="57">
        <f>0.1296*1.23</f>
        <v>0.159408</v>
      </c>
      <c r="L57" s="47">
        <f>(E57)*K57*1000</f>
        <v>391.3785216000006</v>
      </c>
      <c r="M57" s="57">
        <f>0.0127*1.23</f>
        <v>0.015621</v>
      </c>
      <c r="N57" s="47">
        <f>(E57)*M57*1000</f>
        <v>38.35267920000006</v>
      </c>
      <c r="O57" s="102">
        <f>15*1.23</f>
        <v>18.45</v>
      </c>
      <c r="P57" s="226">
        <v>0</v>
      </c>
      <c r="Q57" s="226">
        <v>0</v>
      </c>
      <c r="R57" s="165">
        <f>(Q57-P57)*40</f>
        <v>0</v>
      </c>
      <c r="S57" s="111"/>
      <c r="T57" s="278"/>
      <c r="U57" s="173"/>
      <c r="V57" s="121"/>
      <c r="W57" s="67"/>
      <c r="X57" s="156"/>
      <c r="Y57" s="179"/>
      <c r="Z57" s="156"/>
      <c r="AA57" s="218">
        <f>V58/1.23</f>
        <v>2010.3705600000012</v>
      </c>
    </row>
    <row r="58" spans="1:27" ht="12.75" hidden="1">
      <c r="A58" s="524"/>
      <c r="B58" s="115" t="s">
        <v>156</v>
      </c>
      <c r="C58" s="52" t="s">
        <v>168</v>
      </c>
      <c r="D58" s="169">
        <v>1.92555</v>
      </c>
      <c r="E58" s="56">
        <f>(D58-D54)*Y$9</f>
        <v>7.7152000000000065</v>
      </c>
      <c r="F58" s="283">
        <v>7.715</v>
      </c>
      <c r="G58" s="58">
        <f>0.2153*1.23</f>
        <v>0.26481899999999997</v>
      </c>
      <c r="H58" s="286">
        <f>F58*G58*1000</f>
        <v>2043.078585</v>
      </c>
      <c r="I58" s="50">
        <f>15.78*1.23</f>
        <v>19.409399999999998</v>
      </c>
      <c r="J58" s="122">
        <f>X58*(I57+I58)</f>
        <v>857.5559999999998</v>
      </c>
      <c r="K58" s="58">
        <f>0.1054*1.23</f>
        <v>0.12964199999999998</v>
      </c>
      <c r="L58" s="62">
        <f>(E58)*K58*1000</f>
        <v>1000.2139584000007</v>
      </c>
      <c r="M58" s="58">
        <f>0.0127*1.23</f>
        <v>0.015621</v>
      </c>
      <c r="N58" s="62">
        <f>(E58)*M58*1000</f>
        <v>120.5191392000001</v>
      </c>
      <c r="O58" s="205">
        <f>(E57+E58)*3.7*1.23</f>
        <v>46.28549040000005</v>
      </c>
      <c r="P58" s="54">
        <v>0.00026</v>
      </c>
      <c r="Q58" s="54">
        <v>0.00027</v>
      </c>
      <c r="R58" s="54">
        <f>(Q58-P58)*40</f>
        <v>0.00040000000000000105</v>
      </c>
      <c r="S58" s="90"/>
      <c r="T58" s="279"/>
      <c r="U58" s="66"/>
      <c r="V58" s="129">
        <f>J58+L57+L58+N57+N58+O57+O58+T55+T56+T57+T58+U58</f>
        <v>2472.7557888000015</v>
      </c>
      <c r="W58" s="85">
        <f>(V58+H57+H58)/(E57+E58)/1000</f>
        <v>0.5079411841028864</v>
      </c>
      <c r="X58" s="71">
        <v>40</v>
      </c>
      <c r="Y58" s="71">
        <v>37</v>
      </c>
      <c r="Z58" s="71"/>
      <c r="AA58" s="219"/>
    </row>
    <row r="59" spans="1:27" ht="12.75" hidden="1">
      <c r="A59" s="89"/>
      <c r="B59" s="133"/>
      <c r="D59" s="165"/>
      <c r="E59" s="87"/>
      <c r="F59" s="87"/>
      <c r="G59" s="87"/>
      <c r="H59" s="87"/>
      <c r="I59" s="87"/>
      <c r="J59" s="123"/>
      <c r="K59" s="93"/>
      <c r="L59" s="87"/>
      <c r="M59" s="93"/>
      <c r="N59" s="87"/>
      <c r="O59" s="102"/>
      <c r="P59" s="94"/>
      <c r="Q59" s="94"/>
      <c r="R59" s="183"/>
      <c r="S59" s="167"/>
      <c r="T59" s="278"/>
      <c r="U59" s="80"/>
      <c r="V59" s="210"/>
      <c r="W59" s="210"/>
      <c r="X59" s="210"/>
      <c r="Y59" s="210"/>
      <c r="Z59" s="212"/>
      <c r="AA59" s="218"/>
    </row>
    <row r="60" spans="1:27" ht="12.75" hidden="1">
      <c r="A60" s="89"/>
      <c r="B60" s="133"/>
      <c r="D60" s="165"/>
      <c r="E60" s="87"/>
      <c r="F60" s="94"/>
      <c r="G60" s="267" t="s">
        <v>171</v>
      </c>
      <c r="H60" s="229"/>
      <c r="I60" s="87"/>
      <c r="J60" s="123"/>
      <c r="K60" s="93"/>
      <c r="L60" s="87"/>
      <c r="M60" s="93"/>
      <c r="N60" s="87"/>
      <c r="O60" s="102"/>
      <c r="P60" s="94"/>
      <c r="Q60" s="94"/>
      <c r="R60" s="183"/>
      <c r="S60" s="167"/>
      <c r="T60" s="278"/>
      <c r="U60" s="80"/>
      <c r="V60" s="210"/>
      <c r="W60" s="210"/>
      <c r="X60" s="210"/>
      <c r="Y60" s="210"/>
      <c r="Z60" s="212"/>
      <c r="AA60" s="218"/>
    </row>
    <row r="61" spans="1:27" ht="12.75" hidden="1">
      <c r="A61" s="525">
        <v>11</v>
      </c>
      <c r="B61" s="109" t="s">
        <v>167</v>
      </c>
      <c r="D61" s="165">
        <v>0.79305</v>
      </c>
      <c r="E61" s="53">
        <f>(D61-D57)*Y$9</f>
        <v>2.9411999999999994</v>
      </c>
      <c r="F61" s="284">
        <v>2.941</v>
      </c>
      <c r="G61" s="57">
        <f>0.2153*1.23</f>
        <v>0.26481899999999997</v>
      </c>
      <c r="H61" s="285">
        <f>F61*G61*1000</f>
        <v>778.8326789999999</v>
      </c>
      <c r="I61" s="87">
        <f>1.65*1.23</f>
        <v>2.0295</v>
      </c>
      <c r="J61" s="296"/>
      <c r="K61" s="57">
        <f>0.1296*1.23</f>
        <v>0.159408</v>
      </c>
      <c r="L61" s="47">
        <f>(E61)*K61*1000</f>
        <v>468.8508095999999</v>
      </c>
      <c r="M61" s="57">
        <f>0.0127*1.23</f>
        <v>0.015621</v>
      </c>
      <c r="N61" s="47">
        <f>(E61)*M61*1000</f>
        <v>45.94448519999999</v>
      </c>
      <c r="O61" s="102">
        <f>15*1.23</f>
        <v>18.45</v>
      </c>
      <c r="P61" s="226">
        <v>0</v>
      </c>
      <c r="Q61" s="226">
        <v>0</v>
      </c>
      <c r="R61" s="165">
        <f>(Q61-P61)*40</f>
        <v>0</v>
      </c>
      <c r="S61" s="111"/>
      <c r="T61" s="278"/>
      <c r="U61" s="173"/>
      <c r="V61" s="121"/>
      <c r="W61" s="67"/>
      <c r="X61" s="156"/>
      <c r="Y61" s="179"/>
      <c r="Z61" s="156"/>
      <c r="AA61" s="218">
        <f>V62/1.23</f>
        <v>2104.7121599999987</v>
      </c>
    </row>
    <row r="62" spans="1:27" ht="12.75" hidden="1">
      <c r="A62" s="524"/>
      <c r="B62" s="115" t="s">
        <v>157</v>
      </c>
      <c r="C62" s="52" t="s">
        <v>170</v>
      </c>
      <c r="D62" s="169">
        <v>2.12323</v>
      </c>
      <c r="E62" s="56">
        <f>(D62-D58)*Y$9</f>
        <v>7.907199999999994</v>
      </c>
      <c r="F62" s="283">
        <v>7.907</v>
      </c>
      <c r="G62" s="58">
        <f>0.2153*1.23</f>
        <v>0.26481899999999997</v>
      </c>
      <c r="H62" s="286">
        <f>F62*G62*1000</f>
        <v>2093.923833</v>
      </c>
      <c r="I62" s="50">
        <f>15.78*1.23</f>
        <v>19.409399999999998</v>
      </c>
      <c r="J62" s="122">
        <f>X62*(I61+I62)</f>
        <v>857.5559999999998</v>
      </c>
      <c r="K62" s="58">
        <f>0.1054*1.23</f>
        <v>0.12964199999999998</v>
      </c>
      <c r="L62" s="62">
        <f>(E62)*K62*1000</f>
        <v>1025.105222399999</v>
      </c>
      <c r="M62" s="58">
        <f>0.0127*1.23</f>
        <v>0.015621</v>
      </c>
      <c r="N62" s="62">
        <f>(E62)*M62*1000</f>
        <v>123.5183711999999</v>
      </c>
      <c r="O62" s="205">
        <f>(E61+E62)*3.7*1.23</f>
        <v>49.37106839999997</v>
      </c>
      <c r="P62" s="54">
        <v>0.00027</v>
      </c>
      <c r="Q62" s="54">
        <v>0.00027</v>
      </c>
      <c r="R62" s="54">
        <f>(Q62-P62)*40</f>
        <v>0</v>
      </c>
      <c r="S62" s="90"/>
      <c r="T62" s="279"/>
      <c r="U62" s="66"/>
      <c r="V62" s="129">
        <f>J62+L61+L62+N61+N62+O61+O62+T59+T60+T61+T62+U62</f>
        <v>2588.7959567999983</v>
      </c>
      <c r="W62" s="85">
        <f>(V62+H61+H62)/(E61+E62)/1000</f>
        <v>0.5034431315954427</v>
      </c>
      <c r="X62" s="71">
        <v>40</v>
      </c>
      <c r="Y62" s="71">
        <v>35</v>
      </c>
      <c r="Z62" s="71"/>
      <c r="AA62" s="219"/>
    </row>
    <row r="63" spans="1:27" ht="12.75" hidden="1">
      <c r="A63" s="89"/>
      <c r="B63" s="133"/>
      <c r="D63" s="165"/>
      <c r="E63" s="87"/>
      <c r="F63" s="87"/>
      <c r="G63" s="87"/>
      <c r="H63" s="87"/>
      <c r="I63" s="87"/>
      <c r="J63" s="123"/>
      <c r="K63" s="93"/>
      <c r="L63" s="87"/>
      <c r="M63" s="93"/>
      <c r="N63" s="87"/>
      <c r="O63" s="102"/>
      <c r="P63" s="94"/>
      <c r="Q63" s="94"/>
      <c r="R63" s="183"/>
      <c r="S63" s="167"/>
      <c r="T63" s="278"/>
      <c r="U63" s="80"/>
      <c r="V63" s="210"/>
      <c r="W63" s="210"/>
      <c r="X63" s="210"/>
      <c r="Y63" s="210"/>
      <c r="Z63" s="212"/>
      <c r="AA63" s="218"/>
    </row>
    <row r="64" spans="1:27" ht="12.75" hidden="1">
      <c r="A64" s="89"/>
      <c r="B64" s="133"/>
      <c r="D64" s="165"/>
      <c r="E64" s="87"/>
      <c r="F64" s="94"/>
      <c r="G64" s="267"/>
      <c r="H64" s="229"/>
      <c r="I64" s="87"/>
      <c r="J64" s="123"/>
      <c r="K64" s="93"/>
      <c r="L64" s="87"/>
      <c r="M64" s="93"/>
      <c r="N64" s="87"/>
      <c r="O64" s="102"/>
      <c r="P64" s="94"/>
      <c r="Q64" s="94"/>
      <c r="R64" s="183"/>
      <c r="S64" s="167"/>
      <c r="T64" s="278"/>
      <c r="U64" s="80"/>
      <c r="V64" s="210"/>
      <c r="W64" s="210"/>
      <c r="X64" s="210"/>
      <c r="Y64" s="210"/>
      <c r="Z64" s="212"/>
      <c r="AA64" s="218"/>
    </row>
    <row r="65" spans="1:27" ht="12.75" hidden="1">
      <c r="A65" s="525">
        <v>12</v>
      </c>
      <c r="B65" s="109" t="s">
        <v>167</v>
      </c>
      <c r="D65" s="165">
        <v>0.87931</v>
      </c>
      <c r="E65" s="53">
        <f>(D65-D61)*Y$9</f>
        <v>3.4504</v>
      </c>
      <c r="F65" s="284">
        <v>3.45</v>
      </c>
      <c r="G65" s="57">
        <f>0.3126*1.23</f>
        <v>0.384498</v>
      </c>
      <c r="H65" s="285">
        <f>F65*G65*1000</f>
        <v>1326.5181000000002</v>
      </c>
      <c r="I65" s="87">
        <f>1.65*1.23</f>
        <v>2.0295</v>
      </c>
      <c r="J65" s="296"/>
      <c r="K65" s="57">
        <f>0.1296*1.23</f>
        <v>0.159408</v>
      </c>
      <c r="L65" s="47">
        <f>(E65)*K65*1000</f>
        <v>550.0213632</v>
      </c>
      <c r="M65" s="57">
        <f>0.0127*1.23</f>
        <v>0.015621</v>
      </c>
      <c r="N65" s="47">
        <f>(E65)*M65*1000</f>
        <v>53.8986984</v>
      </c>
      <c r="O65" s="102">
        <f>15*1.23</f>
        <v>18.45</v>
      </c>
      <c r="P65" s="226">
        <v>0</v>
      </c>
      <c r="Q65" s="226">
        <v>1E-05</v>
      </c>
      <c r="R65" s="165">
        <f>(Q65-P65)*40</f>
        <v>0.0004</v>
      </c>
      <c r="S65" s="111"/>
      <c r="T65" s="278"/>
      <c r="U65" s="173"/>
      <c r="V65" s="121"/>
      <c r="W65" s="67"/>
      <c r="X65" s="156"/>
      <c r="Y65" s="179"/>
      <c r="Z65" s="156"/>
      <c r="AA65" s="218">
        <f>V66/1.23</f>
        <v>1991.0448799999995</v>
      </c>
    </row>
    <row r="66" spans="1:27" ht="13.5" hidden="1" thickBot="1">
      <c r="A66" s="524"/>
      <c r="B66" s="115" t="s">
        <v>160</v>
      </c>
      <c r="C66" s="52" t="s">
        <v>172</v>
      </c>
      <c r="D66" s="169">
        <v>2.28232</v>
      </c>
      <c r="E66" s="56">
        <f>(D66-D62)*Y$9</f>
        <v>6.363599999999998</v>
      </c>
      <c r="F66" s="283">
        <v>6.364</v>
      </c>
      <c r="G66" s="58">
        <f>0.1825*1.23</f>
        <v>0.22447499999999998</v>
      </c>
      <c r="H66" s="286">
        <f>F66*G66*1000</f>
        <v>1428.5588999999998</v>
      </c>
      <c r="I66" s="50">
        <f>15.78*1.23</f>
        <v>19.409399999999998</v>
      </c>
      <c r="J66" s="122">
        <f>X66*(I65+I66)</f>
        <v>857.5559999999998</v>
      </c>
      <c r="K66" s="58">
        <f>0.1054*1.23</f>
        <v>0.12964199999999998</v>
      </c>
      <c r="L66" s="62">
        <f>(E66)*K66*1000</f>
        <v>824.9898311999996</v>
      </c>
      <c r="M66" s="58">
        <f>0.0127*1.23</f>
        <v>0.015621</v>
      </c>
      <c r="N66" s="62">
        <f>(E66)*M66*1000</f>
        <v>99.40579559999998</v>
      </c>
      <c r="O66" s="205">
        <f>(E65+E66)*3.7*1.23</f>
        <v>44.663514</v>
      </c>
      <c r="P66" s="54">
        <v>0.00027</v>
      </c>
      <c r="Q66" s="54">
        <v>0.00027</v>
      </c>
      <c r="R66" s="54">
        <f>(Q66-P66)*40</f>
        <v>0</v>
      </c>
      <c r="S66" s="90"/>
      <c r="T66" s="279"/>
      <c r="U66" s="66"/>
      <c r="V66" s="129">
        <f>J66+L65+L66+N65+N66+O65+O66+T63+T64+T65+T66+U66</f>
        <v>2448.9852023999993</v>
      </c>
      <c r="W66" s="85">
        <f>(V66+H65+H66)/(E65+E66)/1000</f>
        <v>0.5302692278785408</v>
      </c>
      <c r="X66" s="71">
        <v>40</v>
      </c>
      <c r="Y66" s="71">
        <v>29</v>
      </c>
      <c r="Z66" s="71"/>
      <c r="AA66" s="219"/>
    </row>
    <row r="67" spans="1:27" ht="12.75">
      <c r="A67" s="526" t="s">
        <v>352</v>
      </c>
      <c r="B67" s="527"/>
      <c r="C67" s="527"/>
      <c r="D67" s="528"/>
      <c r="E67" s="41"/>
      <c r="F67" s="13"/>
      <c r="G67" s="228"/>
      <c r="H67" s="248"/>
      <c r="I67" s="13"/>
      <c r="J67" s="13"/>
      <c r="K67" s="41"/>
      <c r="L67" s="41"/>
      <c r="M67" s="41"/>
      <c r="N67" s="41"/>
      <c r="O67" s="302">
        <f>O22+O26+O30+O34+O38+O42+O46+O50+O54+O58+O62+O66</f>
        <v>452.82696000000004</v>
      </c>
      <c r="P67" s="33"/>
      <c r="Q67" s="246">
        <f>R67/E68</f>
        <v>0.14101755123980464</v>
      </c>
      <c r="R67" s="245">
        <f>SUM(R19:R66)</f>
        <v>14.481600000000002</v>
      </c>
      <c r="S67" s="33"/>
      <c r="T67" s="198"/>
      <c r="U67" s="254"/>
      <c r="V67" s="293"/>
      <c r="W67" s="294"/>
      <c r="X67" s="42"/>
      <c r="Y67" s="306">
        <f>Y68/X68</f>
        <v>0.7104166666666667</v>
      </c>
      <c r="Z67" s="42"/>
      <c r="AA67" s="43"/>
    </row>
    <row r="68" spans="1:27" ht="13.5" thickBot="1">
      <c r="A68" s="529"/>
      <c r="B68" s="530"/>
      <c r="C68" s="530"/>
      <c r="D68" s="531"/>
      <c r="E68" s="69">
        <f>SUM(E21:E66)</f>
        <v>102.6936</v>
      </c>
      <c r="F68" s="251">
        <f>SUM(F21:F66)</f>
        <v>102.695</v>
      </c>
      <c r="G68" s="252"/>
      <c r="H68" s="253"/>
      <c r="I68" s="99"/>
      <c r="J68" s="99"/>
      <c r="K68" s="99"/>
      <c r="L68" s="99">
        <f>SUM(L21:L66)</f>
        <v>14068.2043596</v>
      </c>
      <c r="M68" s="99"/>
      <c r="N68" s="99">
        <f>SUM(N21:N66)</f>
        <v>1606.6190136</v>
      </c>
      <c r="O68" s="99">
        <f>SUM(O21:O66)</f>
        <v>675.4569600000001</v>
      </c>
      <c r="P68" s="99"/>
      <c r="Q68" s="99"/>
      <c r="R68" s="244"/>
      <c r="S68" s="99"/>
      <c r="T68" s="197"/>
      <c r="U68" s="149"/>
      <c r="V68" s="99"/>
      <c r="W68" s="44"/>
      <c r="X68" s="45">
        <f>X26</f>
        <v>40</v>
      </c>
      <c r="Y68" s="74">
        <f>SUM(Y22:Y66)/12</f>
        <v>28.416666666666668</v>
      </c>
      <c r="Z68" s="74">
        <f>SUM(Z22:Z66)/12</f>
        <v>0</v>
      </c>
      <c r="AA68" s="46"/>
    </row>
    <row r="69" spans="6:7" ht="12.75" hidden="1">
      <c r="F69" s="257">
        <f>F68-E68</f>
        <v>0.0013999999999896318</v>
      </c>
      <c r="G69" s="150"/>
    </row>
    <row r="70" spans="1:27" ht="12.75" hidden="1">
      <c r="A70" s="89"/>
      <c r="B70" s="133"/>
      <c r="D70" s="165"/>
      <c r="E70" s="87"/>
      <c r="F70" s="87"/>
      <c r="G70" s="87"/>
      <c r="H70" s="87"/>
      <c r="I70" s="87"/>
      <c r="J70" s="123"/>
      <c r="K70" s="93"/>
      <c r="L70" s="87"/>
      <c r="M70" s="93"/>
      <c r="N70" s="87"/>
      <c r="O70" s="102"/>
      <c r="P70" s="94"/>
      <c r="Q70" s="94"/>
      <c r="R70" s="183"/>
      <c r="S70" s="167"/>
      <c r="T70" s="278"/>
      <c r="U70" s="80"/>
      <c r="V70" s="210"/>
      <c r="W70" s="210"/>
      <c r="X70" s="210"/>
      <c r="Y70" s="210"/>
      <c r="Z70" s="212"/>
      <c r="AA70" s="218"/>
    </row>
    <row r="71" spans="1:27" ht="12.75" hidden="1">
      <c r="A71" s="89"/>
      <c r="B71" s="133"/>
      <c r="D71" s="165"/>
      <c r="E71" s="87"/>
      <c r="F71" s="94"/>
      <c r="G71" s="267"/>
      <c r="H71" s="229"/>
      <c r="I71" s="87"/>
      <c r="J71" s="123"/>
      <c r="K71" s="93"/>
      <c r="L71" s="87"/>
      <c r="M71" s="93"/>
      <c r="N71" s="87"/>
      <c r="O71" s="102"/>
      <c r="P71" s="94"/>
      <c r="Q71" s="94"/>
      <c r="R71" s="183"/>
      <c r="S71" s="167"/>
      <c r="T71" s="278"/>
      <c r="U71" s="80"/>
      <c r="V71" s="210"/>
      <c r="W71" s="210"/>
      <c r="X71" s="210"/>
      <c r="Y71" s="210"/>
      <c r="Z71" s="212"/>
      <c r="AA71" s="218"/>
    </row>
    <row r="72" spans="1:27" ht="12.75" hidden="1">
      <c r="A72" s="525">
        <v>1</v>
      </c>
      <c r="B72" s="109" t="s">
        <v>212</v>
      </c>
      <c r="D72" s="165">
        <v>0.95957</v>
      </c>
      <c r="E72" s="53">
        <f>(D72-D65)*Y$9</f>
        <v>3.2104</v>
      </c>
      <c r="F72" s="284">
        <v>3.21</v>
      </c>
      <c r="G72" s="57"/>
      <c r="H72" s="285"/>
      <c r="I72" s="87">
        <f>1.65*1.23</f>
        <v>2.0295</v>
      </c>
      <c r="J72" s="296"/>
      <c r="K72" s="57">
        <f>0.1296*1.23</f>
        <v>0.159408</v>
      </c>
      <c r="L72" s="47">
        <f>(E72)*K72*1000</f>
        <v>511.7634432</v>
      </c>
      <c r="M72" s="57">
        <f>0.0127*1.23</f>
        <v>0.015621</v>
      </c>
      <c r="N72" s="47">
        <f>(E72)*M72*1000</f>
        <v>50.1496584</v>
      </c>
      <c r="O72" s="102">
        <f>15*1.23</f>
        <v>18.45</v>
      </c>
      <c r="P72" s="226">
        <v>1E-05</v>
      </c>
      <c r="Q72" s="226">
        <v>3E-05</v>
      </c>
      <c r="R72" s="165">
        <f>(Q72-P72)*40</f>
        <v>0.0007999999999999999</v>
      </c>
      <c r="S72" s="111"/>
      <c r="T72" s="279"/>
      <c r="U72" s="173"/>
      <c r="V72" s="121"/>
      <c r="W72" s="67"/>
      <c r="X72" s="156"/>
      <c r="Y72" s="179"/>
      <c r="Z72" s="156"/>
      <c r="AA72" s="218"/>
    </row>
    <row r="73" spans="1:27" ht="12.75" hidden="1">
      <c r="A73" s="524"/>
      <c r="B73" s="115" t="s">
        <v>204</v>
      </c>
      <c r="C73" s="52" t="s">
        <v>205</v>
      </c>
      <c r="D73" s="169">
        <v>2.43279</v>
      </c>
      <c r="E73" s="56">
        <f>(D73-D66)*Y$9</f>
        <v>6.018799999999995</v>
      </c>
      <c r="F73" s="283">
        <v>6.019</v>
      </c>
      <c r="G73" s="58"/>
      <c r="H73" s="286"/>
      <c r="I73" s="50">
        <f>15.78*1.23</f>
        <v>19.409399999999998</v>
      </c>
      <c r="J73" s="122"/>
      <c r="K73" s="58">
        <f>0.1054*1.23</f>
        <v>0.12964199999999998</v>
      </c>
      <c r="L73" s="62">
        <f>(E73)*K73*1000</f>
        <v>780.2892695999992</v>
      </c>
      <c r="M73" s="58">
        <f>0.0127*1.23</f>
        <v>0.015621</v>
      </c>
      <c r="N73" s="62">
        <f>(E73)*M73*1000</f>
        <v>94.01967479999992</v>
      </c>
      <c r="O73" s="205">
        <f>(E72+E73)*3.7*1.23</f>
        <v>42.00208919999997</v>
      </c>
      <c r="P73" s="54">
        <v>0.00027</v>
      </c>
      <c r="Q73" s="54">
        <v>0.00037</v>
      </c>
      <c r="R73" s="54">
        <f>(Q73-P73)*40</f>
        <v>0.004</v>
      </c>
      <c r="S73" s="90"/>
      <c r="T73" s="279"/>
      <c r="U73" s="66"/>
      <c r="V73" s="129"/>
      <c r="W73" s="85"/>
      <c r="X73" s="71">
        <v>40</v>
      </c>
      <c r="Y73" s="71">
        <v>29</v>
      </c>
      <c r="Z73" s="71"/>
      <c r="AA73" s="219"/>
    </row>
    <row r="74" spans="1:27" ht="12.75" hidden="1">
      <c r="A74" s="89"/>
      <c r="B74" s="133"/>
      <c r="D74" s="165"/>
      <c r="E74" s="87"/>
      <c r="F74" s="87"/>
      <c r="G74" s="87"/>
      <c r="H74" s="87"/>
      <c r="I74" s="87"/>
      <c r="J74" s="123"/>
      <c r="K74" s="93"/>
      <c r="L74" s="87"/>
      <c r="M74" s="93"/>
      <c r="N74" s="87"/>
      <c r="O74" s="102"/>
      <c r="P74" s="94"/>
      <c r="Q74" s="94"/>
      <c r="R74" s="183"/>
      <c r="S74" s="167"/>
      <c r="T74" s="278"/>
      <c r="U74" s="80"/>
      <c r="V74" s="210"/>
      <c r="W74" s="210"/>
      <c r="X74" s="210"/>
      <c r="Y74" s="210"/>
      <c r="Z74" s="212"/>
      <c r="AA74" s="218"/>
    </row>
    <row r="75" spans="1:27" ht="12.75" hidden="1">
      <c r="A75" s="89"/>
      <c r="B75" s="133"/>
      <c r="D75" s="165"/>
      <c r="E75" s="87"/>
      <c r="F75" s="94"/>
      <c r="G75" s="267"/>
      <c r="H75" s="229"/>
      <c r="I75" s="87"/>
      <c r="J75" s="123"/>
      <c r="K75" s="93"/>
      <c r="L75" s="87"/>
      <c r="M75" s="93"/>
      <c r="N75" s="87"/>
      <c r="O75" s="102"/>
      <c r="P75" s="94"/>
      <c r="Q75" s="94"/>
      <c r="R75" s="183"/>
      <c r="S75" s="167"/>
      <c r="T75" s="278"/>
      <c r="U75" s="80"/>
      <c r="V75" s="210"/>
      <c r="W75" s="210"/>
      <c r="X75" s="210"/>
      <c r="Y75" s="210"/>
      <c r="Z75" s="212"/>
      <c r="AA75" s="218"/>
    </row>
    <row r="76" spans="1:27" ht="12.75" hidden="1">
      <c r="A76" s="525">
        <v>2</v>
      </c>
      <c r="B76" s="109" t="s">
        <v>216</v>
      </c>
      <c r="D76" s="165">
        <v>1.042</v>
      </c>
      <c r="E76" s="53">
        <f>(D76-D72)*Y$9</f>
        <v>3.2972</v>
      </c>
      <c r="F76" s="284">
        <v>3.297</v>
      </c>
      <c r="G76" s="57"/>
      <c r="H76" s="285"/>
      <c r="I76" s="87">
        <f>1.65*1.23</f>
        <v>2.0295</v>
      </c>
      <c r="J76" s="296"/>
      <c r="K76" s="57">
        <f>0.1424*1.23</f>
        <v>0.175152</v>
      </c>
      <c r="L76" s="47">
        <f>(E76)*K76*1000</f>
        <v>577.5111744</v>
      </c>
      <c r="M76" s="57">
        <f>0.0125*1.23</f>
        <v>0.015375</v>
      </c>
      <c r="N76" s="47">
        <f>(E76)*M76*1000</f>
        <v>50.69445</v>
      </c>
      <c r="O76" s="102">
        <f>11.5*1.23</f>
        <v>14.145</v>
      </c>
      <c r="P76" s="226">
        <v>3E-05</v>
      </c>
      <c r="Q76" s="226">
        <v>5E-05</v>
      </c>
      <c r="R76" s="165">
        <f>(Q76-P76)*40</f>
        <v>0.0008</v>
      </c>
      <c r="S76" s="111"/>
      <c r="T76" s="279"/>
      <c r="U76" s="173"/>
      <c r="V76" s="121"/>
      <c r="W76" s="67"/>
      <c r="X76" s="156"/>
      <c r="Y76" s="179"/>
      <c r="Z76" s="156"/>
      <c r="AA76" s="218"/>
    </row>
    <row r="77" spans="1:27" ht="12.75" hidden="1">
      <c r="A77" s="524"/>
      <c r="B77" s="115" t="s">
        <v>210</v>
      </c>
      <c r="C77" s="52" t="s">
        <v>178</v>
      </c>
      <c r="D77" s="169">
        <v>2.58832</v>
      </c>
      <c r="E77" s="56">
        <f>(D77-D73)*Y$9</f>
        <v>6.221200000000007</v>
      </c>
      <c r="F77" s="283">
        <v>6.221</v>
      </c>
      <c r="G77" s="58"/>
      <c r="H77" s="286"/>
      <c r="I77" s="50">
        <f>15.78*1.23</f>
        <v>19.409399999999998</v>
      </c>
      <c r="J77" s="122"/>
      <c r="K77" s="58">
        <f>0.1086*1.23</f>
        <v>0.133578</v>
      </c>
      <c r="L77" s="62">
        <f>(E77)*K77*1000</f>
        <v>831.0154536000009</v>
      </c>
      <c r="M77" s="58">
        <f>0.0125*1.23</f>
        <v>0.015375</v>
      </c>
      <c r="N77" s="62">
        <f>(E77)*M77*1000</f>
        <v>95.6509500000001</v>
      </c>
      <c r="O77" s="205"/>
      <c r="P77" s="54">
        <v>0.00037</v>
      </c>
      <c r="Q77" s="54">
        <v>0.00043</v>
      </c>
      <c r="R77" s="54">
        <f>(Q77-P77)*40</f>
        <v>0.0024</v>
      </c>
      <c r="S77" s="90"/>
      <c r="T77" s="279"/>
      <c r="U77" s="66"/>
      <c r="V77" s="129"/>
      <c r="W77" s="85"/>
      <c r="X77" s="71">
        <v>40</v>
      </c>
      <c r="Y77" s="71">
        <v>29</v>
      </c>
      <c r="Z77" s="71"/>
      <c r="AA77" s="219"/>
    </row>
    <row r="78" spans="1:27" ht="12.75" hidden="1">
      <c r="A78" s="89"/>
      <c r="B78" s="133"/>
      <c r="D78" s="165"/>
      <c r="E78" s="87"/>
      <c r="F78" s="87"/>
      <c r="G78" s="87"/>
      <c r="H78" s="87"/>
      <c r="I78" s="87"/>
      <c r="J78" s="123"/>
      <c r="K78" s="93"/>
      <c r="L78" s="87"/>
      <c r="M78" s="93"/>
      <c r="N78" s="87"/>
      <c r="O78" s="102"/>
      <c r="P78" s="94"/>
      <c r="Q78" s="94"/>
      <c r="R78" s="183"/>
      <c r="S78" s="167"/>
      <c r="T78" s="278"/>
      <c r="U78" s="80"/>
      <c r="V78" s="210"/>
      <c r="W78" s="210"/>
      <c r="X78" s="210"/>
      <c r="Y78" s="210"/>
      <c r="Z78" s="212"/>
      <c r="AA78" s="218"/>
    </row>
    <row r="79" spans="1:27" ht="12.75" hidden="1">
      <c r="A79" s="89"/>
      <c r="B79" s="133"/>
      <c r="D79" s="165"/>
      <c r="E79" s="87"/>
      <c r="F79" s="94"/>
      <c r="G79" s="267"/>
      <c r="H79" s="229"/>
      <c r="I79" s="87"/>
      <c r="J79" s="123"/>
      <c r="K79" s="93"/>
      <c r="L79" s="87"/>
      <c r="M79" s="93"/>
      <c r="N79" s="87"/>
      <c r="O79" s="102"/>
      <c r="P79" s="94"/>
      <c r="Q79" s="94"/>
      <c r="R79" s="183"/>
      <c r="S79" s="167"/>
      <c r="T79" s="278"/>
      <c r="U79" s="80"/>
      <c r="V79" s="210"/>
      <c r="W79" s="210"/>
      <c r="X79" s="210"/>
      <c r="Y79" s="210"/>
      <c r="Z79" s="212"/>
      <c r="AA79" s="218"/>
    </row>
    <row r="80" spans="1:27" ht="12.75" hidden="1">
      <c r="A80" s="525">
        <v>3</v>
      </c>
      <c r="B80" s="109" t="s">
        <v>222</v>
      </c>
      <c r="D80" s="165">
        <v>1.11137</v>
      </c>
      <c r="E80" s="53">
        <f>(D80-D76)*Y$9</f>
        <v>2.7747999999999973</v>
      </c>
      <c r="F80" s="284">
        <v>2.775</v>
      </c>
      <c r="G80" s="57"/>
      <c r="H80" s="285"/>
      <c r="I80" s="87">
        <f>1.65*1.23</f>
        <v>2.0295</v>
      </c>
      <c r="J80" s="296"/>
      <c r="K80" s="57">
        <f>0.1424*1.23</f>
        <v>0.175152</v>
      </c>
      <c r="L80" s="47">
        <f>(E80)*K80*1000</f>
        <v>486.0117695999995</v>
      </c>
      <c r="M80" s="57">
        <f>0.0125*1.23</f>
        <v>0.015375</v>
      </c>
      <c r="N80" s="47">
        <f>(E80)*M80*1000</f>
        <v>42.66254999999996</v>
      </c>
      <c r="O80" s="102">
        <f>11.5*1.23</f>
        <v>14.145</v>
      </c>
      <c r="P80" s="226">
        <v>5E-05</v>
      </c>
      <c r="Q80" s="226">
        <v>0.00021</v>
      </c>
      <c r="R80" s="165">
        <f>(Q80-P80)*40</f>
        <v>0.0064</v>
      </c>
      <c r="S80" s="111"/>
      <c r="T80" s="279"/>
      <c r="U80" s="173"/>
      <c r="V80" s="121"/>
      <c r="W80" s="67"/>
      <c r="X80" s="156"/>
      <c r="Y80" s="179"/>
      <c r="Z80" s="156"/>
      <c r="AA80" s="218"/>
    </row>
    <row r="81" spans="1:27" ht="12.75" hidden="1">
      <c r="A81" s="524"/>
      <c r="B81" s="115" t="s">
        <v>211</v>
      </c>
      <c r="C81" s="52" t="s">
        <v>198</v>
      </c>
      <c r="D81" s="169">
        <v>2.72552</v>
      </c>
      <c r="E81" s="56">
        <f>(D81-D77)*Y$9</f>
        <v>5.4879999999999995</v>
      </c>
      <c r="F81" s="283">
        <v>5.4879999999999995</v>
      </c>
      <c r="G81" s="58"/>
      <c r="H81" s="286"/>
      <c r="I81" s="50">
        <f>15.78*1.23</f>
        <v>19.409399999999998</v>
      </c>
      <c r="J81" s="122"/>
      <c r="K81" s="58">
        <f>0.1086*1.23</f>
        <v>0.133578</v>
      </c>
      <c r="L81" s="62">
        <f>(E81)*K81*1000</f>
        <v>733.0760639999999</v>
      </c>
      <c r="M81" s="58">
        <f>0.0125*1.23</f>
        <v>0.015375</v>
      </c>
      <c r="N81" s="62">
        <f>(E81)*M81*1000</f>
        <v>84.378</v>
      </c>
      <c r="O81" s="205"/>
      <c r="P81" s="54">
        <v>0.00043</v>
      </c>
      <c r="Q81" s="54">
        <v>0.00073</v>
      </c>
      <c r="R81" s="54">
        <f>(Q81-P81)*40</f>
        <v>0.011999999999999999</v>
      </c>
      <c r="S81" s="90"/>
      <c r="T81" s="279"/>
      <c r="U81" s="66"/>
      <c r="V81" s="129"/>
      <c r="W81" s="85"/>
      <c r="X81" s="71">
        <v>40</v>
      </c>
      <c r="Y81" s="71">
        <v>26</v>
      </c>
      <c r="Z81" s="71"/>
      <c r="AA81" s="219"/>
    </row>
    <row r="82" spans="1:27" ht="12.75" hidden="1">
      <c r="A82" s="89"/>
      <c r="B82" s="133"/>
      <c r="D82" s="165"/>
      <c r="E82" s="87"/>
      <c r="F82" s="87"/>
      <c r="G82" s="87"/>
      <c r="H82" s="87"/>
      <c r="I82" s="87"/>
      <c r="J82" s="123"/>
      <c r="K82" s="93"/>
      <c r="L82" s="87"/>
      <c r="M82" s="93"/>
      <c r="N82" s="87"/>
      <c r="O82" s="102"/>
      <c r="P82" s="94"/>
      <c r="Q82" s="94"/>
      <c r="R82" s="183"/>
      <c r="S82" s="167"/>
      <c r="T82" s="278"/>
      <c r="U82" s="80"/>
      <c r="V82" s="210"/>
      <c r="W82" s="210"/>
      <c r="X82" s="210"/>
      <c r="Y82" s="210"/>
      <c r="Z82" s="212"/>
      <c r="AA82" s="218"/>
    </row>
    <row r="83" spans="1:27" ht="12.75" hidden="1">
      <c r="A83" s="89"/>
      <c r="B83" s="133"/>
      <c r="D83" s="165"/>
      <c r="E83" s="87"/>
      <c r="F83" s="94"/>
      <c r="G83" s="267"/>
      <c r="H83" s="229"/>
      <c r="I83" s="87"/>
      <c r="J83" s="123"/>
      <c r="K83" s="93"/>
      <c r="L83" s="87"/>
      <c r="M83" s="93"/>
      <c r="N83" s="87"/>
      <c r="O83" s="102"/>
      <c r="P83" s="94"/>
      <c r="Q83" s="94"/>
      <c r="R83" s="183"/>
      <c r="S83" s="167"/>
      <c r="T83" s="278"/>
      <c r="U83" s="80"/>
      <c r="V83" s="210"/>
      <c r="W83" s="210"/>
      <c r="X83" s="210"/>
      <c r="Y83" s="210"/>
      <c r="Z83" s="212"/>
      <c r="AA83" s="218"/>
    </row>
    <row r="84" spans="1:27" ht="12.75" hidden="1">
      <c r="A84" s="525">
        <v>4</v>
      </c>
      <c r="B84" s="109" t="s">
        <v>225</v>
      </c>
      <c r="D84" s="165">
        <v>1.17046</v>
      </c>
      <c r="E84" s="53">
        <f>(D84-D80)*Y$9</f>
        <v>2.3636000000000035</v>
      </c>
      <c r="F84" s="284">
        <v>2.364</v>
      </c>
      <c r="G84" s="57"/>
      <c r="H84" s="285"/>
      <c r="I84" s="87">
        <f>1.65*1.23</f>
        <v>2.0295</v>
      </c>
      <c r="J84" s="296"/>
      <c r="K84" s="57">
        <f>0.1424*1.23</f>
        <v>0.175152</v>
      </c>
      <c r="L84" s="47">
        <f>(E84)*K84*1000</f>
        <v>413.9892672000006</v>
      </c>
      <c r="M84" s="57">
        <f>0.0125*1.23</f>
        <v>0.015375</v>
      </c>
      <c r="N84" s="47">
        <f>(E84)*M84*1000</f>
        <v>36.34035000000006</v>
      </c>
      <c r="O84" s="102">
        <f>11.5*1.23</f>
        <v>14.145</v>
      </c>
      <c r="P84" s="226">
        <v>0.00021</v>
      </c>
      <c r="Q84" s="226">
        <v>0.00023</v>
      </c>
      <c r="R84" s="165">
        <f>(Q84-P84)*40</f>
        <v>0.0007999999999999999</v>
      </c>
      <c r="S84" s="111"/>
      <c r="T84" s="279"/>
      <c r="U84" s="173"/>
      <c r="V84" s="121"/>
      <c r="W84" s="67"/>
      <c r="X84" s="156"/>
      <c r="Y84" s="179"/>
      <c r="Z84" s="156"/>
      <c r="AA84" s="218"/>
    </row>
    <row r="85" spans="1:27" ht="12.75" hidden="1">
      <c r="A85" s="524"/>
      <c r="B85" s="115" t="s">
        <v>223</v>
      </c>
      <c r="C85" s="52" t="s">
        <v>219</v>
      </c>
      <c r="D85" s="169">
        <v>2.88023</v>
      </c>
      <c r="E85" s="56">
        <f>(D85-D81)*Y$9</f>
        <v>6.188400000000005</v>
      </c>
      <c r="F85" s="283">
        <v>6.188</v>
      </c>
      <c r="G85" s="58"/>
      <c r="H85" s="286"/>
      <c r="I85" s="50">
        <f>15.78*1.23</f>
        <v>19.409399999999998</v>
      </c>
      <c r="J85" s="122"/>
      <c r="K85" s="58">
        <f>0.1086*1.23</f>
        <v>0.133578</v>
      </c>
      <c r="L85" s="62">
        <f>(E85)*K85*1000</f>
        <v>826.6340952000006</v>
      </c>
      <c r="M85" s="58">
        <f>0.0125*1.23</f>
        <v>0.015375</v>
      </c>
      <c r="N85" s="62">
        <f>(E85)*M85*1000</f>
        <v>95.14665000000008</v>
      </c>
      <c r="O85" s="205"/>
      <c r="P85" s="54">
        <v>0.00073</v>
      </c>
      <c r="Q85" s="54">
        <v>0.0008</v>
      </c>
      <c r="R85" s="54">
        <f>(Q85-P85)*40</f>
        <v>0.002800000000000003</v>
      </c>
      <c r="S85" s="90"/>
      <c r="T85" s="279"/>
      <c r="U85" s="66"/>
      <c r="V85" s="129"/>
      <c r="W85" s="85"/>
      <c r="X85" s="71">
        <v>40</v>
      </c>
      <c r="Y85" s="71">
        <v>22</v>
      </c>
      <c r="Z85" s="71"/>
      <c r="AA85" s="219"/>
    </row>
    <row r="86" spans="1:27" ht="12.75" hidden="1">
      <c r="A86" s="89"/>
      <c r="B86" s="133"/>
      <c r="D86" s="165"/>
      <c r="E86" s="87"/>
      <c r="F86" s="87"/>
      <c r="G86" s="87"/>
      <c r="H86" s="87"/>
      <c r="I86" s="87"/>
      <c r="J86" s="123"/>
      <c r="K86" s="93"/>
      <c r="L86" s="87"/>
      <c r="M86" s="93"/>
      <c r="N86" s="87"/>
      <c r="O86" s="102"/>
      <c r="P86" s="94"/>
      <c r="Q86" s="94"/>
      <c r="R86" s="183"/>
      <c r="S86" s="167"/>
      <c r="T86" s="278"/>
      <c r="U86" s="80"/>
      <c r="V86" s="210"/>
      <c r="W86" s="210"/>
      <c r="X86" s="210"/>
      <c r="Y86" s="210"/>
      <c r="Z86" s="212"/>
      <c r="AA86" s="218"/>
    </row>
    <row r="87" spans="1:27" ht="12.75" hidden="1">
      <c r="A87" s="89"/>
      <c r="B87" s="133"/>
      <c r="D87" s="165"/>
      <c r="E87" s="87"/>
      <c r="F87" s="94"/>
      <c r="G87" s="267"/>
      <c r="H87" s="229"/>
      <c r="I87" s="87"/>
      <c r="J87" s="123"/>
      <c r="K87" s="93"/>
      <c r="L87" s="87"/>
      <c r="M87" s="93"/>
      <c r="N87" s="87"/>
      <c r="O87" s="102"/>
      <c r="P87" s="94"/>
      <c r="Q87" s="94"/>
      <c r="R87" s="183"/>
      <c r="S87" s="167"/>
      <c r="T87" s="278"/>
      <c r="U87" s="80"/>
      <c r="V87" s="210"/>
      <c r="W87" s="210"/>
      <c r="X87" s="210"/>
      <c r="Y87" s="210"/>
      <c r="Z87" s="212"/>
      <c r="AA87" s="218"/>
    </row>
    <row r="88" spans="1:27" ht="12.75" hidden="1">
      <c r="A88" s="525">
        <v>5</v>
      </c>
      <c r="B88" s="109" t="s">
        <v>226</v>
      </c>
      <c r="D88" s="165">
        <v>1.20957</v>
      </c>
      <c r="E88" s="53">
        <f>(D88-D84)*Y$9</f>
        <v>1.5643999999999991</v>
      </c>
      <c r="F88" s="284">
        <v>1.564</v>
      </c>
      <c r="G88" s="57"/>
      <c r="H88" s="285"/>
      <c r="I88" s="87">
        <f>1.65*1.23</f>
        <v>2.0295</v>
      </c>
      <c r="J88" s="296"/>
      <c r="K88" s="57">
        <f>0.1424*1.23</f>
        <v>0.175152</v>
      </c>
      <c r="L88" s="47">
        <f>(E88)*K88*1000</f>
        <v>274.0077887999999</v>
      </c>
      <c r="M88" s="57">
        <f>0.0125*1.23</f>
        <v>0.015375</v>
      </c>
      <c r="N88" s="47">
        <f>(E88)*M88*1000</f>
        <v>24.05264999999999</v>
      </c>
      <c r="O88" s="102">
        <f>11.5*1.23</f>
        <v>14.145</v>
      </c>
      <c r="P88" s="226">
        <v>0.00023</v>
      </c>
      <c r="Q88" s="226">
        <v>0.00026</v>
      </c>
      <c r="R88" s="165">
        <f>(Q88-P88)*40</f>
        <v>0.0011999999999999988</v>
      </c>
      <c r="S88" s="111"/>
      <c r="T88" s="279"/>
      <c r="U88" s="173"/>
      <c r="V88" s="121"/>
      <c r="W88" s="67"/>
      <c r="X88" s="156"/>
      <c r="Y88" s="179"/>
      <c r="Z88" s="156"/>
      <c r="AA88" s="218"/>
    </row>
    <row r="89" spans="1:27" ht="12.75" hidden="1">
      <c r="A89" s="524"/>
      <c r="B89" s="115" t="s">
        <v>227</v>
      </c>
      <c r="C89" s="52" t="s">
        <v>113</v>
      </c>
      <c r="D89" s="169">
        <v>3.01606</v>
      </c>
      <c r="E89" s="56">
        <f>(D89-D85)*Y$9</f>
        <v>5.433199999999996</v>
      </c>
      <c r="F89" s="283">
        <v>5.433</v>
      </c>
      <c r="G89" s="58"/>
      <c r="H89" s="286"/>
      <c r="I89" s="50">
        <f>15.78*1.23</f>
        <v>19.409399999999998</v>
      </c>
      <c r="J89" s="122"/>
      <c r="K89" s="58">
        <f>0.1086*1.23</f>
        <v>0.133578</v>
      </c>
      <c r="L89" s="62">
        <f>(E89)*K89*1000</f>
        <v>725.7559895999995</v>
      </c>
      <c r="M89" s="58">
        <f>0.0125*1.23</f>
        <v>0.015375</v>
      </c>
      <c r="N89" s="62">
        <f>(E89)*M89*1000</f>
        <v>83.53544999999993</v>
      </c>
      <c r="O89" s="205"/>
      <c r="P89" s="54">
        <v>0.0008</v>
      </c>
      <c r="Q89" s="54">
        <v>0.00102</v>
      </c>
      <c r="R89" s="54">
        <f>(Q89-P89)*40</f>
        <v>0.008800000000000002</v>
      </c>
      <c r="S89" s="90"/>
      <c r="T89" s="279"/>
      <c r="U89" s="66"/>
      <c r="V89" s="129"/>
      <c r="W89" s="85"/>
      <c r="X89" s="71">
        <v>40</v>
      </c>
      <c r="Y89" s="71">
        <v>22</v>
      </c>
      <c r="Z89" s="71"/>
      <c r="AA89" s="219"/>
    </row>
    <row r="90" spans="1:27" ht="12.75" hidden="1">
      <c r="A90" s="89"/>
      <c r="B90" s="133"/>
      <c r="D90" s="165"/>
      <c r="E90" s="87"/>
      <c r="F90" s="87"/>
      <c r="G90" s="87"/>
      <c r="H90" s="87"/>
      <c r="I90" s="87"/>
      <c r="J90" s="123"/>
      <c r="K90" s="93"/>
      <c r="L90" s="87"/>
      <c r="M90" s="93"/>
      <c r="N90" s="87"/>
      <c r="O90" s="102"/>
      <c r="P90" s="94"/>
      <c r="Q90" s="94"/>
      <c r="R90" s="183"/>
      <c r="S90" s="167"/>
      <c r="T90" s="278"/>
      <c r="U90" s="80"/>
      <c r="V90" s="210"/>
      <c r="W90" s="210"/>
      <c r="X90" s="210"/>
      <c r="Y90" s="210"/>
      <c r="Z90" s="212"/>
      <c r="AA90" s="218"/>
    </row>
    <row r="91" spans="1:27" ht="12.75" hidden="1">
      <c r="A91" s="89"/>
      <c r="B91" s="133"/>
      <c r="D91" s="165"/>
      <c r="E91" s="87"/>
      <c r="F91" s="94"/>
      <c r="G91" s="267"/>
      <c r="H91" s="229"/>
      <c r="I91" s="87"/>
      <c r="J91" s="123"/>
      <c r="K91" s="93"/>
      <c r="L91" s="87"/>
      <c r="M91" s="93"/>
      <c r="N91" s="87"/>
      <c r="O91" s="102"/>
      <c r="P91" s="94"/>
      <c r="Q91" s="94"/>
      <c r="R91" s="183"/>
      <c r="S91" s="167"/>
      <c r="T91" s="278"/>
      <c r="U91" s="80"/>
      <c r="V91" s="210"/>
      <c r="W91" s="210"/>
      <c r="X91" s="210"/>
      <c r="Y91" s="210"/>
      <c r="Z91" s="212"/>
      <c r="AA91" s="218"/>
    </row>
    <row r="92" spans="1:27" ht="12.75" hidden="1">
      <c r="A92" s="525">
        <v>6</v>
      </c>
      <c r="B92" s="109" t="s">
        <v>231</v>
      </c>
      <c r="D92" s="165">
        <v>1.24157</v>
      </c>
      <c r="E92" s="53">
        <f>(D92-D88)*Y$9</f>
        <v>1.2800000000000011</v>
      </c>
      <c r="F92" s="284">
        <v>1.2800000000000011</v>
      </c>
      <c r="G92" s="57"/>
      <c r="H92" s="285"/>
      <c r="I92" s="87">
        <f>1.65*1.23</f>
        <v>2.0295</v>
      </c>
      <c r="J92" s="296"/>
      <c r="K92" s="57">
        <f>0.1424*1.23</f>
        <v>0.175152</v>
      </c>
      <c r="L92" s="47">
        <f>(E92)*K92*1000</f>
        <v>224.19456000000022</v>
      </c>
      <c r="M92" s="57">
        <f>0.0125*1.23</f>
        <v>0.015375</v>
      </c>
      <c r="N92" s="47">
        <f>(E92)*M92*1000</f>
        <v>19.680000000000017</v>
      </c>
      <c r="O92" s="102">
        <f>11.5*1.23</f>
        <v>14.145</v>
      </c>
      <c r="P92" s="226">
        <v>0.00026</v>
      </c>
      <c r="Q92" s="226">
        <v>0.00032</v>
      </c>
      <c r="R92" s="165">
        <f>(Q92-P92)*40</f>
        <v>0.002400000000000002</v>
      </c>
      <c r="S92" s="111"/>
      <c r="T92" s="341"/>
      <c r="U92" s="173"/>
      <c r="V92" s="121"/>
      <c r="W92" s="67"/>
      <c r="X92" s="156"/>
      <c r="Y92" s="179"/>
      <c r="Z92" s="156"/>
      <c r="AA92" s="218"/>
    </row>
    <row r="93" spans="1:27" ht="12.75" hidden="1">
      <c r="A93" s="524"/>
      <c r="B93" s="115" t="s">
        <v>229</v>
      </c>
      <c r="C93" s="52" t="s">
        <v>122</v>
      </c>
      <c r="D93" s="169">
        <v>3.15623</v>
      </c>
      <c r="E93" s="56">
        <f>(D93-D89)*Y$9</f>
        <v>5.606799999999996</v>
      </c>
      <c r="F93" s="283">
        <v>5.607</v>
      </c>
      <c r="G93" s="58"/>
      <c r="H93" s="286"/>
      <c r="I93" s="50">
        <f>15.78*1.23</f>
        <v>19.409399999999998</v>
      </c>
      <c r="J93" s="122"/>
      <c r="K93" s="58">
        <f>0.1086*1.23</f>
        <v>0.133578</v>
      </c>
      <c r="L93" s="62">
        <f>(E93)*K93*1000</f>
        <v>748.9451303999996</v>
      </c>
      <c r="M93" s="58">
        <f>0.0125*1.23</f>
        <v>0.015375</v>
      </c>
      <c r="N93" s="62">
        <f>(E93)*M93*1000</f>
        <v>86.20454999999994</v>
      </c>
      <c r="O93" s="205"/>
      <c r="P93" s="54">
        <v>0.00102</v>
      </c>
      <c r="Q93" s="54">
        <v>0.00137</v>
      </c>
      <c r="R93" s="54">
        <f>(Q93-P93)*40</f>
        <v>0.013999999999999993</v>
      </c>
      <c r="S93" s="90"/>
      <c r="T93" s="204"/>
      <c r="U93" s="66"/>
      <c r="V93" s="129"/>
      <c r="W93" s="85"/>
      <c r="X93" s="71">
        <v>40</v>
      </c>
      <c r="Y93" s="71">
        <v>19</v>
      </c>
      <c r="Z93" s="71"/>
      <c r="AA93" s="219"/>
    </row>
    <row r="94" spans="1:27" ht="12.75" hidden="1">
      <c r="A94" s="89"/>
      <c r="B94" s="133"/>
      <c r="D94" s="165"/>
      <c r="E94" s="87"/>
      <c r="F94" s="87"/>
      <c r="G94" s="87"/>
      <c r="H94" s="87"/>
      <c r="I94" s="87"/>
      <c r="J94" s="123"/>
      <c r="K94" s="93"/>
      <c r="L94" s="87"/>
      <c r="M94" s="93"/>
      <c r="N94" s="87"/>
      <c r="O94" s="102"/>
      <c r="P94" s="94"/>
      <c r="Q94" s="94"/>
      <c r="R94" s="183"/>
      <c r="S94" s="167"/>
      <c r="T94" s="278"/>
      <c r="U94" s="80"/>
      <c r="V94" s="210"/>
      <c r="W94" s="210"/>
      <c r="X94" s="210"/>
      <c r="Y94" s="210"/>
      <c r="Z94" s="212"/>
      <c r="AA94" s="218"/>
    </row>
    <row r="95" spans="1:27" ht="12.75" hidden="1">
      <c r="A95" s="89"/>
      <c r="B95" s="133"/>
      <c r="D95" s="165"/>
      <c r="E95" s="87"/>
      <c r="F95" s="94"/>
      <c r="G95" s="267"/>
      <c r="H95" s="229"/>
      <c r="I95" s="87"/>
      <c r="J95" s="123"/>
      <c r="K95" s="93"/>
      <c r="L95" s="87"/>
      <c r="M95" s="93"/>
      <c r="N95" s="87"/>
      <c r="O95" s="102"/>
      <c r="P95" s="94"/>
      <c r="Q95" s="94"/>
      <c r="R95" s="183"/>
      <c r="S95" s="167"/>
      <c r="T95" s="278"/>
      <c r="U95" s="80"/>
      <c r="V95" s="210"/>
      <c r="W95" s="210"/>
      <c r="X95" s="210"/>
      <c r="Y95" s="210"/>
      <c r="Z95" s="212"/>
      <c r="AA95" s="218"/>
    </row>
    <row r="96" spans="1:27" ht="12.75" hidden="1">
      <c r="A96" s="525">
        <v>7</v>
      </c>
      <c r="B96" s="109" t="s">
        <v>234</v>
      </c>
      <c r="D96" s="165">
        <v>1.26822</v>
      </c>
      <c r="E96" s="53">
        <f>(D96-D92)*Y$9</f>
        <v>1.0659999999999936</v>
      </c>
      <c r="F96" s="284">
        <v>1.066</v>
      </c>
      <c r="G96" s="57"/>
      <c r="H96" s="285"/>
      <c r="I96" s="87">
        <f>1.65*1.23</f>
        <v>2.0295</v>
      </c>
      <c r="J96" s="296"/>
      <c r="K96" s="57">
        <f>0.1424*1.23</f>
        <v>0.175152</v>
      </c>
      <c r="L96" s="47">
        <f>(E96)*K96*1000</f>
        <v>186.71203199999889</v>
      </c>
      <c r="M96" s="57">
        <f>0.0125*1.23</f>
        <v>0.015375</v>
      </c>
      <c r="N96" s="47">
        <f>(E96)*M96*1000</f>
        <v>16.3897499999999</v>
      </c>
      <c r="O96" s="102">
        <f>11.5*1.23</f>
        <v>14.145</v>
      </c>
      <c r="P96" s="226">
        <v>0.00032</v>
      </c>
      <c r="Q96" s="226">
        <v>0.00036</v>
      </c>
      <c r="R96" s="165">
        <f>(Q96-P96)*40</f>
        <v>0.0015999999999999999</v>
      </c>
      <c r="S96" s="111"/>
      <c r="T96" s="341"/>
      <c r="U96" s="173"/>
      <c r="V96" s="121"/>
      <c r="W96" s="67"/>
      <c r="X96" s="156"/>
      <c r="Y96" s="179"/>
      <c r="Z96" s="156"/>
      <c r="AA96" s="218"/>
    </row>
    <row r="97" spans="1:27" ht="12.75" hidden="1">
      <c r="A97" s="524"/>
      <c r="B97" s="115" t="s">
        <v>233</v>
      </c>
      <c r="C97" s="52" t="s">
        <v>136</v>
      </c>
      <c r="D97" s="169">
        <v>3.27701</v>
      </c>
      <c r="E97" s="56">
        <f>(D97-D93)*Y$9</f>
        <v>4.831200000000013</v>
      </c>
      <c r="F97" s="283">
        <v>4.831</v>
      </c>
      <c r="G97" s="58"/>
      <c r="H97" s="286"/>
      <c r="I97" s="50">
        <f>15.78*1.23</f>
        <v>19.409399999999998</v>
      </c>
      <c r="J97" s="122"/>
      <c r="K97" s="58">
        <f>0.1086*1.23</f>
        <v>0.133578</v>
      </c>
      <c r="L97" s="62">
        <f>(E97)*K97*1000</f>
        <v>645.3420336000017</v>
      </c>
      <c r="M97" s="58">
        <f>0.0125*1.23</f>
        <v>0.015375</v>
      </c>
      <c r="N97" s="62">
        <f>(E97)*M97*1000</f>
        <v>74.2797000000002</v>
      </c>
      <c r="O97" s="205"/>
      <c r="P97" s="54">
        <v>0.00137</v>
      </c>
      <c r="Q97" s="54">
        <v>0.00153</v>
      </c>
      <c r="R97" s="54">
        <f>(Q97-P97)*40</f>
        <v>0.0063999999999999994</v>
      </c>
      <c r="S97" s="90"/>
      <c r="T97" s="204"/>
      <c r="U97" s="66"/>
      <c r="V97" s="129"/>
      <c r="W97" s="85"/>
      <c r="X97" s="71">
        <v>40</v>
      </c>
      <c r="Y97" s="71">
        <v>22</v>
      </c>
      <c r="Z97" s="71"/>
      <c r="AA97" s="219"/>
    </row>
    <row r="98" spans="1:27" ht="12.75" hidden="1">
      <c r="A98" s="89"/>
      <c r="B98" s="133"/>
      <c r="D98" s="165"/>
      <c r="E98" s="87"/>
      <c r="F98" s="87"/>
      <c r="G98" s="87"/>
      <c r="H98" s="87"/>
      <c r="I98" s="87"/>
      <c r="J98" s="123"/>
      <c r="K98" s="93"/>
      <c r="L98" s="87"/>
      <c r="M98" s="93"/>
      <c r="N98" s="87"/>
      <c r="O98" s="102"/>
      <c r="P98" s="94"/>
      <c r="Q98" s="94"/>
      <c r="R98" s="183"/>
      <c r="S98" s="167"/>
      <c r="T98" s="278"/>
      <c r="U98" s="80"/>
      <c r="V98" s="210"/>
      <c r="W98" s="210"/>
      <c r="X98" s="210"/>
      <c r="Y98" s="210"/>
      <c r="Z98" s="212"/>
      <c r="AA98" s="218"/>
    </row>
    <row r="99" spans="1:27" ht="12.75" hidden="1">
      <c r="A99" s="89"/>
      <c r="B99" s="133"/>
      <c r="D99" s="165"/>
      <c r="E99" s="87"/>
      <c r="F99" s="94"/>
      <c r="G99" s="267"/>
      <c r="H99" s="229"/>
      <c r="I99" s="87"/>
      <c r="J99" s="123"/>
      <c r="K99" s="93"/>
      <c r="L99" s="87"/>
      <c r="M99" s="93"/>
      <c r="N99" s="87"/>
      <c r="O99" s="102"/>
      <c r="P99" s="94"/>
      <c r="Q99" s="94"/>
      <c r="R99" s="183"/>
      <c r="S99" s="167"/>
      <c r="T99" s="278"/>
      <c r="U99" s="80"/>
      <c r="V99" s="210"/>
      <c r="W99" s="210"/>
      <c r="X99" s="210"/>
      <c r="Y99" s="210"/>
      <c r="Z99" s="212"/>
      <c r="AA99" s="218"/>
    </row>
    <row r="100" spans="1:27" ht="12.75" hidden="1">
      <c r="A100" s="525">
        <v>8</v>
      </c>
      <c r="B100" s="109" t="s">
        <v>252</v>
      </c>
      <c r="D100" s="165">
        <v>1.30227</v>
      </c>
      <c r="E100" s="53">
        <f>(D100-D96)*Y$9</f>
        <v>1.3620000000000054</v>
      </c>
      <c r="F100" s="284">
        <v>1.362</v>
      </c>
      <c r="G100" s="57"/>
      <c r="H100" s="285"/>
      <c r="I100" s="87">
        <f>1.65*1.23</f>
        <v>2.0295</v>
      </c>
      <c r="J100" s="296"/>
      <c r="K100" s="57">
        <f>0.1424*1.23</f>
        <v>0.175152</v>
      </c>
      <c r="L100" s="47">
        <f>(E100)*K100*1000</f>
        <v>238.55702400000095</v>
      </c>
      <c r="M100" s="57">
        <f>0.0125*1.23</f>
        <v>0.015375</v>
      </c>
      <c r="N100" s="47">
        <f>(E100)*M100*1000</f>
        <v>20.940750000000083</v>
      </c>
      <c r="O100" s="102">
        <f>11.5*1.23</f>
        <v>14.145</v>
      </c>
      <c r="P100" s="226">
        <v>0.00036</v>
      </c>
      <c r="Q100" s="226">
        <v>0.00037</v>
      </c>
      <c r="R100" s="165">
        <f>(Q100-P100)*40</f>
        <v>0.0003999999999999989</v>
      </c>
      <c r="S100" s="111"/>
      <c r="T100" s="341"/>
      <c r="U100" s="173"/>
      <c r="V100" s="121"/>
      <c r="W100" s="67"/>
      <c r="X100" s="156"/>
      <c r="Y100" s="179"/>
      <c r="Z100" s="156"/>
      <c r="AA100" s="218"/>
    </row>
    <row r="101" spans="1:27" ht="12.75" hidden="1">
      <c r="A101" s="524"/>
      <c r="B101" s="115" t="s">
        <v>249</v>
      </c>
      <c r="C101" s="52" t="s">
        <v>146</v>
      </c>
      <c r="D101" s="169">
        <v>3.42577</v>
      </c>
      <c r="E101" s="56">
        <f>(D101-D97)*Y$9</f>
        <v>5.950399999999991</v>
      </c>
      <c r="F101" s="283">
        <v>5.95</v>
      </c>
      <c r="G101" s="58"/>
      <c r="H101" s="286"/>
      <c r="I101" s="50">
        <f>15.78*1.23</f>
        <v>19.409399999999998</v>
      </c>
      <c r="J101" s="122"/>
      <c r="K101" s="58">
        <f>0.1086*1.23</f>
        <v>0.133578</v>
      </c>
      <c r="L101" s="62">
        <f>(E101)*K101*1000</f>
        <v>794.8425311999988</v>
      </c>
      <c r="M101" s="58">
        <f>0.0125*1.23</f>
        <v>0.015375</v>
      </c>
      <c r="N101" s="62">
        <f>(E101)*M101*1000</f>
        <v>91.48739999999985</v>
      </c>
      <c r="O101" s="205"/>
      <c r="P101" s="54">
        <v>0.00153</v>
      </c>
      <c r="Q101" s="54">
        <v>0.00158</v>
      </c>
      <c r="R101" s="54">
        <f>(Q101-P101)*40</f>
        <v>0.0020000000000000052</v>
      </c>
      <c r="S101" s="90"/>
      <c r="T101" s="204"/>
      <c r="U101" s="66"/>
      <c r="V101" s="129"/>
      <c r="W101" s="85"/>
      <c r="X101" s="71">
        <v>40</v>
      </c>
      <c r="Y101" s="71">
        <v>22</v>
      </c>
      <c r="Z101" s="71"/>
      <c r="AA101" s="219"/>
    </row>
    <row r="102" spans="1:27" ht="12.75" hidden="1">
      <c r="A102" s="89"/>
      <c r="B102" s="133"/>
      <c r="D102" s="165"/>
      <c r="E102" s="87"/>
      <c r="F102" s="87"/>
      <c r="G102" s="87"/>
      <c r="H102" s="87"/>
      <c r="I102" s="87"/>
      <c r="J102" s="123"/>
      <c r="K102" s="93"/>
      <c r="L102" s="87"/>
      <c r="M102" s="93"/>
      <c r="N102" s="87"/>
      <c r="O102" s="102"/>
      <c r="P102" s="94"/>
      <c r="Q102" s="94"/>
      <c r="R102" s="183"/>
      <c r="S102" s="167"/>
      <c r="T102" s="278"/>
      <c r="U102" s="80"/>
      <c r="V102" s="210"/>
      <c r="W102" s="210"/>
      <c r="X102" s="210"/>
      <c r="Y102" s="210"/>
      <c r="Z102" s="212"/>
      <c r="AA102" s="218"/>
    </row>
    <row r="103" spans="1:27" ht="12.75" hidden="1">
      <c r="A103" s="89"/>
      <c r="B103" s="133"/>
      <c r="D103" s="165"/>
      <c r="E103" s="87"/>
      <c r="F103" s="94"/>
      <c r="G103" s="267"/>
      <c r="H103" s="229"/>
      <c r="I103" s="87"/>
      <c r="J103" s="123"/>
      <c r="K103" s="93"/>
      <c r="L103" s="87"/>
      <c r="M103" s="93"/>
      <c r="N103" s="87"/>
      <c r="O103" s="102"/>
      <c r="P103" s="94"/>
      <c r="Q103" s="94"/>
      <c r="R103" s="183"/>
      <c r="S103" s="167"/>
      <c r="T103" s="278"/>
      <c r="U103" s="80"/>
      <c r="V103" s="210"/>
      <c r="W103" s="210"/>
      <c r="X103" s="210"/>
      <c r="Y103" s="210"/>
      <c r="Z103" s="212"/>
      <c r="AA103" s="218"/>
    </row>
    <row r="104" spans="1:27" ht="12.75" hidden="1">
      <c r="A104" s="525">
        <v>9</v>
      </c>
      <c r="B104" s="109" t="s">
        <v>256</v>
      </c>
      <c r="D104" s="165">
        <v>1.33719</v>
      </c>
      <c r="E104" s="53">
        <f>(D104-D100)*Y$9</f>
        <v>1.3968000000000025</v>
      </c>
      <c r="F104" s="284">
        <v>1.397</v>
      </c>
      <c r="G104" s="57"/>
      <c r="H104" s="285"/>
      <c r="I104" s="87">
        <f>1.65*1.23</f>
        <v>2.0295</v>
      </c>
      <c r="J104" s="296"/>
      <c r="K104" s="57">
        <f>0.1424*1.23</f>
        <v>0.175152</v>
      </c>
      <c r="L104" s="47">
        <f>(E104)*K104*1000</f>
        <v>244.65231360000044</v>
      </c>
      <c r="M104" s="57">
        <f>0.0125*1.23</f>
        <v>0.015375</v>
      </c>
      <c r="N104" s="47">
        <f>(E104)*M104*1000</f>
        <v>21.47580000000004</v>
      </c>
      <c r="O104" s="102">
        <f>11.5*1.23</f>
        <v>14.145</v>
      </c>
      <c r="P104" s="226">
        <v>0.00037</v>
      </c>
      <c r="Q104" s="226">
        <v>0.00038</v>
      </c>
      <c r="R104" s="165">
        <f>(Q104-P104)*40</f>
        <v>0.00040000000000000105</v>
      </c>
      <c r="S104" s="111"/>
      <c r="T104" s="341"/>
      <c r="U104" s="173"/>
      <c r="V104" s="121"/>
      <c r="W104" s="67"/>
      <c r="X104" s="156"/>
      <c r="Y104" s="179"/>
      <c r="Z104" s="156"/>
      <c r="AA104" s="218"/>
    </row>
    <row r="105" spans="1:27" ht="12.75" hidden="1">
      <c r="A105" s="524"/>
      <c r="B105" s="115" t="s">
        <v>253</v>
      </c>
      <c r="C105" s="52" t="s">
        <v>164</v>
      </c>
      <c r="D105" s="169">
        <v>3.57075</v>
      </c>
      <c r="E105" s="56">
        <f>(D105-D101)*Y$9</f>
        <v>5.7991999999999955</v>
      </c>
      <c r="F105" s="283">
        <v>5.799</v>
      </c>
      <c r="G105" s="58"/>
      <c r="H105" s="286"/>
      <c r="I105" s="50">
        <f>15.78*1.23</f>
        <v>19.409399999999998</v>
      </c>
      <c r="J105" s="122"/>
      <c r="K105" s="58">
        <f>0.1086*1.23</f>
        <v>0.133578</v>
      </c>
      <c r="L105" s="62">
        <f>(E105)*K105*1000</f>
        <v>774.6455375999994</v>
      </c>
      <c r="M105" s="58">
        <f>0.0125*1.23</f>
        <v>0.015375</v>
      </c>
      <c r="N105" s="62">
        <f>(E105)*M105*1000</f>
        <v>89.16269999999993</v>
      </c>
      <c r="O105" s="205"/>
      <c r="P105" s="54">
        <v>0.00158</v>
      </c>
      <c r="Q105" s="54">
        <v>0.00178</v>
      </c>
      <c r="R105" s="54">
        <f>(Q105-P105)*40</f>
        <v>0.007999999999999995</v>
      </c>
      <c r="S105" s="90"/>
      <c r="T105" s="204"/>
      <c r="U105" s="66"/>
      <c r="V105" s="129"/>
      <c r="W105" s="85"/>
      <c r="X105" s="71">
        <v>40</v>
      </c>
      <c r="Y105" s="71">
        <v>21</v>
      </c>
      <c r="Z105" s="71"/>
      <c r="AA105" s="219"/>
    </row>
    <row r="106" spans="1:27" ht="12.75" hidden="1">
      <c r="A106" s="89"/>
      <c r="B106" s="133"/>
      <c r="D106" s="165"/>
      <c r="E106" s="87"/>
      <c r="F106" s="87"/>
      <c r="G106" s="87"/>
      <c r="H106" s="87"/>
      <c r="I106" s="87"/>
      <c r="J106" s="123"/>
      <c r="K106" s="93"/>
      <c r="L106" s="87"/>
      <c r="M106" s="93"/>
      <c r="N106" s="87"/>
      <c r="O106" s="102"/>
      <c r="P106" s="94"/>
      <c r="Q106" s="94"/>
      <c r="R106" s="183"/>
      <c r="S106" s="167"/>
      <c r="T106" s="278"/>
      <c r="U106" s="80"/>
      <c r="V106" s="210"/>
      <c r="W106" s="210"/>
      <c r="X106" s="210"/>
      <c r="Y106" s="210"/>
      <c r="Z106" s="212"/>
      <c r="AA106" s="218"/>
    </row>
    <row r="107" spans="1:27" ht="12.75" hidden="1">
      <c r="A107" s="89"/>
      <c r="B107" s="133"/>
      <c r="D107" s="165"/>
      <c r="E107" s="87"/>
      <c r="F107" s="94"/>
      <c r="G107" s="267"/>
      <c r="H107" s="229"/>
      <c r="I107" s="87"/>
      <c r="J107" s="123"/>
      <c r="K107" s="93"/>
      <c r="L107" s="87"/>
      <c r="M107" s="93"/>
      <c r="N107" s="87"/>
      <c r="O107" s="102"/>
      <c r="P107" s="94"/>
      <c r="Q107" s="94"/>
      <c r="R107" s="183"/>
      <c r="S107" s="167"/>
      <c r="T107" s="278"/>
      <c r="U107" s="80"/>
      <c r="V107" s="210"/>
      <c r="W107" s="210"/>
      <c r="X107" s="210"/>
      <c r="Y107" s="210"/>
      <c r="Z107" s="212"/>
      <c r="AA107" s="218"/>
    </row>
    <row r="108" spans="1:27" ht="12.75" hidden="1">
      <c r="A108" s="525">
        <v>10</v>
      </c>
      <c r="B108" s="109" t="s">
        <v>261</v>
      </c>
      <c r="D108" s="165">
        <v>1.39609</v>
      </c>
      <c r="E108" s="53">
        <f>(D108-D104)*Y$9</f>
        <v>2.355999999999998</v>
      </c>
      <c r="F108" s="284">
        <v>2.355999999999998</v>
      </c>
      <c r="G108" s="57"/>
      <c r="H108" s="285"/>
      <c r="I108" s="87">
        <f>1.65*1.23</f>
        <v>2.0295</v>
      </c>
      <c r="J108" s="296"/>
      <c r="K108" s="57">
        <f>0.1424*1.23</f>
        <v>0.175152</v>
      </c>
      <c r="L108" s="47">
        <f>(E108)*K108*1000</f>
        <v>412.6581119999997</v>
      </c>
      <c r="M108" s="57">
        <f>0.0125*1.23</f>
        <v>0.015375</v>
      </c>
      <c r="N108" s="47">
        <f>(E108)*M108*1000</f>
        <v>36.22349999999997</v>
      </c>
      <c r="O108" s="102">
        <f>11.5*1.23</f>
        <v>14.145</v>
      </c>
      <c r="P108" s="226">
        <v>0.00038</v>
      </c>
      <c r="Q108" s="226">
        <v>0.00056</v>
      </c>
      <c r="R108" s="165">
        <f>(Q108-P108)*40</f>
        <v>0.007199999999999997</v>
      </c>
      <c r="S108" s="111"/>
      <c r="T108" s="341"/>
      <c r="U108" s="173"/>
      <c r="V108" s="121"/>
      <c r="W108" s="67"/>
      <c r="X108" s="156"/>
      <c r="Y108" s="179"/>
      <c r="Z108" s="156"/>
      <c r="AA108" s="218"/>
    </row>
    <row r="109" spans="1:27" ht="12.75" hidden="1">
      <c r="A109" s="524"/>
      <c r="B109" s="115" t="s">
        <v>258</v>
      </c>
      <c r="C109" s="52" t="s">
        <v>179</v>
      </c>
      <c r="D109" s="169">
        <v>3.7366</v>
      </c>
      <c r="E109" s="56">
        <f>(D109-D105)*Y$9</f>
        <v>6.634000000000011</v>
      </c>
      <c r="F109" s="283">
        <v>6.634</v>
      </c>
      <c r="G109" s="58"/>
      <c r="H109" s="286"/>
      <c r="I109" s="50">
        <f>15.78*1.23</f>
        <v>19.409399999999998</v>
      </c>
      <c r="J109" s="122"/>
      <c r="K109" s="58">
        <f>0.1086*1.23</f>
        <v>0.133578</v>
      </c>
      <c r="L109" s="62">
        <f>(E109)*K109*1000</f>
        <v>886.1564520000015</v>
      </c>
      <c r="M109" s="58">
        <f>0.0125*1.23</f>
        <v>0.015375</v>
      </c>
      <c r="N109" s="62">
        <f>(E109)*M109*1000</f>
        <v>101.99775000000017</v>
      </c>
      <c r="O109" s="205"/>
      <c r="P109" s="54">
        <v>0.00178</v>
      </c>
      <c r="Q109" s="54">
        <v>0.00248</v>
      </c>
      <c r="R109" s="54">
        <f>(Q109-P109)*40</f>
        <v>0.028000000000000004</v>
      </c>
      <c r="S109" s="90"/>
      <c r="T109" s="204"/>
      <c r="U109" s="163"/>
      <c r="V109" s="129"/>
      <c r="W109" s="85"/>
      <c r="X109" s="71">
        <v>40</v>
      </c>
      <c r="Y109" s="71">
        <v>45</v>
      </c>
      <c r="Z109" s="162">
        <f>Y109-X109</f>
        <v>5</v>
      </c>
      <c r="AA109" s="219"/>
    </row>
    <row r="110" spans="1:27" ht="12.75" hidden="1">
      <c r="A110" s="89"/>
      <c r="B110" s="133"/>
      <c r="D110" s="165"/>
      <c r="E110" s="87"/>
      <c r="F110" s="87"/>
      <c r="G110" s="87"/>
      <c r="H110" s="87"/>
      <c r="I110" s="87"/>
      <c r="J110" s="123"/>
      <c r="K110" s="93"/>
      <c r="L110" s="87"/>
      <c r="M110" s="93"/>
      <c r="N110" s="87"/>
      <c r="O110" s="102"/>
      <c r="P110" s="94"/>
      <c r="Q110" s="94"/>
      <c r="R110" s="183"/>
      <c r="S110" s="167"/>
      <c r="T110" s="278"/>
      <c r="U110" s="80"/>
      <c r="V110" s="210"/>
      <c r="W110" s="210"/>
      <c r="X110" s="210"/>
      <c r="Y110" s="210"/>
      <c r="Z110" s="212"/>
      <c r="AA110" s="218"/>
    </row>
    <row r="111" spans="1:27" ht="12.75" hidden="1">
      <c r="A111" s="89"/>
      <c r="B111" s="133"/>
      <c r="D111" s="165"/>
      <c r="E111" s="87"/>
      <c r="F111" s="94"/>
      <c r="G111" s="267"/>
      <c r="H111" s="229"/>
      <c r="I111" s="87"/>
      <c r="J111" s="123"/>
      <c r="K111" s="93"/>
      <c r="L111" s="87"/>
      <c r="M111" s="93"/>
      <c r="N111" s="87"/>
      <c r="O111" s="102"/>
      <c r="P111" s="94"/>
      <c r="Q111" s="94"/>
      <c r="R111" s="183"/>
      <c r="S111" s="167"/>
      <c r="T111" s="278"/>
      <c r="U111" s="80"/>
      <c r="V111" s="210"/>
      <c r="W111" s="210"/>
      <c r="X111" s="210"/>
      <c r="Y111" s="210"/>
      <c r="Z111" s="212"/>
      <c r="AA111" s="218"/>
    </row>
    <row r="112" spans="1:27" ht="12.75" hidden="1">
      <c r="A112" s="525">
        <v>11</v>
      </c>
      <c r="B112" s="109" t="s">
        <v>262</v>
      </c>
      <c r="D112" s="165">
        <v>1.47133</v>
      </c>
      <c r="E112" s="53">
        <f>(D112-D108)*Y$9</f>
        <v>3.009599999999999</v>
      </c>
      <c r="F112" s="284">
        <v>3.01</v>
      </c>
      <c r="G112" s="57"/>
      <c r="H112" s="285"/>
      <c r="I112" s="87">
        <f>1.65*1.23</f>
        <v>2.0295</v>
      </c>
      <c r="J112" s="296"/>
      <c r="K112" s="57">
        <f>0.1424*1.23</f>
        <v>0.175152</v>
      </c>
      <c r="L112" s="47">
        <f>(E112)*K112*1000</f>
        <v>527.1374591999997</v>
      </c>
      <c r="M112" s="57">
        <f>0.0125*1.23</f>
        <v>0.015375</v>
      </c>
      <c r="N112" s="47">
        <f>(E112)*M112*1000</f>
        <v>46.27259999999998</v>
      </c>
      <c r="O112" s="102">
        <f>11.5*1.23</f>
        <v>14.145</v>
      </c>
      <c r="P112" s="226">
        <v>0.00056</v>
      </c>
      <c r="Q112" s="226">
        <v>0.00058</v>
      </c>
      <c r="R112" s="165">
        <f>(Q112-P112)*40</f>
        <v>0.0008000000000000021</v>
      </c>
      <c r="S112" s="111"/>
      <c r="T112" s="341"/>
      <c r="U112" s="173"/>
      <c r="V112" s="121"/>
      <c r="W112" s="67"/>
      <c r="X112" s="156"/>
      <c r="Y112" s="179"/>
      <c r="Z112" s="156"/>
      <c r="AA112" s="218"/>
    </row>
    <row r="113" spans="1:27" ht="12.75" hidden="1">
      <c r="A113" s="524"/>
      <c r="B113" s="115" t="s">
        <v>263</v>
      </c>
      <c r="C113" s="52" t="s">
        <v>186</v>
      </c>
      <c r="D113" s="169">
        <v>3.9275</v>
      </c>
      <c r="E113" s="56">
        <f>(D113-D109)*Y$9</f>
        <v>7.636000000000003</v>
      </c>
      <c r="F113" s="283">
        <v>7.636000000000003</v>
      </c>
      <c r="G113" s="58"/>
      <c r="H113" s="286"/>
      <c r="I113" s="50">
        <f>15.78*1.23</f>
        <v>19.409399999999998</v>
      </c>
      <c r="J113" s="122"/>
      <c r="K113" s="58">
        <f>0.1086*1.23</f>
        <v>0.133578</v>
      </c>
      <c r="L113" s="62">
        <f>(E113)*K113*1000</f>
        <v>1020.0016080000003</v>
      </c>
      <c r="M113" s="58">
        <f>0.0125*1.23</f>
        <v>0.015375</v>
      </c>
      <c r="N113" s="62">
        <f>(E113)*M113*1000</f>
        <v>117.40350000000004</v>
      </c>
      <c r="O113" s="205"/>
      <c r="P113" s="54">
        <v>0.00248</v>
      </c>
      <c r="Q113" s="54">
        <v>0.00256</v>
      </c>
      <c r="R113" s="54">
        <f>(Q113-P113)*40</f>
        <v>0.0032000000000000084</v>
      </c>
      <c r="S113" s="90"/>
      <c r="T113" s="204"/>
      <c r="U113" s="163"/>
      <c r="V113" s="129"/>
      <c r="W113" s="85"/>
      <c r="X113" s="71">
        <v>40</v>
      </c>
      <c r="Y113" s="71">
        <v>43</v>
      </c>
      <c r="Z113" s="162">
        <f>Y113-X113</f>
        <v>3</v>
      </c>
      <c r="AA113" s="219"/>
    </row>
    <row r="114" spans="1:27" ht="12.75" hidden="1">
      <c r="A114" s="89"/>
      <c r="B114" s="133"/>
      <c r="D114" s="165"/>
      <c r="E114" s="87"/>
      <c r="F114" s="87"/>
      <c r="G114" s="87"/>
      <c r="H114" s="87"/>
      <c r="I114" s="87"/>
      <c r="J114" s="123"/>
      <c r="K114" s="93"/>
      <c r="L114" s="87"/>
      <c r="M114" s="93"/>
      <c r="N114" s="87"/>
      <c r="O114" s="102"/>
      <c r="P114" s="94"/>
      <c r="Q114" s="94"/>
      <c r="R114" s="183"/>
      <c r="S114" s="167"/>
      <c r="T114" s="278"/>
      <c r="U114" s="80"/>
      <c r="V114" s="210"/>
      <c r="W114" s="210"/>
      <c r="X114" s="210"/>
      <c r="Y114" s="210"/>
      <c r="Z114" s="212"/>
      <c r="AA114" s="218"/>
    </row>
    <row r="115" spans="1:27" ht="12.75" hidden="1">
      <c r="A115" s="89"/>
      <c r="B115" s="133"/>
      <c r="D115" s="165"/>
      <c r="E115" s="87"/>
      <c r="F115" s="94"/>
      <c r="G115" s="267"/>
      <c r="H115" s="229"/>
      <c r="I115" s="87"/>
      <c r="J115" s="123"/>
      <c r="K115" s="93"/>
      <c r="L115" s="87"/>
      <c r="M115" s="93"/>
      <c r="N115" s="87"/>
      <c r="O115" s="102"/>
      <c r="P115" s="94"/>
      <c r="Q115" s="94"/>
      <c r="R115" s="183"/>
      <c r="S115" s="167"/>
      <c r="T115" s="278"/>
      <c r="U115" s="80"/>
      <c r="V115" s="210"/>
      <c r="W115" s="210"/>
      <c r="X115" s="210"/>
      <c r="Y115" s="210"/>
      <c r="Z115" s="212"/>
      <c r="AA115" s="218"/>
    </row>
    <row r="116" spans="1:27" ht="12.75" hidden="1">
      <c r="A116" s="525">
        <v>12</v>
      </c>
      <c r="B116" s="109"/>
      <c r="D116" s="165">
        <v>1.5602</v>
      </c>
      <c r="E116" s="53">
        <f>(D116-D112)*Y$9</f>
        <v>3.5548</v>
      </c>
      <c r="F116" s="284">
        <v>3.555</v>
      </c>
      <c r="G116" s="57"/>
      <c r="H116" s="285"/>
      <c r="I116" s="87">
        <f>1.65*1.23</f>
        <v>2.0295</v>
      </c>
      <c r="J116" s="296"/>
      <c r="K116" s="57">
        <f>0.1424*1.23</f>
        <v>0.175152</v>
      </c>
      <c r="L116" s="47">
        <f>(E116)*K116*1000</f>
        <v>622.6303296000001</v>
      </c>
      <c r="M116" s="57">
        <f>0.0125*1.23</f>
        <v>0.015375</v>
      </c>
      <c r="N116" s="47">
        <f>(E116)*M116*1000</f>
        <v>54.65505</v>
      </c>
      <c r="O116" s="102">
        <f>11.5*1.23</f>
        <v>14.145</v>
      </c>
      <c r="P116" s="226">
        <v>0.00058</v>
      </c>
      <c r="Q116" s="226">
        <v>0.00062</v>
      </c>
      <c r="R116" s="165">
        <f>(Q116-P116)*40</f>
        <v>0.0015999999999999999</v>
      </c>
      <c r="S116" s="111"/>
      <c r="T116" s="341"/>
      <c r="U116" s="173"/>
      <c r="V116" s="121"/>
      <c r="W116" s="67"/>
      <c r="X116" s="156"/>
      <c r="Y116" s="179"/>
      <c r="Z116" s="156"/>
      <c r="AA116" s="218"/>
    </row>
    <row r="117" spans="1:27" ht="13.5" hidden="1" thickBot="1">
      <c r="A117" s="524"/>
      <c r="B117" s="115" t="s">
        <v>267</v>
      </c>
      <c r="C117" s="52" t="s">
        <v>193</v>
      </c>
      <c r="D117" s="169">
        <v>4.08967</v>
      </c>
      <c r="E117" s="56">
        <f>(D117-D113)*Y$9</f>
        <v>6.486799999999988</v>
      </c>
      <c r="F117" s="283">
        <v>6.487</v>
      </c>
      <c r="G117" s="58"/>
      <c r="H117" s="286"/>
      <c r="I117" s="50">
        <f>15.78*1.23</f>
        <v>19.409399999999998</v>
      </c>
      <c r="J117" s="122"/>
      <c r="K117" s="58">
        <f>0.1086*1.23</f>
        <v>0.133578</v>
      </c>
      <c r="L117" s="62">
        <f>(E117)*K117*1000</f>
        <v>866.4937703999984</v>
      </c>
      <c r="M117" s="58">
        <f>0.0125*1.23</f>
        <v>0.015375</v>
      </c>
      <c r="N117" s="62">
        <f>(E117)*M117*1000</f>
        <v>99.73454999999981</v>
      </c>
      <c r="O117" s="205"/>
      <c r="P117" s="54">
        <v>0.00256</v>
      </c>
      <c r="Q117" s="54">
        <v>0.00265</v>
      </c>
      <c r="R117" s="54">
        <f>(Q117-P117)*40</f>
        <v>0.003599999999999992</v>
      </c>
      <c r="S117" s="90"/>
      <c r="T117" s="204"/>
      <c r="U117" s="163"/>
      <c r="V117" s="129"/>
      <c r="W117" s="85"/>
      <c r="X117" s="71">
        <v>40</v>
      </c>
      <c r="Y117" s="71">
        <v>27</v>
      </c>
      <c r="Z117" s="162"/>
      <c r="AA117" s="219"/>
    </row>
    <row r="118" spans="1:27" ht="12.75">
      <c r="A118" s="526" t="s">
        <v>316</v>
      </c>
      <c r="B118" s="527"/>
      <c r="C118" s="527"/>
      <c r="D118" s="528"/>
      <c r="E118" s="41"/>
      <c r="F118" s="13"/>
      <c r="G118" s="228"/>
      <c r="H118" s="248"/>
      <c r="I118" s="13"/>
      <c r="J118" s="13"/>
      <c r="K118" s="41"/>
      <c r="L118" s="41"/>
      <c r="M118" s="41"/>
      <c r="N118" s="41"/>
      <c r="O118" s="345"/>
      <c r="P118" s="33" t="s">
        <v>277</v>
      </c>
      <c r="Q118" s="246"/>
      <c r="R118" s="245"/>
      <c r="S118" s="33"/>
      <c r="T118" s="198"/>
      <c r="U118" s="254"/>
      <c r="V118" s="266"/>
      <c r="W118" s="294"/>
      <c r="X118" s="42"/>
      <c r="Y118" s="306"/>
      <c r="Z118" s="42"/>
      <c r="AA118" s="43"/>
    </row>
    <row r="119" spans="1:27" ht="13.5" thickBot="1">
      <c r="A119" s="529"/>
      <c r="B119" s="530"/>
      <c r="C119" s="530"/>
      <c r="D119" s="531"/>
      <c r="E119" s="69">
        <f>SUM(E72:E117)</f>
        <v>99.52959999999999</v>
      </c>
      <c r="F119" s="251">
        <f>SUM(F72:F117)</f>
        <v>99.52900000000002</v>
      </c>
      <c r="G119" s="252"/>
      <c r="H119" s="253"/>
      <c r="I119" s="99"/>
      <c r="J119" s="349"/>
      <c r="K119" s="99"/>
      <c r="L119" s="349">
        <f>SUM(L72:L118)</f>
        <v>14353.023208799998</v>
      </c>
      <c r="M119" s="99"/>
      <c r="N119" s="349">
        <f>SUM(N72:N118)</f>
        <v>1532.5379832000006</v>
      </c>
      <c r="O119" s="349">
        <f>SUM(O72:O118)</f>
        <v>216.04708920000002</v>
      </c>
      <c r="P119" s="395">
        <f>SUM(J119:O119)</f>
        <v>16101.608281199997</v>
      </c>
      <c r="Q119" s="99"/>
      <c r="R119" s="244"/>
      <c r="S119" s="99"/>
      <c r="T119" s="197"/>
      <c r="U119" s="207"/>
      <c r="V119" s="253"/>
      <c r="W119" s="252"/>
      <c r="X119" s="45">
        <f>X77</f>
        <v>40</v>
      </c>
      <c r="Y119" s="394">
        <f>SUM(Y73:Y117)/12</f>
        <v>27.25</v>
      </c>
      <c r="Z119" s="74"/>
      <c r="AA119" s="46"/>
    </row>
    <row r="120" spans="6:7" ht="12.75" hidden="1">
      <c r="F120" s="397">
        <f>F119-E119</f>
        <v>-0.0005999999999630745</v>
      </c>
      <c r="G120" s="150"/>
    </row>
    <row r="121" spans="1:27" ht="12.75" hidden="1">
      <c r="A121" s="89"/>
      <c r="B121" s="133"/>
      <c r="D121" s="131">
        <v>1560.2</v>
      </c>
      <c r="E121" s="87"/>
      <c r="F121" s="87"/>
      <c r="G121" s="87"/>
      <c r="H121" s="87"/>
      <c r="I121" s="87"/>
      <c r="J121" s="123"/>
      <c r="K121" s="93"/>
      <c r="L121" s="87"/>
      <c r="M121" s="93"/>
      <c r="N121" s="87"/>
      <c r="O121" s="102"/>
      <c r="P121" s="94"/>
      <c r="Q121" s="94"/>
      <c r="R121" s="183"/>
      <c r="S121" s="167"/>
      <c r="T121" s="278"/>
      <c r="U121" s="80"/>
      <c r="V121" s="210"/>
      <c r="W121" s="210"/>
      <c r="X121" s="210"/>
      <c r="Y121" s="210"/>
      <c r="Z121" s="212"/>
      <c r="AA121" s="218"/>
    </row>
    <row r="122" spans="1:27" ht="12.75" hidden="1">
      <c r="A122" s="89"/>
      <c r="B122" s="133"/>
      <c r="D122" s="131">
        <v>4089.67</v>
      </c>
      <c r="E122" s="87"/>
      <c r="F122" s="94"/>
      <c r="G122" s="267"/>
      <c r="H122" s="229"/>
      <c r="I122" s="87"/>
      <c r="J122" s="123"/>
      <c r="K122" s="93"/>
      <c r="L122" s="87"/>
      <c r="M122" s="93"/>
      <c r="N122" s="87"/>
      <c r="O122" s="102"/>
      <c r="P122" s="94"/>
      <c r="Q122" s="94"/>
      <c r="R122" s="183"/>
      <c r="S122" s="167"/>
      <c r="T122" s="278"/>
      <c r="U122" s="80"/>
      <c r="V122" s="210"/>
      <c r="W122" s="210"/>
      <c r="X122" s="210"/>
      <c r="Y122" s="210"/>
      <c r="Z122" s="212"/>
      <c r="AA122" s="218"/>
    </row>
    <row r="123" spans="1:27" ht="12.75" hidden="1">
      <c r="A123" s="525">
        <v>1</v>
      </c>
      <c r="B123" s="109"/>
      <c r="D123" s="131">
        <v>1656.25</v>
      </c>
      <c r="E123" s="366">
        <f>(D123-D121)*Y$9</f>
        <v>3841.999999999998</v>
      </c>
      <c r="F123" s="404">
        <v>3842</v>
      </c>
      <c r="G123" s="57"/>
      <c r="H123" s="285"/>
      <c r="I123" s="87">
        <f>1.65*1.23</f>
        <v>2.0295</v>
      </c>
      <c r="J123" s="296"/>
      <c r="K123" s="57">
        <f>0.1424*1.23</f>
        <v>0.175152</v>
      </c>
      <c r="L123" s="47">
        <f>(E123)*K123</f>
        <v>672.9339839999997</v>
      </c>
      <c r="M123" s="57">
        <f>0.0125*1.23</f>
        <v>0.015375</v>
      </c>
      <c r="N123" s="47">
        <f>(E123)*M123</f>
        <v>59.07074999999997</v>
      </c>
      <c r="O123" s="102">
        <f>11.5*1.23</f>
        <v>14.145</v>
      </c>
      <c r="P123" s="226">
        <v>0.62</v>
      </c>
      <c r="Q123" s="226">
        <v>0.8</v>
      </c>
      <c r="R123" s="367">
        <f>(Q123-P123)*40</f>
        <v>7.200000000000002</v>
      </c>
      <c r="S123" s="111"/>
      <c r="T123" s="341"/>
      <c r="U123" s="173"/>
      <c r="V123" s="121"/>
      <c r="W123" s="67"/>
      <c r="X123" s="156"/>
      <c r="Y123" s="179"/>
      <c r="Z123" s="156"/>
      <c r="AA123" s="218"/>
    </row>
    <row r="124" spans="1:27" ht="12.75" hidden="1">
      <c r="A124" s="524"/>
      <c r="B124" s="115" t="s">
        <v>270</v>
      </c>
      <c r="C124" s="52" t="s">
        <v>209</v>
      </c>
      <c r="D124" s="177">
        <v>4271.36</v>
      </c>
      <c r="E124" s="366">
        <f>(D124-D122)*Y$9</f>
        <v>7267.599999999984</v>
      </c>
      <c r="F124" s="405">
        <v>7268</v>
      </c>
      <c r="G124" s="58"/>
      <c r="H124" s="286"/>
      <c r="I124" s="50">
        <f>15.78*1.23</f>
        <v>19.409399999999998</v>
      </c>
      <c r="J124" s="122"/>
      <c r="K124" s="58">
        <f>0.1086*1.23</f>
        <v>0.133578</v>
      </c>
      <c r="L124" s="62">
        <f>(E124)*K124</f>
        <v>970.7914727999979</v>
      </c>
      <c r="M124" s="58">
        <f>0.0125*1.23</f>
        <v>0.015375</v>
      </c>
      <c r="N124" s="62">
        <f>(E124)*M124</f>
        <v>111.73934999999975</v>
      </c>
      <c r="O124" s="205"/>
      <c r="P124" s="54">
        <v>2.65</v>
      </c>
      <c r="Q124" s="54">
        <v>2.97</v>
      </c>
      <c r="R124" s="368">
        <f>(Q124-P124)*40</f>
        <v>12.800000000000011</v>
      </c>
      <c r="S124" s="90"/>
      <c r="T124" s="204"/>
      <c r="U124" s="163"/>
      <c r="V124" s="129"/>
      <c r="W124" s="85"/>
      <c r="X124" s="71">
        <v>40</v>
      </c>
      <c r="Y124" s="71">
        <v>34</v>
      </c>
      <c r="Z124" s="162"/>
      <c r="AA124" s="219"/>
    </row>
    <row r="125" spans="1:27" ht="12.75" hidden="1">
      <c r="A125" s="89"/>
      <c r="B125" s="133"/>
      <c r="D125" s="131"/>
      <c r="E125" s="87"/>
      <c r="F125" s="87"/>
      <c r="G125" s="87"/>
      <c r="H125" s="87"/>
      <c r="I125" s="87"/>
      <c r="J125" s="123"/>
      <c r="K125" s="93"/>
      <c r="L125" s="87"/>
      <c r="M125" s="93"/>
      <c r="N125" s="87"/>
      <c r="O125" s="102"/>
      <c r="P125" s="94"/>
      <c r="Q125" s="94"/>
      <c r="R125" s="183"/>
      <c r="S125" s="167"/>
      <c r="T125" s="278"/>
      <c r="U125" s="80"/>
      <c r="V125" s="210"/>
      <c r="W125" s="210"/>
      <c r="X125" s="210"/>
      <c r="Y125" s="210"/>
      <c r="Z125" s="212"/>
      <c r="AA125" s="218"/>
    </row>
    <row r="126" spans="1:27" ht="12.75" hidden="1">
      <c r="A126" s="89"/>
      <c r="B126" s="133"/>
      <c r="D126" s="131"/>
      <c r="E126" s="87"/>
      <c r="F126" s="94"/>
      <c r="G126" s="267"/>
      <c r="H126" s="229"/>
      <c r="I126" s="87"/>
      <c r="J126" s="123"/>
      <c r="K126" s="93"/>
      <c r="L126" s="87"/>
      <c r="M126" s="93"/>
      <c r="N126" s="87"/>
      <c r="O126" s="102"/>
      <c r="P126" s="94"/>
      <c r="Q126" s="94"/>
      <c r="R126" s="183"/>
      <c r="S126" s="167"/>
      <c r="T126" s="278"/>
      <c r="U126" s="80"/>
      <c r="V126" s="210"/>
      <c r="W126" s="210"/>
      <c r="X126" s="210"/>
      <c r="Y126" s="210"/>
      <c r="Z126" s="212"/>
      <c r="AA126" s="218"/>
    </row>
    <row r="127" spans="1:27" ht="12.75" hidden="1">
      <c r="A127" s="525">
        <v>2</v>
      </c>
      <c r="B127" s="109"/>
      <c r="D127" s="131">
        <v>1745.03</v>
      </c>
      <c r="E127" s="366">
        <f>(D127-D123)*Y$9</f>
        <v>3551.199999999999</v>
      </c>
      <c r="F127" s="404">
        <v>3551</v>
      </c>
      <c r="G127" s="57"/>
      <c r="H127" s="285"/>
      <c r="I127" s="87">
        <f>0.08*1.23</f>
        <v>0.0984</v>
      </c>
      <c r="J127" s="296"/>
      <c r="K127" s="57">
        <f>0.1424*1.23</f>
        <v>0.175152</v>
      </c>
      <c r="L127" s="47">
        <f>(E127)*K127</f>
        <v>621.9997823999998</v>
      </c>
      <c r="M127" s="57">
        <f>0.0125*1.23</f>
        <v>0.015375</v>
      </c>
      <c r="N127" s="47">
        <f>(E127)*M127</f>
        <v>54.599699999999984</v>
      </c>
      <c r="O127" s="102">
        <f>11.5*1.23</f>
        <v>14.145</v>
      </c>
      <c r="P127" s="398">
        <v>0.8</v>
      </c>
      <c r="Q127" s="398">
        <v>1.33</v>
      </c>
      <c r="R127" s="367">
        <f>(Q127-P127)*40</f>
        <v>21.200000000000003</v>
      </c>
      <c r="S127" s="111"/>
      <c r="T127" s="341"/>
      <c r="U127" s="173"/>
      <c r="V127" s="121"/>
      <c r="W127" s="67"/>
      <c r="X127" s="156"/>
      <c r="Y127" s="179"/>
      <c r="Z127" s="156"/>
      <c r="AA127" s="218"/>
    </row>
    <row r="128" spans="1:27" ht="12.75" hidden="1">
      <c r="A128" s="524"/>
      <c r="B128" s="115" t="s">
        <v>285</v>
      </c>
      <c r="C128" s="52" t="s">
        <v>276</v>
      </c>
      <c r="D128" s="177">
        <v>4433.84</v>
      </c>
      <c r="E128" s="403">
        <f>(D128-D124)*Y$9</f>
        <v>6499.200000000019</v>
      </c>
      <c r="F128" s="405">
        <v>6499</v>
      </c>
      <c r="G128" s="58"/>
      <c r="H128" s="286"/>
      <c r="I128" s="50">
        <f>15.78*1.23</f>
        <v>19.409399999999998</v>
      </c>
      <c r="J128" s="122"/>
      <c r="K128" s="58">
        <f>0.1086*1.23</f>
        <v>0.133578</v>
      </c>
      <c r="L128" s="62">
        <f>(E128)*K128</f>
        <v>868.1501376000025</v>
      </c>
      <c r="M128" s="58">
        <f>0.0125*1.23</f>
        <v>0.015375</v>
      </c>
      <c r="N128" s="62">
        <f>(E128)*M128</f>
        <v>99.92520000000029</v>
      </c>
      <c r="O128" s="103">
        <f>0.00158*2324*1.23</f>
        <v>4.5164616</v>
      </c>
      <c r="P128" s="122">
        <v>2.97</v>
      </c>
      <c r="Q128" s="122">
        <v>3.94</v>
      </c>
      <c r="R128" s="368">
        <f>(Q128-P128)*40</f>
        <v>38.79999999999999</v>
      </c>
      <c r="S128" s="90"/>
      <c r="T128" s="204"/>
      <c r="U128" s="163"/>
      <c r="V128" s="129"/>
      <c r="W128" s="85"/>
      <c r="X128" s="71">
        <v>40</v>
      </c>
      <c r="Y128" s="71">
        <v>37</v>
      </c>
      <c r="Z128" s="162"/>
      <c r="AA128" s="219"/>
    </row>
    <row r="129" spans="1:27" ht="12.75" hidden="1">
      <c r="A129" s="89"/>
      <c r="B129" s="48"/>
      <c r="D129" s="131"/>
      <c r="E129" s="366"/>
      <c r="F129" s="404"/>
      <c r="G129" s="267"/>
      <c r="H129" s="285"/>
      <c r="I129" s="87"/>
      <c r="J129" s="123"/>
      <c r="K129" s="93"/>
      <c r="L129" s="87"/>
      <c r="M129" s="93"/>
      <c r="N129" s="87"/>
      <c r="O129" s="102"/>
      <c r="P129" s="159"/>
      <c r="Q129" s="159"/>
      <c r="R129" s="367"/>
      <c r="S129" s="138"/>
      <c r="T129" s="188"/>
      <c r="U129" s="223"/>
      <c r="V129" s="210"/>
      <c r="W129" s="465"/>
      <c r="X129" s="212"/>
      <c r="Y129" s="212"/>
      <c r="Z129" s="322"/>
      <c r="AA129" s="218"/>
    </row>
    <row r="130" spans="1:27" ht="12.75" hidden="1">
      <c r="A130" s="89"/>
      <c r="B130" s="208" t="s">
        <v>275</v>
      </c>
      <c r="C130" s="52" t="s">
        <v>276</v>
      </c>
      <c r="D130" s="177"/>
      <c r="E130" s="403"/>
      <c r="F130" s="405"/>
      <c r="G130" s="58"/>
      <c r="H130" s="286"/>
      <c r="I130" s="50"/>
      <c r="J130" s="308"/>
      <c r="K130" s="58"/>
      <c r="L130" s="50"/>
      <c r="M130" s="58"/>
      <c r="N130" s="50"/>
      <c r="O130" s="103"/>
      <c r="P130" s="122"/>
      <c r="Q130" s="122"/>
      <c r="R130" s="368"/>
      <c r="S130" s="90"/>
      <c r="T130" s="466"/>
      <c r="U130" s="163"/>
      <c r="V130" s="311"/>
      <c r="W130" s="467"/>
      <c r="X130" s="312"/>
      <c r="Y130" s="312"/>
      <c r="Z130" s="464"/>
      <c r="AA130" s="219"/>
    </row>
    <row r="131" spans="1:27" ht="12.75" hidden="1">
      <c r="A131" s="89"/>
      <c r="B131" s="133"/>
      <c r="D131" s="131"/>
      <c r="E131" s="87"/>
      <c r="F131" s="87"/>
      <c r="G131" s="87"/>
      <c r="H131" s="87"/>
      <c r="I131" s="87"/>
      <c r="J131" s="123"/>
      <c r="K131" s="93"/>
      <c r="L131" s="87"/>
      <c r="M131" s="93"/>
      <c r="N131" s="87"/>
      <c r="O131" s="102"/>
      <c r="P131" s="94"/>
      <c r="Q131" s="94"/>
      <c r="R131" s="183"/>
      <c r="S131" s="167"/>
      <c r="T131" s="278"/>
      <c r="U131" s="80"/>
      <c r="V131" s="210"/>
      <c r="W131" s="210"/>
      <c r="X131" s="210"/>
      <c r="Y131" s="210"/>
      <c r="Z131" s="212"/>
      <c r="AA131" s="218"/>
    </row>
    <row r="132" spans="1:27" ht="12.75" hidden="1">
      <c r="A132" s="89"/>
      <c r="B132" s="133"/>
      <c r="D132" s="131"/>
      <c r="E132" s="87"/>
      <c r="F132" s="94"/>
      <c r="G132" s="267"/>
      <c r="H132" s="229"/>
      <c r="I132" s="87"/>
      <c r="J132" s="123"/>
      <c r="K132" s="93"/>
      <c r="L132" s="87"/>
      <c r="M132" s="93"/>
      <c r="N132" s="87"/>
      <c r="O132" s="102"/>
      <c r="P132" s="94"/>
      <c r="Q132" s="94"/>
      <c r="R132" s="183"/>
      <c r="S132" s="167"/>
      <c r="T132" s="278"/>
      <c r="U132" s="80"/>
      <c r="V132" s="210"/>
      <c r="W132" s="210"/>
      <c r="X132" s="210"/>
      <c r="Y132" s="210"/>
      <c r="Z132" s="212"/>
      <c r="AA132" s="218"/>
    </row>
    <row r="133" spans="1:27" ht="12.75" hidden="1">
      <c r="A133" s="525">
        <v>3</v>
      </c>
      <c r="B133" s="109"/>
      <c r="D133" s="131">
        <v>1820.39</v>
      </c>
      <c r="E133" s="366">
        <f>(D133-D127)*Y$9</f>
        <v>3014.400000000005</v>
      </c>
      <c r="F133" s="404">
        <v>3014</v>
      </c>
      <c r="G133" s="57"/>
      <c r="H133" s="285"/>
      <c r="I133" s="87">
        <f>0.08*1.23</f>
        <v>0.0984</v>
      </c>
      <c r="J133" s="296"/>
      <c r="K133" s="57">
        <f>0.1424*1.23</f>
        <v>0.175152</v>
      </c>
      <c r="L133" s="47">
        <f>(E133)*K133</f>
        <v>527.9781888000009</v>
      </c>
      <c r="M133" s="57">
        <f>0.0125*1.23</f>
        <v>0.015375</v>
      </c>
      <c r="N133" s="47">
        <f>(E133)*M133</f>
        <v>46.34640000000008</v>
      </c>
      <c r="O133" s="102">
        <f>11.5*1.23</f>
        <v>14.145</v>
      </c>
      <c r="P133" s="398">
        <v>1.33</v>
      </c>
      <c r="Q133" s="398">
        <v>2.1</v>
      </c>
      <c r="R133" s="367">
        <f>(Q133-P133)*40</f>
        <v>30.8</v>
      </c>
      <c r="S133" s="111"/>
      <c r="T133" s="341"/>
      <c r="U133" s="173"/>
      <c r="V133" s="121"/>
      <c r="W133" s="67"/>
      <c r="X133" s="156"/>
      <c r="Y133" s="179"/>
      <c r="Z133" s="156"/>
      <c r="AA133" s="218"/>
    </row>
    <row r="134" spans="1:27" ht="12.75" hidden="1">
      <c r="A134" s="524"/>
      <c r="B134" s="115" t="s">
        <v>286</v>
      </c>
      <c r="C134" s="52" t="s">
        <v>278</v>
      </c>
      <c r="D134" s="177">
        <v>4578.24</v>
      </c>
      <c r="E134" s="403">
        <f>(D134-D128)*Y$9</f>
        <v>5775.999999999985</v>
      </c>
      <c r="F134" s="405">
        <v>5776</v>
      </c>
      <c r="G134" s="58"/>
      <c r="H134" s="286"/>
      <c r="I134" s="50">
        <f>15.78*1.23</f>
        <v>19.409399999999998</v>
      </c>
      <c r="J134" s="122"/>
      <c r="K134" s="58">
        <f>0.1086*1.23</f>
        <v>0.133578</v>
      </c>
      <c r="L134" s="62">
        <f>(E134)*K134</f>
        <v>771.546527999998</v>
      </c>
      <c r="M134" s="58">
        <f>0.0125*1.23</f>
        <v>0.015375</v>
      </c>
      <c r="N134" s="62">
        <f>(E134)*M134</f>
        <v>88.80599999999977</v>
      </c>
      <c r="O134" s="103">
        <f>0.00158*(E133+E134)*1.23</f>
        <v>17.083263359999982</v>
      </c>
      <c r="P134" s="122">
        <v>3.94</v>
      </c>
      <c r="Q134" s="122">
        <v>5.1</v>
      </c>
      <c r="R134" s="368">
        <f>(Q134-P134)*40</f>
        <v>46.39999999999999</v>
      </c>
      <c r="S134" s="90"/>
      <c r="T134" s="204"/>
      <c r="U134" s="163"/>
      <c r="V134" s="129"/>
      <c r="W134" s="85"/>
      <c r="X134" s="71">
        <v>40</v>
      </c>
      <c r="Y134" s="71">
        <v>27</v>
      </c>
      <c r="Z134" s="162"/>
      <c r="AA134" s="219"/>
    </row>
    <row r="135" spans="1:27" ht="12.75" hidden="1">
      <c r="A135" s="89"/>
      <c r="B135" s="133"/>
      <c r="D135" s="131"/>
      <c r="E135" s="87"/>
      <c r="F135" s="94"/>
      <c r="G135" s="267"/>
      <c r="H135" s="229"/>
      <c r="I135" s="87"/>
      <c r="J135" s="123"/>
      <c r="K135" s="93"/>
      <c r="L135" s="87"/>
      <c r="M135" s="93"/>
      <c r="N135" s="87"/>
      <c r="O135" s="102"/>
      <c r="P135" s="94"/>
      <c r="Q135" s="94"/>
      <c r="R135" s="183"/>
      <c r="S135" s="167"/>
      <c r="T135" s="278"/>
      <c r="U135" s="80"/>
      <c r="V135" s="210"/>
      <c r="W135" s="210"/>
      <c r="X135" s="210"/>
      <c r="Y135" s="210"/>
      <c r="Z135" s="212"/>
      <c r="AA135" s="218"/>
    </row>
    <row r="136" spans="1:27" ht="12.75" hidden="1">
      <c r="A136" s="525">
        <v>4</v>
      </c>
      <c r="B136" s="109"/>
      <c r="D136" s="131">
        <v>1883.15</v>
      </c>
      <c r="E136" s="366">
        <f>(D136-D133)*Y$9</f>
        <v>2510.3999999999996</v>
      </c>
      <c r="F136" s="404">
        <v>2510</v>
      </c>
      <c r="G136" s="57"/>
      <c r="H136" s="285"/>
      <c r="I136" s="87">
        <f>0.08*1.23</f>
        <v>0.0984</v>
      </c>
      <c r="J136" s="296"/>
      <c r="K136" s="57">
        <f>0.1424*1.23</f>
        <v>0.175152</v>
      </c>
      <c r="L136" s="47">
        <f>(E136)*K136</f>
        <v>439.70158079999993</v>
      </c>
      <c r="M136" s="57">
        <f>0.0125*1.23</f>
        <v>0.015375</v>
      </c>
      <c r="N136" s="47">
        <f>(E136)*M136</f>
        <v>38.59739999999999</v>
      </c>
      <c r="O136" s="102">
        <f>11.5*1.23</f>
        <v>14.145</v>
      </c>
      <c r="P136" s="398">
        <v>2.1</v>
      </c>
      <c r="Q136" s="398">
        <v>3.26</v>
      </c>
      <c r="R136" s="367">
        <f>(Q136-P136)*40</f>
        <v>46.39999999999999</v>
      </c>
      <c r="S136" s="111"/>
      <c r="T136" s="341"/>
      <c r="U136" s="173"/>
      <c r="V136" s="121"/>
      <c r="W136" s="67"/>
      <c r="X136" s="156"/>
      <c r="Y136" s="179"/>
      <c r="Z136" s="156"/>
      <c r="AA136" s="218"/>
    </row>
    <row r="137" spans="1:27" ht="12.75" hidden="1">
      <c r="A137" s="524"/>
      <c r="B137" s="433" t="s">
        <v>290</v>
      </c>
      <c r="C137" s="52" t="s">
        <v>281</v>
      </c>
      <c r="D137" s="177">
        <v>4737.51</v>
      </c>
      <c r="E137" s="403">
        <f>(D137-D134)*Y$9</f>
        <v>6370.8000000000175</v>
      </c>
      <c r="F137" s="405">
        <v>6371</v>
      </c>
      <c r="G137" s="58"/>
      <c r="H137" s="286"/>
      <c r="I137" s="50">
        <f>15.78*1.23</f>
        <v>19.409399999999998</v>
      </c>
      <c r="J137" s="122"/>
      <c r="K137" s="58">
        <f>0.1086*1.23</f>
        <v>0.133578</v>
      </c>
      <c r="L137" s="62">
        <f>(E137)*K137</f>
        <v>850.9987224000023</v>
      </c>
      <c r="M137" s="58">
        <f>0.0125*1.23</f>
        <v>0.015375</v>
      </c>
      <c r="N137" s="62">
        <f>(E137)*M137</f>
        <v>97.95105000000027</v>
      </c>
      <c r="O137" s="103">
        <f>0.00158*(E136+E137)*1.23</f>
        <v>17.259724080000034</v>
      </c>
      <c r="P137" s="122">
        <v>5.1</v>
      </c>
      <c r="Q137" s="122">
        <v>9.96</v>
      </c>
      <c r="R137" s="368">
        <f>(Q137-P137)*40</f>
        <v>194.40000000000003</v>
      </c>
      <c r="S137" s="90"/>
      <c r="T137" s="204"/>
      <c r="U137" s="163"/>
      <c r="V137" s="129"/>
      <c r="W137" s="85"/>
      <c r="X137" s="71">
        <v>40</v>
      </c>
      <c r="Y137" s="71">
        <v>22</v>
      </c>
      <c r="Z137" s="162"/>
      <c r="AA137" s="219"/>
    </row>
    <row r="138" spans="1:27" ht="12.75" hidden="1">
      <c r="A138" s="199"/>
      <c r="B138" s="325"/>
      <c r="D138" s="131"/>
      <c r="E138" s="366"/>
      <c r="F138" s="404"/>
      <c r="G138" s="267"/>
      <c r="H138" s="285"/>
      <c r="I138" s="87"/>
      <c r="J138" s="123"/>
      <c r="K138" s="93"/>
      <c r="L138" s="87"/>
      <c r="M138" s="93"/>
      <c r="N138" s="87"/>
      <c r="O138" s="102"/>
      <c r="P138" s="159"/>
      <c r="Q138" s="159"/>
      <c r="R138" s="367"/>
      <c r="S138" s="138"/>
      <c r="T138" s="188"/>
      <c r="U138" s="223"/>
      <c r="V138" s="210"/>
      <c r="W138" s="465"/>
      <c r="X138" s="212"/>
      <c r="Y138" s="212"/>
      <c r="Z138" s="322"/>
      <c r="AA138" s="218"/>
    </row>
    <row r="139" spans="1:27" ht="13.5" hidden="1" thickBot="1">
      <c r="A139" s="199"/>
      <c r="B139" s="208" t="s">
        <v>275</v>
      </c>
      <c r="C139" s="52" t="s">
        <v>281</v>
      </c>
      <c r="D139" s="177"/>
      <c r="E139" s="403"/>
      <c r="F139" s="405"/>
      <c r="G139" s="58"/>
      <c r="H139" s="286"/>
      <c r="I139" s="50"/>
      <c r="J139" s="308"/>
      <c r="K139" s="58"/>
      <c r="L139" s="50"/>
      <c r="M139" s="58"/>
      <c r="N139" s="50"/>
      <c r="O139" s="103"/>
      <c r="P139" s="122"/>
      <c r="Q139" s="122"/>
      <c r="R139" s="368"/>
      <c r="S139" s="90"/>
      <c r="T139" s="466"/>
      <c r="U139" s="163"/>
      <c r="V139" s="311"/>
      <c r="W139" s="467"/>
      <c r="X139" s="312"/>
      <c r="Y139" s="312"/>
      <c r="Z139" s="464"/>
      <c r="AA139" s="219"/>
    </row>
    <row r="140" spans="1:27" ht="12.75" hidden="1">
      <c r="A140" s="199"/>
      <c r="B140" s="362"/>
      <c r="D140" s="131"/>
      <c r="E140" s="87"/>
      <c r="F140" s="94"/>
      <c r="G140" s="267"/>
      <c r="H140" s="229"/>
      <c r="I140" s="87"/>
      <c r="J140" s="123"/>
      <c r="K140" s="93"/>
      <c r="L140" s="87"/>
      <c r="M140" s="93"/>
      <c r="N140" s="87"/>
      <c r="O140" s="102"/>
      <c r="P140" s="94"/>
      <c r="Q140" s="94"/>
      <c r="R140" s="183"/>
      <c r="S140" s="167"/>
      <c r="T140" s="278"/>
      <c r="U140" s="80"/>
      <c r="V140" s="210"/>
      <c r="W140" s="210"/>
      <c r="X140" s="210"/>
      <c r="Y140" s="210"/>
      <c r="Z140" s="212"/>
      <c r="AA140" s="218"/>
    </row>
    <row r="141" spans="1:27" ht="12.75" hidden="1">
      <c r="A141" s="199"/>
      <c r="B141" s="358"/>
      <c r="D141" s="131">
        <v>1892.31</v>
      </c>
      <c r="E141" s="366">
        <f>(D141-D136)*Y$9</f>
        <v>366.3999999999942</v>
      </c>
      <c r="F141" s="404"/>
      <c r="G141" s="57"/>
      <c r="H141" s="285"/>
      <c r="I141" s="87">
        <f>0.08*1.23*0.17</f>
        <v>0.016728</v>
      </c>
      <c r="J141" s="296"/>
      <c r="K141" s="57">
        <f>0.1424*1.23</f>
        <v>0.175152</v>
      </c>
      <c r="L141" s="47">
        <f>(E141)*K141</f>
        <v>64.17569279999898</v>
      </c>
      <c r="M141" s="57">
        <f>0.0125*1.23</f>
        <v>0.015375</v>
      </c>
      <c r="N141" s="47">
        <f>(E141)*M141</f>
        <v>5.63339999999991</v>
      </c>
      <c r="O141" s="102">
        <f>11.5*1.23*0.17</f>
        <v>2.40465</v>
      </c>
      <c r="P141" s="398">
        <v>3.26</v>
      </c>
      <c r="Q141" s="398">
        <v>3.3</v>
      </c>
      <c r="R141" s="367">
        <f>(Q141-P141)*40</f>
        <v>1.6000000000000014</v>
      </c>
      <c r="S141" s="111"/>
      <c r="T141" s="341"/>
      <c r="U141" s="173"/>
      <c r="V141" s="121"/>
      <c r="W141" s="67"/>
      <c r="X141" s="156"/>
      <c r="Y141" s="179"/>
      <c r="Z141" s="156"/>
      <c r="AA141" s="218"/>
    </row>
    <row r="142" spans="1:27" ht="12.75" hidden="1">
      <c r="A142" s="523">
        <v>5</v>
      </c>
      <c r="B142" s="338" t="s">
        <v>295</v>
      </c>
      <c r="C142" s="337" t="s">
        <v>292</v>
      </c>
      <c r="D142" s="177">
        <v>4766.79</v>
      </c>
      <c r="E142" s="403">
        <f>(D142-D137)*Y$9</f>
        <v>1171.1999999999898</v>
      </c>
      <c r="F142" s="405"/>
      <c r="G142" s="58"/>
      <c r="H142" s="286"/>
      <c r="I142" s="50">
        <f>15.78*1.23*0.17</f>
        <v>3.299598</v>
      </c>
      <c r="J142" s="122"/>
      <c r="K142" s="58">
        <f>0.1086*1.23</f>
        <v>0.133578</v>
      </c>
      <c r="L142" s="62">
        <f>(E142)*K142</f>
        <v>156.44655359999865</v>
      </c>
      <c r="M142" s="58">
        <f>0.0125*1.23</f>
        <v>0.015375</v>
      </c>
      <c r="N142" s="62">
        <f>(E142)*M142</f>
        <v>18.007199999999845</v>
      </c>
      <c r="O142" s="103">
        <f>0.00158*(E141+E142)*1.23</f>
        <v>2.988171839999969</v>
      </c>
      <c r="P142" s="122">
        <v>9.96</v>
      </c>
      <c r="Q142" s="122">
        <v>10.44</v>
      </c>
      <c r="R142" s="368">
        <f>(Q142-P142)*40</f>
        <v>19.199999999999946</v>
      </c>
      <c r="S142" s="90"/>
      <c r="T142" s="204"/>
      <c r="U142" s="163"/>
      <c r="V142" s="129"/>
      <c r="W142" s="85"/>
      <c r="X142" s="71">
        <v>40</v>
      </c>
      <c r="Y142" s="71">
        <v>26</v>
      </c>
      <c r="Z142" s="162"/>
      <c r="AA142" s="219"/>
    </row>
    <row r="143" spans="1:27" ht="12.75" hidden="1">
      <c r="A143" s="532"/>
      <c r="B143" s="353"/>
      <c r="D143" s="131"/>
      <c r="E143" s="87"/>
      <c r="F143" s="94"/>
      <c r="G143" s="267"/>
      <c r="H143" s="229"/>
      <c r="I143" s="87"/>
      <c r="J143" s="123"/>
      <c r="K143" s="93"/>
      <c r="L143" s="87"/>
      <c r="M143" s="93"/>
      <c r="N143" s="87"/>
      <c r="O143" s="102"/>
      <c r="P143" s="94"/>
      <c r="Q143" s="94"/>
      <c r="R143" s="183"/>
      <c r="S143" s="167"/>
      <c r="T143" s="278"/>
      <c r="U143" s="80"/>
      <c r="V143" s="210"/>
      <c r="W143" s="210"/>
      <c r="X143" s="210"/>
      <c r="Y143" s="210"/>
      <c r="Z143" s="212"/>
      <c r="AA143" s="218"/>
    </row>
    <row r="144" spans="1:27" ht="12.75" hidden="1">
      <c r="A144" s="199"/>
      <c r="B144" s="358"/>
      <c r="D144" s="131">
        <v>1930.01</v>
      </c>
      <c r="E144" s="366">
        <f>(D144-D141)*Y$9</f>
        <v>1508.0000000000018</v>
      </c>
      <c r="F144" s="404">
        <v>1874</v>
      </c>
      <c r="G144" s="57"/>
      <c r="H144" s="285"/>
      <c r="I144" s="87">
        <f>0.08*1.23*0.83</f>
        <v>0.081672</v>
      </c>
      <c r="J144" s="296"/>
      <c r="K144" s="57">
        <f>0.1431*1.23</f>
        <v>0.176013</v>
      </c>
      <c r="L144" s="47">
        <f>(E144)*K144</f>
        <v>265.4276040000003</v>
      </c>
      <c r="M144" s="57">
        <f>0.013*1.23</f>
        <v>0.01599</v>
      </c>
      <c r="N144" s="47">
        <f>(E144)*M144</f>
        <v>24.11292000000003</v>
      </c>
      <c r="O144" s="102">
        <f>9.5*1.23*0.83</f>
        <v>9.69855</v>
      </c>
      <c r="P144" s="398">
        <v>3.3</v>
      </c>
      <c r="Q144" s="398">
        <v>4.53</v>
      </c>
      <c r="R144" s="367">
        <f>(Q144-P144)*40</f>
        <v>49.20000000000002</v>
      </c>
      <c r="S144" s="111"/>
      <c r="T144" s="341"/>
      <c r="U144" s="173"/>
      <c r="V144" s="121"/>
      <c r="W144" s="67"/>
      <c r="X144" s="156"/>
      <c r="Y144" s="179"/>
      <c r="Z144" s="156"/>
      <c r="AA144" s="218"/>
    </row>
    <row r="145" spans="1:27" ht="13.5" hidden="1" thickBot="1">
      <c r="A145" s="199"/>
      <c r="B145" s="339" t="s">
        <v>217</v>
      </c>
      <c r="C145" s="337" t="s">
        <v>291</v>
      </c>
      <c r="D145" s="177">
        <v>4897.25</v>
      </c>
      <c r="E145" s="403">
        <f>(D145-D142)*Y$9</f>
        <v>5218.4000000000015</v>
      </c>
      <c r="F145" s="405">
        <v>6390</v>
      </c>
      <c r="G145" s="58"/>
      <c r="H145" s="286"/>
      <c r="I145" s="50">
        <f>16.34*1.23*0.83</f>
        <v>16.681506</v>
      </c>
      <c r="J145" s="122"/>
      <c r="K145" s="58">
        <f>0.1104*1.23</f>
        <v>0.135792</v>
      </c>
      <c r="L145" s="62">
        <f>(E145)*K145</f>
        <v>708.6169728000002</v>
      </c>
      <c r="M145" s="58">
        <f>0.013*1.23</f>
        <v>0.01599</v>
      </c>
      <c r="N145" s="62">
        <f>(E145)*M145</f>
        <v>83.44221600000003</v>
      </c>
      <c r="O145" s="103">
        <f>0.00158*(E144+E145)*1.23</f>
        <v>13.072085760000007</v>
      </c>
      <c r="P145" s="122">
        <v>10.44</v>
      </c>
      <c r="Q145" s="122">
        <v>15.02</v>
      </c>
      <c r="R145" s="368">
        <f>(Q145-P145)*40</f>
        <v>183.2</v>
      </c>
      <c r="S145" s="90"/>
      <c r="T145" s="204"/>
      <c r="U145" s="163"/>
      <c r="V145" s="129"/>
      <c r="W145" s="85"/>
      <c r="X145" s="71">
        <v>40</v>
      </c>
      <c r="Y145" s="71">
        <v>26</v>
      </c>
      <c r="Z145" s="414" t="s">
        <v>213</v>
      </c>
      <c r="AA145" s="424"/>
    </row>
    <row r="146" spans="1:27" ht="12.75" hidden="1">
      <c r="A146" s="523">
        <v>6</v>
      </c>
      <c r="B146" s="428"/>
      <c r="D146" s="131"/>
      <c r="E146" s="87"/>
      <c r="F146" s="94"/>
      <c r="G146" s="267"/>
      <c r="H146" s="229"/>
      <c r="I146" s="87"/>
      <c r="J146" s="123"/>
      <c r="K146" s="93"/>
      <c r="L146" s="87"/>
      <c r="M146" s="93"/>
      <c r="N146" s="87"/>
      <c r="O146" s="102"/>
      <c r="P146" s="94"/>
      <c r="Q146" s="94"/>
      <c r="R146" s="183"/>
      <c r="S146" s="167"/>
      <c r="T146" s="278"/>
      <c r="U146" s="80"/>
      <c r="V146" s="210"/>
      <c r="W146" s="210"/>
      <c r="X146" s="210"/>
      <c r="Y146" s="210"/>
      <c r="Z146" s="212"/>
      <c r="AA146" s="218"/>
    </row>
    <row r="147" spans="1:27" ht="12.75" hidden="1">
      <c r="A147" s="532"/>
      <c r="B147" s="324"/>
      <c r="D147" s="131">
        <v>1970.33</v>
      </c>
      <c r="E147" s="366">
        <f>(D147-D144)*Y$9</f>
        <v>1612.7999999999975</v>
      </c>
      <c r="F147" s="404">
        <v>1613</v>
      </c>
      <c r="G147" s="57"/>
      <c r="H147" s="285"/>
      <c r="I147" s="87">
        <f>0.08*1.23</f>
        <v>0.0984</v>
      </c>
      <c r="J147" s="296"/>
      <c r="K147" s="57">
        <f>0.1431*1.23</f>
        <v>0.176013</v>
      </c>
      <c r="L147" s="47">
        <f>(E147)*K147</f>
        <v>283.87376639999957</v>
      </c>
      <c r="M147" s="57">
        <f>0.013*1.23</f>
        <v>0.01599</v>
      </c>
      <c r="N147" s="47">
        <f>(E147)*M147</f>
        <v>25.78867199999996</v>
      </c>
      <c r="O147" s="102">
        <f>9.5*1.23</f>
        <v>11.685</v>
      </c>
      <c r="P147" s="398">
        <v>4.53</v>
      </c>
      <c r="Q147" s="398">
        <v>6.02</v>
      </c>
      <c r="R147" s="367">
        <f>(Q147-P147)*40</f>
        <v>59.59999999999997</v>
      </c>
      <c r="S147" s="111"/>
      <c r="T147" s="341"/>
      <c r="U147" s="173"/>
      <c r="V147" s="121"/>
      <c r="W147" s="67"/>
      <c r="X147" s="156"/>
      <c r="Y147" s="179"/>
      <c r="Z147" s="156"/>
      <c r="AA147" s="218"/>
    </row>
    <row r="148" spans="1:27" ht="12.75" hidden="1">
      <c r="A148" s="199"/>
      <c r="B148" s="444" t="s">
        <v>298</v>
      </c>
      <c r="C148" s="337" t="s">
        <v>299</v>
      </c>
      <c r="D148" s="177">
        <v>5062.3</v>
      </c>
      <c r="E148" s="403">
        <f>(D148-D145)*Y$9</f>
        <v>6602.000000000007</v>
      </c>
      <c r="F148" s="405">
        <v>6602</v>
      </c>
      <c r="G148" s="58"/>
      <c r="H148" s="286"/>
      <c r="I148" s="50">
        <f>16.34*1.23</f>
        <v>20.0982</v>
      </c>
      <c r="J148" s="122"/>
      <c r="K148" s="58">
        <f>0.1104*1.23</f>
        <v>0.135792</v>
      </c>
      <c r="L148" s="62">
        <f>(E148)*K148</f>
        <v>896.4987840000009</v>
      </c>
      <c r="M148" s="58">
        <f>0.013*1.23</f>
        <v>0.01599</v>
      </c>
      <c r="N148" s="62">
        <f>(E148)*M148</f>
        <v>105.56598000000012</v>
      </c>
      <c r="O148" s="103">
        <f>0.00158*(E147+E148)*1.23</f>
        <v>15.96464232000001</v>
      </c>
      <c r="P148" s="122">
        <v>15.02</v>
      </c>
      <c r="Q148" s="122">
        <v>22.44</v>
      </c>
      <c r="R148" s="368">
        <f>(Q148-P148)*40</f>
        <v>296.80000000000007</v>
      </c>
      <c r="S148" s="90"/>
      <c r="T148" s="204"/>
      <c r="U148" s="163"/>
      <c r="V148" s="129"/>
      <c r="W148" s="85"/>
      <c r="X148" s="71">
        <v>40</v>
      </c>
      <c r="Y148" s="71">
        <v>30</v>
      </c>
      <c r="Z148" s="414"/>
      <c r="AA148" s="424"/>
    </row>
    <row r="149" spans="1:27" ht="12.75" hidden="1">
      <c r="A149" s="199"/>
      <c r="B149" s="91"/>
      <c r="D149" s="131"/>
      <c r="E149" s="366"/>
      <c r="F149" s="404"/>
      <c r="G149" s="267"/>
      <c r="H149" s="285"/>
      <c r="I149" s="87"/>
      <c r="J149" s="123"/>
      <c r="K149" s="93"/>
      <c r="L149" s="87"/>
      <c r="M149" s="93"/>
      <c r="N149" s="87"/>
      <c r="O149" s="102"/>
      <c r="P149" s="159"/>
      <c r="Q149" s="159"/>
      <c r="R149" s="367"/>
      <c r="S149" s="138"/>
      <c r="T149" s="188"/>
      <c r="U149" s="223"/>
      <c r="V149" s="210"/>
      <c r="W149" s="465"/>
      <c r="X149" s="212"/>
      <c r="Y149" s="212"/>
      <c r="Z149" s="451"/>
      <c r="AA149" s="416"/>
    </row>
    <row r="150" spans="1:27" ht="12.75" hidden="1">
      <c r="A150" s="199"/>
      <c r="B150" s="208" t="s">
        <v>275</v>
      </c>
      <c r="C150" s="337" t="s">
        <v>299</v>
      </c>
      <c r="D150" s="177"/>
      <c r="E150" s="403"/>
      <c r="F150" s="405"/>
      <c r="G150" s="58"/>
      <c r="H150" s="286"/>
      <c r="I150" s="50"/>
      <c r="J150" s="308"/>
      <c r="K150" s="58"/>
      <c r="L150" s="50"/>
      <c r="M150" s="58"/>
      <c r="N150" s="50"/>
      <c r="O150" s="103"/>
      <c r="P150" s="122"/>
      <c r="Q150" s="122"/>
      <c r="R150" s="368"/>
      <c r="S150" s="90"/>
      <c r="T150" s="466"/>
      <c r="U150" s="163"/>
      <c r="V150" s="311"/>
      <c r="W150" s="467"/>
      <c r="X150" s="312"/>
      <c r="Y150" s="312"/>
      <c r="Z150" s="477"/>
      <c r="AA150" s="424"/>
    </row>
    <row r="151" spans="1:27" ht="12.75" hidden="1">
      <c r="A151" s="89"/>
      <c r="B151" s="133"/>
      <c r="D151" s="131"/>
      <c r="E151" s="87"/>
      <c r="F151" s="94"/>
      <c r="G151" s="267"/>
      <c r="H151" s="229"/>
      <c r="I151" s="87"/>
      <c r="J151" s="123"/>
      <c r="K151" s="93"/>
      <c r="L151" s="87"/>
      <c r="M151" s="93"/>
      <c r="N151" s="87"/>
      <c r="O151" s="102"/>
      <c r="P151" s="94"/>
      <c r="Q151" s="94"/>
      <c r="R151" s="183"/>
      <c r="S151" s="167"/>
      <c r="T151" s="278"/>
      <c r="U151" s="80"/>
      <c r="V151" s="210"/>
      <c r="W151" s="210"/>
      <c r="X151" s="210"/>
      <c r="Y151" s="210"/>
      <c r="Z151" s="212"/>
      <c r="AA151" s="218"/>
    </row>
    <row r="152" spans="1:27" ht="12.75" hidden="1">
      <c r="A152" s="525">
        <v>7</v>
      </c>
      <c r="B152" s="109"/>
      <c r="D152" s="131">
        <v>2000.61</v>
      </c>
      <c r="E152" s="366">
        <f>(D152-D147)*Y$9</f>
        <v>1211.199999999999</v>
      </c>
      <c r="F152" s="404">
        <v>1211</v>
      </c>
      <c r="G152" s="57"/>
      <c r="H152" s="285"/>
      <c r="I152" s="87">
        <f>0.08*1.23</f>
        <v>0.0984</v>
      </c>
      <c r="J152" s="296"/>
      <c r="K152" s="57">
        <f>0.1431*1.23</f>
        <v>0.176013</v>
      </c>
      <c r="L152" s="47">
        <f>(E152)*K152</f>
        <v>213.1869455999998</v>
      </c>
      <c r="M152" s="57">
        <f>0.013*1.23</f>
        <v>0.01599</v>
      </c>
      <c r="N152" s="47">
        <f>(E152)*M152</f>
        <v>19.367087999999985</v>
      </c>
      <c r="O152" s="102">
        <f>9.5*1.23</f>
        <v>11.685</v>
      </c>
      <c r="P152" s="398">
        <v>6.02</v>
      </c>
      <c r="Q152" s="398">
        <v>7.51</v>
      </c>
      <c r="R152" s="367">
        <f>(Q152-P152)*40</f>
        <v>59.60000000000001</v>
      </c>
      <c r="S152" s="111"/>
      <c r="T152" s="341"/>
      <c r="U152" s="173"/>
      <c r="V152" s="121"/>
      <c r="W152" s="67"/>
      <c r="X152" s="156"/>
      <c r="Y152" s="179"/>
      <c r="Z152" s="156"/>
      <c r="AA152" s="218"/>
    </row>
    <row r="153" spans="1:27" ht="12.75" hidden="1">
      <c r="A153" s="524"/>
      <c r="B153" s="49" t="s">
        <v>301</v>
      </c>
      <c r="C153" s="337" t="s">
        <v>297</v>
      </c>
      <c r="D153" s="177">
        <v>5206.51</v>
      </c>
      <c r="E153" s="403">
        <f>(D153-D148)*Y$9</f>
        <v>5768.4000000000015</v>
      </c>
      <c r="F153" s="405">
        <v>5768</v>
      </c>
      <c r="G153" s="58"/>
      <c r="H153" s="286"/>
      <c r="I153" s="50">
        <f>16.34*1.23</f>
        <v>20.0982</v>
      </c>
      <c r="J153" s="122"/>
      <c r="K153" s="58">
        <f>0.1104*1.23</f>
        <v>0.135792</v>
      </c>
      <c r="L153" s="62">
        <f>(E153)*K153</f>
        <v>783.3025728000001</v>
      </c>
      <c r="M153" s="58">
        <f>0.013*1.23</f>
        <v>0.01599</v>
      </c>
      <c r="N153" s="62">
        <f>(E153)*M153</f>
        <v>92.23671600000003</v>
      </c>
      <c r="O153" s="103">
        <f>0.00158*(E152+E153)*1.23</f>
        <v>13.56415464</v>
      </c>
      <c r="P153" s="122">
        <v>22.44</v>
      </c>
      <c r="Q153" s="122">
        <v>29.17</v>
      </c>
      <c r="R153" s="368">
        <f>(Q153-P153)*40</f>
        <v>269.20000000000005</v>
      </c>
      <c r="S153" s="90"/>
      <c r="T153" s="204"/>
      <c r="U153" s="163"/>
      <c r="V153" s="129"/>
      <c r="W153" s="85"/>
      <c r="X153" s="71">
        <v>40</v>
      </c>
      <c r="Y153" s="71">
        <v>24</v>
      </c>
      <c r="Z153" s="414"/>
      <c r="AA153" s="424"/>
    </row>
    <row r="154" spans="1:27" ht="12.75" hidden="1">
      <c r="A154" s="89"/>
      <c r="B154" s="133"/>
      <c r="D154" s="131"/>
      <c r="E154" s="87"/>
      <c r="F154" s="94"/>
      <c r="G154" s="267"/>
      <c r="H154" s="229"/>
      <c r="I154" s="87"/>
      <c r="J154" s="123"/>
      <c r="K154" s="93"/>
      <c r="L154" s="87"/>
      <c r="M154" s="93"/>
      <c r="N154" s="87"/>
      <c r="O154" s="102"/>
      <c r="P154" s="94"/>
      <c r="Q154" s="94"/>
      <c r="R154" s="183"/>
      <c r="S154" s="167"/>
      <c r="T154" s="278"/>
      <c r="U154" s="80"/>
      <c r="V154" s="210"/>
      <c r="W154" s="210"/>
      <c r="X154" s="210"/>
      <c r="Y154" s="210"/>
      <c r="Z154" s="212"/>
      <c r="AA154" s="218"/>
    </row>
    <row r="155" spans="1:27" ht="12.75" hidden="1">
      <c r="A155" s="89"/>
      <c r="B155" s="109"/>
      <c r="D155" s="131">
        <v>2032.67</v>
      </c>
      <c r="E155" s="366">
        <f>(D155-D152)*Y$9</f>
        <v>1282.400000000007</v>
      </c>
      <c r="F155" s="404">
        <v>1282</v>
      </c>
      <c r="G155" s="57"/>
      <c r="H155" s="285"/>
      <c r="I155" s="87">
        <f>0.08*1.23</f>
        <v>0.0984</v>
      </c>
      <c r="J155" s="296"/>
      <c r="K155" s="57">
        <f>0.1431*1.23</f>
        <v>0.176013</v>
      </c>
      <c r="L155" s="47">
        <f>(E155)*K155</f>
        <v>225.71907120000122</v>
      </c>
      <c r="M155" s="57">
        <f>0.013*1.23</f>
        <v>0.01599</v>
      </c>
      <c r="N155" s="47">
        <f>(E155)*M155</f>
        <v>20.50557600000011</v>
      </c>
      <c r="O155" s="102">
        <f>9.5*1.23</f>
        <v>11.685</v>
      </c>
      <c r="P155" s="398">
        <v>7.51</v>
      </c>
      <c r="Q155" s="398">
        <v>9.6</v>
      </c>
      <c r="R155" s="367">
        <f>(Q155-P155)*40</f>
        <v>83.6</v>
      </c>
      <c r="S155" s="111"/>
      <c r="T155" s="341"/>
      <c r="U155" s="173"/>
      <c r="V155" s="121"/>
      <c r="W155" s="67"/>
      <c r="X155" s="156"/>
      <c r="Y155" s="179"/>
      <c r="Z155" s="156"/>
      <c r="AA155" s="218"/>
    </row>
    <row r="156" spans="1:27" ht="12.75" hidden="1">
      <c r="A156" s="525">
        <v>8</v>
      </c>
      <c r="B156" s="49" t="s">
        <v>305</v>
      </c>
      <c r="C156" s="337" t="s">
        <v>306</v>
      </c>
      <c r="D156" s="177">
        <v>5354.32</v>
      </c>
      <c r="E156" s="403">
        <f>(D156-D153)*Y$9</f>
        <v>5912.39999999998</v>
      </c>
      <c r="F156" s="405">
        <v>5912</v>
      </c>
      <c r="G156" s="58"/>
      <c r="H156" s="286"/>
      <c r="I156" s="50">
        <f>16.34*1.23</f>
        <v>20.0982</v>
      </c>
      <c r="J156" s="122"/>
      <c r="K156" s="58">
        <f>0.1104*1.23</f>
        <v>0.135792</v>
      </c>
      <c r="L156" s="62">
        <f>(E156)*K156</f>
        <v>802.8566207999972</v>
      </c>
      <c r="M156" s="58">
        <f>0.013*1.23</f>
        <v>0.01599</v>
      </c>
      <c r="N156" s="62">
        <f>(E156)*M156</f>
        <v>94.53927599999967</v>
      </c>
      <c r="O156" s="103">
        <f>0.00158*(E155+E156)*1.23</f>
        <v>13.982374319999973</v>
      </c>
      <c r="P156" s="122">
        <v>29.17</v>
      </c>
      <c r="Q156" s="122">
        <v>38.87</v>
      </c>
      <c r="R156" s="368">
        <f>(Q156-P156)*40</f>
        <v>387.99999999999983</v>
      </c>
      <c r="S156" s="90"/>
      <c r="T156" s="204"/>
      <c r="U156" s="163"/>
      <c r="V156" s="129"/>
      <c r="W156" s="85"/>
      <c r="X156" s="71">
        <v>40</v>
      </c>
      <c r="Y156" s="71">
        <v>19</v>
      </c>
      <c r="Z156" s="414"/>
      <c r="AA156" s="424"/>
    </row>
    <row r="157" spans="1:27" ht="12.75" hidden="1">
      <c r="A157" s="525"/>
      <c r="B157" s="109"/>
      <c r="D157" s="131"/>
      <c r="E157" s="366"/>
      <c r="F157" s="404"/>
      <c r="G157" s="267"/>
      <c r="H157" s="285"/>
      <c r="I157" s="87"/>
      <c r="J157" s="123"/>
      <c r="K157" s="93"/>
      <c r="L157" s="87"/>
      <c r="M157" s="93"/>
      <c r="N157" s="87"/>
      <c r="O157" s="102"/>
      <c r="P157" s="159"/>
      <c r="Q157" s="159"/>
      <c r="R157" s="367"/>
      <c r="S157" s="138"/>
      <c r="T157" s="188"/>
      <c r="U157" s="223"/>
      <c r="V157" s="210"/>
      <c r="W157" s="465"/>
      <c r="X157" s="212"/>
      <c r="Y157" s="212"/>
      <c r="Z157" s="451"/>
      <c r="AA157" s="416"/>
    </row>
    <row r="158" spans="1:27" ht="12.75" hidden="1">
      <c r="A158" s="525"/>
      <c r="B158" s="208" t="s">
        <v>275</v>
      </c>
      <c r="C158" s="337" t="s">
        <v>306</v>
      </c>
      <c r="D158" s="177"/>
      <c r="E158" s="403"/>
      <c r="F158" s="405"/>
      <c r="G158" s="58"/>
      <c r="H158" s="286"/>
      <c r="I158" s="50"/>
      <c r="J158" s="308"/>
      <c r="K158" s="58"/>
      <c r="L158" s="50"/>
      <c r="M158" s="58"/>
      <c r="N158" s="50"/>
      <c r="O158" s="103"/>
      <c r="P158" s="122"/>
      <c r="Q158" s="122"/>
      <c r="R158" s="368"/>
      <c r="S158" s="90"/>
      <c r="T158" s="466"/>
      <c r="U158" s="163"/>
      <c r="V158" s="311"/>
      <c r="W158" s="467"/>
      <c r="X158" s="312"/>
      <c r="Y158" s="312"/>
      <c r="Z158" s="477"/>
      <c r="AA158" s="424"/>
    </row>
    <row r="159" spans="1:27" ht="12.75" hidden="1">
      <c r="A159" s="524"/>
      <c r="B159" s="133"/>
      <c r="D159" s="131"/>
      <c r="E159" s="87"/>
      <c r="F159" s="94"/>
      <c r="G159" s="267"/>
      <c r="H159" s="229"/>
      <c r="I159" s="87"/>
      <c r="J159" s="123"/>
      <c r="K159" s="93"/>
      <c r="L159" s="87"/>
      <c r="M159" s="93"/>
      <c r="N159" s="87"/>
      <c r="O159" s="102"/>
      <c r="P159" s="94"/>
      <c r="Q159" s="94"/>
      <c r="R159" s="183"/>
      <c r="S159" s="167"/>
      <c r="T159" s="278"/>
      <c r="U159" s="80"/>
      <c r="V159" s="210"/>
      <c r="W159" s="210"/>
      <c r="X159" s="210"/>
      <c r="Y159" s="210"/>
      <c r="Z159" s="212"/>
      <c r="AA159" s="218"/>
    </row>
    <row r="160" spans="1:27" ht="12.75" hidden="1">
      <c r="A160" s="89"/>
      <c r="B160" s="109"/>
      <c r="D160" s="131">
        <v>2068.03</v>
      </c>
      <c r="E160" s="366">
        <f>(D160-D155)*Y$9</f>
        <v>1414.400000000005</v>
      </c>
      <c r="F160" s="404">
        <v>1414</v>
      </c>
      <c r="G160" s="57"/>
      <c r="H160" s="285"/>
      <c r="I160" s="87">
        <f>0.08*1.23</f>
        <v>0.0984</v>
      </c>
      <c r="J160" s="296"/>
      <c r="K160" s="57">
        <f>0.1431*1.23</f>
        <v>0.176013</v>
      </c>
      <c r="L160" s="47">
        <f>(E160)*K160</f>
        <v>248.9527872000009</v>
      </c>
      <c r="M160" s="57">
        <f>0.013*1.23</f>
        <v>0.01599</v>
      </c>
      <c r="N160" s="47">
        <f>(E160)*M160</f>
        <v>22.61625600000008</v>
      </c>
      <c r="O160" s="102">
        <f>9.5*1.23</f>
        <v>11.685</v>
      </c>
      <c r="P160" s="398">
        <v>9.6</v>
      </c>
      <c r="Q160" s="398">
        <v>11</v>
      </c>
      <c r="R160" s="367">
        <f>(Q160-P160)*40</f>
        <v>56.000000000000014</v>
      </c>
      <c r="S160" s="111"/>
      <c r="T160" s="341"/>
      <c r="U160" s="173"/>
      <c r="V160" s="121"/>
      <c r="W160" s="67"/>
      <c r="X160" s="156"/>
      <c r="Y160" s="179"/>
      <c r="Z160" s="156"/>
      <c r="AA160" s="218"/>
    </row>
    <row r="161" spans="1:27" ht="12.75" hidden="1">
      <c r="A161" s="89"/>
      <c r="B161" s="49" t="s">
        <v>312</v>
      </c>
      <c r="C161" s="337" t="s">
        <v>313</v>
      </c>
      <c r="D161" s="177">
        <v>5507.37</v>
      </c>
      <c r="E161" s="403">
        <f>(D161-D156)*Y$9</f>
        <v>6122.000000000007</v>
      </c>
      <c r="F161" s="405">
        <v>6122</v>
      </c>
      <c r="G161" s="58"/>
      <c r="H161" s="286"/>
      <c r="I161" s="50">
        <f>16.34*1.23</f>
        <v>20.0982</v>
      </c>
      <c r="J161" s="122"/>
      <c r="K161" s="58">
        <f>0.1104*1.23</f>
        <v>0.135792</v>
      </c>
      <c r="L161" s="62">
        <f>(E161)*K161</f>
        <v>831.3186240000009</v>
      </c>
      <c r="M161" s="58">
        <f>0.013*1.23</f>
        <v>0.01599</v>
      </c>
      <c r="N161" s="62">
        <f>(E161)*M161</f>
        <v>97.89078000000012</v>
      </c>
      <c r="O161" s="103">
        <f>0.00158*(E160+E161)*1.23</f>
        <v>14.646239760000025</v>
      </c>
      <c r="P161" s="122">
        <v>38.87</v>
      </c>
      <c r="Q161" s="122">
        <v>47.38</v>
      </c>
      <c r="R161" s="368">
        <f>(Q161-P161)*40</f>
        <v>340.4000000000002</v>
      </c>
      <c r="S161" s="90"/>
      <c r="T161" s="204"/>
      <c r="U161" s="163"/>
      <c r="V161" s="129"/>
      <c r="W161" s="85"/>
      <c r="X161" s="71">
        <v>40</v>
      </c>
      <c r="Y161" s="71">
        <v>19</v>
      </c>
      <c r="Z161" s="414"/>
      <c r="AA161" s="424"/>
    </row>
    <row r="162" spans="1:27" ht="12.75" hidden="1">
      <c r="A162" s="525">
        <v>9</v>
      </c>
      <c r="B162" s="133"/>
      <c r="D162" s="131"/>
      <c r="E162" s="87"/>
      <c r="F162" s="94"/>
      <c r="G162" s="267"/>
      <c r="H162" s="229"/>
      <c r="I162" s="87"/>
      <c r="J162" s="123"/>
      <c r="K162" s="93"/>
      <c r="L162" s="87"/>
      <c r="M162" s="93"/>
      <c r="N162" s="87"/>
      <c r="O162" s="102"/>
      <c r="P162" s="94"/>
      <c r="Q162" s="94"/>
      <c r="R162" s="183"/>
      <c r="S162" s="167"/>
      <c r="T162" s="278"/>
      <c r="U162" s="80"/>
      <c r="V162" s="210"/>
      <c r="W162" s="210"/>
      <c r="X162" s="210"/>
      <c r="Y162" s="210"/>
      <c r="Z162" s="212"/>
      <c r="AA162" s="218"/>
    </row>
    <row r="163" spans="1:27" ht="12.75" hidden="1">
      <c r="A163" s="524"/>
      <c r="B163" s="109"/>
      <c r="D163" s="131">
        <v>2119.84</v>
      </c>
      <c r="E163" s="366">
        <f>(D163-D160)*Y$9</f>
        <v>2072.399999999998</v>
      </c>
      <c r="F163" s="404">
        <v>2072</v>
      </c>
      <c r="G163" s="57"/>
      <c r="H163" s="285"/>
      <c r="I163" s="87">
        <f>0.08*1.23</f>
        <v>0.0984</v>
      </c>
      <c r="J163" s="296"/>
      <c r="K163" s="57">
        <f>0.1431*1.23</f>
        <v>0.176013</v>
      </c>
      <c r="L163" s="47">
        <f>(E163)*K163</f>
        <v>364.76934119999964</v>
      </c>
      <c r="M163" s="57">
        <f>0.013*1.23</f>
        <v>0.01599</v>
      </c>
      <c r="N163" s="47">
        <f>(E163)*M163</f>
        <v>33.13767599999996</v>
      </c>
      <c r="O163" s="102">
        <f>9.5*1.23</f>
        <v>11.685</v>
      </c>
      <c r="P163" s="398">
        <v>11</v>
      </c>
      <c r="Q163" s="398">
        <v>12.32</v>
      </c>
      <c r="R163" s="367">
        <f>(Q163-P163)*40</f>
        <v>52.80000000000001</v>
      </c>
      <c r="S163" s="111"/>
      <c r="T163" s="341"/>
      <c r="U163" s="173"/>
      <c r="V163" s="121"/>
      <c r="W163" s="67"/>
      <c r="X163" s="156"/>
      <c r="Y163" s="179"/>
      <c r="Z163" s="156"/>
      <c r="AA163" s="218"/>
    </row>
    <row r="164" spans="1:27" ht="12.75" hidden="1">
      <c r="A164" s="89"/>
      <c r="B164" s="49" t="s">
        <v>319</v>
      </c>
      <c r="C164" s="337" t="s">
        <v>315</v>
      </c>
      <c r="D164" s="177">
        <v>5671.51</v>
      </c>
      <c r="E164" s="403">
        <f>(D164-D161)*Y$9</f>
        <v>6565.600000000013</v>
      </c>
      <c r="F164" s="405">
        <v>6566</v>
      </c>
      <c r="G164" s="58"/>
      <c r="H164" s="286"/>
      <c r="I164" s="50">
        <f>16.34*1.23</f>
        <v>20.0982</v>
      </c>
      <c r="J164" s="122"/>
      <c r="K164" s="58">
        <f>0.1104*1.23</f>
        <v>0.135792</v>
      </c>
      <c r="L164" s="62">
        <f>(E164)*K164</f>
        <v>891.5559552000018</v>
      </c>
      <c r="M164" s="58">
        <f>0.013*1.23</f>
        <v>0.01599</v>
      </c>
      <c r="N164" s="62">
        <f>(E164)*M164</f>
        <v>104.98394400000022</v>
      </c>
      <c r="O164" s="103">
        <f>0.00158*(E163+E164)*1.23</f>
        <v>16.787089200000022</v>
      </c>
      <c r="P164" s="122">
        <v>47.38</v>
      </c>
      <c r="Q164" s="122">
        <v>54.51</v>
      </c>
      <c r="R164" s="368">
        <f>(Q164-P164)*40</f>
        <v>285.1999999999998</v>
      </c>
      <c r="S164" s="90"/>
      <c r="T164" s="204"/>
      <c r="U164" s="163"/>
      <c r="V164" s="129"/>
      <c r="W164" s="85"/>
      <c r="X164" s="71">
        <v>40</v>
      </c>
      <c r="Y164" s="71">
        <v>29</v>
      </c>
      <c r="Z164" s="414"/>
      <c r="AA164" s="424"/>
    </row>
    <row r="165" spans="1:27" ht="12.75" hidden="1">
      <c r="A165" s="89"/>
      <c r="B165" s="133"/>
      <c r="D165" s="131"/>
      <c r="E165" s="87"/>
      <c r="F165" s="94"/>
      <c r="G165" s="267"/>
      <c r="H165" s="229"/>
      <c r="I165" s="87"/>
      <c r="J165" s="123"/>
      <c r="K165" s="93"/>
      <c r="L165" s="87"/>
      <c r="M165" s="93"/>
      <c r="N165" s="87"/>
      <c r="O165" s="102"/>
      <c r="P165" s="94"/>
      <c r="Q165" s="94"/>
      <c r="R165" s="183"/>
      <c r="S165" s="167"/>
      <c r="T165" s="278"/>
      <c r="U165" s="80"/>
      <c r="V165" s="210"/>
      <c r="W165" s="210"/>
      <c r="X165" s="210"/>
      <c r="Y165" s="210"/>
      <c r="Z165" s="212"/>
      <c r="AA165" s="218"/>
    </row>
    <row r="166" spans="1:27" ht="12.75" hidden="1">
      <c r="A166" s="525">
        <v>10</v>
      </c>
      <c r="B166" s="109"/>
      <c r="D166" s="131">
        <v>2190.84</v>
      </c>
      <c r="E166" s="366">
        <f>(D166-D163)*Y$9</f>
        <v>2840</v>
      </c>
      <c r="F166" s="404"/>
      <c r="G166" s="57"/>
      <c r="H166" s="285"/>
      <c r="I166" s="87">
        <f>0.08*1.23</f>
        <v>0.0984</v>
      </c>
      <c r="J166" s="296"/>
      <c r="K166" s="57">
        <f>0.1431*1.23</f>
        <v>0.176013</v>
      </c>
      <c r="L166" s="47">
        <f>(E166)*K166</f>
        <v>499.87692</v>
      </c>
      <c r="M166" s="57">
        <f>0.013*1.23</f>
        <v>0.01599</v>
      </c>
      <c r="N166" s="47">
        <f>(E166)*M166</f>
        <v>45.4116</v>
      </c>
      <c r="O166" s="102">
        <f>9.5*1.23</f>
        <v>11.685</v>
      </c>
      <c r="P166" s="398">
        <v>12.32</v>
      </c>
      <c r="Q166" s="398">
        <v>14.29</v>
      </c>
      <c r="R166" s="367">
        <f>(Q166-P166)*40</f>
        <v>78.79999999999995</v>
      </c>
      <c r="S166" s="111"/>
      <c r="T166" s="341"/>
      <c r="U166" s="173"/>
      <c r="V166" s="121"/>
      <c r="W166" s="67"/>
      <c r="X166" s="156"/>
      <c r="Y166" s="179"/>
      <c r="Z166" s="156"/>
      <c r="AA166" s="218"/>
    </row>
    <row r="167" spans="1:27" ht="12.75" hidden="1">
      <c r="A167" s="524"/>
      <c r="B167" s="49" t="s">
        <v>321</v>
      </c>
      <c r="C167" s="337" t="s">
        <v>268</v>
      </c>
      <c r="D167" s="177">
        <v>5858.61</v>
      </c>
      <c r="E167" s="403">
        <f>(D167-D164)*Y$9</f>
        <v>7483.999999999978</v>
      </c>
      <c r="F167" s="405"/>
      <c r="G167" s="58"/>
      <c r="H167" s="286"/>
      <c r="I167" s="50">
        <f>16.34*1.23</f>
        <v>20.0982</v>
      </c>
      <c r="J167" s="122"/>
      <c r="K167" s="58">
        <f>0.1104*1.23</f>
        <v>0.135792</v>
      </c>
      <c r="L167" s="62">
        <f>(E167)*K167</f>
        <v>1016.267327999997</v>
      </c>
      <c r="M167" s="58">
        <f>0.013*1.23</f>
        <v>0.01599</v>
      </c>
      <c r="N167" s="62">
        <f>(E167)*M167</f>
        <v>119.66915999999965</v>
      </c>
      <c r="O167" s="103">
        <f>0.00158*(E166+E167)*1.23</f>
        <v>20.063661599999957</v>
      </c>
      <c r="P167" s="122">
        <v>54.51</v>
      </c>
      <c r="Q167" s="122">
        <v>62.35</v>
      </c>
      <c r="R167" s="368">
        <f>(Q167-P167)*40</f>
        <v>313.60000000000014</v>
      </c>
      <c r="S167" s="90"/>
      <c r="T167" s="204"/>
      <c r="U167" s="163"/>
      <c r="V167" s="129"/>
      <c r="W167" s="85"/>
      <c r="X167" s="71">
        <v>40</v>
      </c>
      <c r="Y167" s="71">
        <v>29</v>
      </c>
      <c r="Z167" s="414"/>
      <c r="AA167" s="424"/>
    </row>
    <row r="168" spans="1:27" ht="12.75" hidden="1">
      <c r="A168" s="89"/>
      <c r="B168" s="133"/>
      <c r="D168" s="131"/>
      <c r="E168" s="87"/>
      <c r="F168" s="94"/>
      <c r="G168" s="267"/>
      <c r="H168" s="229"/>
      <c r="I168" s="87"/>
      <c r="J168" s="123"/>
      <c r="K168" s="93"/>
      <c r="L168" s="87"/>
      <c r="M168" s="93"/>
      <c r="N168" s="87"/>
      <c r="O168" s="102"/>
      <c r="P168" s="94"/>
      <c r="Q168" s="94"/>
      <c r="R168" s="183"/>
      <c r="S168" s="167"/>
      <c r="T168" s="278"/>
      <c r="U168" s="80"/>
      <c r="V168" s="210"/>
      <c r="W168" s="210"/>
      <c r="X168" s="210"/>
      <c r="Y168" s="210"/>
      <c r="Z168" s="212"/>
      <c r="AA168" s="218"/>
    </row>
    <row r="169" spans="1:27" ht="12.75" hidden="1">
      <c r="A169" s="89"/>
      <c r="B169" s="109"/>
      <c r="D169" s="131">
        <v>2287.41</v>
      </c>
      <c r="E169" s="366">
        <f>(D169-D166)*Y$9</f>
        <v>3862.7999999999884</v>
      </c>
      <c r="F169" s="404"/>
      <c r="G169" s="57"/>
      <c r="H169" s="285"/>
      <c r="I169" s="87">
        <f>0.08*1.23</f>
        <v>0.0984</v>
      </c>
      <c r="J169" s="296"/>
      <c r="K169" s="57">
        <f>0.1431*1.23</f>
        <v>0.176013</v>
      </c>
      <c r="L169" s="47">
        <f>(E169)*K169</f>
        <v>679.9030163999979</v>
      </c>
      <c r="M169" s="57">
        <f>0.013*1.23</f>
        <v>0.01599</v>
      </c>
      <c r="N169" s="47">
        <f>(E169)*M169</f>
        <v>61.76617199999982</v>
      </c>
      <c r="O169" s="102">
        <f>9.5*1.23</f>
        <v>11.685</v>
      </c>
      <c r="P169" s="398">
        <v>14.29</v>
      </c>
      <c r="Q169" s="398">
        <v>18.53</v>
      </c>
      <c r="R169" s="367">
        <f>(Q169-P169)*40</f>
        <v>169.60000000000008</v>
      </c>
      <c r="S169" s="111"/>
      <c r="T169" s="341"/>
      <c r="U169" s="173"/>
      <c r="V169" s="121"/>
      <c r="W169" s="67"/>
      <c r="X169" s="156"/>
      <c r="Y169" s="179"/>
      <c r="Z169" s="156"/>
      <c r="AA169" s="218"/>
    </row>
    <row r="170" spans="1:27" ht="13.5" hidden="1" thickBot="1">
      <c r="A170" s="89">
        <v>11</v>
      </c>
      <c r="B170" s="49" t="s">
        <v>322</v>
      </c>
      <c r="C170" s="337" t="s">
        <v>271</v>
      </c>
      <c r="D170" s="177">
        <v>6032.55</v>
      </c>
      <c r="E170" s="403">
        <f>(D170-D167)*Y$9</f>
        <v>6957.60000000002</v>
      </c>
      <c r="F170" s="405"/>
      <c r="G170" s="58"/>
      <c r="H170" s="286"/>
      <c r="I170" s="50">
        <f>16.34*1.23</f>
        <v>20.0982</v>
      </c>
      <c r="J170" s="122"/>
      <c r="K170" s="58">
        <f>0.1104*1.23</f>
        <v>0.135792</v>
      </c>
      <c r="L170" s="62">
        <f>(E170)*K170</f>
        <v>944.7864192000027</v>
      </c>
      <c r="M170" s="58">
        <f>0.013*1.23</f>
        <v>0.01599</v>
      </c>
      <c r="N170" s="62">
        <f>(E170)*M170</f>
        <v>111.25202400000033</v>
      </c>
      <c r="O170" s="103">
        <f>0.00158*(E169+E170)*1.23</f>
        <v>21.028365360000016</v>
      </c>
      <c r="P170" s="122">
        <v>62.35</v>
      </c>
      <c r="Q170" s="122">
        <v>70.73</v>
      </c>
      <c r="R170" s="368">
        <f>(Q170-P170)*40</f>
        <v>335.2000000000001</v>
      </c>
      <c r="S170" s="90"/>
      <c r="T170" s="204"/>
      <c r="U170" s="163"/>
      <c r="V170" s="129"/>
      <c r="W170" s="85"/>
      <c r="X170" s="71">
        <v>40</v>
      </c>
      <c r="Y170" s="71">
        <v>29</v>
      </c>
      <c r="Z170" s="414"/>
      <c r="AA170" s="424"/>
    </row>
    <row r="171" spans="1:27" ht="12.75">
      <c r="A171" s="526" t="s">
        <v>269</v>
      </c>
      <c r="B171" s="527"/>
      <c r="C171" s="527"/>
      <c r="D171" s="528"/>
      <c r="E171" s="41"/>
      <c r="F171" s="13"/>
      <c r="G171" s="228"/>
      <c r="H171" s="248"/>
      <c r="I171" s="13"/>
      <c r="J171" s="13"/>
      <c r="K171" s="41"/>
      <c r="L171" s="41"/>
      <c r="M171" s="41"/>
      <c r="N171" s="41"/>
      <c r="O171" s="302"/>
      <c r="P171" s="33"/>
      <c r="Q171" s="246"/>
      <c r="R171" s="245"/>
      <c r="S171" s="33"/>
      <c r="T171" s="198"/>
      <c r="U171" s="254"/>
      <c r="V171" s="266"/>
      <c r="W171" s="294"/>
      <c r="X171" s="42"/>
      <c r="Y171" s="306"/>
      <c r="Z171" s="42"/>
      <c r="AA171" s="43"/>
    </row>
    <row r="172" spans="1:27" ht="13.5" thickBot="1">
      <c r="A172" s="529"/>
      <c r="B172" s="530"/>
      <c r="C172" s="530"/>
      <c r="D172" s="531"/>
      <c r="E172" s="120">
        <f>SUM(E123:E170)</f>
        <v>106803.59999999999</v>
      </c>
      <c r="F172" s="390">
        <f>SUM(F123:F170)+F175+F176+F178+F179</f>
        <v>106802</v>
      </c>
      <c r="G172" s="252"/>
      <c r="H172" s="253"/>
      <c r="I172" s="99"/>
      <c r="J172" s="99"/>
      <c r="K172" s="99"/>
      <c r="L172" s="99">
        <f>SUM(L122:L171)</f>
        <v>15601.635371999999</v>
      </c>
      <c r="M172" s="99"/>
      <c r="N172" s="99">
        <f>SUM(N122:N171)</f>
        <v>1682.962506</v>
      </c>
      <c r="O172" s="99">
        <f>SUM(O122:O171)</f>
        <v>321.4344338399999</v>
      </c>
      <c r="P172" s="99"/>
      <c r="Q172" s="99"/>
      <c r="R172" s="244"/>
      <c r="S172" s="99"/>
      <c r="T172" s="197"/>
      <c r="U172" s="207"/>
      <c r="V172" s="253"/>
      <c r="W172" s="252"/>
      <c r="X172" s="45">
        <f>X128</f>
        <v>40</v>
      </c>
      <c r="Y172" s="74">
        <f>SUM(Y124:Y171)/12</f>
        <v>29.25</v>
      </c>
      <c r="Z172" s="74"/>
      <c r="AA172" s="46"/>
    </row>
    <row r="173" spans="6:7" ht="12.75">
      <c r="F173" s="391">
        <f>F172-E172</f>
        <v>-1.5999999999912689</v>
      </c>
      <c r="G173" s="150"/>
    </row>
    <row r="174" spans="1:27" ht="12.75">
      <c r="A174" s="89"/>
      <c r="B174" s="133"/>
      <c r="D174" s="131"/>
      <c r="E174" s="87"/>
      <c r="F174" s="94"/>
      <c r="G174" s="267"/>
      <c r="H174" s="229"/>
      <c r="I174" s="87"/>
      <c r="J174" s="123"/>
      <c r="K174" s="93"/>
      <c r="L174" s="87"/>
      <c r="M174" s="93"/>
      <c r="N174" s="87"/>
      <c r="O174" s="102"/>
      <c r="P174" s="94"/>
      <c r="Q174" s="94"/>
      <c r="R174" s="183"/>
      <c r="S174" s="167"/>
      <c r="T174" s="278"/>
      <c r="U174" s="80"/>
      <c r="V174" s="210"/>
      <c r="W174" s="210"/>
      <c r="X174" s="210"/>
      <c r="Y174" s="210"/>
      <c r="Z174" s="212"/>
      <c r="AA174" s="218"/>
    </row>
    <row r="175" spans="1:27" ht="12.75">
      <c r="A175" s="89"/>
      <c r="B175" s="133"/>
      <c r="D175" s="131"/>
      <c r="E175" s="87"/>
      <c r="F175" s="404">
        <v>2840</v>
      </c>
      <c r="G175" s="57"/>
      <c r="H175" s="285"/>
      <c r="I175" s="87"/>
      <c r="J175" s="123"/>
      <c r="K175" s="93"/>
      <c r="L175" s="87"/>
      <c r="M175" s="93"/>
      <c r="N175" s="87"/>
      <c r="O175" s="102"/>
      <c r="P175" s="94"/>
      <c r="Q175" s="94"/>
      <c r="R175" s="183"/>
      <c r="S175" s="167"/>
      <c r="T175" s="278"/>
      <c r="U175" s="80"/>
      <c r="V175" s="210"/>
      <c r="W175" s="210"/>
      <c r="X175" s="210"/>
      <c r="Y175" s="210"/>
      <c r="Z175" s="212"/>
      <c r="AA175" s="218"/>
    </row>
    <row r="176" spans="1:27" ht="12.75">
      <c r="A176" s="525">
        <v>1</v>
      </c>
      <c r="B176" s="109"/>
      <c r="C176" s="337" t="s">
        <v>268</v>
      </c>
      <c r="D176" s="131"/>
      <c r="E176" s="366"/>
      <c r="F176" s="405">
        <v>7484</v>
      </c>
      <c r="G176" s="58"/>
      <c r="H176" s="286"/>
      <c r="I176" s="87"/>
      <c r="J176" s="296"/>
      <c r="K176" s="57"/>
      <c r="L176" s="47"/>
      <c r="M176" s="57"/>
      <c r="N176" s="47"/>
      <c r="O176" s="102"/>
      <c r="P176" s="226"/>
      <c r="Q176" s="226"/>
      <c r="R176" s="367"/>
      <c r="S176" s="111"/>
      <c r="T176" s="341"/>
      <c r="U176" s="173"/>
      <c r="V176" s="121"/>
      <c r="W176" s="67"/>
      <c r="X176" s="156"/>
      <c r="Y176" s="179"/>
      <c r="Z176" s="156"/>
      <c r="AA176" s="218"/>
    </row>
    <row r="177" spans="1:27" ht="12.75">
      <c r="A177" s="524"/>
      <c r="B177" s="115"/>
      <c r="C177" s="52"/>
      <c r="D177" s="177"/>
      <c r="E177" s="366"/>
      <c r="F177" s="94"/>
      <c r="G177" s="267"/>
      <c r="H177" s="229"/>
      <c r="I177" s="50"/>
      <c r="J177" s="122"/>
      <c r="K177" s="58"/>
      <c r="L177" s="62"/>
      <c r="M177" s="58"/>
      <c r="N177" s="62"/>
      <c r="O177" s="205"/>
      <c r="P177" s="54"/>
      <c r="Q177" s="54"/>
      <c r="R177" s="368"/>
      <c r="S177" s="90"/>
      <c r="T177" s="204"/>
      <c r="U177" s="163"/>
      <c r="V177" s="129"/>
      <c r="W177" s="85"/>
      <c r="X177" s="71"/>
      <c r="Y177" s="71"/>
      <c r="Z177" s="162"/>
      <c r="AA177" s="219"/>
    </row>
    <row r="178" spans="1:27" ht="12.75">
      <c r="A178" s="89"/>
      <c r="B178" s="133"/>
      <c r="D178" s="131"/>
      <c r="E178" s="87"/>
      <c r="F178" s="404">
        <v>3863</v>
      </c>
      <c r="G178" s="57"/>
      <c r="H178" s="285"/>
      <c r="I178" s="216"/>
      <c r="J178" s="309"/>
      <c r="K178" s="215"/>
      <c r="L178" s="216"/>
      <c r="M178" s="215"/>
      <c r="N178" s="216"/>
      <c r="O178" s="381"/>
      <c r="P178" s="214"/>
      <c r="Q178" s="214"/>
      <c r="R178" s="495"/>
      <c r="S178" s="360"/>
      <c r="T178" s="496"/>
      <c r="U178" s="468"/>
      <c r="V178" s="458"/>
      <c r="W178" s="458"/>
      <c r="X178" s="458"/>
      <c r="Y178" s="458"/>
      <c r="Z178" s="475"/>
      <c r="AA178" s="224"/>
    </row>
    <row r="179" spans="1:27" ht="12.75">
      <c r="A179" s="89"/>
      <c r="B179" s="114"/>
      <c r="C179" s="337" t="s">
        <v>271</v>
      </c>
      <c r="D179" s="177"/>
      <c r="E179" s="50"/>
      <c r="F179" s="405">
        <v>6958</v>
      </c>
      <c r="G179" s="58"/>
      <c r="H179" s="286"/>
      <c r="I179" s="50"/>
      <c r="J179" s="308"/>
      <c r="K179" s="58"/>
      <c r="L179" s="50"/>
      <c r="M179" s="58"/>
      <c r="N179" s="50"/>
      <c r="O179" s="103"/>
      <c r="P179" s="54"/>
      <c r="Q179" s="54"/>
      <c r="R179" s="185"/>
      <c r="S179" s="171"/>
      <c r="T179" s="463"/>
      <c r="U179" s="66"/>
      <c r="V179" s="311"/>
      <c r="W179" s="311"/>
      <c r="X179" s="311"/>
      <c r="Y179" s="311"/>
      <c r="Z179" s="312"/>
      <c r="AA179" s="219"/>
    </row>
    <row r="180" spans="1:27" ht="12.75">
      <c r="A180" s="525">
        <v>2</v>
      </c>
      <c r="B180" s="133"/>
      <c r="D180" s="131"/>
      <c r="E180" s="87"/>
      <c r="F180" s="94"/>
      <c r="G180" s="267"/>
      <c r="H180" s="229"/>
      <c r="I180" s="87"/>
      <c r="J180" s="123"/>
      <c r="K180" s="93"/>
      <c r="L180" s="87"/>
      <c r="M180" s="93"/>
      <c r="N180" s="87"/>
      <c r="O180" s="102"/>
      <c r="P180" s="94"/>
      <c r="Q180" s="94"/>
      <c r="R180" s="183"/>
      <c r="S180" s="167"/>
      <c r="T180" s="278"/>
      <c r="U180" s="80"/>
      <c r="V180" s="210"/>
      <c r="W180" s="210"/>
      <c r="X180" s="210"/>
      <c r="Y180" s="210"/>
      <c r="Z180" s="212"/>
      <c r="AA180" s="218"/>
    </row>
    <row r="181" spans="1:27" ht="12.75">
      <c r="A181" s="524"/>
      <c r="B181" s="109"/>
      <c r="D181" s="131">
        <v>2393.08</v>
      </c>
      <c r="E181" s="366">
        <v>4227</v>
      </c>
      <c r="F181" s="404">
        <v>4227</v>
      </c>
      <c r="G181" s="57"/>
      <c r="H181" s="285"/>
      <c r="I181" s="87">
        <f>0.08*1.23</f>
        <v>0.0984</v>
      </c>
      <c r="J181" s="296"/>
      <c r="K181" s="57"/>
      <c r="L181" s="47"/>
      <c r="M181" s="57"/>
      <c r="N181" s="47"/>
      <c r="O181" s="102">
        <f>9.5*1.23</f>
        <v>11.685</v>
      </c>
      <c r="P181" s="398">
        <v>18.53</v>
      </c>
      <c r="Q181" s="398">
        <v>24.49</v>
      </c>
      <c r="R181" s="367">
        <f>(Q181-P181)*40</f>
        <v>238.3999999999999</v>
      </c>
      <c r="S181" s="111"/>
      <c r="T181" s="341"/>
      <c r="U181" s="173"/>
      <c r="V181" s="121"/>
      <c r="W181" s="67"/>
      <c r="X181" s="156"/>
      <c r="Y181" s="179"/>
      <c r="Z181" s="156"/>
      <c r="AA181" s="218"/>
    </row>
    <row r="182" spans="1:27" ht="12.75">
      <c r="A182" s="89"/>
      <c r="B182" s="49" t="s">
        <v>338</v>
      </c>
      <c r="C182" s="337" t="s">
        <v>274</v>
      </c>
      <c r="D182" s="177">
        <v>6224.39</v>
      </c>
      <c r="E182" s="403">
        <v>7674</v>
      </c>
      <c r="F182" s="405">
        <v>7674</v>
      </c>
      <c r="G182" s="58"/>
      <c r="H182" s="286"/>
      <c r="I182" s="50">
        <f>16.34*1.23</f>
        <v>20.0982</v>
      </c>
      <c r="J182" s="122"/>
      <c r="K182" s="58"/>
      <c r="L182" s="62"/>
      <c r="M182" s="58"/>
      <c r="N182" s="62"/>
      <c r="O182" s="103">
        <f>0.00158*(E181+E182)*1.23</f>
        <v>23.1284034</v>
      </c>
      <c r="P182" s="122">
        <v>70.73</v>
      </c>
      <c r="Q182" s="122">
        <v>80.68</v>
      </c>
      <c r="R182" s="368">
        <f>(Q182-P182)*40</f>
        <v>398.0000000000001</v>
      </c>
      <c r="S182" s="90"/>
      <c r="T182" s="204"/>
      <c r="U182" s="163"/>
      <c r="V182" s="129"/>
      <c r="W182" s="85"/>
      <c r="X182" s="71">
        <v>40</v>
      </c>
      <c r="Y182" s="71">
        <v>34</v>
      </c>
      <c r="Z182" s="414"/>
      <c r="AA182" s="424"/>
    </row>
    <row r="183" spans="1:27" ht="12.75">
      <c r="A183" s="89"/>
      <c r="B183" s="133"/>
      <c r="D183" s="131"/>
      <c r="E183" s="87"/>
      <c r="F183" s="94"/>
      <c r="G183" s="267"/>
      <c r="H183" s="229"/>
      <c r="I183" s="87"/>
      <c r="J183" s="123"/>
      <c r="K183" s="93"/>
      <c r="L183" s="87"/>
      <c r="M183" s="93"/>
      <c r="N183" s="87"/>
      <c r="O183" s="102"/>
      <c r="P183" s="94"/>
      <c r="Q183" s="94"/>
      <c r="R183" s="183"/>
      <c r="S183" s="167"/>
      <c r="T183" s="278"/>
      <c r="U183" s="80"/>
      <c r="V183" s="210"/>
      <c r="W183" s="210"/>
      <c r="X183" s="210"/>
      <c r="Y183" s="210"/>
      <c r="Z183" s="212"/>
      <c r="AA183" s="218"/>
    </row>
    <row r="184" spans="1:27" ht="12.75">
      <c r="A184" s="89"/>
      <c r="B184" s="109"/>
      <c r="D184" s="131">
        <v>2494.52</v>
      </c>
      <c r="E184" s="366">
        <f>(D184-D181)*Y$9</f>
        <v>4057.600000000002</v>
      </c>
      <c r="F184" s="404">
        <v>4058</v>
      </c>
      <c r="G184" s="57"/>
      <c r="H184" s="285"/>
      <c r="I184" s="87">
        <f>0.08*1.23</f>
        <v>0.0984</v>
      </c>
      <c r="J184" s="296"/>
      <c r="K184" s="57"/>
      <c r="L184" s="47"/>
      <c r="M184" s="57"/>
      <c r="N184" s="47"/>
      <c r="O184" s="102">
        <f>9.5*1.23</f>
        <v>11.685</v>
      </c>
      <c r="P184" s="398">
        <v>24.49</v>
      </c>
      <c r="Q184" s="398">
        <v>28.23</v>
      </c>
      <c r="R184" s="367">
        <f>(Q184-P184)*40</f>
        <v>149.60000000000008</v>
      </c>
      <c r="S184" s="111"/>
      <c r="T184" s="341"/>
      <c r="U184" s="173"/>
      <c r="V184" s="121"/>
      <c r="W184" s="67"/>
      <c r="X184" s="156"/>
      <c r="Y184" s="179"/>
      <c r="Z184" s="156"/>
      <c r="AA184" s="218"/>
    </row>
    <row r="185" spans="1:27" ht="12.75">
      <c r="A185" s="89"/>
      <c r="B185" s="49" t="s">
        <v>339</v>
      </c>
      <c r="C185" s="337" t="s">
        <v>332</v>
      </c>
      <c r="D185" s="177">
        <v>6410.96</v>
      </c>
      <c r="E185" s="403">
        <f>(D185-D182)*Y$9</f>
        <v>7462.799999999988</v>
      </c>
      <c r="F185" s="405">
        <v>7463</v>
      </c>
      <c r="G185" s="58"/>
      <c r="H185" s="286"/>
      <c r="I185" s="50">
        <f>16.3*1.23</f>
        <v>20.049</v>
      </c>
      <c r="J185" s="122"/>
      <c r="K185" s="58"/>
      <c r="L185" s="62"/>
      <c r="M185" s="58"/>
      <c r="N185" s="62"/>
      <c r="O185" s="103">
        <f>0.00139*(E184+E185)*1.23</f>
        <v>19.696427879999984</v>
      </c>
      <c r="P185" s="122">
        <v>80.68</v>
      </c>
      <c r="Q185" s="122">
        <v>87.78</v>
      </c>
      <c r="R185" s="368">
        <f>(Q185-P185)*40</f>
        <v>283.9999999999998</v>
      </c>
      <c r="S185" s="90"/>
      <c r="T185" s="204"/>
      <c r="U185" s="163"/>
      <c r="V185" s="129"/>
      <c r="W185" s="85"/>
      <c r="X185" s="71">
        <v>40</v>
      </c>
      <c r="Y185" s="71">
        <v>32</v>
      </c>
      <c r="Z185" s="414"/>
      <c r="AA185" s="424"/>
    </row>
    <row r="186" spans="1:27" ht="12.75">
      <c r="A186" s="525">
        <v>3</v>
      </c>
      <c r="B186" s="133"/>
      <c r="D186" s="131"/>
      <c r="E186" s="87"/>
      <c r="F186" s="94"/>
      <c r="G186" s="267"/>
      <c r="H186" s="229"/>
      <c r="I186" s="87"/>
      <c r="J186" s="123"/>
      <c r="K186" s="93"/>
      <c r="L186" s="87"/>
      <c r="M186" s="93"/>
      <c r="N186" s="87"/>
      <c r="O186" s="102"/>
      <c r="P186" s="94"/>
      <c r="Q186" s="94"/>
      <c r="R186" s="183"/>
      <c r="S186" s="167"/>
      <c r="T186" s="278"/>
      <c r="U186" s="80"/>
      <c r="V186" s="210"/>
      <c r="W186" s="210"/>
      <c r="X186" s="210"/>
      <c r="Y186" s="210"/>
      <c r="Z186" s="212"/>
      <c r="AA186" s="218"/>
    </row>
    <row r="187" spans="1:27" ht="12.75">
      <c r="A187" s="524"/>
      <c r="B187" s="109"/>
      <c r="D187" s="131">
        <v>2556.43</v>
      </c>
      <c r="E187" s="366">
        <f>(D187-D184)*Y$9</f>
        <v>2476.399999999994</v>
      </c>
      <c r="F187" s="404">
        <v>2476</v>
      </c>
      <c r="G187" s="57"/>
      <c r="H187" s="285"/>
      <c r="I187" s="87">
        <f>0.08*1.23</f>
        <v>0.0984</v>
      </c>
      <c r="J187" s="296"/>
      <c r="K187" s="57"/>
      <c r="L187" s="47"/>
      <c r="M187" s="57"/>
      <c r="N187" s="47"/>
      <c r="O187" s="102"/>
      <c r="P187" s="398">
        <v>28.23</v>
      </c>
      <c r="Q187" s="398">
        <v>31.52</v>
      </c>
      <c r="R187" s="367">
        <f>(Q187-P187)*40</f>
        <v>131.59999999999997</v>
      </c>
      <c r="S187" s="111"/>
      <c r="T187" s="341"/>
      <c r="U187" s="173"/>
      <c r="V187" s="121"/>
      <c r="W187" s="67"/>
      <c r="X187" s="156"/>
      <c r="Y187" s="179"/>
      <c r="Z187" s="156"/>
      <c r="AA187" s="218"/>
    </row>
    <row r="188" spans="1:27" ht="12.75">
      <c r="A188" s="89"/>
      <c r="B188" s="208" t="s">
        <v>342</v>
      </c>
      <c r="C188" s="337" t="s">
        <v>344</v>
      </c>
      <c r="D188" s="177">
        <v>6527.71</v>
      </c>
      <c r="E188" s="403">
        <f>(D188-D185)*Y$9</f>
        <v>4670</v>
      </c>
      <c r="F188" s="405">
        <v>4670</v>
      </c>
      <c r="G188" s="58"/>
      <c r="H188" s="286"/>
      <c r="I188" s="50">
        <f>16.3*1.23</f>
        <v>20.049</v>
      </c>
      <c r="J188" s="122"/>
      <c r="K188" s="58"/>
      <c r="L188" s="62"/>
      <c r="M188" s="58"/>
      <c r="N188" s="62"/>
      <c r="O188" s="103">
        <f>0.00139*(E187+E188)*1.23</f>
        <v>12.218200079999988</v>
      </c>
      <c r="P188" s="122">
        <v>87.78</v>
      </c>
      <c r="Q188" s="122">
        <v>92.66</v>
      </c>
      <c r="R188" s="368">
        <f>(Q188-P188)*40</f>
        <v>195.19999999999982</v>
      </c>
      <c r="S188" s="90"/>
      <c r="T188" s="204"/>
      <c r="U188" s="163"/>
      <c r="V188" s="129"/>
      <c r="W188" s="85"/>
      <c r="X188" s="71">
        <v>40</v>
      </c>
      <c r="Y188" s="71">
        <v>30</v>
      </c>
      <c r="Z188" s="414"/>
      <c r="AA188" s="424"/>
    </row>
    <row r="189" spans="1:27" ht="12.75">
      <c r="A189" s="525">
        <v>4</v>
      </c>
      <c r="B189" s="432"/>
      <c r="C189" s="435"/>
      <c r="D189" s="135">
        <v>0</v>
      </c>
      <c r="E189" s="183"/>
      <c r="F189" s="399"/>
      <c r="G189" s="93"/>
      <c r="H189" s="229"/>
      <c r="I189" s="34"/>
      <c r="J189" s="140"/>
      <c r="K189" s="134"/>
      <c r="L189" s="143"/>
      <c r="M189" s="68"/>
      <c r="N189" s="68"/>
      <c r="O189" s="157"/>
      <c r="P189" s="96"/>
      <c r="Q189" s="96"/>
      <c r="R189" s="389"/>
      <c r="S189" s="497"/>
      <c r="T189" s="498"/>
      <c r="U189" s="499"/>
      <c r="V189" s="140"/>
      <c r="W189" s="213"/>
      <c r="X189" s="40"/>
      <c r="Y189" s="82"/>
      <c r="Z189" s="200"/>
      <c r="AA189" s="280"/>
    </row>
    <row r="190" spans="1:27" ht="12.75">
      <c r="A190" s="524"/>
      <c r="B190" s="133"/>
      <c r="C190" s="435"/>
      <c r="D190" s="135">
        <v>24.36</v>
      </c>
      <c r="E190" s="379">
        <f>(D190-D189)*Y$9</f>
        <v>974.4</v>
      </c>
      <c r="F190" s="399"/>
      <c r="G190" s="267"/>
      <c r="H190" s="229"/>
      <c r="I190" s="34"/>
      <c r="J190" s="140"/>
      <c r="K190" s="132"/>
      <c r="L190" s="143"/>
      <c r="M190" s="68"/>
      <c r="N190" s="68"/>
      <c r="O190" s="157"/>
      <c r="P190" s="96">
        <v>0</v>
      </c>
      <c r="Q190" s="96">
        <v>0.91</v>
      </c>
      <c r="R190" s="389">
        <f aca="true" t="shared" si="4" ref="R190:R198">(Q190-P190)*40</f>
        <v>36.4</v>
      </c>
      <c r="S190" s="497"/>
      <c r="T190" s="498"/>
      <c r="U190" s="499"/>
      <c r="V190" s="140"/>
      <c r="W190" s="213"/>
      <c r="X190" s="40"/>
      <c r="Y190" s="82"/>
      <c r="Z190" s="418" t="s">
        <v>213</v>
      </c>
      <c r="AA190" s="280"/>
    </row>
    <row r="191" spans="1:27" ht="12.75">
      <c r="A191" s="199"/>
      <c r="B191" s="109"/>
      <c r="C191" s="328"/>
      <c r="D191" s="135">
        <v>19.04</v>
      </c>
      <c r="E191" s="379">
        <f>(D191-D189)*Y$9</f>
        <v>761.5999999999999</v>
      </c>
      <c r="F191" s="506">
        <v>1393</v>
      </c>
      <c r="G191" s="57"/>
      <c r="H191" s="285"/>
      <c r="I191" s="34">
        <f>0.08*1.23</f>
        <v>0.0984</v>
      </c>
      <c r="J191" s="140"/>
      <c r="K191" s="132"/>
      <c r="L191" s="155"/>
      <c r="M191" s="68"/>
      <c r="N191" s="68"/>
      <c r="O191" s="96">
        <f>9.5*1.23</f>
        <v>11.685</v>
      </c>
      <c r="P191" s="96">
        <v>0</v>
      </c>
      <c r="Q191" s="96">
        <v>1.32</v>
      </c>
      <c r="R191" s="389">
        <f t="shared" si="4"/>
        <v>52.800000000000004</v>
      </c>
      <c r="S191" s="323"/>
      <c r="T191" s="498"/>
      <c r="U191" s="499"/>
      <c r="V191" s="140"/>
      <c r="W191" s="140"/>
      <c r="X191" s="19"/>
      <c r="Y191" s="95"/>
      <c r="Z191" s="415"/>
      <c r="AA191" s="419"/>
    </row>
    <row r="192" spans="1:27" ht="12.75">
      <c r="A192" s="199"/>
      <c r="B192" s="501" t="s">
        <v>340</v>
      </c>
      <c r="C192" s="329" t="s">
        <v>341</v>
      </c>
      <c r="D192" s="86">
        <v>53.52</v>
      </c>
      <c r="E192" s="376">
        <f>(D192-D189)*Y$9</f>
        <v>2140.8</v>
      </c>
      <c r="F192" s="507">
        <v>2677</v>
      </c>
      <c r="G192" s="58"/>
      <c r="H192" s="286"/>
      <c r="I192" s="36">
        <f>16.75*1.23</f>
        <v>20.6025</v>
      </c>
      <c r="J192" s="127"/>
      <c r="K192" s="75"/>
      <c r="L192" s="250"/>
      <c r="M192" s="60"/>
      <c r="N192" s="62"/>
      <c r="O192" s="86">
        <f>0.00139*(E190+E191+E192)*1.23</f>
        <v>6.62816496</v>
      </c>
      <c r="P192" s="97">
        <v>0</v>
      </c>
      <c r="Q192" s="97">
        <v>2.87</v>
      </c>
      <c r="R192" s="369">
        <f t="shared" si="4"/>
        <v>114.80000000000001</v>
      </c>
      <c r="S192" s="98"/>
      <c r="T192" s="320"/>
      <c r="U192" s="146"/>
      <c r="V192" s="127"/>
      <c r="W192" s="37"/>
      <c r="X192" s="38">
        <v>40</v>
      </c>
      <c r="Y192" s="71">
        <v>30</v>
      </c>
      <c r="Z192" s="162"/>
      <c r="AA192" s="220"/>
    </row>
    <row r="193" spans="1:27" ht="12.75">
      <c r="A193" s="199"/>
      <c r="B193" s="88"/>
      <c r="C193" s="435"/>
      <c r="D193" s="135"/>
      <c r="E193" s="429"/>
      <c r="F193" s="399"/>
      <c r="G193" s="267"/>
      <c r="H193" s="229"/>
      <c r="I193" s="34"/>
      <c r="J193" s="140"/>
      <c r="K193" s="134"/>
      <c r="L193" s="143"/>
      <c r="M193" s="68"/>
      <c r="N193" s="87"/>
      <c r="O193" s="157"/>
      <c r="P193" s="96"/>
      <c r="Q193" s="96"/>
      <c r="R193" s="389"/>
      <c r="S193" s="497"/>
      <c r="T193" s="498"/>
      <c r="U193" s="499"/>
      <c r="V193" s="140"/>
      <c r="W193" s="213"/>
      <c r="X193" s="40"/>
      <c r="Y193" s="82"/>
      <c r="Z193" s="200"/>
      <c r="AA193" s="280"/>
    </row>
    <row r="194" spans="1:27" ht="12.75">
      <c r="A194" s="199"/>
      <c r="B194" s="88"/>
      <c r="C194" s="435"/>
      <c r="D194" s="135"/>
      <c r="E194" s="429"/>
      <c r="F194" s="506">
        <f>1345-F191</f>
        <v>-48</v>
      </c>
      <c r="G194" s="57"/>
      <c r="H194" s="285"/>
      <c r="I194" s="34"/>
      <c r="J194" s="140"/>
      <c r="K194" s="134"/>
      <c r="L194" s="143"/>
      <c r="M194" s="68"/>
      <c r="N194" s="87"/>
      <c r="O194" s="157"/>
      <c r="P194" s="96"/>
      <c r="Q194" s="96"/>
      <c r="R194" s="389"/>
      <c r="S194" s="497"/>
      <c r="T194" s="498"/>
      <c r="U194" s="499"/>
      <c r="V194" s="140"/>
      <c r="W194" s="213"/>
      <c r="X194" s="40"/>
      <c r="Y194" s="82"/>
      <c r="Z194" s="200"/>
      <c r="AA194" s="280"/>
    </row>
    <row r="195" spans="1:27" ht="12.75">
      <c r="A195" s="199"/>
      <c r="B195" s="51"/>
      <c r="C195" s="329"/>
      <c r="D195" s="86"/>
      <c r="E195" s="402"/>
      <c r="F195" s="507">
        <f>2532-F192</f>
        <v>-145</v>
      </c>
      <c r="G195" s="58"/>
      <c r="H195" s="286"/>
      <c r="I195" s="36"/>
      <c r="J195" s="295"/>
      <c r="K195" s="75"/>
      <c r="L195" s="127"/>
      <c r="M195" s="60"/>
      <c r="N195" s="50"/>
      <c r="O195" s="387"/>
      <c r="P195" s="510"/>
      <c r="Q195" s="510"/>
      <c r="R195" s="511"/>
      <c r="S195" s="512"/>
      <c r="T195" s="320"/>
      <c r="U195" s="232"/>
      <c r="V195" s="295"/>
      <c r="W195" s="230"/>
      <c r="X195" s="38"/>
      <c r="Y195" s="71"/>
      <c r="Z195" s="162"/>
      <c r="AA195" s="220"/>
    </row>
    <row r="196" spans="1:27" ht="12.75">
      <c r="A196" s="199"/>
      <c r="B196" s="133"/>
      <c r="C196" s="435"/>
      <c r="D196" s="135">
        <v>85.35</v>
      </c>
      <c r="E196" s="379">
        <f>(D196-D190)*Y$9</f>
        <v>2439.6</v>
      </c>
      <c r="F196" s="399"/>
      <c r="G196" s="267"/>
      <c r="H196" s="229"/>
      <c r="I196" s="34"/>
      <c r="J196" s="140"/>
      <c r="K196" s="132"/>
      <c r="L196" s="143"/>
      <c r="M196" s="68"/>
      <c r="N196" s="68"/>
      <c r="O196" s="157"/>
      <c r="P196" s="96">
        <v>0.91</v>
      </c>
      <c r="Q196" s="96">
        <v>1.8</v>
      </c>
      <c r="R196" s="389">
        <f t="shared" si="4"/>
        <v>35.6</v>
      </c>
      <c r="S196" s="497"/>
      <c r="T196" s="498"/>
      <c r="U196" s="499"/>
      <c r="V196" s="140"/>
      <c r="W196" s="213"/>
      <c r="X196" s="40"/>
      <c r="Y196" s="82"/>
      <c r="Z196" s="418"/>
      <c r="AA196" s="280"/>
    </row>
    <row r="197" spans="1:27" ht="12.75">
      <c r="A197" s="523">
        <v>5</v>
      </c>
      <c r="B197" s="109"/>
      <c r="C197" s="328"/>
      <c r="D197" s="135">
        <v>56.82</v>
      </c>
      <c r="E197" s="379">
        <f>(D197-D191)*Y$9</f>
        <v>1511.2</v>
      </c>
      <c r="F197" s="500">
        <v>2611</v>
      </c>
      <c r="G197" s="57"/>
      <c r="H197" s="285"/>
      <c r="I197" s="34">
        <f>0.08*1.23</f>
        <v>0.0984</v>
      </c>
      <c r="J197" s="140"/>
      <c r="K197" s="132"/>
      <c r="L197" s="155"/>
      <c r="M197" s="68"/>
      <c r="N197" s="68"/>
      <c r="O197" s="96">
        <f>9.5*1.23</f>
        <v>11.685</v>
      </c>
      <c r="P197" s="96">
        <v>1.32</v>
      </c>
      <c r="Q197" s="96">
        <v>2.98</v>
      </c>
      <c r="R197" s="389">
        <f t="shared" si="4"/>
        <v>66.39999999999999</v>
      </c>
      <c r="S197" s="323"/>
      <c r="T197" s="498"/>
      <c r="U197" s="499"/>
      <c r="V197" s="140"/>
      <c r="W197" s="140"/>
      <c r="X197" s="19"/>
      <c r="Y197" s="95"/>
      <c r="Z197" s="415"/>
      <c r="AA197" s="419"/>
    </row>
    <row r="198" spans="1:27" ht="12.75">
      <c r="A198" s="532"/>
      <c r="B198" s="501" t="s">
        <v>348</v>
      </c>
      <c r="C198" s="329" t="s">
        <v>346</v>
      </c>
      <c r="D198" s="86">
        <v>189.23</v>
      </c>
      <c r="E198" s="376">
        <f>(D198-D192)*Y$9</f>
        <v>5428.4</v>
      </c>
      <c r="F198" s="502">
        <v>6769</v>
      </c>
      <c r="G198" s="58"/>
      <c r="H198" s="286"/>
      <c r="I198" s="36">
        <f>16.75*1.23</f>
        <v>20.6025</v>
      </c>
      <c r="J198" s="127"/>
      <c r="K198" s="75"/>
      <c r="L198" s="250"/>
      <c r="M198" s="60"/>
      <c r="N198" s="62"/>
      <c r="O198" s="86">
        <f>0.00139*(E196+E197+E198)*1.23</f>
        <v>16.03561824</v>
      </c>
      <c r="P198" s="97">
        <v>2.87</v>
      </c>
      <c r="Q198" s="97">
        <v>7.26</v>
      </c>
      <c r="R198" s="369">
        <f t="shared" si="4"/>
        <v>175.6</v>
      </c>
      <c r="S198" s="98"/>
      <c r="T198" s="320"/>
      <c r="U198" s="146"/>
      <c r="V198" s="127"/>
      <c r="W198" s="37"/>
      <c r="X198" s="38">
        <v>40</v>
      </c>
      <c r="Y198" s="71">
        <v>27</v>
      </c>
      <c r="Z198" s="162"/>
      <c r="AA198" s="220"/>
    </row>
    <row r="199" spans="1:27" ht="12.75">
      <c r="A199" s="199"/>
      <c r="B199" s="133"/>
      <c r="C199" s="435"/>
      <c r="D199" s="135">
        <v>130.06</v>
      </c>
      <c r="E199" s="379">
        <f>(D199-D196)*Y$9</f>
        <v>1788.4000000000003</v>
      </c>
      <c r="F199" s="399"/>
      <c r="G199" s="267"/>
      <c r="H199" s="229"/>
      <c r="I199" s="34"/>
      <c r="J199" s="140"/>
      <c r="K199" s="132"/>
      <c r="L199" s="143"/>
      <c r="M199" s="68"/>
      <c r="N199" s="68"/>
      <c r="O199" s="157"/>
      <c r="P199" s="96">
        <v>1.8</v>
      </c>
      <c r="Q199" s="96">
        <v>2.14</v>
      </c>
      <c r="R199" s="389">
        <f aca="true" t="shared" si="5" ref="R199:R204">(Q199-P199)*40</f>
        <v>13.600000000000003</v>
      </c>
      <c r="S199" s="497"/>
      <c r="T199" s="498"/>
      <c r="U199" s="499"/>
      <c r="V199" s="140"/>
      <c r="W199" s="213"/>
      <c r="X199" s="40"/>
      <c r="Y199" s="82"/>
      <c r="Z199" s="418"/>
      <c r="AA199" s="280"/>
    </row>
    <row r="200" spans="1:27" ht="12.75">
      <c r="A200" s="199"/>
      <c r="B200" s="109"/>
      <c r="C200" s="328"/>
      <c r="D200" s="135">
        <v>77.19</v>
      </c>
      <c r="E200" s="379">
        <f>(D200-D197)*Y$9</f>
        <v>814.8</v>
      </c>
      <c r="F200" s="500">
        <v>1589</v>
      </c>
      <c r="G200" s="57"/>
      <c r="H200" s="285"/>
      <c r="I200" s="34">
        <f>0.08*1.23</f>
        <v>0.0984</v>
      </c>
      <c r="J200" s="140"/>
      <c r="K200" s="132"/>
      <c r="L200" s="155"/>
      <c r="M200" s="68"/>
      <c r="N200" s="68"/>
      <c r="O200" s="96">
        <f>9.5*1.23</f>
        <v>11.685</v>
      </c>
      <c r="P200" s="96">
        <v>2.98</v>
      </c>
      <c r="Q200" s="96">
        <v>3.45</v>
      </c>
      <c r="R200" s="389">
        <f t="shared" si="5"/>
        <v>18.800000000000008</v>
      </c>
      <c r="S200" s="323"/>
      <c r="T200" s="498"/>
      <c r="U200" s="499"/>
      <c r="V200" s="140"/>
      <c r="W200" s="140"/>
      <c r="X200" s="19"/>
      <c r="Y200" s="95"/>
      <c r="Z200" s="415"/>
      <c r="AA200" s="419"/>
    </row>
    <row r="201" spans="1:27" ht="12.75">
      <c r="A201" s="523">
        <v>6</v>
      </c>
      <c r="B201" s="501" t="s">
        <v>351</v>
      </c>
      <c r="C201" s="329" t="s">
        <v>349</v>
      </c>
      <c r="D201" s="86">
        <v>301.88</v>
      </c>
      <c r="E201" s="376">
        <f>(D201-D198)*Y$9</f>
        <v>4506</v>
      </c>
      <c r="F201" s="502">
        <v>5520</v>
      </c>
      <c r="G201" s="58"/>
      <c r="H201" s="286"/>
      <c r="I201" s="36">
        <f>16.75*1.23</f>
        <v>20.6025</v>
      </c>
      <c r="J201" s="127"/>
      <c r="K201" s="75"/>
      <c r="L201" s="250"/>
      <c r="M201" s="60"/>
      <c r="N201" s="62"/>
      <c r="O201" s="86">
        <f>0.00139*(E199+E200+E201)*1.23</f>
        <v>12.15459924</v>
      </c>
      <c r="P201" s="97">
        <v>7.26</v>
      </c>
      <c r="Q201" s="97">
        <v>10.53</v>
      </c>
      <c r="R201" s="369">
        <f t="shared" si="5"/>
        <v>130.79999999999998</v>
      </c>
      <c r="S201" s="98"/>
      <c r="T201" s="320"/>
      <c r="U201" s="146"/>
      <c r="V201" s="127"/>
      <c r="W201" s="37"/>
      <c r="X201" s="38">
        <v>40</v>
      </c>
      <c r="Y201" s="71">
        <v>18</v>
      </c>
      <c r="Z201" s="162"/>
      <c r="AA201" s="220"/>
    </row>
    <row r="202" spans="1:27" ht="12.75">
      <c r="A202" s="532"/>
      <c r="B202" s="133"/>
      <c r="C202" s="435"/>
      <c r="D202" s="135">
        <v>177.94</v>
      </c>
      <c r="E202" s="379">
        <f aca="true" t="shared" si="6" ref="E202:E207">(D202-D199)*Y$9</f>
        <v>1915.1999999999998</v>
      </c>
      <c r="F202" s="399"/>
      <c r="G202" s="267"/>
      <c r="H202" s="229"/>
      <c r="I202" s="34"/>
      <c r="J202" s="140"/>
      <c r="K202" s="132"/>
      <c r="L202" s="143"/>
      <c r="M202" s="68"/>
      <c r="N202" s="68"/>
      <c r="O202" s="157"/>
      <c r="P202" s="96">
        <v>2.14</v>
      </c>
      <c r="Q202" s="96">
        <v>2.86</v>
      </c>
      <c r="R202" s="389">
        <f t="shared" si="5"/>
        <v>28.79999999999999</v>
      </c>
      <c r="S202" s="497"/>
      <c r="T202" s="498"/>
      <c r="U202" s="499"/>
      <c r="V202" s="140"/>
      <c r="W202" s="213"/>
      <c r="X202" s="40"/>
      <c r="Y202" s="82"/>
      <c r="Z202" s="418"/>
      <c r="AA202" s="280"/>
    </row>
    <row r="203" spans="1:27" ht="12.75">
      <c r="A203" s="199"/>
      <c r="B203" s="109"/>
      <c r="C203" s="328"/>
      <c r="D203" s="135">
        <v>93.45</v>
      </c>
      <c r="E203" s="379">
        <f t="shared" si="6"/>
        <v>650.4000000000002</v>
      </c>
      <c r="F203" s="500">
        <v>1317</v>
      </c>
      <c r="G203" s="57"/>
      <c r="H203" s="285"/>
      <c r="I203" s="34">
        <f>0.08*1.23</f>
        <v>0.0984</v>
      </c>
      <c r="J203" s="140"/>
      <c r="K203" s="132"/>
      <c r="L203" s="155"/>
      <c r="M203" s="68"/>
      <c r="N203" s="68"/>
      <c r="O203" s="96">
        <f>9.5*1.23</f>
        <v>11.685</v>
      </c>
      <c r="P203" s="96">
        <v>3.45</v>
      </c>
      <c r="Q203" s="96">
        <v>4.33</v>
      </c>
      <c r="R203" s="389">
        <f t="shared" si="5"/>
        <v>35.199999999999996</v>
      </c>
      <c r="S203" s="323"/>
      <c r="T203" s="498"/>
      <c r="U203" s="499"/>
      <c r="V203" s="140"/>
      <c r="W203" s="140"/>
      <c r="X203" s="19"/>
      <c r="Y203" s="95"/>
      <c r="Z203" s="415"/>
      <c r="AA203" s="419"/>
    </row>
    <row r="204" spans="1:27" ht="12.75">
      <c r="A204" s="199"/>
      <c r="B204" s="501" t="s">
        <v>360</v>
      </c>
      <c r="C204" s="329" t="s">
        <v>359</v>
      </c>
      <c r="D204" s="86">
        <v>412.3</v>
      </c>
      <c r="E204" s="376">
        <f t="shared" si="6"/>
        <v>4416.800000000001</v>
      </c>
      <c r="F204" s="502">
        <v>5666</v>
      </c>
      <c r="G204" s="58"/>
      <c r="H204" s="286"/>
      <c r="I204" s="36">
        <f>16.75*1.23</f>
        <v>20.6025</v>
      </c>
      <c r="J204" s="127"/>
      <c r="K204" s="75"/>
      <c r="L204" s="250"/>
      <c r="M204" s="60"/>
      <c r="N204" s="62"/>
      <c r="O204" s="86">
        <f>0.00139*(E202+E203+E204)*1.23</f>
        <v>11.937809280000003</v>
      </c>
      <c r="P204" s="97">
        <v>10.53</v>
      </c>
      <c r="Q204" s="97">
        <v>16.07</v>
      </c>
      <c r="R204" s="369">
        <f t="shared" si="5"/>
        <v>221.60000000000002</v>
      </c>
      <c r="S204" s="98"/>
      <c r="T204" s="320"/>
      <c r="U204" s="146"/>
      <c r="V204" s="127"/>
      <c r="W204" s="37"/>
      <c r="X204" s="38">
        <v>40</v>
      </c>
      <c r="Y204" s="71">
        <v>22</v>
      </c>
      <c r="Z204" s="162"/>
      <c r="AA204" s="220"/>
    </row>
    <row r="205" spans="1:27" ht="12.75">
      <c r="A205" s="199"/>
      <c r="B205" s="133"/>
      <c r="C205" s="435"/>
      <c r="D205" s="135">
        <v>222.94</v>
      </c>
      <c r="E205" s="379">
        <f t="shared" si="6"/>
        <v>1800</v>
      </c>
      <c r="F205" s="399"/>
      <c r="G205" s="267"/>
      <c r="H205" s="229"/>
      <c r="I205" s="34"/>
      <c r="J205" s="140"/>
      <c r="K205" s="132"/>
      <c r="L205" s="143"/>
      <c r="M205" s="68"/>
      <c r="N205" s="68"/>
      <c r="O205" s="157"/>
      <c r="P205" s="96">
        <v>2.86</v>
      </c>
      <c r="Q205" s="96">
        <v>3.53</v>
      </c>
      <c r="R205" s="389">
        <f aca="true" t="shared" si="7" ref="R205:R210">(Q205-P205)*40</f>
        <v>26.799999999999997</v>
      </c>
      <c r="S205" s="497"/>
      <c r="T205" s="498"/>
      <c r="U205" s="499"/>
      <c r="V205" s="140"/>
      <c r="W205" s="213"/>
      <c r="X205" s="40"/>
      <c r="Y205" s="82"/>
      <c r="Z205" s="418"/>
      <c r="AA205" s="280"/>
    </row>
    <row r="206" spans="1:27" ht="12.75">
      <c r="A206" s="89"/>
      <c r="B206" s="109"/>
      <c r="C206" s="328"/>
      <c r="D206" s="135">
        <v>106.27</v>
      </c>
      <c r="E206" s="379">
        <f t="shared" si="6"/>
        <v>512.7999999999997</v>
      </c>
      <c r="F206" s="500">
        <v>1136</v>
      </c>
      <c r="G206" s="57"/>
      <c r="H206" s="285"/>
      <c r="I206" s="34">
        <f>0.08*1.23</f>
        <v>0.0984</v>
      </c>
      <c r="J206" s="140"/>
      <c r="K206" s="132"/>
      <c r="L206" s="155"/>
      <c r="M206" s="68"/>
      <c r="N206" s="68"/>
      <c r="O206" s="96">
        <f>9.5*1.23</f>
        <v>11.685</v>
      </c>
      <c r="P206" s="96">
        <v>4.33</v>
      </c>
      <c r="Q206" s="96">
        <v>5.87</v>
      </c>
      <c r="R206" s="389">
        <f t="shared" si="7"/>
        <v>61.6</v>
      </c>
      <c r="S206" s="323"/>
      <c r="T206" s="498"/>
      <c r="U206" s="499"/>
      <c r="V206" s="140"/>
      <c r="W206" s="140"/>
      <c r="X206" s="19"/>
      <c r="Y206" s="95"/>
      <c r="Z206" s="415"/>
      <c r="AA206" s="419"/>
    </row>
    <row r="207" spans="1:27" ht="12.75">
      <c r="A207" s="525">
        <v>7</v>
      </c>
      <c r="B207" s="501" t="s">
        <v>363</v>
      </c>
      <c r="C207" s="329" t="s">
        <v>362</v>
      </c>
      <c r="D207" s="86">
        <v>514.31</v>
      </c>
      <c r="E207" s="376">
        <f t="shared" si="6"/>
        <v>4080.3999999999974</v>
      </c>
      <c r="F207" s="502">
        <v>5257</v>
      </c>
      <c r="G207" s="58"/>
      <c r="H207" s="286"/>
      <c r="I207" s="36">
        <f>16.75*1.23</f>
        <v>20.6025</v>
      </c>
      <c r="J207" s="127"/>
      <c r="K207" s="75"/>
      <c r="L207" s="250"/>
      <c r="M207" s="60"/>
      <c r="N207" s="62"/>
      <c r="O207" s="86">
        <f>0.00139*(E205+E206+E207)*1.23</f>
        <v>10.930454039999995</v>
      </c>
      <c r="P207" s="97">
        <v>16.07</v>
      </c>
      <c r="Q207" s="97">
        <v>23.24</v>
      </c>
      <c r="R207" s="369">
        <f t="shared" si="7"/>
        <v>286.79999999999995</v>
      </c>
      <c r="S207" s="98"/>
      <c r="T207" s="320"/>
      <c r="U207" s="146"/>
      <c r="V207" s="127"/>
      <c r="W207" s="37"/>
      <c r="X207" s="38">
        <v>40</v>
      </c>
      <c r="Y207" s="71">
        <v>21</v>
      </c>
      <c r="Z207" s="162"/>
      <c r="AA207" s="220"/>
    </row>
    <row r="208" spans="1:27" ht="12.75">
      <c r="A208" s="524"/>
      <c r="B208" s="133"/>
      <c r="C208" s="435"/>
      <c r="D208" s="135">
        <v>274.7</v>
      </c>
      <c r="E208" s="379">
        <f aca="true" t="shared" si="8" ref="E208:E213">(D208-D205)*Y$9</f>
        <v>2070.3999999999996</v>
      </c>
      <c r="F208" s="399"/>
      <c r="G208" s="267"/>
      <c r="H208" s="229"/>
      <c r="I208" s="34"/>
      <c r="J208" s="140"/>
      <c r="K208" s="132"/>
      <c r="L208" s="143"/>
      <c r="M208" s="68"/>
      <c r="N208" s="68"/>
      <c r="O208" s="157"/>
      <c r="P208" s="96">
        <v>3.53</v>
      </c>
      <c r="Q208" s="96">
        <v>4.57</v>
      </c>
      <c r="R208" s="389">
        <f t="shared" si="7"/>
        <v>41.60000000000002</v>
      </c>
      <c r="S208" s="497"/>
      <c r="T208" s="498"/>
      <c r="U208" s="499"/>
      <c r="V208" s="140"/>
      <c r="W208" s="213"/>
      <c r="X208" s="40"/>
      <c r="Y208" s="82"/>
      <c r="Z208" s="418"/>
      <c r="AA208" s="280"/>
    </row>
    <row r="209" spans="1:27" ht="12.75">
      <c r="A209" s="89"/>
      <c r="B209" s="109"/>
      <c r="C209" s="328"/>
      <c r="D209" s="135">
        <v>124.72</v>
      </c>
      <c r="E209" s="379">
        <f t="shared" si="8"/>
        <v>738.0000000000001</v>
      </c>
      <c r="F209" s="500">
        <v>1354</v>
      </c>
      <c r="G209" s="57"/>
      <c r="H209" s="285"/>
      <c r="I209" s="34">
        <f>0.08*1.23</f>
        <v>0.0984</v>
      </c>
      <c r="J209" s="140"/>
      <c r="K209" s="132"/>
      <c r="L209" s="155"/>
      <c r="M209" s="68"/>
      <c r="N209" s="68"/>
      <c r="O209" s="96">
        <f>9.5*1.23</f>
        <v>11.685</v>
      </c>
      <c r="P209" s="96">
        <v>5.87</v>
      </c>
      <c r="Q209" s="96">
        <v>9.06</v>
      </c>
      <c r="R209" s="389">
        <f t="shared" si="7"/>
        <v>127.60000000000002</v>
      </c>
      <c r="S209" s="323"/>
      <c r="T209" s="498"/>
      <c r="U209" s="499"/>
      <c r="V209" s="140"/>
      <c r="W209" s="140"/>
      <c r="X209" s="19"/>
      <c r="Y209" s="95"/>
      <c r="Z209" s="415"/>
      <c r="AA209" s="419"/>
    </row>
    <row r="210" spans="1:27" ht="12.75">
      <c r="A210" s="89"/>
      <c r="B210" s="501" t="s">
        <v>366</v>
      </c>
      <c r="C210" s="329" t="s">
        <v>364</v>
      </c>
      <c r="D210" s="86">
        <v>637.54</v>
      </c>
      <c r="E210" s="376">
        <f t="shared" si="8"/>
        <v>4929.200000000001</v>
      </c>
      <c r="F210" s="502">
        <v>6384</v>
      </c>
      <c r="G210" s="58"/>
      <c r="H210" s="286"/>
      <c r="I210" s="36">
        <f>16.75*1.23</f>
        <v>20.6025</v>
      </c>
      <c r="J210" s="127"/>
      <c r="K210" s="75"/>
      <c r="L210" s="250"/>
      <c r="M210" s="60"/>
      <c r="N210" s="62"/>
      <c r="O210" s="86">
        <f>0.00139*(E208+E209+E210)*1.23</f>
        <v>13.22897472</v>
      </c>
      <c r="P210" s="97">
        <v>23.24</v>
      </c>
      <c r="Q210" s="97">
        <v>36.81</v>
      </c>
      <c r="R210" s="369">
        <f t="shared" si="7"/>
        <v>542.8000000000002</v>
      </c>
      <c r="S210" s="98"/>
      <c r="T210" s="320"/>
      <c r="U210" s="146"/>
      <c r="V210" s="127"/>
      <c r="W210" s="37"/>
      <c r="X210" s="38">
        <v>40</v>
      </c>
      <c r="Y210" s="71">
        <v>21</v>
      </c>
      <c r="Z210" s="162"/>
      <c r="AA210" s="220"/>
    </row>
    <row r="211" spans="1:27" ht="12.75">
      <c r="A211" s="525">
        <v>8</v>
      </c>
      <c r="B211" s="133"/>
      <c r="C211" s="435"/>
      <c r="D211" s="135">
        <v>322.47</v>
      </c>
      <c r="E211" s="379">
        <f t="shared" si="8"/>
        <v>1910.8000000000015</v>
      </c>
      <c r="F211" s="399"/>
      <c r="G211" s="267"/>
      <c r="H211" s="229"/>
      <c r="I211" s="34"/>
      <c r="J211" s="140"/>
      <c r="K211" s="132"/>
      <c r="L211" s="143"/>
      <c r="M211" s="68"/>
      <c r="N211" s="68"/>
      <c r="O211" s="157"/>
      <c r="P211" s="96">
        <v>4.57</v>
      </c>
      <c r="Q211" s="96">
        <v>6.05</v>
      </c>
      <c r="R211" s="389">
        <f aca="true" t="shared" si="9" ref="R211:R216">(Q211-P211)*40</f>
        <v>59.19999999999998</v>
      </c>
      <c r="S211" s="497"/>
      <c r="T211" s="498"/>
      <c r="U211" s="499"/>
      <c r="V211" s="140"/>
      <c r="W211" s="213"/>
      <c r="X211" s="40"/>
      <c r="Y211" s="82"/>
      <c r="Z211" s="418"/>
      <c r="AA211" s="280"/>
    </row>
    <row r="212" spans="1:27" ht="12.75">
      <c r="A212" s="525"/>
      <c r="B212" s="109"/>
      <c r="C212" s="328"/>
      <c r="D212" s="135">
        <v>144.78</v>
      </c>
      <c r="E212" s="379">
        <f t="shared" si="8"/>
        <v>802.4000000000001</v>
      </c>
      <c r="F212" s="500">
        <v>1471</v>
      </c>
      <c r="G212" s="57"/>
      <c r="H212" s="285"/>
      <c r="I212" s="34">
        <f>0.08*1.23</f>
        <v>0.0984</v>
      </c>
      <c r="J212" s="140"/>
      <c r="K212" s="132"/>
      <c r="L212" s="155"/>
      <c r="M212" s="68"/>
      <c r="N212" s="68"/>
      <c r="O212" s="96">
        <f>9.5*1.23</f>
        <v>11.685</v>
      </c>
      <c r="P212" s="96">
        <v>9.06</v>
      </c>
      <c r="Q212" s="96">
        <v>11.3</v>
      </c>
      <c r="R212" s="389">
        <f t="shared" si="9"/>
        <v>89.60000000000001</v>
      </c>
      <c r="S212" s="323"/>
      <c r="T212" s="498"/>
      <c r="U212" s="499"/>
      <c r="V212" s="140"/>
      <c r="W212" s="140"/>
      <c r="X212" s="19"/>
      <c r="Y212" s="95"/>
      <c r="Z212" s="415"/>
      <c r="AA212" s="419"/>
    </row>
    <row r="213" spans="1:27" ht="12.75">
      <c r="A213" s="525"/>
      <c r="B213" s="501" t="s">
        <v>370</v>
      </c>
      <c r="C213" s="329" t="s">
        <v>371</v>
      </c>
      <c r="D213" s="86">
        <v>769.05</v>
      </c>
      <c r="E213" s="376">
        <f t="shared" si="8"/>
        <v>5260.4</v>
      </c>
      <c r="F213" s="502">
        <v>6503</v>
      </c>
      <c r="G213" s="58"/>
      <c r="H213" s="286"/>
      <c r="I213" s="36">
        <f>16.75*1.23</f>
        <v>20.6025</v>
      </c>
      <c r="J213" s="127"/>
      <c r="K213" s="75"/>
      <c r="L213" s="250"/>
      <c r="M213" s="60"/>
      <c r="N213" s="62"/>
      <c r="O213" s="86">
        <f>0.00139*(E211+E212+E213)*1.23</f>
        <v>13.632463920000003</v>
      </c>
      <c r="P213" s="97">
        <v>36.81</v>
      </c>
      <c r="Q213" s="97">
        <v>52.88</v>
      </c>
      <c r="R213" s="369">
        <f t="shared" si="9"/>
        <v>642.8</v>
      </c>
      <c r="S213" s="98"/>
      <c r="T213" s="320"/>
      <c r="U213" s="146"/>
      <c r="V213" s="127"/>
      <c r="W213" s="37"/>
      <c r="X213" s="38">
        <v>40</v>
      </c>
      <c r="Y213" s="71">
        <v>19</v>
      </c>
      <c r="Z213" s="162"/>
      <c r="AA213" s="220"/>
    </row>
    <row r="214" spans="1:27" ht="12.75">
      <c r="A214" s="524"/>
      <c r="B214" s="133"/>
      <c r="C214" s="435"/>
      <c r="D214" s="135">
        <v>382.79</v>
      </c>
      <c r="E214" s="379">
        <f aca="true" t="shared" si="10" ref="E214:E219">(D214-D211)*Y$9</f>
        <v>2412.7999999999997</v>
      </c>
      <c r="F214" s="399"/>
      <c r="G214" s="267"/>
      <c r="H214" s="229"/>
      <c r="I214" s="34"/>
      <c r="J214" s="140"/>
      <c r="K214" s="132"/>
      <c r="L214" s="143"/>
      <c r="M214" s="68"/>
      <c r="N214" s="68"/>
      <c r="O214" s="157"/>
      <c r="P214" s="96">
        <v>6.05</v>
      </c>
      <c r="Q214" s="96">
        <v>8.41</v>
      </c>
      <c r="R214" s="389">
        <f t="shared" si="9"/>
        <v>94.4</v>
      </c>
      <c r="S214" s="497"/>
      <c r="T214" s="498"/>
      <c r="U214" s="499"/>
      <c r="V214" s="140"/>
      <c r="W214" s="213"/>
      <c r="X214" s="40"/>
      <c r="Y214" s="82"/>
      <c r="Z214" s="418"/>
      <c r="AA214" s="280"/>
    </row>
    <row r="215" spans="1:27" ht="12.75">
      <c r="A215" s="89"/>
      <c r="B215" s="109"/>
      <c r="C215" s="328"/>
      <c r="D215" s="135">
        <v>174.23</v>
      </c>
      <c r="E215" s="379">
        <f t="shared" si="10"/>
        <v>1177.9999999999995</v>
      </c>
      <c r="F215" s="500"/>
      <c r="G215" s="57"/>
      <c r="H215" s="285"/>
      <c r="I215" s="34">
        <f>0.08*1.23</f>
        <v>0.0984</v>
      </c>
      <c r="J215" s="140"/>
      <c r="K215" s="132"/>
      <c r="L215" s="155"/>
      <c r="M215" s="68"/>
      <c r="N215" s="68"/>
      <c r="O215" s="96">
        <f>9.5*1.23</f>
        <v>11.685</v>
      </c>
      <c r="P215" s="96">
        <v>11.3</v>
      </c>
      <c r="Q215" s="96">
        <v>15.7</v>
      </c>
      <c r="R215" s="389">
        <f t="shared" si="9"/>
        <v>175.99999999999994</v>
      </c>
      <c r="S215" s="323"/>
      <c r="T215" s="498"/>
      <c r="U215" s="499"/>
      <c r="V215" s="140"/>
      <c r="W215" s="140"/>
      <c r="X215" s="19"/>
      <c r="Y215" s="95"/>
      <c r="Z215" s="415"/>
      <c r="AA215" s="419"/>
    </row>
    <row r="216" spans="1:27" ht="12.75">
      <c r="A216" s="89"/>
      <c r="B216" s="501" t="s">
        <v>377</v>
      </c>
      <c r="C216" s="329" t="s">
        <v>375</v>
      </c>
      <c r="D216" s="86">
        <v>909.73</v>
      </c>
      <c r="E216" s="376">
        <f t="shared" si="10"/>
        <v>5627.200000000003</v>
      </c>
      <c r="F216" s="502"/>
      <c r="G216" s="58"/>
      <c r="H216" s="286"/>
      <c r="I216" s="36">
        <f>16.75*1.23</f>
        <v>20.6025</v>
      </c>
      <c r="J216" s="127"/>
      <c r="K216" s="75"/>
      <c r="L216" s="250"/>
      <c r="M216" s="60"/>
      <c r="N216" s="62"/>
      <c r="O216" s="86">
        <f>0.00139*(E214+E215+E216)*1.23</f>
        <v>15.760014600000002</v>
      </c>
      <c r="P216" s="97">
        <v>52.88</v>
      </c>
      <c r="Q216" s="97">
        <v>74.78</v>
      </c>
      <c r="R216" s="369">
        <f t="shared" si="9"/>
        <v>876</v>
      </c>
      <c r="S216" s="98"/>
      <c r="T216" s="320"/>
      <c r="U216" s="146"/>
      <c r="V216" s="127"/>
      <c r="W216" s="37"/>
      <c r="X216" s="38">
        <v>40</v>
      </c>
      <c r="Y216" s="71">
        <v>26</v>
      </c>
      <c r="Z216" s="162"/>
      <c r="AA216" s="220"/>
    </row>
    <row r="217" spans="1:27" ht="12.75">
      <c r="A217" s="525">
        <v>9</v>
      </c>
      <c r="B217" s="133"/>
      <c r="C217" s="435"/>
      <c r="D217" s="135">
        <v>448.73</v>
      </c>
      <c r="E217" s="379">
        <f t="shared" si="10"/>
        <v>2637.6</v>
      </c>
      <c r="F217" s="399"/>
      <c r="G217" s="267"/>
      <c r="H217" s="229"/>
      <c r="I217" s="34"/>
      <c r="J217" s="140"/>
      <c r="K217" s="132"/>
      <c r="L217" s="143"/>
      <c r="M217" s="68"/>
      <c r="N217" s="68"/>
      <c r="O217" s="157"/>
      <c r="P217" s="96">
        <v>8.41</v>
      </c>
      <c r="Q217" s="96">
        <v>11.01</v>
      </c>
      <c r="R217" s="389">
        <f aca="true" t="shared" si="11" ref="R217:R222">(Q217-P217)*40</f>
        <v>103.99999999999999</v>
      </c>
      <c r="S217" s="497"/>
      <c r="T217" s="498"/>
      <c r="U217" s="499"/>
      <c r="V217" s="140"/>
      <c r="W217" s="213"/>
      <c r="X217" s="40"/>
      <c r="Y217" s="82"/>
      <c r="Z217" s="418"/>
      <c r="AA217" s="280"/>
    </row>
    <row r="218" spans="1:27" ht="12.75">
      <c r="A218" s="524"/>
      <c r="B218" s="109"/>
      <c r="C218" s="328"/>
      <c r="D218" s="135">
        <v>217.17</v>
      </c>
      <c r="E218" s="379">
        <f t="shared" si="10"/>
        <v>1717.6</v>
      </c>
      <c r="F218" s="500"/>
      <c r="G218" s="57"/>
      <c r="H218" s="285"/>
      <c r="I218" s="34">
        <f>0.08*1.23</f>
        <v>0.0984</v>
      </c>
      <c r="J218" s="140"/>
      <c r="K218" s="132"/>
      <c r="L218" s="155"/>
      <c r="M218" s="68"/>
      <c r="N218" s="68"/>
      <c r="O218" s="96">
        <f>9.5*1.23</f>
        <v>11.685</v>
      </c>
      <c r="P218" s="96">
        <v>15.7</v>
      </c>
      <c r="Q218" s="96">
        <v>22.2</v>
      </c>
      <c r="R218" s="389">
        <f t="shared" si="11"/>
        <v>260</v>
      </c>
      <c r="S218" s="323"/>
      <c r="T218" s="498"/>
      <c r="U218" s="499"/>
      <c r="V218" s="140"/>
      <c r="W218" s="140"/>
      <c r="X218" s="19"/>
      <c r="Y218" s="95"/>
      <c r="Z218" s="415"/>
      <c r="AA218" s="419"/>
    </row>
    <row r="219" spans="1:27" ht="12.75">
      <c r="A219" s="89"/>
      <c r="B219" s="501" t="s">
        <v>378</v>
      </c>
      <c r="C219" s="329" t="s">
        <v>379</v>
      </c>
      <c r="D219" s="86">
        <v>1046.39</v>
      </c>
      <c r="E219" s="376">
        <f t="shared" si="10"/>
        <v>5466.400000000003</v>
      </c>
      <c r="F219" s="502"/>
      <c r="G219" s="58"/>
      <c r="H219" s="286"/>
      <c r="I219" s="36">
        <f>16.75*1.23</f>
        <v>20.6025</v>
      </c>
      <c r="J219" s="127"/>
      <c r="K219" s="75"/>
      <c r="L219" s="250"/>
      <c r="M219" s="60"/>
      <c r="N219" s="62"/>
      <c r="O219" s="86">
        <f>0.00139*(E217+E218+E219)*1.23</f>
        <v>16.79198952</v>
      </c>
      <c r="P219" s="97">
        <v>74.78</v>
      </c>
      <c r="Q219" s="97">
        <v>91.59</v>
      </c>
      <c r="R219" s="369">
        <f t="shared" si="11"/>
        <v>672.4000000000001</v>
      </c>
      <c r="S219" s="98"/>
      <c r="T219" s="320"/>
      <c r="U219" s="146"/>
      <c r="V219" s="127"/>
      <c r="W219" s="37"/>
      <c r="X219" s="38">
        <v>40</v>
      </c>
      <c r="Y219" s="71">
        <v>26</v>
      </c>
      <c r="Z219" s="162"/>
      <c r="AA219" s="220"/>
    </row>
    <row r="220" spans="1:27" ht="12.75">
      <c r="A220" s="89"/>
      <c r="B220" s="133"/>
      <c r="C220" s="435"/>
      <c r="D220" s="135">
        <v>505.61</v>
      </c>
      <c r="E220" s="379">
        <f>(D220-D217)*Y$9</f>
        <v>2275.2</v>
      </c>
      <c r="F220" s="399"/>
      <c r="G220" s="267"/>
      <c r="H220" s="229"/>
      <c r="I220" s="34"/>
      <c r="J220" s="140"/>
      <c r="K220" s="132"/>
      <c r="L220" s="143"/>
      <c r="M220" s="68"/>
      <c r="N220" s="68"/>
      <c r="O220" s="157"/>
      <c r="P220" s="96">
        <v>11.01</v>
      </c>
      <c r="Q220" s="96">
        <v>13.81</v>
      </c>
      <c r="R220" s="389">
        <f t="shared" si="11"/>
        <v>112.00000000000003</v>
      </c>
      <c r="S220" s="497"/>
      <c r="T220" s="498"/>
      <c r="U220" s="499"/>
      <c r="V220" s="140"/>
      <c r="W220" s="213"/>
      <c r="X220" s="40"/>
      <c r="Y220" s="82"/>
      <c r="Z220" s="418"/>
      <c r="AA220" s="280"/>
    </row>
    <row r="221" spans="1:27" ht="12.75">
      <c r="A221" s="525">
        <v>10</v>
      </c>
      <c r="B221" s="109"/>
      <c r="C221" s="328"/>
      <c r="D221" s="135">
        <v>260.68</v>
      </c>
      <c r="E221" s="379">
        <f>(D221-D218)*Y$9</f>
        <v>1740.4000000000008</v>
      </c>
      <c r="F221" s="500"/>
      <c r="G221" s="57"/>
      <c r="H221" s="285"/>
      <c r="I221" s="34">
        <f>0.08*1.23</f>
        <v>0.0984</v>
      </c>
      <c r="J221" s="140"/>
      <c r="K221" s="132"/>
      <c r="L221" s="155"/>
      <c r="M221" s="68"/>
      <c r="N221" s="68"/>
      <c r="O221" s="96">
        <f>9.5*1.23</f>
        <v>11.685</v>
      </c>
      <c r="P221" s="96">
        <v>22.2</v>
      </c>
      <c r="Q221" s="96">
        <v>26.57</v>
      </c>
      <c r="R221" s="389">
        <f t="shared" si="11"/>
        <v>174.80000000000004</v>
      </c>
      <c r="S221" s="323"/>
      <c r="T221" s="498"/>
      <c r="U221" s="499"/>
      <c r="V221" s="140"/>
      <c r="W221" s="140"/>
      <c r="X221" s="19"/>
      <c r="Y221" s="95"/>
      <c r="Z221" s="415"/>
      <c r="AA221" s="419"/>
    </row>
    <row r="222" spans="1:27" ht="13.5" thickBot="1">
      <c r="A222" s="524"/>
      <c r="B222" s="501" t="s">
        <v>383</v>
      </c>
      <c r="C222" s="329" t="s">
        <v>381</v>
      </c>
      <c r="D222" s="86">
        <v>1186.97</v>
      </c>
      <c r="E222" s="376">
        <f>(D222-D219)*Y$9</f>
        <v>5623.199999999997</v>
      </c>
      <c r="F222" s="502"/>
      <c r="G222" s="75"/>
      <c r="H222" s="509"/>
      <c r="I222" s="36">
        <f>16.75*1.23</f>
        <v>20.6025</v>
      </c>
      <c r="J222" s="127"/>
      <c r="K222" s="75"/>
      <c r="L222" s="250"/>
      <c r="M222" s="60"/>
      <c r="N222" s="62"/>
      <c r="O222" s="86">
        <f>0.00139*(E220+E221+E222)*1.23</f>
        <v>16.479456359999993</v>
      </c>
      <c r="P222" s="97">
        <v>91.59</v>
      </c>
      <c r="Q222" s="97">
        <v>106.91</v>
      </c>
      <c r="R222" s="369">
        <f t="shared" si="11"/>
        <v>612.7999999999997</v>
      </c>
      <c r="S222" s="98"/>
      <c r="T222" s="514"/>
      <c r="U222" s="515"/>
      <c r="V222" s="127"/>
      <c r="W222" s="37"/>
      <c r="X222" s="38">
        <v>40</v>
      </c>
      <c r="Y222" s="71">
        <v>26</v>
      </c>
      <c r="Z222" s="162"/>
      <c r="AA222" s="220"/>
    </row>
    <row r="223" spans="1:27" ht="13.5" thickBot="1">
      <c r="A223" s="526" t="s">
        <v>333</v>
      </c>
      <c r="B223" s="527"/>
      <c r="C223" s="527"/>
      <c r="D223" s="528"/>
      <c r="E223" s="41"/>
      <c r="F223" s="13"/>
      <c r="G223" s="228"/>
      <c r="H223" s="248"/>
      <c r="I223" s="13"/>
      <c r="J223" s="13"/>
      <c r="K223" s="41"/>
      <c r="L223" s="41"/>
      <c r="M223" s="41"/>
      <c r="N223" s="41"/>
      <c r="O223" s="302"/>
      <c r="P223" s="33"/>
      <c r="Q223" s="246"/>
      <c r="R223" s="245"/>
      <c r="S223" s="33"/>
      <c r="T223" s="198"/>
      <c r="U223" s="254"/>
      <c r="V223" s="266"/>
      <c r="W223" s="294"/>
      <c r="X223" s="42"/>
      <c r="Y223" s="306"/>
      <c r="Z223" s="42"/>
      <c r="AA223" s="43"/>
    </row>
    <row r="224" spans="1:27" ht="13.5" thickBot="1">
      <c r="A224" s="529"/>
      <c r="B224" s="530"/>
      <c r="C224" s="530"/>
      <c r="D224" s="531"/>
      <c r="E224" s="120">
        <f>SUM(E176:E222)</f>
        <v>108698.19999999998</v>
      </c>
      <c r="F224" s="390">
        <f>SUM(F180:F222)+F227+F228+F230</f>
        <v>108094</v>
      </c>
      <c r="G224" s="252"/>
      <c r="H224" s="253">
        <f>SUM(H175:H222)</f>
        <v>0</v>
      </c>
      <c r="I224" s="99"/>
      <c r="J224" s="99"/>
      <c r="K224" s="99"/>
      <c r="L224" s="99"/>
      <c r="M224" s="99"/>
      <c r="N224" s="99"/>
      <c r="O224" s="99">
        <f>SUM(O175:O223)</f>
        <v>328.84257623999997</v>
      </c>
      <c r="P224" s="517" t="s">
        <v>386</v>
      </c>
      <c r="Q224" s="518">
        <f>SUM(J224:O224)</f>
        <v>328.84257623999997</v>
      </c>
      <c r="R224" s="244"/>
      <c r="S224" s="99"/>
      <c r="T224" s="197"/>
      <c r="U224" s="207"/>
      <c r="V224" s="253"/>
      <c r="W224" s="252"/>
      <c r="X224" s="45">
        <v>40</v>
      </c>
      <c r="Y224" s="74">
        <f>SUM(Y177:Y223)/13</f>
        <v>25.53846153846154</v>
      </c>
      <c r="Z224" s="74"/>
      <c r="AA224" s="46"/>
    </row>
    <row r="225" spans="6:7" ht="12.75">
      <c r="F225" s="391"/>
      <c r="G225" s="150"/>
    </row>
    <row r="226" spans="6:8" ht="12.75">
      <c r="F226" s="399"/>
      <c r="G226" s="267" t="s">
        <v>396</v>
      </c>
      <c r="H226" s="229"/>
    </row>
    <row r="227" spans="6:8" ht="12.75">
      <c r="F227" s="500">
        <v>4770</v>
      </c>
      <c r="G227" s="57"/>
      <c r="H227" s="285"/>
    </row>
    <row r="228" spans="2:27" ht="12.75">
      <c r="B228" s="335"/>
      <c r="C228" s="329" t="s">
        <v>379</v>
      </c>
      <c r="D228" s="335"/>
      <c r="E228" s="335"/>
      <c r="F228" s="502">
        <v>13663</v>
      </c>
      <c r="G228" s="58"/>
      <c r="H228" s="286"/>
      <c r="I228" s="335"/>
      <c r="J228" s="335"/>
      <c r="K228" s="335"/>
      <c r="L228" s="335"/>
      <c r="M228" s="335"/>
      <c r="N228" s="335"/>
      <c r="O228" s="335"/>
      <c r="P228" s="335"/>
      <c r="Q228" s="335"/>
      <c r="R228" s="335"/>
      <c r="S228" s="335"/>
      <c r="T228" s="335"/>
      <c r="U228" s="335"/>
      <c r="V228" s="335"/>
      <c r="W228" s="335"/>
      <c r="X228" s="335"/>
      <c r="Y228" s="335"/>
      <c r="Z228" s="335"/>
      <c r="AA228" s="335"/>
    </row>
    <row r="229" spans="2:27" ht="12.75">
      <c r="B229" s="334"/>
      <c r="C229" s="247"/>
      <c r="D229" s="334"/>
      <c r="E229" s="334"/>
      <c r="F229" s="139"/>
      <c r="G229" s="267"/>
      <c r="H229" s="154"/>
      <c r="I229" s="334"/>
      <c r="J229" s="334"/>
      <c r="K229" s="334"/>
      <c r="L229" s="334"/>
      <c r="M229" s="334"/>
      <c r="N229" s="334"/>
      <c r="O229" s="334"/>
      <c r="P229" s="334"/>
      <c r="Q229" s="334"/>
      <c r="R229" s="334"/>
      <c r="S229" s="334"/>
      <c r="T229" s="334"/>
      <c r="U229" s="334"/>
      <c r="V229" s="334"/>
      <c r="W229" s="334"/>
      <c r="X229" s="334"/>
      <c r="Y229" s="334"/>
      <c r="Z229" s="334"/>
      <c r="AA229" s="334"/>
    </row>
    <row r="230" spans="2:27" ht="12.75">
      <c r="B230" s="335"/>
      <c r="C230" s="329" t="s">
        <v>381</v>
      </c>
      <c r="D230" s="335"/>
      <c r="E230" s="335"/>
      <c r="F230" s="400">
        <v>9639</v>
      </c>
      <c r="G230" s="75"/>
      <c r="H230" s="271"/>
      <c r="I230" s="336"/>
      <c r="J230" s="335"/>
      <c r="K230" s="335"/>
      <c r="L230" s="335"/>
      <c r="M230" s="335"/>
      <c r="N230" s="335"/>
      <c r="O230" s="335"/>
      <c r="P230" s="335"/>
      <c r="Q230" s="335"/>
      <c r="R230" s="335"/>
      <c r="S230" s="335"/>
      <c r="T230" s="335"/>
      <c r="U230" s="335"/>
      <c r="V230" s="335"/>
      <c r="W230" s="335"/>
      <c r="X230" s="335"/>
      <c r="Y230" s="335"/>
      <c r="Z230" s="335"/>
      <c r="AA230" s="335"/>
    </row>
    <row r="231" spans="1:27" ht="12.75">
      <c r="A231" s="89"/>
      <c r="B231" s="133"/>
      <c r="C231" s="435"/>
      <c r="D231" s="135">
        <v>575.91</v>
      </c>
      <c r="E231" s="379">
        <f>(D231-D220)*Y$9</f>
        <v>2811.999999999998</v>
      </c>
      <c r="F231" s="399"/>
      <c r="G231" s="267"/>
      <c r="H231" s="229"/>
      <c r="I231" s="34"/>
      <c r="J231" s="140"/>
      <c r="K231" s="132"/>
      <c r="L231" s="143"/>
      <c r="M231" s="68"/>
      <c r="N231" s="68"/>
      <c r="O231" s="157"/>
      <c r="P231" s="96">
        <v>13.81</v>
      </c>
      <c r="Q231" s="96">
        <v>16.5</v>
      </c>
      <c r="R231" s="389">
        <f aca="true" t="shared" si="12" ref="R231:R236">(Q231-P231)*40</f>
        <v>107.59999999999998</v>
      </c>
      <c r="S231" s="497"/>
      <c r="T231" s="498"/>
      <c r="U231" s="499"/>
      <c r="V231" s="140"/>
      <c r="W231" s="213"/>
      <c r="X231" s="40"/>
      <c r="Y231" s="82"/>
      <c r="Z231" s="418"/>
      <c r="AA231" s="280"/>
    </row>
    <row r="232" spans="1:27" ht="12.75">
      <c r="A232" s="89"/>
      <c r="B232" s="109"/>
      <c r="C232" s="328"/>
      <c r="D232" s="135">
        <v>313.22</v>
      </c>
      <c r="E232" s="379">
        <f>(D232-D221)*Y$9</f>
        <v>2101.600000000001</v>
      </c>
      <c r="F232" s="500"/>
      <c r="G232" s="267"/>
      <c r="H232" s="285"/>
      <c r="I232" s="34">
        <f>0.08*1.23</f>
        <v>0.0984</v>
      </c>
      <c r="J232" s="140"/>
      <c r="K232" s="132"/>
      <c r="L232" s="155"/>
      <c r="M232" s="68"/>
      <c r="N232" s="68"/>
      <c r="O232" s="96">
        <f>9.5*1.23</f>
        <v>11.685</v>
      </c>
      <c r="P232" s="96">
        <v>26.57</v>
      </c>
      <c r="Q232" s="96">
        <v>32.8</v>
      </c>
      <c r="R232" s="389">
        <f t="shared" si="12"/>
        <v>249.19999999999987</v>
      </c>
      <c r="S232" s="323"/>
      <c r="T232" s="498"/>
      <c r="U232" s="499"/>
      <c r="V232" s="140"/>
      <c r="W232" s="140"/>
      <c r="X232" s="19"/>
      <c r="Y232" s="95"/>
      <c r="Z232" s="415"/>
      <c r="AA232" s="419"/>
    </row>
    <row r="233" spans="1:27" ht="12.75">
      <c r="A233" s="525">
        <v>1</v>
      </c>
      <c r="B233" s="501" t="s">
        <v>389</v>
      </c>
      <c r="C233" s="329" t="s">
        <v>387</v>
      </c>
      <c r="D233" s="86">
        <v>1349.26</v>
      </c>
      <c r="E233" s="376">
        <f>(D233-D222)*Y$9</f>
        <v>6491.5999999999985</v>
      </c>
      <c r="F233" s="502">
        <v>11405</v>
      </c>
      <c r="G233" s="75"/>
      <c r="H233" s="286"/>
      <c r="I233" s="36">
        <f>16.75*1.23</f>
        <v>20.6025</v>
      </c>
      <c r="J233" s="127"/>
      <c r="K233" s="75"/>
      <c r="L233" s="250"/>
      <c r="M233" s="60"/>
      <c r="N233" s="62"/>
      <c r="O233" s="86">
        <f>0.00139*(E231+E232+E233)*1.23</f>
        <v>19.499470439999996</v>
      </c>
      <c r="P233" s="97">
        <v>106.91</v>
      </c>
      <c r="Q233" s="97">
        <v>125.01</v>
      </c>
      <c r="R233" s="369">
        <f t="shared" si="12"/>
        <v>724.0000000000003</v>
      </c>
      <c r="S233" s="98"/>
      <c r="T233" s="320"/>
      <c r="U233" s="146"/>
      <c r="V233" s="127"/>
      <c r="W233" s="37"/>
      <c r="X233" s="38">
        <v>40</v>
      </c>
      <c r="Y233" s="71">
        <v>34</v>
      </c>
      <c r="Z233" s="162"/>
      <c r="AA233" s="220"/>
    </row>
    <row r="234" spans="1:27" ht="12.75">
      <c r="A234" s="524"/>
      <c r="B234" s="133"/>
      <c r="C234" s="435"/>
      <c r="D234" s="135">
        <v>644.65</v>
      </c>
      <c r="E234" s="379">
        <f aca="true" t="shared" si="13" ref="E234:E239">(D234-D231)*Y$9</f>
        <v>2749.6000000000004</v>
      </c>
      <c r="F234" s="399"/>
      <c r="G234" s="267"/>
      <c r="H234" s="229"/>
      <c r="I234" s="39">
        <f>0.0762*1.23</f>
        <v>0.093726</v>
      </c>
      <c r="J234" s="140"/>
      <c r="K234" s="132"/>
      <c r="L234" s="143"/>
      <c r="M234" s="68"/>
      <c r="N234" s="68"/>
      <c r="O234" s="157"/>
      <c r="P234" s="96">
        <v>16.5</v>
      </c>
      <c r="Q234" s="96">
        <v>18.52</v>
      </c>
      <c r="R234" s="389">
        <f t="shared" si="12"/>
        <v>80.79999999999998</v>
      </c>
      <c r="S234" s="497"/>
      <c r="T234" s="498"/>
      <c r="U234" s="499"/>
      <c r="V234" s="140"/>
      <c r="W234" s="213"/>
      <c r="X234" s="40"/>
      <c r="Y234" s="82"/>
      <c r="Z234" s="418"/>
      <c r="AA234" s="280"/>
    </row>
    <row r="235" spans="1:27" ht="12.75">
      <c r="A235" s="89"/>
      <c r="B235" s="109"/>
      <c r="C235" s="328"/>
      <c r="D235" s="135">
        <v>359.9</v>
      </c>
      <c r="E235" s="379">
        <f t="shared" si="13"/>
        <v>1867.199999999998</v>
      </c>
      <c r="F235" s="500"/>
      <c r="G235" s="267"/>
      <c r="H235" s="285"/>
      <c r="I235" s="34">
        <f>0.08*1.23</f>
        <v>0.0984</v>
      </c>
      <c r="J235" s="140"/>
      <c r="K235" s="132"/>
      <c r="L235" s="155"/>
      <c r="M235" s="68"/>
      <c r="N235" s="68"/>
      <c r="O235" s="96">
        <f>9.5*1.23</f>
        <v>11.685</v>
      </c>
      <c r="P235" s="96">
        <v>32.8</v>
      </c>
      <c r="Q235" s="96">
        <v>37.47</v>
      </c>
      <c r="R235" s="389">
        <f t="shared" si="12"/>
        <v>186.80000000000007</v>
      </c>
      <c r="S235" s="323"/>
      <c r="T235" s="498"/>
      <c r="U235" s="499"/>
      <c r="V235" s="140"/>
      <c r="W235" s="140"/>
      <c r="X235" s="19"/>
      <c r="Y235" s="95"/>
      <c r="Z235" s="415"/>
      <c r="AA235" s="419"/>
    </row>
    <row r="236" spans="1:27" ht="12.75">
      <c r="A236" s="89"/>
      <c r="B236" s="501" t="s">
        <v>400</v>
      </c>
      <c r="C236" s="413" t="s">
        <v>388</v>
      </c>
      <c r="D236" s="86">
        <v>1509.54</v>
      </c>
      <c r="E236" s="376">
        <f t="shared" si="13"/>
        <v>6411.199999999999</v>
      </c>
      <c r="F236" s="502">
        <v>11028</v>
      </c>
      <c r="G236" s="75"/>
      <c r="H236" s="286"/>
      <c r="I236" s="36">
        <f>16.75*1.23</f>
        <v>20.6025</v>
      </c>
      <c r="J236" s="127"/>
      <c r="K236" s="75"/>
      <c r="L236" s="250"/>
      <c r="M236" s="60"/>
      <c r="N236" s="62"/>
      <c r="O236" s="86">
        <f>0.0022*(E234+E235+E236)*1.23</f>
        <v>29.84176799999999</v>
      </c>
      <c r="P236" s="97">
        <v>125.01</v>
      </c>
      <c r="Q236" s="97">
        <v>141.33</v>
      </c>
      <c r="R236" s="369">
        <f t="shared" si="12"/>
        <v>652.8000000000003</v>
      </c>
      <c r="S236" s="98"/>
      <c r="T236" s="320"/>
      <c r="U236" s="146"/>
      <c r="V236" s="127"/>
      <c r="W236" s="37"/>
      <c r="X236" s="38">
        <v>40</v>
      </c>
      <c r="Y236" s="71">
        <v>30</v>
      </c>
      <c r="Z236" s="162"/>
      <c r="AA236" s="220"/>
    </row>
    <row r="237" spans="1:27" ht="12.75">
      <c r="A237" s="525">
        <v>2</v>
      </c>
      <c r="B237" s="133"/>
      <c r="C237" s="435"/>
      <c r="D237" s="135">
        <v>713.81</v>
      </c>
      <c r="E237" s="379">
        <f t="shared" si="13"/>
        <v>2766.3999999999987</v>
      </c>
      <c r="F237" s="399"/>
      <c r="G237" s="267"/>
      <c r="H237" s="229"/>
      <c r="I237" s="39">
        <f>0.0762*1.23</f>
        <v>0.093726</v>
      </c>
      <c r="J237" s="140"/>
      <c r="K237" s="141"/>
      <c r="L237" s="143"/>
      <c r="M237" s="68"/>
      <c r="N237" s="68"/>
      <c r="O237" s="157"/>
      <c r="P237" s="96">
        <v>18.52</v>
      </c>
      <c r="Q237" s="96">
        <v>20.39</v>
      </c>
      <c r="R237" s="389">
        <f>(Q237-P237)*40</f>
        <v>74.80000000000004</v>
      </c>
      <c r="S237" s="497"/>
      <c r="T237" s="498"/>
      <c r="U237" s="499"/>
      <c r="V237" s="140"/>
      <c r="W237" s="213"/>
      <c r="X237" s="40"/>
      <c r="Y237" s="82"/>
      <c r="Z237" s="418"/>
      <c r="AA237" s="280"/>
    </row>
    <row r="238" spans="1:27" ht="12.75">
      <c r="A238" s="524"/>
      <c r="B238" s="109"/>
      <c r="C238" s="328"/>
      <c r="D238" s="135">
        <v>403.43</v>
      </c>
      <c r="E238" s="379">
        <f t="shared" si="13"/>
        <v>1741.2000000000012</v>
      </c>
      <c r="F238" s="500"/>
      <c r="G238" s="267"/>
      <c r="H238" s="285"/>
      <c r="I238" s="34">
        <f>0.08*1.23</f>
        <v>0.0984</v>
      </c>
      <c r="J238" s="140"/>
      <c r="K238" s="141"/>
      <c r="L238" s="155"/>
      <c r="M238" s="68"/>
      <c r="N238" s="68"/>
      <c r="O238" s="96">
        <f>9.5*1.23</f>
        <v>11.685</v>
      </c>
      <c r="P238" s="96">
        <v>37.47</v>
      </c>
      <c r="Q238" s="96">
        <v>41.52</v>
      </c>
      <c r="R238" s="389">
        <f>(Q238-P238)*40</f>
        <v>162.00000000000017</v>
      </c>
      <c r="S238" s="323"/>
      <c r="T238" s="498"/>
      <c r="U238" s="499"/>
      <c r="V238" s="140"/>
      <c r="W238" s="140"/>
      <c r="X238" s="19"/>
      <c r="Y238" s="95"/>
      <c r="Z238" s="415"/>
      <c r="AA238" s="419"/>
    </row>
    <row r="239" spans="1:27" ht="12.75">
      <c r="A239" s="89"/>
      <c r="B239" s="501" t="s">
        <v>401</v>
      </c>
      <c r="C239" s="413" t="s">
        <v>395</v>
      </c>
      <c r="D239" s="86">
        <v>1648.36</v>
      </c>
      <c r="E239" s="376">
        <f t="shared" si="13"/>
        <v>5552.799999999997</v>
      </c>
      <c r="F239" s="502"/>
      <c r="G239" s="75"/>
      <c r="H239" s="286"/>
      <c r="I239" s="36">
        <f>16.75*1.23</f>
        <v>20.6025</v>
      </c>
      <c r="J239" s="127"/>
      <c r="K239" s="313"/>
      <c r="L239" s="250"/>
      <c r="M239" s="60"/>
      <c r="N239" s="62"/>
      <c r="O239" s="86">
        <f>0.0022*(E237+E238+E239)*1.23</f>
        <v>27.223442399999996</v>
      </c>
      <c r="P239" s="97">
        <v>141.33</v>
      </c>
      <c r="Q239" s="97">
        <v>152.54</v>
      </c>
      <c r="R239" s="369">
        <f>(Q239-P239)*40</f>
        <v>448.3999999999992</v>
      </c>
      <c r="S239" s="98"/>
      <c r="T239" s="320"/>
      <c r="U239" s="146"/>
      <c r="V239" s="127"/>
      <c r="W239" s="37"/>
      <c r="X239" s="38">
        <v>40</v>
      </c>
      <c r="Y239" s="71">
        <v>30</v>
      </c>
      <c r="Z239" s="162"/>
      <c r="AA239" s="220"/>
    </row>
    <row r="240" spans="1:27" ht="12.75">
      <c r="A240" s="89"/>
      <c r="B240" s="133"/>
      <c r="D240" s="131"/>
      <c r="E240" s="87"/>
      <c r="F240" s="94"/>
      <c r="G240" s="267"/>
      <c r="H240" s="229"/>
      <c r="I240" s="87"/>
      <c r="J240" s="123"/>
      <c r="K240" s="93"/>
      <c r="L240" s="87"/>
      <c r="M240" s="93"/>
      <c r="N240" s="87"/>
      <c r="O240" s="102"/>
      <c r="P240" s="94"/>
      <c r="Q240" s="94"/>
      <c r="R240" s="183"/>
      <c r="S240" s="167"/>
      <c r="T240" s="278"/>
      <c r="U240" s="80"/>
      <c r="V240" s="210"/>
      <c r="W240" s="210"/>
      <c r="X240" s="210"/>
      <c r="Y240" s="210"/>
      <c r="Z240" s="212"/>
      <c r="AA240" s="218"/>
    </row>
    <row r="241" spans="1:27" ht="12.75">
      <c r="A241" s="89"/>
      <c r="B241" s="109"/>
      <c r="D241" s="131"/>
      <c r="E241" s="366"/>
      <c r="F241" s="404"/>
      <c r="G241" s="57"/>
      <c r="H241" s="285"/>
      <c r="I241" s="87"/>
      <c r="J241" s="296"/>
      <c r="K241" s="57"/>
      <c r="L241" s="47"/>
      <c r="M241" s="57"/>
      <c r="N241" s="47"/>
      <c r="O241" s="102"/>
      <c r="P241" s="398"/>
      <c r="Q241" s="398"/>
      <c r="R241" s="367"/>
      <c r="S241" s="111"/>
      <c r="T241" s="341"/>
      <c r="U241" s="173"/>
      <c r="V241" s="121"/>
      <c r="W241" s="67"/>
      <c r="X241" s="156"/>
      <c r="Y241" s="179"/>
      <c r="Z241" s="156"/>
      <c r="AA241" s="218"/>
    </row>
    <row r="242" spans="1:27" ht="12.75">
      <c r="A242" s="89"/>
      <c r="B242" s="49"/>
      <c r="C242" s="337"/>
      <c r="D242" s="177"/>
      <c r="E242" s="403"/>
      <c r="F242" s="405"/>
      <c r="G242" s="58"/>
      <c r="H242" s="286"/>
      <c r="I242" s="50"/>
      <c r="J242" s="122"/>
      <c r="K242" s="58"/>
      <c r="L242" s="62"/>
      <c r="M242" s="58"/>
      <c r="N242" s="62"/>
      <c r="O242" s="103"/>
      <c r="P242" s="122"/>
      <c r="Q242" s="122"/>
      <c r="R242" s="368"/>
      <c r="S242" s="90"/>
      <c r="T242" s="204"/>
      <c r="U242" s="163"/>
      <c r="V242" s="129"/>
      <c r="W242" s="85"/>
      <c r="X242" s="71"/>
      <c r="Y242" s="71"/>
      <c r="Z242" s="414"/>
      <c r="AA242" s="424"/>
    </row>
    <row r="243" spans="1:27" ht="12.75">
      <c r="A243" s="525">
        <v>3</v>
      </c>
      <c r="B243" s="133"/>
      <c r="D243" s="131"/>
      <c r="E243" s="87"/>
      <c r="F243" s="94"/>
      <c r="G243" s="267"/>
      <c r="H243" s="229"/>
      <c r="I243" s="87"/>
      <c r="J243" s="123"/>
      <c r="K243" s="93"/>
      <c r="L243" s="87"/>
      <c r="M243" s="93"/>
      <c r="N243" s="87"/>
      <c r="O243" s="102"/>
      <c r="P243" s="94"/>
      <c r="Q243" s="94"/>
      <c r="R243" s="183"/>
      <c r="S243" s="167"/>
      <c r="T243" s="278"/>
      <c r="U243" s="80"/>
      <c r="V243" s="210"/>
      <c r="W243" s="210"/>
      <c r="X243" s="210"/>
      <c r="Y243" s="210"/>
      <c r="Z243" s="212"/>
      <c r="AA243" s="218"/>
    </row>
    <row r="244" spans="1:27" ht="12.75">
      <c r="A244" s="524"/>
      <c r="B244" s="109"/>
      <c r="D244" s="131"/>
      <c r="E244" s="366"/>
      <c r="F244" s="404"/>
      <c r="G244" s="57"/>
      <c r="H244" s="285"/>
      <c r="I244" s="87"/>
      <c r="J244" s="296"/>
      <c r="K244" s="57"/>
      <c r="L244" s="47"/>
      <c r="M244" s="57"/>
      <c r="N244" s="47"/>
      <c r="O244" s="102"/>
      <c r="P244" s="398"/>
      <c r="Q244" s="398"/>
      <c r="R244" s="367"/>
      <c r="S244" s="111"/>
      <c r="T244" s="341"/>
      <c r="U244" s="173"/>
      <c r="V244" s="121"/>
      <c r="W244" s="67"/>
      <c r="X244" s="156"/>
      <c r="Y244" s="179"/>
      <c r="Z244" s="156"/>
      <c r="AA244" s="218"/>
    </row>
    <row r="245" spans="1:27" ht="12.75">
      <c r="A245" s="89"/>
      <c r="B245" s="208"/>
      <c r="C245" s="337"/>
      <c r="D245" s="177"/>
      <c r="E245" s="403"/>
      <c r="F245" s="405"/>
      <c r="G245" s="58"/>
      <c r="H245" s="286"/>
      <c r="I245" s="50"/>
      <c r="J245" s="122"/>
      <c r="K245" s="58"/>
      <c r="L245" s="62"/>
      <c r="M245" s="58"/>
      <c r="N245" s="62"/>
      <c r="O245" s="103"/>
      <c r="P245" s="122"/>
      <c r="Q245" s="122"/>
      <c r="R245" s="368"/>
      <c r="S245" s="90"/>
      <c r="T245" s="204"/>
      <c r="U245" s="163"/>
      <c r="V245" s="129"/>
      <c r="W245" s="85"/>
      <c r="X245" s="71"/>
      <c r="Y245" s="71"/>
      <c r="Z245" s="414"/>
      <c r="AA245" s="424"/>
    </row>
    <row r="246" spans="1:27" ht="12.75">
      <c r="A246" s="525">
        <v>4</v>
      </c>
      <c r="B246" s="432"/>
      <c r="C246" s="435"/>
      <c r="D246" s="135"/>
      <c r="E246" s="183"/>
      <c r="F246" s="399"/>
      <c r="G246" s="93"/>
      <c r="H246" s="229"/>
      <c r="I246" s="34"/>
      <c r="J246" s="140"/>
      <c r="K246" s="134"/>
      <c r="L246" s="143"/>
      <c r="M246" s="68"/>
      <c r="N246" s="68"/>
      <c r="O246" s="157"/>
      <c r="P246" s="96"/>
      <c r="Q246" s="96"/>
      <c r="R246" s="389"/>
      <c r="S246" s="497"/>
      <c r="T246" s="498"/>
      <c r="U246" s="499"/>
      <c r="V246" s="140"/>
      <c r="W246" s="213"/>
      <c r="X246" s="40"/>
      <c r="Y246" s="82"/>
      <c r="Z246" s="200"/>
      <c r="AA246" s="280"/>
    </row>
    <row r="247" spans="1:27" ht="12.75">
      <c r="A247" s="524"/>
      <c r="B247" s="133"/>
      <c r="C247" s="435"/>
      <c r="D247" s="135"/>
      <c r="E247" s="379"/>
      <c r="F247" s="399"/>
      <c r="G247" s="267"/>
      <c r="H247" s="229"/>
      <c r="I247" s="34"/>
      <c r="J247" s="140"/>
      <c r="K247" s="132"/>
      <c r="L247" s="143"/>
      <c r="M247" s="68"/>
      <c r="N247" s="68"/>
      <c r="O247" s="157"/>
      <c r="P247" s="96"/>
      <c r="Q247" s="96"/>
      <c r="R247" s="389"/>
      <c r="S247" s="497"/>
      <c r="T247" s="498"/>
      <c r="U247" s="499"/>
      <c r="V247" s="140"/>
      <c r="W247" s="213"/>
      <c r="X247" s="40"/>
      <c r="Y247" s="82"/>
      <c r="Z247" s="418"/>
      <c r="AA247" s="280"/>
    </row>
    <row r="248" spans="1:27" ht="12.75">
      <c r="A248" s="199"/>
      <c r="B248" s="109"/>
      <c r="C248" s="328"/>
      <c r="D248" s="135"/>
      <c r="E248" s="379"/>
      <c r="F248" s="506"/>
      <c r="G248" s="57"/>
      <c r="H248" s="285"/>
      <c r="I248" s="34"/>
      <c r="J248" s="140"/>
      <c r="K248" s="132"/>
      <c r="L248" s="155"/>
      <c r="M248" s="68"/>
      <c r="N248" s="68"/>
      <c r="O248" s="96"/>
      <c r="P248" s="96"/>
      <c r="Q248" s="96"/>
      <c r="R248" s="389"/>
      <c r="S248" s="323"/>
      <c r="T248" s="498"/>
      <c r="U248" s="499"/>
      <c r="V248" s="140"/>
      <c r="W248" s="140"/>
      <c r="X248" s="19"/>
      <c r="Y248" s="95"/>
      <c r="Z248" s="415"/>
      <c r="AA248" s="419"/>
    </row>
    <row r="249" spans="1:27" ht="12.75">
      <c r="A249" s="199"/>
      <c r="B249" s="501"/>
      <c r="C249" s="329"/>
      <c r="D249" s="86"/>
      <c r="E249" s="376"/>
      <c r="F249" s="507"/>
      <c r="G249" s="58"/>
      <c r="H249" s="286"/>
      <c r="I249" s="36"/>
      <c r="J249" s="127"/>
      <c r="K249" s="75"/>
      <c r="L249" s="250"/>
      <c r="M249" s="60"/>
      <c r="N249" s="62"/>
      <c r="O249" s="86"/>
      <c r="P249" s="97"/>
      <c r="Q249" s="97"/>
      <c r="R249" s="369"/>
      <c r="S249" s="98"/>
      <c r="T249" s="320"/>
      <c r="U249" s="146"/>
      <c r="V249" s="127"/>
      <c r="W249" s="37"/>
      <c r="X249" s="38"/>
      <c r="Y249" s="71"/>
      <c r="Z249" s="162"/>
      <c r="AA249" s="220"/>
    </row>
    <row r="250" spans="1:27" ht="12.75">
      <c r="A250" s="199"/>
      <c r="B250" s="88"/>
      <c r="C250" s="435"/>
      <c r="D250" s="135"/>
      <c r="E250" s="429"/>
      <c r="F250" s="399"/>
      <c r="G250" s="267"/>
      <c r="H250" s="229"/>
      <c r="I250" s="34"/>
      <c r="J250" s="140"/>
      <c r="K250" s="134"/>
      <c r="L250" s="143"/>
      <c r="M250" s="68"/>
      <c r="N250" s="87"/>
      <c r="O250" s="157"/>
      <c r="P250" s="96"/>
      <c r="Q250" s="96"/>
      <c r="R250" s="389"/>
      <c r="S250" s="497"/>
      <c r="T250" s="498"/>
      <c r="U250" s="499"/>
      <c r="V250" s="140"/>
      <c r="W250" s="213"/>
      <c r="X250" s="40"/>
      <c r="Y250" s="82"/>
      <c r="Z250" s="200"/>
      <c r="AA250" s="280"/>
    </row>
    <row r="251" spans="1:27" ht="12.75">
      <c r="A251" s="199"/>
      <c r="B251" s="88"/>
      <c r="C251" s="435"/>
      <c r="D251" s="135"/>
      <c r="E251" s="429"/>
      <c r="F251" s="506"/>
      <c r="G251" s="57"/>
      <c r="H251" s="285"/>
      <c r="I251" s="34"/>
      <c r="J251" s="140"/>
      <c r="K251" s="134"/>
      <c r="L251" s="143"/>
      <c r="M251" s="68"/>
      <c r="N251" s="87"/>
      <c r="O251" s="157"/>
      <c r="P251" s="96"/>
      <c r="Q251" s="96"/>
      <c r="R251" s="389"/>
      <c r="S251" s="497"/>
      <c r="T251" s="498"/>
      <c r="U251" s="499"/>
      <c r="V251" s="140"/>
      <c r="W251" s="213"/>
      <c r="X251" s="40"/>
      <c r="Y251" s="82"/>
      <c r="Z251" s="200"/>
      <c r="AA251" s="280"/>
    </row>
    <row r="252" spans="1:27" ht="12.75">
      <c r="A252" s="199"/>
      <c r="B252" s="51"/>
      <c r="C252" s="329"/>
      <c r="D252" s="86"/>
      <c r="E252" s="402"/>
      <c r="F252" s="507"/>
      <c r="G252" s="58"/>
      <c r="H252" s="286"/>
      <c r="I252" s="36"/>
      <c r="J252" s="295"/>
      <c r="K252" s="75"/>
      <c r="L252" s="127"/>
      <c r="M252" s="60"/>
      <c r="N252" s="50"/>
      <c r="O252" s="387"/>
      <c r="P252" s="510"/>
      <c r="Q252" s="510"/>
      <c r="R252" s="511"/>
      <c r="S252" s="512"/>
      <c r="T252" s="320"/>
      <c r="U252" s="232"/>
      <c r="V252" s="295"/>
      <c r="W252" s="230"/>
      <c r="X252" s="38"/>
      <c r="Y252" s="71"/>
      <c r="Z252" s="162"/>
      <c r="AA252" s="220"/>
    </row>
    <row r="253" spans="1:27" ht="12.75">
      <c r="A253" s="199"/>
      <c r="B253" s="133"/>
      <c r="C253" s="435"/>
      <c r="D253" s="135"/>
      <c r="E253" s="379"/>
      <c r="F253" s="399"/>
      <c r="G253" s="267"/>
      <c r="H253" s="229"/>
      <c r="I253" s="34"/>
      <c r="J253" s="140"/>
      <c r="K253" s="132"/>
      <c r="L253" s="143"/>
      <c r="M253" s="68"/>
      <c r="N253" s="68"/>
      <c r="O253" s="157"/>
      <c r="P253" s="96"/>
      <c r="Q253" s="96"/>
      <c r="R253" s="389"/>
      <c r="S253" s="497"/>
      <c r="T253" s="498"/>
      <c r="U253" s="499"/>
      <c r="V253" s="140"/>
      <c r="W253" s="213"/>
      <c r="X253" s="40"/>
      <c r="Y253" s="82"/>
      <c r="Z253" s="418"/>
      <c r="AA253" s="280"/>
    </row>
    <row r="254" spans="1:27" ht="12.75">
      <c r="A254" s="523">
        <v>5</v>
      </c>
      <c r="B254" s="109"/>
      <c r="C254" s="328"/>
      <c r="D254" s="135"/>
      <c r="E254" s="379"/>
      <c r="F254" s="500"/>
      <c r="G254" s="57"/>
      <c r="H254" s="285"/>
      <c r="I254" s="34"/>
      <c r="J254" s="140"/>
      <c r="K254" s="132"/>
      <c r="L254" s="155"/>
      <c r="M254" s="68"/>
      <c r="N254" s="68"/>
      <c r="O254" s="96"/>
      <c r="P254" s="96"/>
      <c r="Q254" s="96"/>
      <c r="R254" s="389"/>
      <c r="S254" s="323"/>
      <c r="T254" s="498"/>
      <c r="U254" s="499"/>
      <c r="V254" s="140"/>
      <c r="W254" s="140"/>
      <c r="X254" s="19"/>
      <c r="Y254" s="95"/>
      <c r="Z254" s="415"/>
      <c r="AA254" s="419"/>
    </row>
    <row r="255" spans="1:27" ht="12.75">
      <c r="A255" s="532"/>
      <c r="B255" s="501"/>
      <c r="C255" s="329"/>
      <c r="D255" s="86"/>
      <c r="E255" s="376"/>
      <c r="F255" s="502"/>
      <c r="G255" s="58"/>
      <c r="H255" s="286"/>
      <c r="I255" s="36"/>
      <c r="J255" s="127"/>
      <c r="K255" s="75"/>
      <c r="L255" s="250"/>
      <c r="M255" s="60"/>
      <c r="N255" s="62"/>
      <c r="O255" s="86"/>
      <c r="P255" s="97"/>
      <c r="Q255" s="97"/>
      <c r="R255" s="369"/>
      <c r="S255" s="98"/>
      <c r="T255" s="320"/>
      <c r="U255" s="146"/>
      <c r="V255" s="127"/>
      <c r="W255" s="37"/>
      <c r="X255" s="38"/>
      <c r="Y255" s="71"/>
      <c r="Z255" s="162"/>
      <c r="AA255" s="220"/>
    </row>
    <row r="256" spans="1:27" ht="12.75">
      <c r="A256" s="199"/>
      <c r="B256" s="133"/>
      <c r="C256" s="435"/>
      <c r="D256" s="135"/>
      <c r="E256" s="379"/>
      <c r="F256" s="399"/>
      <c r="G256" s="267"/>
      <c r="H256" s="229"/>
      <c r="I256" s="34"/>
      <c r="J256" s="140"/>
      <c r="K256" s="132"/>
      <c r="L256" s="143"/>
      <c r="M256" s="68"/>
      <c r="N256" s="68"/>
      <c r="O256" s="157"/>
      <c r="P256" s="96"/>
      <c r="Q256" s="96"/>
      <c r="R256" s="389"/>
      <c r="S256" s="497"/>
      <c r="T256" s="498"/>
      <c r="U256" s="499"/>
      <c r="V256" s="140"/>
      <c r="W256" s="213"/>
      <c r="X256" s="40"/>
      <c r="Y256" s="82"/>
      <c r="Z256" s="418"/>
      <c r="AA256" s="280"/>
    </row>
    <row r="257" spans="1:27" ht="12.75">
      <c r="A257" s="199"/>
      <c r="B257" s="109"/>
      <c r="C257" s="328"/>
      <c r="D257" s="135"/>
      <c r="E257" s="379"/>
      <c r="F257" s="500"/>
      <c r="G257" s="57"/>
      <c r="H257" s="285"/>
      <c r="I257" s="34"/>
      <c r="J257" s="140"/>
      <c r="K257" s="132"/>
      <c r="L257" s="155"/>
      <c r="M257" s="68"/>
      <c r="N257" s="68"/>
      <c r="O257" s="96"/>
      <c r="P257" s="96"/>
      <c r="Q257" s="96"/>
      <c r="R257" s="389"/>
      <c r="S257" s="323"/>
      <c r="T257" s="498"/>
      <c r="U257" s="499"/>
      <c r="V257" s="140"/>
      <c r="W257" s="140"/>
      <c r="X257" s="19"/>
      <c r="Y257" s="95"/>
      <c r="Z257" s="415"/>
      <c r="AA257" s="419"/>
    </row>
    <row r="258" spans="1:27" ht="12.75">
      <c r="A258" s="523">
        <v>6</v>
      </c>
      <c r="B258" s="501"/>
      <c r="C258" s="329"/>
      <c r="D258" s="86"/>
      <c r="E258" s="376"/>
      <c r="F258" s="502"/>
      <c r="G258" s="58"/>
      <c r="H258" s="286"/>
      <c r="I258" s="36"/>
      <c r="J258" s="127"/>
      <c r="K258" s="75"/>
      <c r="L258" s="250"/>
      <c r="M258" s="60"/>
      <c r="N258" s="62"/>
      <c r="O258" s="86"/>
      <c r="P258" s="97"/>
      <c r="Q258" s="97"/>
      <c r="R258" s="369"/>
      <c r="S258" s="98"/>
      <c r="T258" s="320"/>
      <c r="U258" s="146"/>
      <c r="V258" s="127"/>
      <c r="W258" s="37"/>
      <c r="X258" s="38"/>
      <c r="Y258" s="71"/>
      <c r="Z258" s="162"/>
      <c r="AA258" s="220"/>
    </row>
    <row r="259" spans="1:27" ht="12.75">
      <c r="A259" s="532"/>
      <c r="B259" s="133"/>
      <c r="C259" s="435"/>
      <c r="D259" s="135"/>
      <c r="E259" s="379"/>
      <c r="F259" s="399"/>
      <c r="G259" s="267"/>
      <c r="H259" s="229"/>
      <c r="I259" s="34"/>
      <c r="J259" s="140"/>
      <c r="K259" s="132"/>
      <c r="L259" s="143"/>
      <c r="M259" s="68"/>
      <c r="N259" s="68"/>
      <c r="O259" s="157"/>
      <c r="P259" s="96"/>
      <c r="Q259" s="96"/>
      <c r="R259" s="389"/>
      <c r="S259" s="497"/>
      <c r="T259" s="498"/>
      <c r="U259" s="499"/>
      <c r="V259" s="140"/>
      <c r="W259" s="213"/>
      <c r="X259" s="40"/>
      <c r="Y259" s="82"/>
      <c r="Z259" s="418"/>
      <c r="AA259" s="280"/>
    </row>
    <row r="260" spans="1:27" ht="12.75">
      <c r="A260" s="199"/>
      <c r="B260" s="109"/>
      <c r="C260" s="328"/>
      <c r="D260" s="135"/>
      <c r="E260" s="379"/>
      <c r="F260" s="500"/>
      <c r="G260" s="57"/>
      <c r="H260" s="285"/>
      <c r="I260" s="34"/>
      <c r="J260" s="140"/>
      <c r="K260" s="132"/>
      <c r="L260" s="155"/>
      <c r="M260" s="68"/>
      <c r="N260" s="68"/>
      <c r="O260" s="96"/>
      <c r="P260" s="96"/>
      <c r="Q260" s="96"/>
      <c r="R260" s="389"/>
      <c r="S260" s="323"/>
      <c r="T260" s="498"/>
      <c r="U260" s="499"/>
      <c r="V260" s="140"/>
      <c r="W260" s="140"/>
      <c r="X260" s="19"/>
      <c r="Y260" s="95"/>
      <c r="Z260" s="415"/>
      <c r="AA260" s="419"/>
    </row>
    <row r="261" spans="1:27" ht="12.75">
      <c r="A261" s="199"/>
      <c r="B261" s="501"/>
      <c r="C261" s="329"/>
      <c r="D261" s="86"/>
      <c r="E261" s="376"/>
      <c r="F261" s="502"/>
      <c r="G261" s="58"/>
      <c r="H261" s="286"/>
      <c r="I261" s="36"/>
      <c r="J261" s="127"/>
      <c r="K261" s="75"/>
      <c r="L261" s="250"/>
      <c r="M261" s="60"/>
      <c r="N261" s="62"/>
      <c r="O261" s="86"/>
      <c r="P261" s="97"/>
      <c r="Q261" s="97"/>
      <c r="R261" s="369"/>
      <c r="S261" s="98"/>
      <c r="T261" s="320"/>
      <c r="U261" s="146"/>
      <c r="V261" s="127"/>
      <c r="W261" s="37"/>
      <c r="X261" s="38"/>
      <c r="Y261" s="71"/>
      <c r="Z261" s="162"/>
      <c r="AA261" s="220"/>
    </row>
    <row r="262" spans="1:27" ht="12.75">
      <c r="A262" s="199"/>
      <c r="B262" s="133"/>
      <c r="C262" s="435"/>
      <c r="D262" s="135"/>
      <c r="E262" s="379"/>
      <c r="F262" s="399"/>
      <c r="G262" s="267"/>
      <c r="H262" s="229"/>
      <c r="I262" s="34"/>
      <c r="J262" s="140"/>
      <c r="K262" s="132"/>
      <c r="L262" s="143"/>
      <c r="M262" s="68"/>
      <c r="N262" s="68"/>
      <c r="O262" s="157"/>
      <c r="P262" s="96"/>
      <c r="Q262" s="96"/>
      <c r="R262" s="389"/>
      <c r="S262" s="497"/>
      <c r="T262" s="498"/>
      <c r="U262" s="499"/>
      <c r="V262" s="140"/>
      <c r="W262" s="213"/>
      <c r="X262" s="40"/>
      <c r="Y262" s="82"/>
      <c r="Z262" s="418"/>
      <c r="AA262" s="280"/>
    </row>
    <row r="263" spans="1:27" ht="12.75">
      <c r="A263" s="89"/>
      <c r="B263" s="109"/>
      <c r="C263" s="328"/>
      <c r="D263" s="135"/>
      <c r="E263" s="379"/>
      <c r="F263" s="500"/>
      <c r="G263" s="57"/>
      <c r="H263" s="285"/>
      <c r="I263" s="34"/>
      <c r="J263" s="140"/>
      <c r="K263" s="132"/>
      <c r="L263" s="155"/>
      <c r="M263" s="68"/>
      <c r="N263" s="68"/>
      <c r="O263" s="96"/>
      <c r="P263" s="96"/>
      <c r="Q263" s="96"/>
      <c r="R263" s="389"/>
      <c r="S263" s="323"/>
      <c r="T263" s="498"/>
      <c r="U263" s="499"/>
      <c r="V263" s="140"/>
      <c r="W263" s="140"/>
      <c r="X263" s="19"/>
      <c r="Y263" s="95"/>
      <c r="Z263" s="415"/>
      <c r="AA263" s="419"/>
    </row>
    <row r="264" spans="1:27" ht="12.75">
      <c r="A264" s="525">
        <v>7</v>
      </c>
      <c r="B264" s="501"/>
      <c r="C264" s="329"/>
      <c r="D264" s="86"/>
      <c r="E264" s="376"/>
      <c r="F264" s="502"/>
      <c r="G264" s="58"/>
      <c r="H264" s="286"/>
      <c r="I264" s="36"/>
      <c r="J264" s="127"/>
      <c r="K264" s="75"/>
      <c r="L264" s="250"/>
      <c r="M264" s="60"/>
      <c r="N264" s="62"/>
      <c r="O264" s="86"/>
      <c r="P264" s="97"/>
      <c r="Q264" s="97"/>
      <c r="R264" s="369"/>
      <c r="S264" s="98"/>
      <c r="T264" s="320"/>
      <c r="U264" s="146"/>
      <c r="V264" s="127"/>
      <c r="W264" s="37"/>
      <c r="X264" s="38"/>
      <c r="Y264" s="71"/>
      <c r="Z264" s="162"/>
      <c r="AA264" s="220"/>
    </row>
    <row r="265" spans="1:27" ht="12.75">
      <c r="A265" s="524"/>
      <c r="B265" s="133"/>
      <c r="C265" s="435"/>
      <c r="D265" s="135"/>
      <c r="E265" s="379"/>
      <c r="F265" s="399"/>
      <c r="G265" s="267"/>
      <c r="H265" s="229"/>
      <c r="I265" s="34"/>
      <c r="J265" s="140"/>
      <c r="K265" s="132"/>
      <c r="L265" s="143"/>
      <c r="M265" s="68"/>
      <c r="N265" s="68"/>
      <c r="O265" s="157"/>
      <c r="P265" s="96"/>
      <c r="Q265" s="96"/>
      <c r="R265" s="389"/>
      <c r="S265" s="497"/>
      <c r="T265" s="498"/>
      <c r="U265" s="499"/>
      <c r="V265" s="140"/>
      <c r="W265" s="213"/>
      <c r="X265" s="40"/>
      <c r="Y265" s="82"/>
      <c r="Z265" s="418"/>
      <c r="AA265" s="280"/>
    </row>
    <row r="266" spans="1:27" ht="12.75">
      <c r="A266" s="89"/>
      <c r="B266" s="109"/>
      <c r="C266" s="328"/>
      <c r="D266" s="135"/>
      <c r="E266" s="379"/>
      <c r="F266" s="500"/>
      <c r="G266" s="57"/>
      <c r="H266" s="285"/>
      <c r="I266" s="34"/>
      <c r="J266" s="140"/>
      <c r="K266" s="132"/>
      <c r="L266" s="155"/>
      <c r="M266" s="68"/>
      <c r="N266" s="68"/>
      <c r="O266" s="96"/>
      <c r="P266" s="96"/>
      <c r="Q266" s="96"/>
      <c r="R266" s="389"/>
      <c r="S266" s="323"/>
      <c r="T266" s="498"/>
      <c r="U266" s="499"/>
      <c r="V266" s="140"/>
      <c r="W266" s="140"/>
      <c r="X266" s="19"/>
      <c r="Y266" s="95"/>
      <c r="Z266" s="415"/>
      <c r="AA266" s="419"/>
    </row>
    <row r="267" spans="1:27" ht="12.75">
      <c r="A267" s="89"/>
      <c r="B267" s="501"/>
      <c r="C267" s="329"/>
      <c r="D267" s="86"/>
      <c r="E267" s="376"/>
      <c r="F267" s="502"/>
      <c r="G267" s="58"/>
      <c r="H267" s="286"/>
      <c r="I267" s="36"/>
      <c r="J267" s="127"/>
      <c r="K267" s="75"/>
      <c r="L267" s="250"/>
      <c r="M267" s="60"/>
      <c r="N267" s="62"/>
      <c r="O267" s="86"/>
      <c r="P267" s="97"/>
      <c r="Q267" s="97"/>
      <c r="R267" s="369"/>
      <c r="S267" s="98"/>
      <c r="T267" s="320"/>
      <c r="U267" s="146"/>
      <c r="V267" s="127"/>
      <c r="W267" s="37"/>
      <c r="X267" s="38"/>
      <c r="Y267" s="71"/>
      <c r="Z267" s="162"/>
      <c r="AA267" s="220"/>
    </row>
    <row r="268" spans="1:27" ht="12.75">
      <c r="A268" s="525">
        <v>8</v>
      </c>
      <c r="B268" s="133"/>
      <c r="C268" s="435"/>
      <c r="D268" s="135"/>
      <c r="E268" s="379"/>
      <c r="F268" s="399"/>
      <c r="G268" s="267"/>
      <c r="H268" s="229"/>
      <c r="I268" s="34"/>
      <c r="J268" s="140"/>
      <c r="K268" s="132"/>
      <c r="L268" s="143"/>
      <c r="M268" s="68"/>
      <c r="N268" s="68"/>
      <c r="O268" s="157"/>
      <c r="P268" s="96"/>
      <c r="Q268" s="96"/>
      <c r="R268" s="389"/>
      <c r="S268" s="497"/>
      <c r="T268" s="498"/>
      <c r="U268" s="499"/>
      <c r="V268" s="140"/>
      <c r="W268" s="213"/>
      <c r="X268" s="40"/>
      <c r="Y268" s="82"/>
      <c r="Z268" s="418"/>
      <c r="AA268" s="280"/>
    </row>
    <row r="269" spans="1:27" ht="12.75">
      <c r="A269" s="525"/>
      <c r="B269" s="109"/>
      <c r="C269" s="328"/>
      <c r="D269" s="135"/>
      <c r="E269" s="379"/>
      <c r="F269" s="500"/>
      <c r="G269" s="57"/>
      <c r="H269" s="285"/>
      <c r="I269" s="34"/>
      <c r="J269" s="140"/>
      <c r="K269" s="132"/>
      <c r="L269" s="155"/>
      <c r="M269" s="68"/>
      <c r="N269" s="68"/>
      <c r="O269" s="96"/>
      <c r="P269" s="96"/>
      <c r="Q269" s="96"/>
      <c r="R269" s="389"/>
      <c r="S269" s="323"/>
      <c r="T269" s="498"/>
      <c r="U269" s="499"/>
      <c r="V269" s="140"/>
      <c r="W269" s="140"/>
      <c r="X269" s="19"/>
      <c r="Y269" s="95"/>
      <c r="Z269" s="415"/>
      <c r="AA269" s="419"/>
    </row>
    <row r="270" spans="1:27" ht="12.75">
      <c r="A270" s="525"/>
      <c r="B270" s="501"/>
      <c r="C270" s="329"/>
      <c r="D270" s="86"/>
      <c r="E270" s="376"/>
      <c r="F270" s="502"/>
      <c r="G270" s="58"/>
      <c r="H270" s="286"/>
      <c r="I270" s="36"/>
      <c r="J270" s="127"/>
      <c r="K270" s="75"/>
      <c r="L270" s="250"/>
      <c r="M270" s="60"/>
      <c r="N270" s="62"/>
      <c r="O270" s="86"/>
      <c r="P270" s="97"/>
      <c r="Q270" s="97"/>
      <c r="R270" s="369"/>
      <c r="S270" s="98"/>
      <c r="T270" s="320"/>
      <c r="U270" s="146"/>
      <c r="V270" s="127"/>
      <c r="W270" s="37"/>
      <c r="X270" s="38"/>
      <c r="Y270" s="71"/>
      <c r="Z270" s="162"/>
      <c r="AA270" s="220"/>
    </row>
    <row r="271" spans="1:27" ht="12.75">
      <c r="A271" s="524"/>
      <c r="B271" s="133"/>
      <c r="C271" s="435"/>
      <c r="D271" s="135"/>
      <c r="E271" s="379"/>
      <c r="F271" s="399"/>
      <c r="G271" s="267"/>
      <c r="H271" s="229"/>
      <c r="I271" s="34"/>
      <c r="J271" s="140"/>
      <c r="K271" s="132"/>
      <c r="L271" s="143"/>
      <c r="M271" s="68"/>
      <c r="N271" s="68"/>
      <c r="O271" s="157"/>
      <c r="P271" s="96"/>
      <c r="Q271" s="96"/>
      <c r="R271" s="389"/>
      <c r="S271" s="497"/>
      <c r="T271" s="498"/>
      <c r="U271" s="499"/>
      <c r="V271" s="140"/>
      <c r="W271" s="213"/>
      <c r="X271" s="40"/>
      <c r="Y271" s="82"/>
      <c r="Z271" s="418"/>
      <c r="AA271" s="280"/>
    </row>
    <row r="272" spans="1:27" ht="12.75">
      <c r="A272" s="89"/>
      <c r="B272" s="109"/>
      <c r="C272" s="328"/>
      <c r="D272" s="135"/>
      <c r="E272" s="379"/>
      <c r="F272" s="500"/>
      <c r="G272" s="57"/>
      <c r="H272" s="285"/>
      <c r="I272" s="34"/>
      <c r="J272" s="140"/>
      <c r="K272" s="132"/>
      <c r="L272" s="155"/>
      <c r="M272" s="68"/>
      <c r="N272" s="68"/>
      <c r="O272" s="96"/>
      <c r="P272" s="96"/>
      <c r="Q272" s="96"/>
      <c r="R272" s="389"/>
      <c r="S272" s="323"/>
      <c r="T272" s="498"/>
      <c r="U272" s="499"/>
      <c r="V272" s="140"/>
      <c r="W272" s="140"/>
      <c r="X272" s="19"/>
      <c r="Y272" s="95"/>
      <c r="Z272" s="415"/>
      <c r="AA272" s="419"/>
    </row>
    <row r="273" spans="1:27" ht="12.75">
      <c r="A273" s="89"/>
      <c r="B273" s="501"/>
      <c r="C273" s="329"/>
      <c r="D273" s="86"/>
      <c r="E273" s="376"/>
      <c r="F273" s="502"/>
      <c r="G273" s="58"/>
      <c r="H273" s="286"/>
      <c r="I273" s="36"/>
      <c r="J273" s="127"/>
      <c r="K273" s="75"/>
      <c r="L273" s="250"/>
      <c r="M273" s="60"/>
      <c r="N273" s="62"/>
      <c r="O273" s="86"/>
      <c r="P273" s="97"/>
      <c r="Q273" s="97"/>
      <c r="R273" s="369"/>
      <c r="S273" s="98"/>
      <c r="T273" s="320"/>
      <c r="U273" s="146"/>
      <c r="V273" s="127"/>
      <c r="W273" s="37"/>
      <c r="X273" s="38"/>
      <c r="Y273" s="71"/>
      <c r="Z273" s="162"/>
      <c r="AA273" s="220"/>
    </row>
    <row r="274" spans="1:27" ht="12.75">
      <c r="A274" s="525">
        <v>9</v>
      </c>
      <c r="B274" s="133"/>
      <c r="C274" s="435"/>
      <c r="D274" s="135"/>
      <c r="E274" s="379"/>
      <c r="F274" s="399"/>
      <c r="G274" s="267"/>
      <c r="H274" s="229"/>
      <c r="I274" s="34"/>
      <c r="J274" s="140"/>
      <c r="K274" s="132"/>
      <c r="L274" s="143"/>
      <c r="M274" s="68"/>
      <c r="N274" s="68"/>
      <c r="O274" s="157"/>
      <c r="P274" s="96"/>
      <c r="Q274" s="96"/>
      <c r="R274" s="389"/>
      <c r="S274" s="497"/>
      <c r="T274" s="498"/>
      <c r="U274" s="499"/>
      <c r="V274" s="140"/>
      <c r="W274" s="213"/>
      <c r="X274" s="40"/>
      <c r="Y274" s="82"/>
      <c r="Z274" s="418"/>
      <c r="AA274" s="280"/>
    </row>
    <row r="275" spans="1:27" ht="12.75">
      <c r="A275" s="524"/>
      <c r="B275" s="109"/>
      <c r="C275" s="328"/>
      <c r="D275" s="135"/>
      <c r="E275" s="379"/>
      <c r="F275" s="500"/>
      <c r="G275" s="57"/>
      <c r="H275" s="285"/>
      <c r="I275" s="34"/>
      <c r="J275" s="140"/>
      <c r="K275" s="132"/>
      <c r="L275" s="155"/>
      <c r="M275" s="68"/>
      <c r="N275" s="68"/>
      <c r="O275" s="96"/>
      <c r="P275" s="96"/>
      <c r="Q275" s="96"/>
      <c r="R275" s="389"/>
      <c r="S275" s="323"/>
      <c r="T275" s="498"/>
      <c r="U275" s="499"/>
      <c r="V275" s="140"/>
      <c r="W275" s="140"/>
      <c r="X275" s="19"/>
      <c r="Y275" s="95"/>
      <c r="Z275" s="415"/>
      <c r="AA275" s="419"/>
    </row>
    <row r="276" spans="1:27" ht="12.75">
      <c r="A276" s="89"/>
      <c r="B276" s="501"/>
      <c r="C276" s="329"/>
      <c r="D276" s="86"/>
      <c r="E276" s="376"/>
      <c r="F276" s="502"/>
      <c r="G276" s="58"/>
      <c r="H276" s="286"/>
      <c r="I276" s="36"/>
      <c r="J276" s="127"/>
      <c r="K276" s="75"/>
      <c r="L276" s="250"/>
      <c r="M276" s="60"/>
      <c r="N276" s="62"/>
      <c r="O276" s="86"/>
      <c r="P276" s="97"/>
      <c r="Q276" s="97"/>
      <c r="R276" s="369"/>
      <c r="S276" s="98"/>
      <c r="T276" s="320"/>
      <c r="U276" s="146"/>
      <c r="V276" s="127"/>
      <c r="W276" s="37"/>
      <c r="X276" s="38"/>
      <c r="Y276" s="71"/>
      <c r="Z276" s="162"/>
      <c r="AA276" s="220"/>
    </row>
    <row r="277" spans="1:27" ht="12.75">
      <c r="A277" s="89"/>
      <c r="B277" s="133"/>
      <c r="C277" s="435"/>
      <c r="D277" s="135"/>
      <c r="E277" s="379"/>
      <c r="F277" s="399"/>
      <c r="G277" s="267"/>
      <c r="H277" s="229"/>
      <c r="I277" s="34"/>
      <c r="J277" s="140"/>
      <c r="K277" s="132"/>
      <c r="L277" s="143"/>
      <c r="M277" s="68"/>
      <c r="N277" s="68"/>
      <c r="O277" s="157"/>
      <c r="P277" s="96"/>
      <c r="Q277" s="96"/>
      <c r="R277" s="389"/>
      <c r="S277" s="497"/>
      <c r="T277" s="498"/>
      <c r="U277" s="499"/>
      <c r="V277" s="140"/>
      <c r="W277" s="213"/>
      <c r="X277" s="40"/>
      <c r="Y277" s="82"/>
      <c r="Z277" s="418"/>
      <c r="AA277" s="280"/>
    </row>
    <row r="278" spans="1:27" ht="12.75">
      <c r="A278" s="525">
        <v>10</v>
      </c>
      <c r="B278" s="109"/>
      <c r="C278" s="328"/>
      <c r="D278" s="135"/>
      <c r="E278" s="379"/>
      <c r="F278" s="500"/>
      <c r="G278" s="57"/>
      <c r="H278" s="285"/>
      <c r="I278" s="34"/>
      <c r="J278" s="140"/>
      <c r="K278" s="132"/>
      <c r="L278" s="155"/>
      <c r="M278" s="68"/>
      <c r="N278" s="68"/>
      <c r="O278" s="96"/>
      <c r="P278" s="96"/>
      <c r="Q278" s="96"/>
      <c r="R278" s="389"/>
      <c r="S278" s="323"/>
      <c r="T278" s="498"/>
      <c r="U278" s="499"/>
      <c r="V278" s="140"/>
      <c r="W278" s="140"/>
      <c r="X278" s="19"/>
      <c r="Y278" s="95"/>
      <c r="Z278" s="415"/>
      <c r="AA278" s="419"/>
    </row>
    <row r="279" spans="1:27" ht="13.5" thickBot="1">
      <c r="A279" s="524"/>
      <c r="B279" s="501"/>
      <c r="C279" s="329"/>
      <c r="D279" s="86"/>
      <c r="E279" s="376"/>
      <c r="F279" s="502"/>
      <c r="G279" s="58"/>
      <c r="H279" s="509"/>
      <c r="I279" s="36"/>
      <c r="J279" s="127"/>
      <c r="K279" s="75"/>
      <c r="L279" s="250"/>
      <c r="M279" s="60"/>
      <c r="N279" s="62"/>
      <c r="O279" s="86"/>
      <c r="P279" s="97"/>
      <c r="Q279" s="97"/>
      <c r="R279" s="369"/>
      <c r="S279" s="98"/>
      <c r="T279" s="514"/>
      <c r="U279" s="515"/>
      <c r="V279" s="127"/>
      <c r="W279" s="37"/>
      <c r="X279" s="38"/>
      <c r="Y279" s="71"/>
      <c r="Z279" s="162"/>
      <c r="AA279" s="220"/>
    </row>
    <row r="280" spans="1:27" ht="13.5" thickBot="1">
      <c r="A280" s="526" t="s">
        <v>384</v>
      </c>
      <c r="B280" s="527"/>
      <c r="C280" s="527"/>
      <c r="D280" s="528"/>
      <c r="E280" s="41"/>
      <c r="F280" s="13"/>
      <c r="G280" s="228"/>
      <c r="H280" s="248"/>
      <c r="I280" s="13"/>
      <c r="J280" s="13"/>
      <c r="K280" s="41"/>
      <c r="L280" s="41"/>
      <c r="M280" s="41"/>
      <c r="N280" s="41"/>
      <c r="O280" s="302"/>
      <c r="P280" s="33"/>
      <c r="Q280" s="246"/>
      <c r="R280" s="245"/>
      <c r="S280" s="33"/>
      <c r="T280" s="198"/>
      <c r="U280" s="254"/>
      <c r="V280" s="266">
        <f>SUM(V234:V279)</f>
        <v>0</v>
      </c>
      <c r="W280" s="294"/>
      <c r="X280" s="42"/>
      <c r="Y280" s="306"/>
      <c r="Z280" s="42"/>
      <c r="AA280" s="43"/>
    </row>
    <row r="281" spans="1:27" ht="13.5" thickBot="1">
      <c r="A281" s="529"/>
      <c r="B281" s="530"/>
      <c r="C281" s="530"/>
      <c r="D281" s="531"/>
      <c r="E281" s="120">
        <f>SUM(E231:E279)</f>
        <v>32493.59999999999</v>
      </c>
      <c r="F281" s="390">
        <f>SUM(F231:F279)</f>
        <v>22433</v>
      </c>
      <c r="G281" s="252"/>
      <c r="H281" s="253">
        <f>SUM(H227:H279)</f>
        <v>0</v>
      </c>
      <c r="I281" s="99"/>
      <c r="J281" s="99">
        <f>SUM(J232:J280)</f>
        <v>0</v>
      </c>
      <c r="K281" s="99"/>
      <c r="L281" s="99">
        <f>SUM(L232:L280)</f>
        <v>0</v>
      </c>
      <c r="M281" s="99"/>
      <c r="N281" s="99">
        <f>SUM(N232:N280)</f>
        <v>0</v>
      </c>
      <c r="O281" s="99">
        <f>SUM(O232:O280)</f>
        <v>111.61968083999999</v>
      </c>
      <c r="P281" s="517" t="s">
        <v>386</v>
      </c>
      <c r="Q281" s="518">
        <f>SUM(J281:O281)</f>
        <v>111.61968083999999</v>
      </c>
      <c r="R281" s="244"/>
      <c r="S281" s="99"/>
      <c r="T281" s="197">
        <f>SUM(T233:T279)</f>
        <v>0</v>
      </c>
      <c r="U281" s="207">
        <f>SUM(U233:U279)</f>
        <v>0</v>
      </c>
      <c r="V281" s="253">
        <f>V280+H281</f>
        <v>0</v>
      </c>
      <c r="W281" s="252">
        <f>V281/E281</f>
        <v>0</v>
      </c>
      <c r="X281" s="45">
        <v>40</v>
      </c>
      <c r="Y281" s="74">
        <f>SUM(Y234:Y280)/13</f>
        <v>4.615384615384615</v>
      </c>
      <c r="Z281" s="74"/>
      <c r="AA281" s="46"/>
    </row>
    <row r="282" spans="6:7" ht="12.75">
      <c r="F282" s="391">
        <f>F281-E281</f>
        <v>-10060.599999999991</v>
      </c>
      <c r="G282" s="150" t="str">
        <f>IF(F282&lt;0,"za mało",IF(F282&gt;0,"za dużo","równo"))</f>
        <v>za mało</v>
      </c>
    </row>
  </sheetData>
  <sheetProtection/>
  <mergeCells count="77">
    <mergeCell ref="A142:A143"/>
    <mergeCell ref="A72:A73"/>
    <mergeCell ref="A171:D172"/>
    <mergeCell ref="A152:A153"/>
    <mergeCell ref="A156:A159"/>
    <mergeCell ref="A162:A163"/>
    <mergeCell ref="A166:A167"/>
    <mergeCell ref="A123:A124"/>
    <mergeCell ref="A127:A128"/>
    <mergeCell ref="A133:A134"/>
    <mergeCell ref="A136:A137"/>
    <mergeCell ref="A118:D119"/>
    <mergeCell ref="A96:A97"/>
    <mergeCell ref="A100:A101"/>
    <mergeCell ref="A104:A105"/>
    <mergeCell ref="A108:A109"/>
    <mergeCell ref="A112:A113"/>
    <mergeCell ref="A116:A117"/>
    <mergeCell ref="T11:T16"/>
    <mergeCell ref="A25:A26"/>
    <mergeCell ref="A21:A22"/>
    <mergeCell ref="A45:A46"/>
    <mergeCell ref="A41:A42"/>
    <mergeCell ref="A67:D68"/>
    <mergeCell ref="A65:A66"/>
    <mergeCell ref="A61:A62"/>
    <mergeCell ref="A57:A58"/>
    <mergeCell ref="A53:A54"/>
    <mergeCell ref="A4:AD4"/>
    <mergeCell ref="A10:A17"/>
    <mergeCell ref="Z10:Z17"/>
    <mergeCell ref="A5:E5"/>
    <mergeCell ref="P10:T10"/>
    <mergeCell ref="A8:D8"/>
    <mergeCell ref="I10:J10"/>
    <mergeCell ref="K10:N10"/>
    <mergeCell ref="K11:L14"/>
    <mergeCell ref="M11:N14"/>
    <mergeCell ref="A88:A89"/>
    <mergeCell ref="A92:A93"/>
    <mergeCell ref="A146:A147"/>
    <mergeCell ref="AA10:AA17"/>
    <mergeCell ref="A1:I1"/>
    <mergeCell ref="E10:H10"/>
    <mergeCell ref="C10:C17"/>
    <mergeCell ref="I11:J14"/>
    <mergeCell ref="A6:AC6"/>
    <mergeCell ref="A7:AB7"/>
    <mergeCell ref="A37:A38"/>
    <mergeCell ref="A33:A34"/>
    <mergeCell ref="A29:A30"/>
    <mergeCell ref="A76:A77"/>
    <mergeCell ref="A80:A81"/>
    <mergeCell ref="A84:A85"/>
    <mergeCell ref="A49:A50"/>
    <mergeCell ref="A176:A177"/>
    <mergeCell ref="A180:A181"/>
    <mergeCell ref="A186:A187"/>
    <mergeCell ref="A189:A190"/>
    <mergeCell ref="A197:A198"/>
    <mergeCell ref="A201:A202"/>
    <mergeCell ref="A258:A259"/>
    <mergeCell ref="A207:A208"/>
    <mergeCell ref="A211:A214"/>
    <mergeCell ref="A217:A218"/>
    <mergeCell ref="A221:A222"/>
    <mergeCell ref="A223:D224"/>
    <mergeCell ref="A264:A265"/>
    <mergeCell ref="A268:A271"/>
    <mergeCell ref="A274:A275"/>
    <mergeCell ref="A278:A279"/>
    <mergeCell ref="A280:D281"/>
    <mergeCell ref="A233:A234"/>
    <mergeCell ref="A237:A238"/>
    <mergeCell ref="A243:A244"/>
    <mergeCell ref="A246:A247"/>
    <mergeCell ref="A254:A255"/>
  </mergeCells>
  <printOptions/>
  <pageMargins left="0.51" right="0.51" top="0.72" bottom="0.73" header="0.5" footer="0.5"/>
  <pageSetup fitToHeight="1" fitToWidth="1" horizontalDpi="600" verticalDpi="600" orientation="landscape" paperSize="9" scale="48" r:id="rId3"/>
  <headerFooter alignWithMargins="0">
    <oddFooter>&amp;L&amp;D&amp;R&amp;24 34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</dc:creator>
  <cp:keywords/>
  <dc:description/>
  <cp:lastModifiedBy>Chłosta Jacek</cp:lastModifiedBy>
  <cp:lastPrinted>2021-04-20T07:07:04Z</cp:lastPrinted>
  <dcterms:created xsi:type="dcterms:W3CDTF">2005-01-13T06:46:13Z</dcterms:created>
  <dcterms:modified xsi:type="dcterms:W3CDTF">2021-05-19T06:44:39Z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 dokumentu">
    <vt:lpwstr>24;#Dokumenty bieżące|f24f53c3-8fd8-430a-8893-0b5c5c73cd48</vt:lpwstr>
  </property>
  <property fmtid="{D5CDD505-2E9C-101B-9397-08002B2CF9AE}" pid="3" name="ob9fa15bf20b40409dd68acf32bcc64b">
    <vt:lpwstr>Dokumenty bieżące|f24f53c3-8fd8-430a-8893-0b5c5c73cd48</vt:lpwstr>
  </property>
  <property fmtid="{D5CDD505-2E9C-101B-9397-08002B2CF9AE}" pid="4" name="TaxCatchAll">
    <vt:lpwstr>24;#Dokumenty bieżące|f24f53c3-8fd8-430a-8893-0b5c5c73cd48</vt:lpwstr>
  </property>
  <property fmtid="{D5CDD505-2E9C-101B-9397-08002B2CF9AE}" pid="5" name="docIndexRef">
    <vt:lpwstr>51267c09-028f-4f06-bc91-87b45a76605d</vt:lpwstr>
  </property>
  <property fmtid="{D5CDD505-2E9C-101B-9397-08002B2CF9AE}" pid="6" name="bjSaver">
    <vt:lpwstr>hvkHTI0JqpHlgoe/2SvxyUWVujbSoUgj</vt:lpwstr>
  </property>
  <property fmtid="{D5CDD505-2E9C-101B-9397-08002B2CF9AE}" pid="7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8" name="bjDocumentLabelXML-0">
    <vt:lpwstr>ames.com/2008/01/sie/internal/label"&gt;&lt;element uid="d7220eed-17a6-431d-810c-83a0ddfed893" value="" /&gt;&lt;/sisl&gt;</vt:lpwstr>
  </property>
  <property fmtid="{D5CDD505-2E9C-101B-9397-08002B2CF9AE}" pid="9" name="bjDocumentSecurityLabel">
    <vt:lpwstr>[d7220eed-17a6-431d-810c-83a0ddfed893]</vt:lpwstr>
  </property>
  <property fmtid="{D5CDD505-2E9C-101B-9397-08002B2CF9AE}" pid="10" name="bjPortionMark">
    <vt:lpwstr>[JAW]</vt:lpwstr>
  </property>
  <property fmtid="{D5CDD505-2E9C-101B-9397-08002B2CF9AE}" pid="11" name="bjClsUserRVM">
    <vt:lpwstr>[]</vt:lpwstr>
  </property>
</Properties>
</file>