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isthesis/Documents/1. Voltra/1. Grupy Zakupowe/2. Gaz/38. 38 Grupa Zakupowa/SWZ+Załaczniki - VOL:GAZ:38:2023_sprostowanie_24.11.23/"/>
    </mc:Choice>
  </mc:AlternateContent>
  <xr:revisionPtr revIDLastSave="0" documentId="13_ncr:1_{A11C7DDD-265F-844D-95EA-AF9E2CD720B4}" xr6:coauthVersionLast="47" xr6:coauthVersionMax="47" xr10:uidLastSave="{00000000-0000-0000-0000-000000000000}"/>
  <bookViews>
    <workbookView xWindow="0" yWindow="500" windowWidth="16380" windowHeight="8200" tabRatio="500" xr2:uid="{00000000-000D-0000-FFFF-FFFF00000000}"/>
  </bookViews>
  <sheets>
    <sheet name="Rok 2024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6" i="1" l="1"/>
  <c r="I116" i="1" s="1"/>
  <c r="D116" i="1"/>
  <c r="L116" i="1" s="1"/>
  <c r="L115" i="1"/>
  <c r="L117" i="1" s="1"/>
  <c r="E115" i="1"/>
  <c r="I115" i="1" s="1"/>
  <c r="D115" i="1"/>
  <c r="M114" i="1"/>
  <c r="F109" i="1"/>
  <c r="E109" i="1"/>
  <c r="D109" i="1"/>
  <c r="C109" i="1"/>
  <c r="L108" i="1"/>
  <c r="I108" i="1"/>
  <c r="M108" i="1" s="1"/>
  <c r="L107" i="1"/>
  <c r="I107" i="1"/>
  <c r="M107" i="1" s="1"/>
  <c r="M106" i="1"/>
  <c r="L106" i="1"/>
  <c r="I106" i="1"/>
  <c r="L105" i="1"/>
  <c r="L109" i="1" s="1"/>
  <c r="I105" i="1"/>
  <c r="M105" i="1" s="1"/>
  <c r="F100" i="1"/>
  <c r="E100" i="1"/>
  <c r="D100" i="1"/>
  <c r="C100" i="1"/>
  <c r="L99" i="1"/>
  <c r="I99" i="1"/>
  <c r="M99" i="1" s="1"/>
  <c r="M98" i="1"/>
  <c r="L98" i="1"/>
  <c r="I98" i="1"/>
  <c r="L97" i="1"/>
  <c r="I97" i="1"/>
  <c r="M97" i="1" s="1"/>
  <c r="L96" i="1"/>
  <c r="L100" i="1" s="1"/>
  <c r="I96" i="1"/>
  <c r="M96" i="1" s="1"/>
  <c r="M100" i="1" s="1"/>
  <c r="M95" i="1"/>
  <c r="D87" i="1"/>
  <c r="L87" i="1" s="1"/>
  <c r="D86" i="1"/>
  <c r="L86" i="1" s="1"/>
  <c r="L88" i="1" s="1"/>
  <c r="M85" i="1"/>
  <c r="D79" i="1"/>
  <c r="L79" i="1" s="1"/>
  <c r="D78" i="1"/>
  <c r="I78" i="1" s="1"/>
  <c r="M77" i="1"/>
  <c r="D71" i="1"/>
  <c r="L71" i="1" s="1"/>
  <c r="D70" i="1"/>
  <c r="L70" i="1" s="1"/>
  <c r="M69" i="1"/>
  <c r="D63" i="1"/>
  <c r="L63" i="1" s="1"/>
  <c r="D62" i="1"/>
  <c r="L62" i="1" s="1"/>
  <c r="L64" i="1" s="1"/>
  <c r="M61" i="1"/>
  <c r="F56" i="1"/>
  <c r="E56" i="1"/>
  <c r="D56" i="1"/>
  <c r="M128" i="1" s="1"/>
  <c r="C56" i="1"/>
  <c r="L55" i="1"/>
  <c r="I55" i="1"/>
  <c r="M55" i="1" s="1"/>
  <c r="L54" i="1"/>
  <c r="I54" i="1"/>
  <c r="M54" i="1" s="1"/>
  <c r="L53" i="1"/>
  <c r="M53" i="1" s="1"/>
  <c r="I53" i="1"/>
  <c r="L52" i="1"/>
  <c r="I52" i="1"/>
  <c r="M52" i="1" s="1"/>
  <c r="L51" i="1"/>
  <c r="I51" i="1"/>
  <c r="M51" i="1" s="1"/>
  <c r="M50" i="1"/>
  <c r="L50" i="1"/>
  <c r="I50" i="1"/>
  <c r="L49" i="1"/>
  <c r="I49" i="1"/>
  <c r="M49" i="1" s="1"/>
  <c r="L48" i="1"/>
  <c r="I48" i="1"/>
  <c r="M48" i="1" s="1"/>
  <c r="L47" i="1"/>
  <c r="I47" i="1"/>
  <c r="M47" i="1" s="1"/>
  <c r="L46" i="1"/>
  <c r="L56" i="1" s="1"/>
  <c r="I46" i="1"/>
  <c r="M46" i="1" s="1"/>
  <c r="M56" i="1" s="1"/>
  <c r="F41" i="1"/>
  <c r="E41" i="1"/>
  <c r="D41" i="1"/>
  <c r="C41" i="1"/>
  <c r="L40" i="1"/>
  <c r="I40" i="1"/>
  <c r="M40" i="1" s="1"/>
  <c r="L39" i="1"/>
  <c r="I39" i="1"/>
  <c r="M39" i="1" s="1"/>
  <c r="L38" i="1"/>
  <c r="I38" i="1"/>
  <c r="M38" i="1" s="1"/>
  <c r="L37" i="1"/>
  <c r="M37" i="1" s="1"/>
  <c r="I37" i="1"/>
  <c r="L36" i="1"/>
  <c r="I36" i="1"/>
  <c r="M36" i="1" s="1"/>
  <c r="L35" i="1"/>
  <c r="I35" i="1"/>
  <c r="M35" i="1" s="1"/>
  <c r="M34" i="1"/>
  <c r="L34" i="1"/>
  <c r="I34" i="1"/>
  <c r="L33" i="1"/>
  <c r="I33" i="1"/>
  <c r="I41" i="1" s="1"/>
  <c r="M32" i="1"/>
  <c r="F25" i="1"/>
  <c r="E25" i="1"/>
  <c r="D25" i="1"/>
  <c r="C25" i="1"/>
  <c r="L24" i="1"/>
  <c r="I24" i="1"/>
  <c r="M24" i="1" s="1"/>
  <c r="L23" i="1"/>
  <c r="I23" i="1"/>
  <c r="M23" i="1" s="1"/>
  <c r="L22" i="1"/>
  <c r="I22" i="1"/>
  <c r="M22" i="1" s="1"/>
  <c r="L21" i="1"/>
  <c r="L25" i="1" s="1"/>
  <c r="I21" i="1"/>
  <c r="L20" i="1"/>
  <c r="I20" i="1"/>
  <c r="M20" i="1" s="1"/>
  <c r="L19" i="1"/>
  <c r="I19" i="1"/>
  <c r="I25" i="1" s="1"/>
  <c r="F14" i="1"/>
  <c r="E14" i="1"/>
  <c r="D14" i="1"/>
  <c r="M120" i="1" s="1"/>
  <c r="C14" i="1"/>
  <c r="L13" i="1"/>
  <c r="M13" i="1" s="1"/>
  <c r="I13" i="1"/>
  <c r="L12" i="1"/>
  <c r="I12" i="1"/>
  <c r="M12" i="1" s="1"/>
  <c r="L11" i="1"/>
  <c r="I11" i="1"/>
  <c r="M11" i="1" s="1"/>
  <c r="M10" i="1"/>
  <c r="L10" i="1"/>
  <c r="I10" i="1"/>
  <c r="L9" i="1"/>
  <c r="I9" i="1"/>
  <c r="M9" i="1" s="1"/>
  <c r="L8" i="1"/>
  <c r="L14" i="1" s="1"/>
  <c r="I8" i="1"/>
  <c r="I14" i="1" s="1"/>
  <c r="M7" i="1"/>
  <c r="I117" i="1" l="1"/>
  <c r="M115" i="1"/>
  <c r="M117" i="1" s="1"/>
  <c r="M109" i="1"/>
  <c r="L72" i="1"/>
  <c r="M116" i="1"/>
  <c r="I100" i="1"/>
  <c r="M21" i="1"/>
  <c r="I62" i="1"/>
  <c r="L78" i="1"/>
  <c r="L80" i="1" s="1"/>
  <c r="I56" i="1"/>
  <c r="M129" i="1" s="1"/>
  <c r="I109" i="1"/>
  <c r="M33" i="1"/>
  <c r="M41" i="1" s="1"/>
  <c r="I63" i="1"/>
  <c r="M63" i="1" s="1"/>
  <c r="I70" i="1"/>
  <c r="I79" i="1"/>
  <c r="M79" i="1" s="1"/>
  <c r="I86" i="1"/>
  <c r="L41" i="1"/>
  <c r="M122" i="1" s="1"/>
  <c r="I71" i="1"/>
  <c r="M71" i="1" s="1"/>
  <c r="I87" i="1"/>
  <c r="M87" i="1" s="1"/>
  <c r="M8" i="1"/>
  <c r="M14" i="1" s="1"/>
  <c r="M19" i="1"/>
  <c r="M86" i="1" l="1"/>
  <c r="M88" i="1" s="1"/>
  <c r="I88" i="1"/>
  <c r="M62" i="1"/>
  <c r="M64" i="1" s="1"/>
  <c r="I64" i="1"/>
  <c r="M70" i="1"/>
  <c r="M72" i="1" s="1"/>
  <c r="I72" i="1"/>
  <c r="M121" i="1"/>
  <c r="M25" i="1"/>
  <c r="M131" i="1" s="1"/>
  <c r="I80" i="1"/>
  <c r="M123" i="1"/>
  <c r="M78" i="1"/>
  <c r="M80" i="1" s="1"/>
  <c r="M130" i="1"/>
  <c r="M132" i="1" l="1"/>
  <c r="M133" i="1" s="1"/>
  <c r="M124" i="1"/>
  <c r="M125" i="1" s="1"/>
</calcChain>
</file>

<file path=xl/sharedStrings.xml><?xml version="1.0" encoding="utf-8"?>
<sst xmlns="http://schemas.openxmlformats.org/spreadsheetml/2006/main" count="294" uniqueCount="50">
  <si>
    <t>1.</t>
  </si>
  <si>
    <t>Nazwa OSD</t>
  </si>
  <si>
    <t>PSG Sp. z o.o. O/Zabrze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</si>
  <si>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</si>
  <si>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</si>
  <si>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</si>
  <si>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</si>
  <si>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</si>
  <si>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</si>
  <si>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</si>
  <si>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</si>
  <si>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</si>
  <si>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</si>
  <si>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</si>
  <si>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</si>
  <si>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</si>
  <si>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</si>
  <si>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</si>
  <si>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</si>
  <si>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</si>
  <si>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</si>
  <si>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</si>
  <si>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W-4</t>
  </si>
  <si>
    <t>SUMA</t>
  </si>
  <si>
    <t>Punkty objęte niższą taryfą</t>
  </si>
  <si>
    <t>W-5.1</t>
  </si>
  <si>
    <t>2.</t>
  </si>
  <si>
    <t>PSG Sp. z o.o. O/Tarnów</t>
  </si>
  <si>
    <t>W-1.1</t>
  </si>
  <si>
    <t>Punkt objęty taryfą ochronną częściowo</t>
  </si>
  <si>
    <t xml:space="preserve">8018590365500073951426 </t>
  </si>
  <si>
    <t>Część objęta ochroną</t>
  </si>
  <si>
    <t>Część nieobjęta ochroną</t>
  </si>
  <si>
    <t>x</t>
  </si>
  <si>
    <t xml:space="preserve">8018590365500086531493 </t>
  </si>
  <si>
    <t xml:space="preserve">8018590365500086532957 </t>
  </si>
  <si>
    <t xml:space="preserve">8018590365500086531356 </t>
  </si>
  <si>
    <t>3.</t>
  </si>
  <si>
    <t>PSG Sp. z o.o. O/Warszawa</t>
  </si>
  <si>
    <t xml:space="preserve">8018590365500019263682   </t>
  </si>
  <si>
    <t>W-6A.1</t>
  </si>
  <si>
    <t>Razem WOLUMEN [kWh]</t>
  </si>
  <si>
    <t xml:space="preserve">Razem DYSTRYBUCJA </t>
  </si>
  <si>
    <t>Razem SPRZEDAŻ</t>
  </si>
  <si>
    <t>Razem WARTOŚĆ NETTO</t>
  </si>
  <si>
    <t>podatek VAT 23%</t>
  </si>
  <si>
    <t>* P - przeznaczonego do celów opałowych (z akcyzą)</t>
  </si>
  <si>
    <t>Razem brutto</t>
  </si>
  <si>
    <t>** ZW - bez akcyzy, z zerową stawką akcyzy lub uwzględniająca zwolnienie od akcyzy</t>
  </si>
  <si>
    <t>Załącznik nr 2.a do SWZ - formularz cenowy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</si>
</sst>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7" x14ac:knownFonts="1">
    <font>
      <sz val="12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</fonts>
  <fills count="12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4" fontId="5" fillId="8" borderId="2" xfId="0" applyNumberFormat="1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4" fontId="4" fillId="9" borderId="1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4" fillId="8" borderId="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3" fontId="5" fillId="8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33"/>
  <sheetViews>
    <sheetView tabSelected="1" topLeftCell="S103" zoomScale="91" zoomScaleNormal="91" workbookViewId="0">
      <selection activeCell="E6" sqref="E6:E7"/>
    </sheetView>
  </sheetViews>
  <sheetFormatPr baseColWidth="10" defaultColWidth="9" defaultRowHeight="16" x14ac:dyDescent="0.2"/>
  <cols>
    <col min="1" max="1" width="9.83203125" style="15" customWidth="1"/>
    <col min="2" max="2" width="6" style="15" customWidth="1"/>
    <col min="3" max="3" width="8.1640625" style="15" customWidth="1"/>
    <col min="4" max="4" width="16.33203125" style="15" customWidth="1"/>
    <col min="5" max="5" width="16.83203125" style="15" customWidth="1"/>
    <col min="6" max="6" width="14.6640625" style="16" customWidth="1"/>
    <col min="7" max="7" width="12" style="15" customWidth="1"/>
    <col min="8" max="8" width="12.33203125" style="15" customWidth="1"/>
    <col min="9" max="9" width="11.83203125" style="17" customWidth="1"/>
    <col min="10" max="10" width="13" style="15" customWidth="1"/>
    <col min="11" max="11" width="14.6640625" style="15" customWidth="1"/>
    <col min="12" max="12" width="19" style="15" customWidth="1"/>
    <col min="13" max="13" width="16.1640625" style="15" customWidth="1"/>
    <col min="14" max="1023" width="9" style="15"/>
    <col min="1024" max="1024" width="10.5" style="15" customWidth="1"/>
  </cols>
  <sheetData>
    <row r="1" spans="1:13" x14ac:dyDescent="0.2">
      <c r="A1" s="18"/>
    </row>
    <row r="2" spans="1:13" ht="34.5" customHeight="1" x14ac:dyDescent="0.2">
      <c r="A2" s="18"/>
      <c r="B2" s="14" t="s">
        <v>49</v>
      </c>
      <c r="C2" s="14"/>
      <c r="D2" s="14"/>
      <c r="E2" s="14"/>
      <c r="F2" s="14"/>
      <c r="G2" s="14"/>
      <c r="H2" s="14"/>
    </row>
    <row r="3" spans="1:13" x14ac:dyDescent="0.2">
      <c r="A3" s="19" t="s">
        <v>0</v>
      </c>
    </row>
    <row r="4" spans="1:13" x14ac:dyDescent="0.2">
      <c r="A4" s="13" t="s">
        <v>1</v>
      </c>
      <c r="B4" s="13"/>
      <c r="C4" s="13"/>
      <c r="D4" s="17"/>
    </row>
    <row r="5" spans="1:13" x14ac:dyDescent="0.2">
      <c r="A5" s="12" t="s">
        <v>2</v>
      </c>
      <c r="B5" s="12"/>
      <c r="C5" s="12"/>
      <c r="D5" s="17"/>
      <c r="G5" s="11" t="s">
        <v>3</v>
      </c>
      <c r="H5" s="11"/>
      <c r="I5" s="11"/>
      <c r="J5" s="10" t="s">
        <v>4</v>
      </c>
      <c r="K5" s="10"/>
      <c r="L5" s="10"/>
    </row>
    <row r="6" spans="1:13" ht="24" customHeight="1" x14ac:dyDescent="0.2">
      <c r="A6" s="9" t="s">
        <v>5</v>
      </c>
      <c r="B6" s="9" t="s">
        <v>6</v>
      </c>
      <c r="C6" s="8" t="s">
        <v>7</v>
      </c>
      <c r="D6" s="7" t="s">
        <v>8</v>
      </c>
      <c r="E6" s="9" t="s">
        <v>9</v>
      </c>
      <c r="F6" s="6" t="s">
        <v>10</v>
      </c>
      <c r="G6" s="5" t="s">
        <v>11</v>
      </c>
      <c r="H6" s="5" t="s">
        <v>12</v>
      </c>
      <c r="I6" s="4" t="s">
        <v>13</v>
      </c>
      <c r="J6" s="5" t="s">
        <v>14</v>
      </c>
      <c r="K6" s="5" t="s">
        <v>15</v>
      </c>
      <c r="L6" s="3" t="s">
        <v>16</v>
      </c>
      <c r="M6" s="2" t="s">
        <v>17</v>
      </c>
    </row>
    <row r="7" spans="1:13" ht="60.75" customHeight="1" x14ac:dyDescent="0.2">
      <c r="A7" s="9"/>
      <c r="B7" s="9"/>
      <c r="C7" s="8"/>
      <c r="D7" s="7"/>
      <c r="E7" s="9"/>
      <c r="F7" s="6"/>
      <c r="G7" s="5"/>
      <c r="H7" s="5"/>
      <c r="I7" s="4"/>
      <c r="J7" s="5"/>
      <c r="K7" s="5"/>
      <c r="L7" s="3"/>
      <c r="M7" s="2" t="e">
        <f>I7+L7+#REF!</f>
        <v>#REF!</v>
      </c>
    </row>
    <row r="8" spans="1:13" ht="12.75" customHeight="1" x14ac:dyDescent="0.2">
      <c r="A8" s="9" t="s">
        <v>18</v>
      </c>
      <c r="B8" s="21" t="s">
        <v>19</v>
      </c>
      <c r="C8" s="22">
        <v>1</v>
      </c>
      <c r="D8" s="23">
        <v>12694</v>
      </c>
      <c r="E8" s="24"/>
      <c r="F8" s="25">
        <v>12</v>
      </c>
      <c r="G8" s="1">
        <v>10.85</v>
      </c>
      <c r="H8" s="1">
        <v>5.3409999999999999E-2</v>
      </c>
      <c r="I8" s="55">
        <f>G8*(F8+F9)+H8*(D8+D9)</f>
        <v>808.18653999999992</v>
      </c>
      <c r="J8" s="26"/>
      <c r="K8" s="26"/>
      <c r="L8" s="28">
        <f t="shared" ref="L8:L13" si="0">J8*F8+K8*D8</f>
        <v>0</v>
      </c>
      <c r="M8" s="56">
        <f>I8+L8+L9</f>
        <v>808.18653999999992</v>
      </c>
    </row>
    <row r="9" spans="1:13" ht="12.75" customHeight="1" x14ac:dyDescent="0.2">
      <c r="A9" s="9"/>
      <c r="B9" s="21" t="s">
        <v>20</v>
      </c>
      <c r="C9" s="22"/>
      <c r="D9" s="23"/>
      <c r="E9" s="24"/>
      <c r="F9" s="25"/>
      <c r="G9" s="1"/>
      <c r="H9" s="1"/>
      <c r="I9" s="55" t="e">
        <f>G9*(E9+#REF!)+H9*(D9+#REF!)</f>
        <v>#REF!</v>
      </c>
      <c r="J9" s="26"/>
      <c r="K9" s="26"/>
      <c r="L9" s="28">
        <f t="shared" si="0"/>
        <v>0</v>
      </c>
      <c r="M9" s="56" t="e">
        <f>I9+L9+#REF!</f>
        <v>#REF!</v>
      </c>
    </row>
    <row r="10" spans="1:13" ht="12.75" customHeight="1" x14ac:dyDescent="0.2">
      <c r="A10" s="9" t="s">
        <v>21</v>
      </c>
      <c r="B10" s="21" t="s">
        <v>19</v>
      </c>
      <c r="C10" s="22">
        <v>1</v>
      </c>
      <c r="D10" s="23">
        <v>92535</v>
      </c>
      <c r="E10" s="24"/>
      <c r="F10" s="25">
        <v>12</v>
      </c>
      <c r="G10" s="1">
        <v>28.42</v>
      </c>
      <c r="H10" s="1">
        <v>4.8050000000000002E-2</v>
      </c>
      <c r="I10" s="55">
        <f>G10*(F10+F11)+H10*(D10+D11)</f>
        <v>4787.3467500000006</v>
      </c>
      <c r="J10" s="26"/>
      <c r="K10" s="26"/>
      <c r="L10" s="28">
        <f t="shared" si="0"/>
        <v>0</v>
      </c>
      <c r="M10" s="56">
        <f>I10+L10+L11</f>
        <v>4787.3467500000006</v>
      </c>
    </row>
    <row r="11" spans="1:13" ht="12.75" customHeight="1" x14ac:dyDescent="0.2">
      <c r="A11" s="9"/>
      <c r="B11" s="21" t="s">
        <v>20</v>
      </c>
      <c r="C11" s="22"/>
      <c r="D11" s="23"/>
      <c r="E11" s="24"/>
      <c r="F11" s="25"/>
      <c r="G11" s="1"/>
      <c r="H11" s="1"/>
      <c r="I11" s="55" t="e">
        <f>G11*(E11+#REF!)+H11*(D11+#REF!)</f>
        <v>#REF!</v>
      </c>
      <c r="J11" s="26"/>
      <c r="K11" s="26"/>
      <c r="L11" s="28">
        <f t="shared" si="0"/>
        <v>0</v>
      </c>
      <c r="M11" s="56" t="e">
        <f>I11+L11+#REF!</f>
        <v>#REF!</v>
      </c>
    </row>
    <row r="12" spans="1:13" ht="12.75" customHeight="1" x14ac:dyDescent="0.2">
      <c r="A12" s="9" t="s">
        <v>22</v>
      </c>
      <c r="B12" s="21" t="s">
        <v>19</v>
      </c>
      <c r="C12" s="22">
        <v>1</v>
      </c>
      <c r="D12" s="23">
        <v>173627</v>
      </c>
      <c r="E12" s="24"/>
      <c r="F12" s="25">
        <v>12</v>
      </c>
      <c r="G12" s="1">
        <v>200.47</v>
      </c>
      <c r="H12" s="1">
        <v>4.1739999999999999E-2</v>
      </c>
      <c r="I12" s="55">
        <f>G12*(F12+F13)+H12*(D12+D13)</f>
        <v>9652.8309800000006</v>
      </c>
      <c r="J12" s="26"/>
      <c r="K12" s="26"/>
      <c r="L12" s="28">
        <f t="shared" si="0"/>
        <v>0</v>
      </c>
      <c r="M12" s="56">
        <f>I12+L12+L13</f>
        <v>9652.8309800000006</v>
      </c>
    </row>
    <row r="13" spans="1:13" ht="12.75" customHeight="1" x14ac:dyDescent="0.2">
      <c r="A13" s="9"/>
      <c r="B13" s="21" t="s">
        <v>20</v>
      </c>
      <c r="C13" s="22"/>
      <c r="D13" s="23"/>
      <c r="E13" s="24"/>
      <c r="F13" s="25"/>
      <c r="G13" s="1"/>
      <c r="H13" s="1"/>
      <c r="I13" s="55" t="e">
        <f>G13*(E13+#REF!)+H13*(D13+#REF!)</f>
        <v>#REF!</v>
      </c>
      <c r="J13" s="26"/>
      <c r="K13" s="26"/>
      <c r="L13" s="28">
        <f t="shared" si="0"/>
        <v>0</v>
      </c>
      <c r="M13" s="56" t="e">
        <f>I13+L13+#REF!</f>
        <v>#REF!</v>
      </c>
    </row>
    <row r="14" spans="1:13" ht="12.75" customHeight="1" x14ac:dyDescent="0.2">
      <c r="A14" s="57" t="s">
        <v>23</v>
      </c>
      <c r="B14" s="57"/>
      <c r="C14" s="31">
        <f>SUM(C8:C13)</f>
        <v>3</v>
      </c>
      <c r="D14" s="32">
        <f>SUM(D8:D13)</f>
        <v>278856</v>
      </c>
      <c r="E14" s="32">
        <f>SUM(E8:E13)</f>
        <v>0</v>
      </c>
      <c r="F14" s="33">
        <f>SUM(F8:F13)</f>
        <v>36</v>
      </c>
      <c r="G14" s="58"/>
      <c r="H14" s="58"/>
      <c r="I14" s="34">
        <f>I8+I10+I12</f>
        <v>15248.364270000002</v>
      </c>
      <c r="J14" s="58"/>
      <c r="K14" s="58"/>
      <c r="L14" s="35">
        <f>SUM(L8:L11)</f>
        <v>0</v>
      </c>
      <c r="M14" s="36">
        <f>M8+M10+M12</f>
        <v>15248.364270000002</v>
      </c>
    </row>
    <row r="15" spans="1:13" x14ac:dyDescent="0.2">
      <c r="A15" s="19"/>
    </row>
    <row r="16" spans="1:13" x14ac:dyDescent="0.2">
      <c r="A16" s="59" t="s">
        <v>24</v>
      </c>
      <c r="B16" s="59"/>
      <c r="C16" s="59"/>
      <c r="D16" s="59"/>
      <c r="G16" s="11" t="s">
        <v>3</v>
      </c>
      <c r="H16" s="11"/>
      <c r="I16" s="11"/>
      <c r="J16" s="10" t="s">
        <v>4</v>
      </c>
      <c r="K16" s="10"/>
      <c r="L16" s="10"/>
    </row>
    <row r="17" spans="1:13" ht="36" customHeight="1" x14ac:dyDescent="0.2">
      <c r="A17" s="9" t="s">
        <v>5</v>
      </c>
      <c r="B17" s="9" t="s">
        <v>6</v>
      </c>
      <c r="C17" s="60" t="s">
        <v>7</v>
      </c>
      <c r="D17" s="7" t="s">
        <v>8</v>
      </c>
      <c r="E17" s="9" t="s">
        <v>9</v>
      </c>
      <c r="F17" s="6" t="s">
        <v>10</v>
      </c>
      <c r="G17" s="5" t="s">
        <v>11</v>
      </c>
      <c r="H17" s="5" t="s">
        <v>12</v>
      </c>
      <c r="I17" s="4" t="s">
        <v>13</v>
      </c>
      <c r="J17" s="5" t="s">
        <v>14</v>
      </c>
      <c r="K17" s="5" t="s">
        <v>15</v>
      </c>
      <c r="L17" s="5" t="s">
        <v>16</v>
      </c>
      <c r="M17" s="61" t="s">
        <v>17</v>
      </c>
    </row>
    <row r="18" spans="1:13" ht="36" customHeight="1" x14ac:dyDescent="0.2">
      <c r="A18" s="9"/>
      <c r="B18" s="9"/>
      <c r="C18" s="60"/>
      <c r="D18" s="7"/>
      <c r="E18" s="9"/>
      <c r="F18" s="6"/>
      <c r="G18" s="5"/>
      <c r="H18" s="5"/>
      <c r="I18" s="4"/>
      <c r="J18" s="5"/>
      <c r="K18" s="5"/>
      <c r="L18" s="5"/>
      <c r="M18" s="61"/>
    </row>
    <row r="19" spans="1:13" x14ac:dyDescent="0.2">
      <c r="A19" s="13" t="s">
        <v>21</v>
      </c>
      <c r="B19" s="20" t="s">
        <v>19</v>
      </c>
      <c r="C19" s="37">
        <v>3</v>
      </c>
      <c r="D19" s="38">
        <v>119429</v>
      </c>
      <c r="E19" s="27"/>
      <c r="F19" s="39">
        <v>36</v>
      </c>
      <c r="G19" s="58">
        <v>23.42</v>
      </c>
      <c r="H19" s="58">
        <v>3.9600000000000003E-2</v>
      </c>
      <c r="I19" s="55">
        <f>G19*(F19+F20)+H19*(D19+D20)</f>
        <v>11650.867200000001</v>
      </c>
      <c r="J19" s="27"/>
      <c r="K19" s="40"/>
      <c r="L19" s="28">
        <f t="shared" ref="L19:L24" si="1">J19*F19+K19*D19</f>
        <v>0</v>
      </c>
      <c r="M19" s="55">
        <f>I19+L19+L20</f>
        <v>11650.867200000001</v>
      </c>
    </row>
    <row r="20" spans="1:13" x14ac:dyDescent="0.2">
      <c r="A20" s="13"/>
      <c r="B20" s="20" t="s">
        <v>20</v>
      </c>
      <c r="C20" s="37">
        <v>3</v>
      </c>
      <c r="D20" s="38">
        <v>132203</v>
      </c>
      <c r="E20" s="27"/>
      <c r="F20" s="39">
        <v>36</v>
      </c>
      <c r="G20" s="58"/>
      <c r="H20" s="58"/>
      <c r="I20" s="55" t="e">
        <f>G20*(F20+#REF!)+H20*(D20+#REF!)</f>
        <v>#REF!</v>
      </c>
      <c r="J20" s="27"/>
      <c r="K20" s="40"/>
      <c r="L20" s="28">
        <f t="shared" si="1"/>
        <v>0</v>
      </c>
      <c r="M20" s="55" t="e">
        <f>I20+L20+#REF!</f>
        <v>#REF!</v>
      </c>
    </row>
    <row r="21" spans="1:13" x14ac:dyDescent="0.2">
      <c r="A21" s="13" t="s">
        <v>22</v>
      </c>
      <c r="B21" s="20" t="s">
        <v>19</v>
      </c>
      <c r="C21" s="37"/>
      <c r="D21" s="38"/>
      <c r="E21" s="27"/>
      <c r="F21" s="39"/>
      <c r="G21" s="58">
        <v>165.2</v>
      </c>
      <c r="H21" s="58">
        <v>3.44E-2</v>
      </c>
      <c r="I21" s="55">
        <f>G21*(F21+F22)+H21*(D21+D22)</f>
        <v>13570.312</v>
      </c>
      <c r="J21" s="27"/>
      <c r="K21" s="40"/>
      <c r="L21" s="28">
        <f t="shared" si="1"/>
        <v>0</v>
      </c>
      <c r="M21" s="55">
        <f>I21+L21+L22</f>
        <v>13570.312</v>
      </c>
    </row>
    <row r="22" spans="1:13" x14ac:dyDescent="0.2">
      <c r="A22" s="13"/>
      <c r="B22" s="20" t="s">
        <v>20</v>
      </c>
      <c r="C22" s="37">
        <v>2</v>
      </c>
      <c r="D22" s="38">
        <v>279230</v>
      </c>
      <c r="E22" s="27"/>
      <c r="F22" s="39">
        <v>24</v>
      </c>
      <c r="G22" s="58"/>
      <c r="H22" s="58"/>
      <c r="I22" s="55" t="e">
        <f>G22*(F22+#REF!)+H22*(D22+#REF!)</f>
        <v>#REF!</v>
      </c>
      <c r="J22" s="27"/>
      <c r="K22" s="40"/>
      <c r="L22" s="28">
        <f t="shared" si="1"/>
        <v>0</v>
      </c>
      <c r="M22" s="55" t="e">
        <f>I22+L22+#REF!</f>
        <v>#REF!</v>
      </c>
    </row>
    <row r="23" spans="1:13" x14ac:dyDescent="0.2">
      <c r="A23" s="13" t="s">
        <v>25</v>
      </c>
      <c r="B23" s="20" t="s">
        <v>19</v>
      </c>
      <c r="C23" s="37"/>
      <c r="D23" s="38"/>
      <c r="E23" s="27"/>
      <c r="F23" s="39"/>
      <c r="G23" s="1">
        <v>6.1199999999999996E-3</v>
      </c>
      <c r="H23" s="1">
        <v>1.7600000000000001E-2</v>
      </c>
      <c r="I23" s="55">
        <f>G23*(E23+E24)+H23*(D23+D24)</f>
        <v>21908.597440000001</v>
      </c>
      <c r="J23" s="27"/>
      <c r="K23" s="40"/>
      <c r="L23" s="28">
        <f t="shared" si="1"/>
        <v>0</v>
      </c>
      <c r="M23" s="55">
        <f>I23+L23+L24</f>
        <v>21908.597440000001</v>
      </c>
    </row>
    <row r="24" spans="1:13" x14ac:dyDescent="0.2">
      <c r="A24" s="13"/>
      <c r="B24" s="20" t="s">
        <v>20</v>
      </c>
      <c r="C24" s="37">
        <v>3</v>
      </c>
      <c r="D24" s="38">
        <v>197135</v>
      </c>
      <c r="E24" s="27">
        <v>3012912</v>
      </c>
      <c r="F24" s="39">
        <v>36</v>
      </c>
      <c r="G24" s="1"/>
      <c r="H24" s="1"/>
      <c r="I24" s="55" t="e">
        <f>G24*(F24+#REF!)+H24*(D24+#REF!)</f>
        <v>#REF!</v>
      </c>
      <c r="J24" s="27"/>
      <c r="K24" s="40"/>
      <c r="L24" s="28">
        <f t="shared" si="1"/>
        <v>0</v>
      </c>
      <c r="M24" s="55" t="e">
        <f>I24+L24+#REF!</f>
        <v>#REF!</v>
      </c>
    </row>
    <row r="25" spans="1:13" x14ac:dyDescent="0.2">
      <c r="A25" s="57" t="s">
        <v>23</v>
      </c>
      <c r="B25" s="57" t="s">
        <v>23</v>
      </c>
      <c r="C25" s="30">
        <f>SUM(C19:C24)</f>
        <v>11</v>
      </c>
      <c r="D25" s="41">
        <f>SUM(D19:D24)</f>
        <v>727997</v>
      </c>
      <c r="E25" s="41">
        <f>SUM(E19:E24)</f>
        <v>3012912</v>
      </c>
      <c r="F25" s="41">
        <f>SUM(F19:F24)</f>
        <v>132</v>
      </c>
      <c r="G25" s="58"/>
      <c r="H25" s="58"/>
      <c r="I25" s="34">
        <f>I19+I21+I23</f>
        <v>47129.776639999996</v>
      </c>
      <c r="J25" s="58"/>
      <c r="K25" s="58"/>
      <c r="L25" s="42">
        <f>SUM(L19:L22)</f>
        <v>0</v>
      </c>
      <c r="M25" s="42">
        <f>M19+M21+M23</f>
        <v>47129.776639999996</v>
      </c>
    </row>
    <row r="27" spans="1:13" s="43" customFormat="1" ht="14" x14ac:dyDescent="0.2">
      <c r="F27" s="44"/>
      <c r="I27" s="45"/>
    </row>
    <row r="28" spans="1:13" x14ac:dyDescent="0.2">
      <c r="A28" s="19" t="s">
        <v>26</v>
      </c>
    </row>
    <row r="29" spans="1:13" x14ac:dyDescent="0.2">
      <c r="A29" s="13" t="s">
        <v>1</v>
      </c>
      <c r="B29" s="13"/>
      <c r="C29" s="13"/>
      <c r="D29" s="17"/>
    </row>
    <row r="30" spans="1:13" x14ac:dyDescent="0.2">
      <c r="A30" s="12" t="s">
        <v>27</v>
      </c>
      <c r="B30" s="12"/>
      <c r="C30" s="12"/>
      <c r="D30" s="17"/>
      <c r="G30" s="11" t="s">
        <v>3</v>
      </c>
      <c r="H30" s="11"/>
      <c r="I30" s="11"/>
      <c r="J30" s="10" t="s">
        <v>4</v>
      </c>
      <c r="K30" s="10"/>
      <c r="L30" s="10"/>
    </row>
    <row r="31" spans="1:13" ht="24" customHeight="1" x14ac:dyDescent="0.2">
      <c r="A31" s="9" t="s">
        <v>5</v>
      </c>
      <c r="B31" s="9" t="s">
        <v>6</v>
      </c>
      <c r="C31" s="8" t="s">
        <v>7</v>
      </c>
      <c r="D31" s="7" t="s">
        <v>8</v>
      </c>
      <c r="E31" s="9" t="s">
        <v>9</v>
      </c>
      <c r="F31" s="6" t="s">
        <v>10</v>
      </c>
      <c r="G31" s="5" t="s">
        <v>11</v>
      </c>
      <c r="H31" s="5" t="s">
        <v>12</v>
      </c>
      <c r="I31" s="4" t="s">
        <v>13</v>
      </c>
      <c r="J31" s="5" t="s">
        <v>14</v>
      </c>
      <c r="K31" s="5" t="s">
        <v>15</v>
      </c>
      <c r="L31" s="3" t="s">
        <v>16</v>
      </c>
      <c r="M31" s="2" t="s">
        <v>17</v>
      </c>
    </row>
    <row r="32" spans="1:13" ht="60.75" customHeight="1" x14ac:dyDescent="0.2">
      <c r="A32" s="9"/>
      <c r="B32" s="9"/>
      <c r="C32" s="8"/>
      <c r="D32" s="7"/>
      <c r="E32" s="9"/>
      <c r="F32" s="6"/>
      <c r="G32" s="5"/>
      <c r="H32" s="5"/>
      <c r="I32" s="4"/>
      <c r="J32" s="5"/>
      <c r="K32" s="5"/>
      <c r="L32" s="3"/>
      <c r="M32" s="2" t="e">
        <f>I32+L32+#REF!</f>
        <v>#REF!</v>
      </c>
    </row>
    <row r="33" spans="1:13" ht="12.75" customHeight="1" x14ac:dyDescent="0.2">
      <c r="A33" s="9" t="s">
        <v>18</v>
      </c>
      <c r="B33" s="21" t="s">
        <v>19</v>
      </c>
      <c r="C33" s="22"/>
      <c r="D33" s="23"/>
      <c r="E33" s="24"/>
      <c r="F33" s="25"/>
      <c r="G33" s="1">
        <v>10.97</v>
      </c>
      <c r="H33" s="1">
        <v>4.7449999999999999E-2</v>
      </c>
      <c r="I33" s="55">
        <f>G33*(F33+F34)+H33*(D33+D34)</f>
        <v>10183.712649999999</v>
      </c>
      <c r="J33" s="26"/>
      <c r="K33" s="26"/>
      <c r="L33" s="28">
        <f t="shared" ref="L33:L40" si="2">J33*F33+K33*D33</f>
        <v>0</v>
      </c>
      <c r="M33" s="56">
        <f>I33+L33+L34</f>
        <v>10183.712649999999</v>
      </c>
    </row>
    <row r="34" spans="1:13" ht="12.75" customHeight="1" x14ac:dyDescent="0.2">
      <c r="A34" s="9"/>
      <c r="B34" s="21" t="s">
        <v>20</v>
      </c>
      <c r="C34" s="22">
        <v>3</v>
      </c>
      <c r="D34" s="23">
        <v>206297</v>
      </c>
      <c r="E34" s="24"/>
      <c r="F34" s="25">
        <v>36</v>
      </c>
      <c r="G34" s="1"/>
      <c r="H34" s="1"/>
      <c r="I34" s="55">
        <f>G34*(E34+E43)+H34*(D34+D43)</f>
        <v>0</v>
      </c>
      <c r="J34" s="26"/>
      <c r="K34" s="26"/>
      <c r="L34" s="28">
        <f t="shared" si="2"/>
        <v>0</v>
      </c>
      <c r="M34" s="56">
        <f>I34+L34+L43</f>
        <v>0</v>
      </c>
    </row>
    <row r="35" spans="1:13" ht="12.75" customHeight="1" x14ac:dyDescent="0.2">
      <c r="A35" s="9" t="s">
        <v>21</v>
      </c>
      <c r="B35" s="21" t="s">
        <v>19</v>
      </c>
      <c r="C35" s="22">
        <v>1</v>
      </c>
      <c r="D35" s="23">
        <v>15777</v>
      </c>
      <c r="E35" s="24"/>
      <c r="F35" s="25">
        <v>9</v>
      </c>
      <c r="G35" s="1">
        <v>42.35</v>
      </c>
      <c r="H35" s="1">
        <v>3.5569999999999997E-2</v>
      </c>
      <c r="I35" s="55">
        <f>G35*(F35+F36)+H35*(D35+D36)</f>
        <v>12458.935449999999</v>
      </c>
      <c r="J35" s="26"/>
      <c r="K35" s="26"/>
      <c r="L35" s="28">
        <f t="shared" si="2"/>
        <v>0</v>
      </c>
      <c r="M35" s="56">
        <f>I35+L35+L36</f>
        <v>12458.935449999999</v>
      </c>
    </row>
    <row r="36" spans="1:13" ht="12.75" customHeight="1" x14ac:dyDescent="0.2">
      <c r="A36" s="9"/>
      <c r="B36" s="21" t="s">
        <v>20</v>
      </c>
      <c r="C36" s="22">
        <v>5</v>
      </c>
      <c r="D36" s="23">
        <v>255908</v>
      </c>
      <c r="E36" s="24"/>
      <c r="F36" s="25">
        <v>57</v>
      </c>
      <c r="G36" s="1"/>
      <c r="H36" s="1"/>
      <c r="I36" s="55">
        <f>G36*(E36+E45)+H36*(D36+D45)</f>
        <v>0</v>
      </c>
      <c r="J36" s="26"/>
      <c r="K36" s="26"/>
      <c r="L36" s="28">
        <f t="shared" si="2"/>
        <v>0</v>
      </c>
      <c r="M36" s="56">
        <f>I36+L36+L45</f>
        <v>0</v>
      </c>
    </row>
    <row r="37" spans="1:13" ht="12.75" customHeight="1" x14ac:dyDescent="0.2">
      <c r="A37" s="9" t="s">
        <v>22</v>
      </c>
      <c r="B37" s="21" t="s">
        <v>19</v>
      </c>
      <c r="C37" s="22">
        <v>2</v>
      </c>
      <c r="D37" s="23">
        <v>352982</v>
      </c>
      <c r="E37" s="24"/>
      <c r="F37" s="25">
        <v>24</v>
      </c>
      <c r="G37" s="1">
        <v>236.57</v>
      </c>
      <c r="H37" s="1">
        <v>3.4860000000000002E-2</v>
      </c>
      <c r="I37" s="55">
        <f>G37*(F37+F38)+H37*(D37+D38)</f>
        <v>24766.648440000001</v>
      </c>
      <c r="J37" s="26"/>
      <c r="K37" s="26"/>
      <c r="L37" s="28">
        <f t="shared" si="2"/>
        <v>0</v>
      </c>
      <c r="M37" s="56">
        <f>I37+L37+L38</f>
        <v>24766.648440000001</v>
      </c>
    </row>
    <row r="38" spans="1:13" ht="12.75" customHeight="1" x14ac:dyDescent="0.2">
      <c r="A38" s="9"/>
      <c r="B38" s="21" t="s">
        <v>20</v>
      </c>
      <c r="C38" s="22">
        <v>1</v>
      </c>
      <c r="D38" s="23">
        <v>113172</v>
      </c>
      <c r="E38" s="24"/>
      <c r="F38" s="25">
        <v>12</v>
      </c>
      <c r="G38" s="1"/>
      <c r="H38" s="1"/>
      <c r="I38" s="55" t="e">
        <f>G38*(E38+#REF!)+H38*(D38+#REF!)</f>
        <v>#REF!</v>
      </c>
      <c r="J38" s="26"/>
      <c r="K38" s="26"/>
      <c r="L38" s="28">
        <f t="shared" si="2"/>
        <v>0</v>
      </c>
      <c r="M38" s="56" t="e">
        <f>I38+L38+#REF!</f>
        <v>#REF!</v>
      </c>
    </row>
    <row r="39" spans="1:13" ht="12.75" customHeight="1" x14ac:dyDescent="0.2">
      <c r="A39" s="9" t="s">
        <v>25</v>
      </c>
      <c r="B39" s="21" t="s">
        <v>19</v>
      </c>
      <c r="C39" s="22">
        <v>1</v>
      </c>
      <c r="D39" s="23">
        <v>261405</v>
      </c>
      <c r="E39" s="24">
        <v>1062864</v>
      </c>
      <c r="F39" s="25">
        <v>12</v>
      </c>
      <c r="G39" s="1">
        <v>6.13E-3</v>
      </c>
      <c r="H39" s="1">
        <v>3.1609999999999999E-2</v>
      </c>
      <c r="I39" s="55">
        <f>G39*(E39+E40)+H39*(D39+D40)</f>
        <v>14778.36837</v>
      </c>
      <c r="J39" s="26"/>
      <c r="K39" s="26"/>
      <c r="L39" s="28">
        <f t="shared" si="2"/>
        <v>0</v>
      </c>
      <c r="M39" s="56">
        <f>I39+L39+L40</f>
        <v>14778.36837</v>
      </c>
    </row>
    <row r="40" spans="1:13" ht="12.75" customHeight="1" x14ac:dyDescent="0.2">
      <c r="A40" s="9"/>
      <c r="B40" s="21" t="s">
        <v>20</v>
      </c>
      <c r="C40" s="22"/>
      <c r="D40" s="23"/>
      <c r="E40" s="24"/>
      <c r="F40" s="25"/>
      <c r="G40" s="1"/>
      <c r="H40" s="1"/>
      <c r="I40" s="55" t="e">
        <f>G40*(E40+#REF!)+H40*(D40+#REF!)</f>
        <v>#REF!</v>
      </c>
      <c r="J40" s="26"/>
      <c r="K40" s="26"/>
      <c r="L40" s="28">
        <f t="shared" si="2"/>
        <v>0</v>
      </c>
      <c r="M40" s="56" t="e">
        <f>I40+L40+#REF!</f>
        <v>#REF!</v>
      </c>
    </row>
    <row r="41" spans="1:13" ht="12.75" customHeight="1" x14ac:dyDescent="0.2">
      <c r="A41" s="57" t="s">
        <v>23</v>
      </c>
      <c r="B41" s="57"/>
      <c r="C41" s="31">
        <f>SUM(C33:C40)</f>
        <v>13</v>
      </c>
      <c r="D41" s="32">
        <f>SUM(D33:D40)</f>
        <v>1205541</v>
      </c>
      <c r="E41" s="32">
        <f>SUM(E33:E40)</f>
        <v>1062864</v>
      </c>
      <c r="F41" s="33">
        <f>SUM(F33:F40)</f>
        <v>150</v>
      </c>
      <c r="G41" s="58"/>
      <c r="H41" s="58"/>
      <c r="I41" s="34">
        <f>I33+I37+I39+I35</f>
        <v>62187.66491</v>
      </c>
      <c r="J41" s="58"/>
      <c r="K41" s="58"/>
      <c r="L41" s="35">
        <f>SUM(L33:L38)</f>
        <v>0</v>
      </c>
      <c r="M41" s="36">
        <f>M33+M37+M39+M35</f>
        <v>62187.66491</v>
      </c>
    </row>
    <row r="43" spans="1:13" x14ac:dyDescent="0.2">
      <c r="A43" s="59" t="s">
        <v>24</v>
      </c>
      <c r="B43" s="59"/>
      <c r="C43" s="59"/>
      <c r="D43" s="59"/>
      <c r="G43" s="11" t="s">
        <v>3</v>
      </c>
      <c r="H43" s="11"/>
      <c r="I43" s="11"/>
      <c r="J43" s="10" t="s">
        <v>4</v>
      </c>
      <c r="K43" s="10"/>
      <c r="L43" s="10"/>
    </row>
    <row r="44" spans="1:13" ht="39.75" customHeight="1" x14ac:dyDescent="0.2">
      <c r="A44" s="9" t="s">
        <v>5</v>
      </c>
      <c r="B44" s="9" t="s">
        <v>6</v>
      </c>
      <c r="C44" s="60" t="s">
        <v>7</v>
      </c>
      <c r="D44" s="7" t="s">
        <v>8</v>
      </c>
      <c r="E44" s="9" t="s">
        <v>9</v>
      </c>
      <c r="F44" s="6" t="s">
        <v>10</v>
      </c>
      <c r="G44" s="5" t="s">
        <v>11</v>
      </c>
      <c r="H44" s="5" t="s">
        <v>12</v>
      </c>
      <c r="I44" s="4" t="s">
        <v>13</v>
      </c>
      <c r="J44" s="5" t="s">
        <v>14</v>
      </c>
      <c r="K44" s="5" t="s">
        <v>15</v>
      </c>
      <c r="L44" s="5" t="s">
        <v>16</v>
      </c>
      <c r="M44" s="61" t="s">
        <v>17</v>
      </c>
    </row>
    <row r="45" spans="1:13" ht="29.25" customHeight="1" x14ac:dyDescent="0.2">
      <c r="A45" s="9"/>
      <c r="B45" s="9"/>
      <c r="C45" s="60"/>
      <c r="D45" s="7"/>
      <c r="E45" s="9"/>
      <c r="F45" s="6"/>
      <c r="G45" s="5"/>
      <c r="H45" s="5"/>
      <c r="I45" s="4"/>
      <c r="J45" s="5"/>
      <c r="K45" s="5"/>
      <c r="L45" s="5"/>
      <c r="M45" s="61"/>
    </row>
    <row r="46" spans="1:13" x14ac:dyDescent="0.2">
      <c r="A46" s="13" t="s">
        <v>28</v>
      </c>
      <c r="B46" s="20" t="s">
        <v>19</v>
      </c>
      <c r="C46" s="37"/>
      <c r="D46" s="38"/>
      <c r="E46" s="39"/>
      <c r="F46" s="39"/>
      <c r="G46" s="58">
        <v>3.55</v>
      </c>
      <c r="H46" s="1">
        <v>5.3760000000000002E-2</v>
      </c>
      <c r="I46" s="55">
        <f>G46*(F46+F47)+H46*(D46+D47)</f>
        <v>7622.7600000000011</v>
      </c>
      <c r="J46" s="27"/>
      <c r="K46" s="40"/>
      <c r="L46" s="28">
        <f t="shared" ref="L46:L55" si="3">J46*F46+K46*D46</f>
        <v>0</v>
      </c>
      <c r="M46" s="55">
        <f>I46+L46+L47</f>
        <v>7622.7600000000011</v>
      </c>
    </row>
    <row r="47" spans="1:13" x14ac:dyDescent="0.2">
      <c r="A47" s="13"/>
      <c r="B47" s="20" t="s">
        <v>20</v>
      </c>
      <c r="C47" s="37">
        <v>1</v>
      </c>
      <c r="D47" s="38">
        <v>141000</v>
      </c>
      <c r="E47" s="27"/>
      <c r="F47" s="39">
        <v>12</v>
      </c>
      <c r="G47" s="58"/>
      <c r="H47" s="1"/>
      <c r="I47" s="55" t="e">
        <f>G47*(F47+#REF!)+H47*(D47+#REF!)</f>
        <v>#REF!</v>
      </c>
      <c r="J47" s="27"/>
      <c r="K47" s="40"/>
      <c r="L47" s="28">
        <f t="shared" si="3"/>
        <v>0</v>
      </c>
      <c r="M47" s="55" t="e">
        <f>I47+L47+#REF!</f>
        <v>#REF!</v>
      </c>
    </row>
    <row r="48" spans="1:13" x14ac:dyDescent="0.2">
      <c r="A48" s="13" t="s">
        <v>18</v>
      </c>
      <c r="B48" s="20" t="s">
        <v>19</v>
      </c>
      <c r="C48" s="37">
        <v>2</v>
      </c>
      <c r="D48" s="38">
        <v>83063</v>
      </c>
      <c r="E48" s="39"/>
      <c r="F48" s="39">
        <v>24</v>
      </c>
      <c r="G48" s="58">
        <v>9.0399999999999991</v>
      </c>
      <c r="H48" s="1">
        <v>3.9100000000000003E-2</v>
      </c>
      <c r="I48" s="55">
        <f>G48*(F48+F49)+H48*(D48+D49)</f>
        <v>5645.4749000000002</v>
      </c>
      <c r="J48" s="27"/>
      <c r="K48" s="40"/>
      <c r="L48" s="28">
        <f t="shared" si="3"/>
        <v>0</v>
      </c>
      <c r="M48" s="55">
        <f>I48+L48+L49</f>
        <v>5645.4749000000002</v>
      </c>
    </row>
    <row r="49" spans="1:13" x14ac:dyDescent="0.2">
      <c r="A49" s="13"/>
      <c r="B49" s="20" t="s">
        <v>20</v>
      </c>
      <c r="C49" s="37">
        <v>5</v>
      </c>
      <c r="D49" s="38">
        <v>44676</v>
      </c>
      <c r="E49" s="27"/>
      <c r="F49" s="39">
        <v>48</v>
      </c>
      <c r="G49" s="58"/>
      <c r="H49" s="1"/>
      <c r="I49" s="55" t="e">
        <f>G49*(F49+#REF!)+H49*(D49+#REF!)</f>
        <v>#REF!</v>
      </c>
      <c r="J49" s="27"/>
      <c r="K49" s="40"/>
      <c r="L49" s="28">
        <f t="shared" si="3"/>
        <v>0</v>
      </c>
      <c r="M49" s="55" t="e">
        <f>I49+L49+#REF!</f>
        <v>#REF!</v>
      </c>
    </row>
    <row r="50" spans="1:13" x14ac:dyDescent="0.2">
      <c r="A50" s="13" t="s">
        <v>21</v>
      </c>
      <c r="B50" s="20" t="s">
        <v>19</v>
      </c>
      <c r="C50" s="37">
        <v>2</v>
      </c>
      <c r="D50" s="38">
        <v>62084</v>
      </c>
      <c r="E50" s="39"/>
      <c r="F50" s="39">
        <v>24</v>
      </c>
      <c r="G50" s="58">
        <v>34.9</v>
      </c>
      <c r="H50" s="1">
        <v>2.9309999999999999E-2</v>
      </c>
      <c r="I50" s="55">
        <f>G50*(F50+F51)+H50*(D50+D51)</f>
        <v>23185.067639999997</v>
      </c>
      <c r="J50" s="27"/>
      <c r="K50" s="40"/>
      <c r="L50" s="28">
        <f t="shared" si="3"/>
        <v>0</v>
      </c>
      <c r="M50" s="55">
        <f>I50+L50+L51</f>
        <v>23185.067639999997</v>
      </c>
    </row>
    <row r="51" spans="1:13" x14ac:dyDescent="0.2">
      <c r="A51" s="13"/>
      <c r="B51" s="20" t="s">
        <v>20</v>
      </c>
      <c r="C51" s="37">
        <v>14</v>
      </c>
      <c r="D51" s="38">
        <v>521760</v>
      </c>
      <c r="E51" s="27"/>
      <c r="F51" s="39">
        <v>150</v>
      </c>
      <c r="G51" s="58"/>
      <c r="H51" s="1"/>
      <c r="I51" s="55" t="e">
        <f>G51*(F51+#REF!)+H51*(D51+#REF!)</f>
        <v>#REF!</v>
      </c>
      <c r="J51" s="27"/>
      <c r="K51" s="40"/>
      <c r="L51" s="28">
        <f t="shared" si="3"/>
        <v>0</v>
      </c>
      <c r="M51" s="55" t="e">
        <f>I51+L51+#REF!</f>
        <v>#REF!</v>
      </c>
    </row>
    <row r="52" spans="1:13" x14ac:dyDescent="0.2">
      <c r="A52" s="13" t="s">
        <v>22</v>
      </c>
      <c r="B52" s="20" t="s">
        <v>19</v>
      </c>
      <c r="C52" s="37">
        <v>2</v>
      </c>
      <c r="D52" s="38">
        <v>191112</v>
      </c>
      <c r="E52" s="27"/>
      <c r="F52" s="39">
        <v>24</v>
      </c>
      <c r="G52" s="58">
        <v>194.95</v>
      </c>
      <c r="H52" s="58">
        <v>2.8729999999999999E-2</v>
      </c>
      <c r="I52" s="55">
        <f>G52*(F52+F53)+H52*(D52+D53)</f>
        <v>38808.020519999998</v>
      </c>
      <c r="J52" s="27"/>
      <c r="K52" s="40"/>
      <c r="L52" s="28">
        <f t="shared" si="3"/>
        <v>0</v>
      </c>
      <c r="M52" s="55">
        <f>I52+L52+L53</f>
        <v>38808.020519999998</v>
      </c>
    </row>
    <row r="53" spans="1:13" x14ac:dyDescent="0.2">
      <c r="A53" s="13"/>
      <c r="B53" s="20" t="s">
        <v>20</v>
      </c>
      <c r="C53" s="37">
        <v>6</v>
      </c>
      <c r="D53" s="38">
        <v>528612</v>
      </c>
      <c r="E53" s="27"/>
      <c r="F53" s="39">
        <v>69</v>
      </c>
      <c r="G53" s="58"/>
      <c r="H53" s="58"/>
      <c r="I53" s="55" t="e">
        <f>G53*(F53+#REF!)+H53*(D53+#REF!)</f>
        <v>#REF!</v>
      </c>
      <c r="J53" s="27"/>
      <c r="K53" s="40"/>
      <c r="L53" s="28">
        <f t="shared" si="3"/>
        <v>0</v>
      </c>
      <c r="M53" s="55" t="e">
        <f>I53+L53+#REF!</f>
        <v>#REF!</v>
      </c>
    </row>
    <row r="54" spans="1:13" x14ac:dyDescent="0.2">
      <c r="A54" s="13" t="s">
        <v>25</v>
      </c>
      <c r="B54" s="20" t="s">
        <v>19</v>
      </c>
      <c r="C54" s="37">
        <v>2</v>
      </c>
      <c r="D54" s="38">
        <v>565981</v>
      </c>
      <c r="E54" s="27">
        <v>2802096</v>
      </c>
      <c r="F54" s="39">
        <v>24</v>
      </c>
      <c r="G54" s="58">
        <v>5.0499999999999998E-3</v>
      </c>
      <c r="H54" s="58">
        <v>2.605E-2</v>
      </c>
      <c r="I54" s="55">
        <f>G54*(E54+E55)+H54*(D54+D55)</f>
        <v>158709.79009999998</v>
      </c>
      <c r="J54" s="27"/>
      <c r="K54" s="40"/>
      <c r="L54" s="28">
        <f t="shared" si="3"/>
        <v>0</v>
      </c>
      <c r="M54" s="55">
        <f>I54+L54+L55</f>
        <v>158709.79009999998</v>
      </c>
    </row>
    <row r="55" spans="1:13" x14ac:dyDescent="0.2">
      <c r="A55" s="13"/>
      <c r="B55" s="20" t="s">
        <v>20</v>
      </c>
      <c r="C55" s="37">
        <v>9</v>
      </c>
      <c r="D55" s="38">
        <v>2157277</v>
      </c>
      <c r="E55" s="27">
        <v>14577888</v>
      </c>
      <c r="F55" s="39">
        <v>93</v>
      </c>
      <c r="G55" s="58"/>
      <c r="H55" s="58"/>
      <c r="I55" s="55" t="e">
        <f>G55*(F55+#REF!)+H55*(D55+#REF!)</f>
        <v>#REF!</v>
      </c>
      <c r="J55" s="27"/>
      <c r="K55" s="40"/>
      <c r="L55" s="28">
        <f t="shared" si="3"/>
        <v>0</v>
      </c>
      <c r="M55" s="55" t="e">
        <f>I55+L55+#REF!</f>
        <v>#REF!</v>
      </c>
    </row>
    <row r="56" spans="1:13" x14ac:dyDescent="0.2">
      <c r="A56" s="57" t="s">
        <v>23</v>
      </c>
      <c r="B56" s="57" t="s">
        <v>23</v>
      </c>
      <c r="C56" s="30">
        <f>SUM(C46:C55)</f>
        <v>43</v>
      </c>
      <c r="D56" s="41">
        <f>SUM(D46:D55)</f>
        <v>4295565</v>
      </c>
      <c r="E56" s="41">
        <f>SUM(E46:E55)</f>
        <v>17379984</v>
      </c>
      <c r="F56" s="46">
        <f>SUM(F46:F55)</f>
        <v>468</v>
      </c>
      <c r="G56" s="58"/>
      <c r="H56" s="58"/>
      <c r="I56" s="34">
        <f>I46+I54+I50+I48+I52</f>
        <v>233971.11315999998</v>
      </c>
      <c r="J56" s="58"/>
      <c r="K56" s="58"/>
      <c r="L56" s="42">
        <f>SUM(L46:L55)</f>
        <v>0</v>
      </c>
      <c r="M56" s="42">
        <f>M46+M54+M50+M48+M52</f>
        <v>233971.11315999998</v>
      </c>
    </row>
    <row r="58" spans="1:13" x14ac:dyDescent="0.2">
      <c r="A58" s="62" t="s">
        <v>29</v>
      </c>
      <c r="B58" s="62"/>
      <c r="C58" s="62"/>
      <c r="D58" s="62"/>
      <c r="G58" s="63"/>
      <c r="H58" s="63"/>
      <c r="I58" s="63"/>
      <c r="J58" s="64"/>
      <c r="K58" s="64"/>
      <c r="L58" s="64"/>
    </row>
    <row r="59" spans="1:13" x14ac:dyDescent="0.2">
      <c r="A59" s="65" t="s">
        <v>30</v>
      </c>
      <c r="B59" s="65"/>
      <c r="C59" s="65"/>
      <c r="D59" s="47"/>
      <c r="G59" s="11" t="s">
        <v>3</v>
      </c>
      <c r="H59" s="11"/>
      <c r="I59" s="11"/>
      <c r="J59" s="10" t="s">
        <v>4</v>
      </c>
      <c r="K59" s="10"/>
      <c r="L59" s="10"/>
    </row>
    <row r="60" spans="1:13" ht="36" customHeight="1" x14ac:dyDescent="0.2">
      <c r="A60" s="9" t="s">
        <v>5</v>
      </c>
      <c r="B60" s="9" t="s">
        <v>6</v>
      </c>
      <c r="C60" s="7"/>
      <c r="D60" s="7" t="s">
        <v>8</v>
      </c>
      <c r="E60" s="9" t="s">
        <v>9</v>
      </c>
      <c r="F60" s="6" t="s">
        <v>10</v>
      </c>
      <c r="G60" s="5" t="s">
        <v>11</v>
      </c>
      <c r="H60" s="5" t="s">
        <v>12</v>
      </c>
      <c r="I60" s="4" t="s">
        <v>13</v>
      </c>
      <c r="J60" s="5" t="s">
        <v>14</v>
      </c>
      <c r="K60" s="5" t="s">
        <v>15</v>
      </c>
      <c r="L60" s="3" t="s">
        <v>16</v>
      </c>
      <c r="M60" s="2" t="s">
        <v>17</v>
      </c>
    </row>
    <row r="61" spans="1:13" ht="36" customHeight="1" x14ac:dyDescent="0.2">
      <c r="A61" s="9"/>
      <c r="B61" s="9"/>
      <c r="C61" s="7"/>
      <c r="D61" s="7"/>
      <c r="E61" s="9"/>
      <c r="F61" s="6"/>
      <c r="G61" s="5"/>
      <c r="H61" s="5"/>
      <c r="I61" s="4"/>
      <c r="J61" s="5"/>
      <c r="K61" s="5"/>
      <c r="L61" s="3"/>
      <c r="M61" s="2" t="e">
        <f>I61+L61+#REF!</f>
        <v>#REF!</v>
      </c>
    </row>
    <row r="62" spans="1:13" ht="36.75" customHeight="1" x14ac:dyDescent="0.2">
      <c r="A62" s="9" t="s">
        <v>22</v>
      </c>
      <c r="B62" s="9" t="s">
        <v>20</v>
      </c>
      <c r="C62" s="23" t="s">
        <v>31</v>
      </c>
      <c r="D62" s="23">
        <f>D64*33.33%</f>
        <v>69020.097299999994</v>
      </c>
      <c r="E62" s="23"/>
      <c r="F62" s="25">
        <v>12</v>
      </c>
      <c r="G62" s="26">
        <v>194.95</v>
      </c>
      <c r="H62" s="26">
        <v>2.8729999999999999E-2</v>
      </c>
      <c r="I62" s="27">
        <f>G62*F62*33.33%+H62*D62</f>
        <v>2762.6694154289994</v>
      </c>
      <c r="J62" s="26"/>
      <c r="K62" s="26"/>
      <c r="L62" s="28">
        <f>J62*F62+K62*D62</f>
        <v>0</v>
      </c>
      <c r="M62" s="29">
        <f>I62+L62</f>
        <v>2762.6694154289994</v>
      </c>
    </row>
    <row r="63" spans="1:13" ht="45" x14ac:dyDescent="0.2">
      <c r="A63" s="9"/>
      <c r="B63" s="9"/>
      <c r="C63" s="23" t="s">
        <v>32</v>
      </c>
      <c r="D63" s="23">
        <f>D64*66.67%</f>
        <v>138060.90270000001</v>
      </c>
      <c r="E63" s="23"/>
      <c r="F63" s="25">
        <v>12</v>
      </c>
      <c r="G63" s="26">
        <v>236.57</v>
      </c>
      <c r="H63" s="26">
        <v>3.4860000000000002E-2</v>
      </c>
      <c r="I63" s="27">
        <f>G63*F63*66.67%+H63*D63</f>
        <v>6705.4576961220009</v>
      </c>
      <c r="J63" s="26" t="s">
        <v>33</v>
      </c>
      <c r="K63" s="26"/>
      <c r="L63" s="28">
        <f>K63*D63</f>
        <v>0</v>
      </c>
      <c r="M63" s="29">
        <f>I63+L63</f>
        <v>6705.4576961220009</v>
      </c>
    </row>
    <row r="64" spans="1:13" x14ac:dyDescent="0.2">
      <c r="A64" s="57" t="s">
        <v>23</v>
      </c>
      <c r="B64" s="57"/>
      <c r="C64" s="48"/>
      <c r="D64" s="32">
        <v>207081</v>
      </c>
      <c r="E64" s="32"/>
      <c r="F64" s="33">
        <v>12</v>
      </c>
      <c r="G64" s="58"/>
      <c r="H64" s="58"/>
      <c r="I64" s="34">
        <f>I62+I63</f>
        <v>9468.1271115510008</v>
      </c>
      <c r="J64" s="58"/>
      <c r="K64" s="58"/>
      <c r="L64" s="35">
        <f>SUM(L62:L63)</f>
        <v>0</v>
      </c>
      <c r="M64" s="36">
        <f>M62+M63</f>
        <v>9468.1271115510008</v>
      </c>
    </row>
    <row r="66" spans="1:13" x14ac:dyDescent="0.2">
      <c r="A66" s="62" t="s">
        <v>29</v>
      </c>
      <c r="B66" s="62"/>
      <c r="C66" s="62"/>
      <c r="D66" s="62"/>
      <c r="G66" s="63"/>
      <c r="H66" s="63"/>
      <c r="I66" s="63"/>
      <c r="J66" s="64"/>
      <c r="K66" s="64"/>
      <c r="L66" s="64"/>
    </row>
    <row r="67" spans="1:13" x14ac:dyDescent="0.2">
      <c r="A67" s="65" t="s">
        <v>34</v>
      </c>
      <c r="B67" s="65"/>
      <c r="C67" s="65"/>
      <c r="D67" s="47"/>
      <c r="G67" s="11" t="s">
        <v>3</v>
      </c>
      <c r="H67" s="11"/>
      <c r="I67" s="11"/>
      <c r="J67" s="10" t="s">
        <v>4</v>
      </c>
      <c r="K67" s="10"/>
      <c r="L67" s="10"/>
    </row>
    <row r="68" spans="1:13" ht="36" customHeight="1" x14ac:dyDescent="0.2">
      <c r="A68" s="9" t="s">
        <v>5</v>
      </c>
      <c r="B68" s="9" t="s">
        <v>6</v>
      </c>
      <c r="C68" s="7"/>
      <c r="D68" s="7" t="s">
        <v>8</v>
      </c>
      <c r="E68" s="9" t="s">
        <v>9</v>
      </c>
      <c r="F68" s="6" t="s">
        <v>10</v>
      </c>
      <c r="G68" s="5" t="s">
        <v>11</v>
      </c>
      <c r="H68" s="5" t="s">
        <v>12</v>
      </c>
      <c r="I68" s="4" t="s">
        <v>13</v>
      </c>
      <c r="J68" s="5" t="s">
        <v>14</v>
      </c>
      <c r="K68" s="5" t="s">
        <v>15</v>
      </c>
      <c r="L68" s="3" t="s">
        <v>16</v>
      </c>
      <c r="M68" s="2" t="s">
        <v>17</v>
      </c>
    </row>
    <row r="69" spans="1:13" ht="36" customHeight="1" x14ac:dyDescent="0.2">
      <c r="A69" s="9"/>
      <c r="B69" s="9"/>
      <c r="C69" s="7"/>
      <c r="D69" s="7"/>
      <c r="E69" s="9"/>
      <c r="F69" s="6"/>
      <c r="G69" s="5"/>
      <c r="H69" s="5"/>
      <c r="I69" s="4"/>
      <c r="J69" s="5"/>
      <c r="K69" s="5"/>
      <c r="L69" s="3"/>
      <c r="M69" s="2" t="e">
        <f>I69+L69+#REF!</f>
        <v>#REF!</v>
      </c>
    </row>
    <row r="70" spans="1:13" ht="36.75" customHeight="1" x14ac:dyDescent="0.2">
      <c r="A70" s="9" t="s">
        <v>22</v>
      </c>
      <c r="B70" s="9" t="s">
        <v>20</v>
      </c>
      <c r="C70" s="23" t="s">
        <v>31</v>
      </c>
      <c r="D70" s="23">
        <f>D72*86%</f>
        <v>70846.8</v>
      </c>
      <c r="E70" s="23"/>
      <c r="F70" s="25">
        <v>12</v>
      </c>
      <c r="G70" s="26">
        <v>194.95</v>
      </c>
      <c r="H70" s="26">
        <v>2.8729999999999999E-2</v>
      </c>
      <c r="I70" s="27">
        <f>G70*F70*86%+H70*D70</f>
        <v>4047.3125639999998</v>
      </c>
      <c r="J70" s="26"/>
      <c r="K70" s="26"/>
      <c r="L70" s="28">
        <f>J70*F70+K70*D70</f>
        <v>0</v>
      </c>
      <c r="M70" s="29">
        <f>I70+L70</f>
        <v>4047.3125639999998</v>
      </c>
    </row>
    <row r="71" spans="1:13" ht="45" x14ac:dyDescent="0.2">
      <c r="A71" s="9"/>
      <c r="B71" s="9"/>
      <c r="C71" s="23" t="s">
        <v>32</v>
      </c>
      <c r="D71" s="23">
        <f>D72*14%</f>
        <v>11533.2</v>
      </c>
      <c r="E71" s="23"/>
      <c r="F71" s="25">
        <v>12</v>
      </c>
      <c r="G71" s="26">
        <v>236.57</v>
      </c>
      <c r="H71" s="26">
        <v>3.4860000000000002E-2</v>
      </c>
      <c r="I71" s="27">
        <f>G71*F71*14%+H71*D71</f>
        <v>799.48495200000002</v>
      </c>
      <c r="J71" s="26" t="s">
        <v>33</v>
      </c>
      <c r="K71" s="26"/>
      <c r="L71" s="28">
        <f>K71*D71</f>
        <v>0</v>
      </c>
      <c r="M71" s="29">
        <f>I71+L71</f>
        <v>799.48495200000002</v>
      </c>
    </row>
    <row r="72" spans="1:13" x14ac:dyDescent="0.2">
      <c r="A72" s="57" t="s">
        <v>23</v>
      </c>
      <c r="B72" s="57"/>
      <c r="C72" s="48"/>
      <c r="D72" s="32">
        <v>82380</v>
      </c>
      <c r="E72" s="32"/>
      <c r="F72" s="33">
        <v>12</v>
      </c>
      <c r="G72" s="58"/>
      <c r="H72" s="58"/>
      <c r="I72" s="34">
        <f>I70+I71</f>
        <v>4846.7975159999996</v>
      </c>
      <c r="J72" s="58"/>
      <c r="K72" s="58"/>
      <c r="L72" s="35">
        <f>SUM(L70:L71)</f>
        <v>0</v>
      </c>
      <c r="M72" s="36">
        <f>M70+M71</f>
        <v>4846.7975159999996</v>
      </c>
    </row>
    <row r="74" spans="1:13" x14ac:dyDescent="0.2">
      <c r="A74" s="62" t="s">
        <v>29</v>
      </c>
      <c r="B74" s="62"/>
      <c r="C74" s="62"/>
      <c r="D74" s="62"/>
      <c r="G74" s="63"/>
      <c r="H74" s="63"/>
      <c r="I74" s="63"/>
      <c r="J74" s="64"/>
      <c r="K74" s="64"/>
      <c r="L74" s="64"/>
    </row>
    <row r="75" spans="1:13" x14ac:dyDescent="0.2">
      <c r="A75" s="65" t="s">
        <v>35</v>
      </c>
      <c r="B75" s="65"/>
      <c r="C75" s="65"/>
      <c r="D75" s="47"/>
      <c r="G75" s="11" t="s">
        <v>3</v>
      </c>
      <c r="H75" s="11"/>
      <c r="I75" s="11"/>
      <c r="J75" s="10" t="s">
        <v>4</v>
      </c>
      <c r="K75" s="10"/>
      <c r="L75" s="10"/>
    </row>
    <row r="76" spans="1:13" ht="36" customHeight="1" x14ac:dyDescent="0.2">
      <c r="A76" s="9" t="s">
        <v>5</v>
      </c>
      <c r="B76" s="9" t="s">
        <v>6</v>
      </c>
      <c r="C76" s="7"/>
      <c r="D76" s="7" t="s">
        <v>8</v>
      </c>
      <c r="E76" s="9" t="s">
        <v>9</v>
      </c>
      <c r="F76" s="6" t="s">
        <v>10</v>
      </c>
      <c r="G76" s="5" t="s">
        <v>11</v>
      </c>
      <c r="H76" s="5" t="s">
        <v>12</v>
      </c>
      <c r="I76" s="4" t="s">
        <v>13</v>
      </c>
      <c r="J76" s="5" t="s">
        <v>14</v>
      </c>
      <c r="K76" s="5" t="s">
        <v>15</v>
      </c>
      <c r="L76" s="3" t="s">
        <v>16</v>
      </c>
      <c r="M76" s="2" t="s">
        <v>17</v>
      </c>
    </row>
    <row r="77" spans="1:13" ht="36" customHeight="1" x14ac:dyDescent="0.2">
      <c r="A77" s="9"/>
      <c r="B77" s="9"/>
      <c r="C77" s="7"/>
      <c r="D77" s="7"/>
      <c r="E77" s="9"/>
      <c r="F77" s="6"/>
      <c r="G77" s="5"/>
      <c r="H77" s="5"/>
      <c r="I77" s="4"/>
      <c r="J77" s="5"/>
      <c r="K77" s="5"/>
      <c r="L77" s="3"/>
      <c r="M77" s="2" t="e">
        <f>I77+L77+#REF!</f>
        <v>#REF!</v>
      </c>
    </row>
    <row r="78" spans="1:13" ht="36.75" customHeight="1" x14ac:dyDescent="0.2">
      <c r="A78" s="9" t="s">
        <v>22</v>
      </c>
      <c r="B78" s="9" t="s">
        <v>20</v>
      </c>
      <c r="C78" s="23" t="s">
        <v>31</v>
      </c>
      <c r="D78" s="23">
        <f>D80*71%</f>
        <v>99133.04</v>
      </c>
      <c r="E78" s="23"/>
      <c r="F78" s="25">
        <v>12</v>
      </c>
      <c r="G78" s="26">
        <v>194.95</v>
      </c>
      <c r="H78" s="26">
        <v>2.8729999999999999E-2</v>
      </c>
      <c r="I78" s="27">
        <f>G78*F78*71%+H78*D78</f>
        <v>4509.0662391999995</v>
      </c>
      <c r="J78" s="26"/>
      <c r="K78" s="26"/>
      <c r="L78" s="28">
        <f>J78*F78+K78*D78</f>
        <v>0</v>
      </c>
      <c r="M78" s="29">
        <f>I78+L78</f>
        <v>4509.0662391999995</v>
      </c>
    </row>
    <row r="79" spans="1:13" ht="45" x14ac:dyDescent="0.2">
      <c r="A79" s="9"/>
      <c r="B79" s="9"/>
      <c r="C79" s="23" t="s">
        <v>32</v>
      </c>
      <c r="D79" s="23">
        <f>D80*29%</f>
        <v>40490.959999999999</v>
      </c>
      <c r="E79" s="23"/>
      <c r="F79" s="25">
        <v>12</v>
      </c>
      <c r="G79" s="26">
        <v>236.57</v>
      </c>
      <c r="H79" s="26">
        <v>3.4860000000000002E-2</v>
      </c>
      <c r="I79" s="27">
        <f>G79*F79*29%+H79*D79</f>
        <v>2234.7784656000003</v>
      </c>
      <c r="J79" s="26" t="s">
        <v>33</v>
      </c>
      <c r="K79" s="26"/>
      <c r="L79" s="28">
        <f>K79*D79</f>
        <v>0</v>
      </c>
      <c r="M79" s="29">
        <f>I79+L79</f>
        <v>2234.7784656000003</v>
      </c>
    </row>
    <row r="80" spans="1:13" x14ac:dyDescent="0.2">
      <c r="A80" s="57" t="s">
        <v>23</v>
      </c>
      <c r="B80" s="57"/>
      <c r="C80" s="48"/>
      <c r="D80" s="32">
        <v>139624</v>
      </c>
      <c r="E80" s="32"/>
      <c r="F80" s="33">
        <v>12</v>
      </c>
      <c r="G80" s="58"/>
      <c r="H80" s="58"/>
      <c r="I80" s="34">
        <f>I78+I79</f>
        <v>6743.8447047999998</v>
      </c>
      <c r="J80" s="58"/>
      <c r="K80" s="58"/>
      <c r="L80" s="35">
        <f>SUM(L78:L79)</f>
        <v>0</v>
      </c>
      <c r="M80" s="36">
        <f>M78+M79</f>
        <v>6743.8447047999998</v>
      </c>
    </row>
    <row r="82" spans="1:13" x14ac:dyDescent="0.2">
      <c r="A82" s="62" t="s">
        <v>29</v>
      </c>
      <c r="B82" s="62"/>
      <c r="C82" s="62"/>
      <c r="D82" s="62"/>
      <c r="G82" s="63"/>
      <c r="H82" s="63"/>
      <c r="I82" s="63"/>
      <c r="J82" s="64"/>
      <c r="K82" s="64"/>
      <c r="L82" s="64"/>
    </row>
    <row r="83" spans="1:13" x14ac:dyDescent="0.2">
      <c r="A83" s="65" t="s">
        <v>36</v>
      </c>
      <c r="B83" s="65"/>
      <c r="C83" s="65"/>
      <c r="D83" s="47"/>
      <c r="G83" s="11" t="s">
        <v>3</v>
      </c>
      <c r="H83" s="11"/>
      <c r="I83" s="11"/>
      <c r="J83" s="10" t="s">
        <v>4</v>
      </c>
      <c r="K83" s="10"/>
      <c r="L83" s="10"/>
    </row>
    <row r="84" spans="1:13" ht="36" customHeight="1" x14ac:dyDescent="0.2">
      <c r="A84" s="9" t="s">
        <v>5</v>
      </c>
      <c r="B84" s="9" t="s">
        <v>6</v>
      </c>
      <c r="C84" s="7"/>
      <c r="D84" s="7" t="s">
        <v>8</v>
      </c>
      <c r="E84" s="9" t="s">
        <v>9</v>
      </c>
      <c r="F84" s="6" t="s">
        <v>10</v>
      </c>
      <c r="G84" s="5" t="s">
        <v>11</v>
      </c>
      <c r="H84" s="5" t="s">
        <v>12</v>
      </c>
      <c r="I84" s="4" t="s">
        <v>13</v>
      </c>
      <c r="J84" s="5" t="s">
        <v>14</v>
      </c>
      <c r="K84" s="5" t="s">
        <v>15</v>
      </c>
      <c r="L84" s="3" t="s">
        <v>16</v>
      </c>
      <c r="M84" s="2" t="s">
        <v>17</v>
      </c>
    </row>
    <row r="85" spans="1:13" ht="36" customHeight="1" x14ac:dyDescent="0.2">
      <c r="A85" s="9"/>
      <c r="B85" s="9"/>
      <c r="C85" s="7"/>
      <c r="D85" s="7"/>
      <c r="E85" s="9"/>
      <c r="F85" s="6"/>
      <c r="G85" s="5"/>
      <c r="H85" s="5"/>
      <c r="I85" s="4"/>
      <c r="J85" s="5"/>
      <c r="K85" s="5"/>
      <c r="L85" s="3"/>
      <c r="M85" s="2" t="e">
        <f>I85+L85+#REF!</f>
        <v>#REF!</v>
      </c>
    </row>
    <row r="86" spans="1:13" ht="36.75" customHeight="1" x14ac:dyDescent="0.2">
      <c r="A86" s="9" t="s">
        <v>22</v>
      </c>
      <c r="B86" s="9" t="s">
        <v>20</v>
      </c>
      <c r="C86" s="23" t="s">
        <v>31</v>
      </c>
      <c r="D86" s="23">
        <f>D88*11%</f>
        <v>11203.94</v>
      </c>
      <c r="E86" s="23"/>
      <c r="F86" s="25">
        <v>12</v>
      </c>
      <c r="G86" s="26">
        <v>194.95</v>
      </c>
      <c r="H86" s="26">
        <v>2.8729999999999999E-2</v>
      </c>
      <c r="I86" s="27">
        <f>G86*F86*11%+H86*D86</f>
        <v>579.22319619999996</v>
      </c>
      <c r="J86" s="26"/>
      <c r="K86" s="26"/>
      <c r="L86" s="28">
        <f>J86*F86+K86*D86</f>
        <v>0</v>
      </c>
      <c r="M86" s="29">
        <f>I86+L86</f>
        <v>579.22319619999996</v>
      </c>
    </row>
    <row r="87" spans="1:13" ht="45" x14ac:dyDescent="0.2">
      <c r="A87" s="9"/>
      <c r="B87" s="9"/>
      <c r="C87" s="23" t="s">
        <v>32</v>
      </c>
      <c r="D87" s="23">
        <f>D88*89%</f>
        <v>90650.06</v>
      </c>
      <c r="E87" s="23"/>
      <c r="F87" s="25">
        <v>12</v>
      </c>
      <c r="G87" s="26">
        <v>236.57</v>
      </c>
      <c r="H87" s="26">
        <v>3.4860000000000002E-2</v>
      </c>
      <c r="I87" s="27">
        <f>G87*F87*89%+H87*D87</f>
        <v>5686.6286916000008</v>
      </c>
      <c r="J87" s="26" t="s">
        <v>33</v>
      </c>
      <c r="K87" s="26"/>
      <c r="L87" s="28">
        <f>K87*D87</f>
        <v>0</v>
      </c>
      <c r="M87" s="29">
        <f>I87+L87</f>
        <v>5686.6286916000008</v>
      </c>
    </row>
    <row r="88" spans="1:13" x14ac:dyDescent="0.2">
      <c r="A88" s="57" t="s">
        <v>23</v>
      </c>
      <c r="B88" s="57"/>
      <c r="C88" s="48"/>
      <c r="D88" s="32">
        <v>101854</v>
      </c>
      <c r="E88" s="32"/>
      <c r="F88" s="33">
        <v>12</v>
      </c>
      <c r="G88" s="58"/>
      <c r="H88" s="58"/>
      <c r="I88" s="34">
        <f>I86+I87</f>
        <v>6265.8518878000004</v>
      </c>
      <c r="J88" s="58"/>
      <c r="K88" s="58"/>
      <c r="L88" s="35">
        <f>SUM(L86:L87)</f>
        <v>0</v>
      </c>
      <c r="M88" s="36">
        <f>M86+M87</f>
        <v>6265.8518878000004</v>
      </c>
    </row>
    <row r="90" spans="1:13" s="43" customFormat="1" ht="14" x14ac:dyDescent="0.2">
      <c r="F90" s="44"/>
      <c r="I90" s="45"/>
    </row>
    <row r="91" spans="1:13" x14ac:dyDescent="0.2">
      <c r="A91" s="19" t="s">
        <v>37</v>
      </c>
    </row>
    <row r="92" spans="1:13" x14ac:dyDescent="0.2">
      <c r="A92" s="13" t="s">
        <v>1</v>
      </c>
      <c r="B92" s="13"/>
      <c r="C92" s="13"/>
      <c r="D92" s="17"/>
    </row>
    <row r="93" spans="1:13" x14ac:dyDescent="0.2">
      <c r="A93" s="12" t="s">
        <v>38</v>
      </c>
      <c r="B93" s="12"/>
      <c r="C93" s="12"/>
      <c r="D93" s="17"/>
      <c r="G93" s="11" t="s">
        <v>3</v>
      </c>
      <c r="H93" s="11"/>
      <c r="I93" s="11"/>
      <c r="J93" s="10" t="s">
        <v>4</v>
      </c>
      <c r="K93" s="10"/>
      <c r="L93" s="10"/>
    </row>
    <row r="94" spans="1:13" ht="27" customHeight="1" x14ac:dyDescent="0.2">
      <c r="A94" s="9" t="s">
        <v>5</v>
      </c>
      <c r="B94" s="9" t="s">
        <v>6</v>
      </c>
      <c r="C94" s="8" t="s">
        <v>7</v>
      </c>
      <c r="D94" s="7" t="s">
        <v>8</v>
      </c>
      <c r="E94" s="9" t="s">
        <v>9</v>
      </c>
      <c r="F94" s="6" t="s">
        <v>10</v>
      </c>
      <c r="G94" s="5" t="s">
        <v>11</v>
      </c>
      <c r="H94" s="5" t="s">
        <v>12</v>
      </c>
      <c r="I94" s="4" t="s">
        <v>13</v>
      </c>
      <c r="J94" s="5" t="s">
        <v>14</v>
      </c>
      <c r="K94" s="5" t="s">
        <v>15</v>
      </c>
      <c r="L94" s="3" t="s">
        <v>16</v>
      </c>
      <c r="M94" s="2" t="s">
        <v>17</v>
      </c>
    </row>
    <row r="95" spans="1:13" ht="32" customHeight="1" x14ac:dyDescent="0.2">
      <c r="A95" s="9"/>
      <c r="B95" s="9"/>
      <c r="C95" s="8"/>
      <c r="D95" s="7"/>
      <c r="E95" s="9"/>
      <c r="F95" s="6"/>
      <c r="G95" s="5"/>
      <c r="H95" s="5"/>
      <c r="I95" s="4"/>
      <c r="J95" s="5"/>
      <c r="K95" s="5"/>
      <c r="L95" s="3"/>
      <c r="M95" s="2" t="e">
        <f>I95+L95+#REF!</f>
        <v>#REF!</v>
      </c>
    </row>
    <row r="96" spans="1:13" ht="17.25" customHeight="1" x14ac:dyDescent="0.2">
      <c r="A96" s="9" t="s">
        <v>28</v>
      </c>
      <c r="B96" s="21" t="s">
        <v>19</v>
      </c>
      <c r="C96" s="22"/>
      <c r="D96" s="23"/>
      <c r="E96" s="24"/>
      <c r="F96" s="25"/>
      <c r="G96" s="1">
        <v>4.6399999999999997</v>
      </c>
      <c r="H96" s="1">
        <v>5.466E-2</v>
      </c>
      <c r="I96" s="55">
        <f>G96*(F96+F97)+H96*(D96+D97)</f>
        <v>55.679999999999993</v>
      </c>
      <c r="J96" s="26"/>
      <c r="K96" s="26"/>
      <c r="L96" s="28">
        <f>J96*F96+K96*D96</f>
        <v>0</v>
      </c>
      <c r="M96" s="56">
        <f>I96+L96+L97</f>
        <v>55.679999999999993</v>
      </c>
    </row>
    <row r="97" spans="1:13" ht="16.5" customHeight="1" x14ac:dyDescent="0.2">
      <c r="A97" s="9"/>
      <c r="B97" s="21" t="s">
        <v>20</v>
      </c>
      <c r="C97" s="22">
        <v>1</v>
      </c>
      <c r="D97" s="23">
        <v>0</v>
      </c>
      <c r="E97" s="24"/>
      <c r="F97" s="25">
        <v>12</v>
      </c>
      <c r="G97" s="1"/>
      <c r="H97" s="1"/>
      <c r="I97" s="55" t="e">
        <f>G97*(E97+#REF!)+H97*(D97+#REF!)</f>
        <v>#REF!</v>
      </c>
      <c r="J97" s="26"/>
      <c r="K97" s="26"/>
      <c r="L97" s="28">
        <f>J97*F97+K97*D97</f>
        <v>0</v>
      </c>
      <c r="M97" s="56" t="e">
        <f>I97+L97+#REF!</f>
        <v>#REF!</v>
      </c>
    </row>
    <row r="98" spans="1:13" ht="13.75" customHeight="1" x14ac:dyDescent="0.2">
      <c r="A98" s="9" t="s">
        <v>25</v>
      </c>
      <c r="B98" s="21" t="s">
        <v>19</v>
      </c>
      <c r="C98" s="22"/>
      <c r="D98" s="23"/>
      <c r="E98" s="24"/>
      <c r="F98" s="25"/>
      <c r="G98" s="1">
        <v>7.45E-3</v>
      </c>
      <c r="H98" s="1">
        <v>2.128E-2</v>
      </c>
      <c r="I98" s="55">
        <f>G98*(E98+E99)+H98*(D98+D99)</f>
        <v>32200.972320000001</v>
      </c>
      <c r="J98" s="26"/>
      <c r="K98" s="26"/>
      <c r="L98" s="28">
        <f>J98*F98+K98*D98</f>
        <v>0</v>
      </c>
      <c r="M98" s="56">
        <f>I98+L98+L99</f>
        <v>32200.972320000001</v>
      </c>
    </row>
    <row r="99" spans="1:13" x14ac:dyDescent="0.2">
      <c r="A99" s="9"/>
      <c r="B99" s="21" t="s">
        <v>20</v>
      </c>
      <c r="C99" s="22">
        <v>3</v>
      </c>
      <c r="D99" s="23">
        <v>359994</v>
      </c>
      <c r="E99" s="24">
        <v>3294000</v>
      </c>
      <c r="F99" s="25">
        <v>36</v>
      </c>
      <c r="G99" s="1"/>
      <c r="H99" s="1"/>
      <c r="I99" s="55" t="e">
        <f>G99*(E99+#REF!)+H99*(D99+#REF!)</f>
        <v>#REF!</v>
      </c>
      <c r="J99" s="26"/>
      <c r="K99" s="26"/>
      <c r="L99" s="28">
        <f>J99*F99+K99*D99</f>
        <v>0</v>
      </c>
      <c r="M99" s="56" t="e">
        <f>I99+L99+#REF!</f>
        <v>#REF!</v>
      </c>
    </row>
    <row r="100" spans="1:13" x14ac:dyDescent="0.2">
      <c r="A100" s="57" t="s">
        <v>23</v>
      </c>
      <c r="B100" s="57"/>
      <c r="C100" s="31">
        <f>SUM(C96:C99)</f>
        <v>4</v>
      </c>
      <c r="D100" s="32">
        <f>SUM(D96:D99)</f>
        <v>359994</v>
      </c>
      <c r="E100" s="32">
        <f>SUM(E96:E99)</f>
        <v>3294000</v>
      </c>
      <c r="F100" s="49">
        <f>SUM(F96:F99)</f>
        <v>48</v>
      </c>
      <c r="G100" s="58"/>
      <c r="H100" s="58"/>
      <c r="I100" s="34">
        <f>I96+I98</f>
        <v>32256.652320000001</v>
      </c>
      <c r="J100" s="58"/>
      <c r="K100" s="58"/>
      <c r="L100" s="35">
        <f>SUM(L96:L99)</f>
        <v>0</v>
      </c>
      <c r="M100" s="36">
        <f>M96+M98</f>
        <v>32256.652320000001</v>
      </c>
    </row>
    <row r="102" spans="1:13" x14ac:dyDescent="0.2">
      <c r="A102" s="59" t="s">
        <v>24</v>
      </c>
      <c r="B102" s="59"/>
      <c r="C102" s="59"/>
      <c r="D102" s="59"/>
      <c r="G102" s="11" t="s">
        <v>3</v>
      </c>
      <c r="H102" s="11"/>
      <c r="I102" s="11"/>
      <c r="J102" s="10" t="s">
        <v>4</v>
      </c>
      <c r="K102" s="10"/>
      <c r="L102" s="10"/>
    </row>
    <row r="103" spans="1:13" ht="39.75" customHeight="1" x14ac:dyDescent="0.2">
      <c r="A103" s="9" t="s">
        <v>5</v>
      </c>
      <c r="B103" s="9" t="s">
        <v>6</v>
      </c>
      <c r="C103" s="60" t="s">
        <v>7</v>
      </c>
      <c r="D103" s="7" t="s">
        <v>8</v>
      </c>
      <c r="E103" s="9" t="s">
        <v>9</v>
      </c>
      <c r="F103" s="6" t="s">
        <v>10</v>
      </c>
      <c r="G103" s="5" t="s">
        <v>11</v>
      </c>
      <c r="H103" s="5" t="s">
        <v>12</v>
      </c>
      <c r="I103" s="4" t="s">
        <v>13</v>
      </c>
      <c r="J103" s="5" t="s">
        <v>14</v>
      </c>
      <c r="K103" s="5" t="s">
        <v>15</v>
      </c>
      <c r="L103" s="5" t="s">
        <v>16</v>
      </c>
      <c r="M103" s="61" t="s">
        <v>17</v>
      </c>
    </row>
    <row r="104" spans="1:13" ht="29.25" customHeight="1" x14ac:dyDescent="0.2">
      <c r="A104" s="9"/>
      <c r="B104" s="9"/>
      <c r="C104" s="60"/>
      <c r="D104" s="7"/>
      <c r="E104" s="9"/>
      <c r="F104" s="6"/>
      <c r="G104" s="5"/>
      <c r="H104" s="5"/>
      <c r="I104" s="4"/>
      <c r="J104" s="5"/>
      <c r="K104" s="5"/>
      <c r="L104" s="5"/>
      <c r="M104" s="61"/>
    </row>
    <row r="105" spans="1:13" x14ac:dyDescent="0.2">
      <c r="A105" s="13" t="s">
        <v>21</v>
      </c>
      <c r="B105" s="20" t="s">
        <v>19</v>
      </c>
      <c r="C105" s="37"/>
      <c r="D105" s="38"/>
      <c r="E105" s="27"/>
      <c r="F105" s="39"/>
      <c r="G105" s="58">
        <v>40.200000000000003</v>
      </c>
      <c r="H105" s="58">
        <v>2.4969999999999999E-2</v>
      </c>
      <c r="I105" s="55">
        <f>G105*(F105+F106)+H105*(D105+D106)</f>
        <v>1682.65796</v>
      </c>
      <c r="J105" s="27"/>
      <c r="K105" s="40"/>
      <c r="L105" s="28">
        <f>J105*F105+K105*D105</f>
        <v>0</v>
      </c>
      <c r="M105" s="55">
        <f>I105+L105+L106</f>
        <v>1682.65796</v>
      </c>
    </row>
    <row r="106" spans="1:13" x14ac:dyDescent="0.2">
      <c r="A106" s="13"/>
      <c r="B106" s="20" t="s">
        <v>20</v>
      </c>
      <c r="C106" s="37">
        <v>1</v>
      </c>
      <c r="D106" s="38">
        <v>48068</v>
      </c>
      <c r="E106" s="27"/>
      <c r="F106" s="39">
        <v>12</v>
      </c>
      <c r="G106" s="58"/>
      <c r="H106" s="58"/>
      <c r="I106" s="55" t="e">
        <f>G106*(F106+#REF!)+H106*(D106+#REF!)</f>
        <v>#REF!</v>
      </c>
      <c r="J106" s="27"/>
      <c r="K106" s="40"/>
      <c r="L106" s="28">
        <f>J106*F106+K106*D106</f>
        <v>0</v>
      </c>
      <c r="M106" s="55" t="e">
        <f>I106+L106+#REF!</f>
        <v>#REF!</v>
      </c>
    </row>
    <row r="107" spans="1:13" ht="13.75" customHeight="1" x14ac:dyDescent="0.2">
      <c r="A107" s="9" t="s">
        <v>25</v>
      </c>
      <c r="B107" s="21" t="s">
        <v>19</v>
      </c>
      <c r="C107" s="22"/>
      <c r="D107" s="23"/>
      <c r="E107" s="24"/>
      <c r="F107" s="25"/>
      <c r="G107" s="1">
        <v>6.1399999999999996E-3</v>
      </c>
      <c r="H107" s="1">
        <v>1.754E-2</v>
      </c>
      <c r="I107" s="55">
        <f>G107*(E107+E108)+H107*(D107+D108)</f>
        <v>13077.59822</v>
      </c>
      <c r="J107" s="26"/>
      <c r="K107" s="26"/>
      <c r="L107" s="28">
        <f>J107*F107+K107*D107</f>
        <v>0</v>
      </c>
      <c r="M107" s="56">
        <f>I107+L107+L108</f>
        <v>13077.59822</v>
      </c>
    </row>
    <row r="108" spans="1:13" x14ac:dyDescent="0.2">
      <c r="A108" s="9"/>
      <c r="B108" s="21" t="s">
        <v>20</v>
      </c>
      <c r="C108" s="22">
        <v>1</v>
      </c>
      <c r="D108" s="23">
        <v>253603</v>
      </c>
      <c r="E108" s="24">
        <v>1405440</v>
      </c>
      <c r="F108" s="25">
        <v>12</v>
      </c>
      <c r="G108" s="1"/>
      <c r="H108" s="1"/>
      <c r="I108" s="55" t="e">
        <f>G108*(E108+#REF!)+H108*(D108+#REF!)</f>
        <v>#REF!</v>
      </c>
      <c r="J108" s="26"/>
      <c r="K108" s="26"/>
      <c r="L108" s="28">
        <f>J108*F108+K108*D108</f>
        <v>0</v>
      </c>
      <c r="M108" s="56" t="e">
        <f>I108+L108+#REF!</f>
        <v>#REF!</v>
      </c>
    </row>
    <row r="109" spans="1:13" x14ac:dyDescent="0.2">
      <c r="A109" s="57" t="s">
        <v>23</v>
      </c>
      <c r="B109" s="57" t="s">
        <v>23</v>
      </c>
      <c r="C109" s="30">
        <f>SUM(C105:C108)</f>
        <v>2</v>
      </c>
      <c r="D109" s="41">
        <f>SUM(D105:D108)</f>
        <v>301671</v>
      </c>
      <c r="E109" s="41">
        <f>SUM(E105:E108)</f>
        <v>1405440</v>
      </c>
      <c r="F109" s="46">
        <f>SUM(F105:F108)</f>
        <v>24</v>
      </c>
      <c r="G109" s="58"/>
      <c r="H109" s="58"/>
      <c r="I109" s="34">
        <f>I105+I107</f>
        <v>14760.25618</v>
      </c>
      <c r="J109" s="58"/>
      <c r="K109" s="58"/>
      <c r="L109" s="42">
        <f>SUM(L105:L108)</f>
        <v>0</v>
      </c>
      <c r="M109" s="42">
        <f>M105+M107</f>
        <v>14760.25618</v>
      </c>
    </row>
    <row r="111" spans="1:13" x14ac:dyDescent="0.2">
      <c r="A111" s="62" t="s">
        <v>29</v>
      </c>
      <c r="B111" s="62"/>
      <c r="C111" s="62"/>
      <c r="D111" s="62"/>
      <c r="G111" s="63"/>
      <c r="H111" s="63"/>
      <c r="I111" s="63"/>
      <c r="J111" s="64"/>
      <c r="K111" s="64"/>
      <c r="L111" s="64"/>
    </row>
    <row r="112" spans="1:13" x14ac:dyDescent="0.2">
      <c r="A112" s="65" t="s">
        <v>39</v>
      </c>
      <c r="B112" s="65"/>
      <c r="C112" s="65"/>
      <c r="D112" s="47"/>
      <c r="G112" s="11" t="s">
        <v>3</v>
      </c>
      <c r="H112" s="11"/>
      <c r="I112" s="11"/>
      <c r="J112" s="10" t="s">
        <v>4</v>
      </c>
      <c r="K112" s="10"/>
      <c r="L112" s="10"/>
    </row>
    <row r="113" spans="1:13" ht="36" customHeight="1" x14ac:dyDescent="0.2">
      <c r="A113" s="9" t="s">
        <v>5</v>
      </c>
      <c r="B113" s="9" t="s">
        <v>6</v>
      </c>
      <c r="C113" s="7"/>
      <c r="D113" s="7" t="s">
        <v>8</v>
      </c>
      <c r="E113" s="9" t="s">
        <v>9</v>
      </c>
      <c r="F113" s="6" t="s">
        <v>10</v>
      </c>
      <c r="G113" s="5" t="s">
        <v>11</v>
      </c>
      <c r="H113" s="5" t="s">
        <v>12</v>
      </c>
      <c r="I113" s="4" t="s">
        <v>13</v>
      </c>
      <c r="J113" s="5" t="s">
        <v>14</v>
      </c>
      <c r="K113" s="5" t="s">
        <v>15</v>
      </c>
      <c r="L113" s="3" t="s">
        <v>16</v>
      </c>
      <c r="M113" s="2" t="s">
        <v>17</v>
      </c>
    </row>
    <row r="114" spans="1:13" ht="36" customHeight="1" x14ac:dyDescent="0.2">
      <c r="A114" s="9"/>
      <c r="B114" s="9"/>
      <c r="C114" s="7"/>
      <c r="D114" s="7"/>
      <c r="E114" s="9"/>
      <c r="F114" s="6"/>
      <c r="G114" s="5"/>
      <c r="H114" s="5"/>
      <c r="I114" s="4"/>
      <c r="J114" s="5"/>
      <c r="K114" s="5"/>
      <c r="L114" s="3"/>
      <c r="M114" s="2" t="e">
        <f>I114+L114+#REF!</f>
        <v>#REF!</v>
      </c>
    </row>
    <row r="115" spans="1:13" ht="36.75" customHeight="1" x14ac:dyDescent="0.2">
      <c r="A115" s="9" t="s">
        <v>40</v>
      </c>
      <c r="B115" s="9" t="s">
        <v>20</v>
      </c>
      <c r="C115" s="23" t="s">
        <v>31</v>
      </c>
      <c r="D115" s="23">
        <f>D117*99.96%</f>
        <v>708117.63959999999</v>
      </c>
      <c r="E115" s="23">
        <f>E117*99.96%</f>
        <v>4690722.96</v>
      </c>
      <c r="F115" s="25">
        <v>9</v>
      </c>
      <c r="G115" s="26">
        <v>5.8799999999999998E-3</v>
      </c>
      <c r="H115" s="26">
        <v>1.584E-2</v>
      </c>
      <c r="I115" s="27">
        <f>G115*E115*99.96%+H115*D115</f>
        <v>38787.001835662071</v>
      </c>
      <c r="J115" s="26"/>
      <c r="K115" s="26"/>
      <c r="L115" s="28">
        <f>J115*F115+K115*D115</f>
        <v>0</v>
      </c>
      <c r="M115" s="29">
        <f>I115+L115</f>
        <v>38787.001835662071</v>
      </c>
    </row>
    <row r="116" spans="1:13" ht="45" x14ac:dyDescent="0.2">
      <c r="A116" s="9"/>
      <c r="B116" s="9"/>
      <c r="C116" s="23" t="s">
        <v>32</v>
      </c>
      <c r="D116" s="23">
        <f>D117*0.04%</f>
        <v>283.36040000000003</v>
      </c>
      <c r="E116" s="23">
        <f>E117*0.04%</f>
        <v>1877.0400000000002</v>
      </c>
      <c r="F116" s="25">
        <v>9</v>
      </c>
      <c r="G116" s="26">
        <v>7.1399999999999996E-3</v>
      </c>
      <c r="H116" s="26">
        <v>1.9220000000000001E-2</v>
      </c>
      <c r="I116" s="27">
        <f>G116*E116*0.04%+H116*D116</f>
        <v>5.4515477142400002</v>
      </c>
      <c r="J116" s="26" t="s">
        <v>33</v>
      </c>
      <c r="K116" s="26"/>
      <c r="L116" s="28">
        <f>K116*D116</f>
        <v>0</v>
      </c>
      <c r="M116" s="29">
        <f>I116+L116</f>
        <v>5.4515477142400002</v>
      </c>
    </row>
    <row r="117" spans="1:13" x14ac:dyDescent="0.2">
      <c r="A117" s="57" t="s">
        <v>23</v>
      </c>
      <c r="B117" s="57"/>
      <c r="C117" s="48"/>
      <c r="D117" s="32">
        <v>708401</v>
      </c>
      <c r="E117" s="32">
        <v>4692600</v>
      </c>
      <c r="F117" s="33">
        <v>9</v>
      </c>
      <c r="G117" s="58"/>
      <c r="H117" s="58"/>
      <c r="I117" s="34">
        <f>I115+I116</f>
        <v>38792.453383376313</v>
      </c>
      <c r="J117" s="58"/>
      <c r="K117" s="58"/>
      <c r="L117" s="35">
        <f>SUM(L115:L116)</f>
        <v>0</v>
      </c>
      <c r="M117" s="36">
        <f>M115+M116</f>
        <v>38792.453383376313</v>
      </c>
    </row>
    <row r="120" spans="1:13" x14ac:dyDescent="0.2">
      <c r="K120" s="58" t="s">
        <v>41</v>
      </c>
      <c r="L120" s="58"/>
      <c r="M120" s="27">
        <f>D14+D41+D63+D71+D79+D87+D100+D116</f>
        <v>2125409.4831000003</v>
      </c>
    </row>
    <row r="121" spans="1:13" x14ac:dyDescent="0.2">
      <c r="F121" s="15"/>
      <c r="K121" s="58" t="s">
        <v>42</v>
      </c>
      <c r="L121" s="58"/>
      <c r="M121" s="50">
        <f>I14+I41+I63+I71+I79+I87+I100+I116</f>
        <v>125124.48285303623</v>
      </c>
    </row>
    <row r="122" spans="1:13" ht="15" customHeight="1" x14ac:dyDescent="0.2">
      <c r="F122" s="15"/>
      <c r="K122" s="66" t="s">
        <v>43</v>
      </c>
      <c r="L122" s="66"/>
      <c r="M122" s="51">
        <f>L14+L41+L63+L71+L79+L87+L100+L116</f>
        <v>0</v>
      </c>
    </row>
    <row r="123" spans="1:13" x14ac:dyDescent="0.2">
      <c r="K123" s="67" t="s">
        <v>44</v>
      </c>
      <c r="L123" s="67"/>
      <c r="M123" s="52">
        <f>M14+M41+M63+M71+M79+M87+M100+M116</f>
        <v>125124.48285303623</v>
      </c>
    </row>
    <row r="124" spans="1:13" x14ac:dyDescent="0.2">
      <c r="K124" s="68" t="s">
        <v>45</v>
      </c>
      <c r="L124" s="68"/>
      <c r="M124" s="53">
        <f>M123*23/100</f>
        <v>28778.631056198334</v>
      </c>
    </row>
    <row r="125" spans="1:13" x14ac:dyDescent="0.2">
      <c r="A125" s="15" t="s">
        <v>46</v>
      </c>
      <c r="K125" s="69" t="s">
        <v>47</v>
      </c>
      <c r="L125" s="69"/>
      <c r="M125" s="54">
        <f>M123+M124</f>
        <v>153903.11390923455</v>
      </c>
    </row>
    <row r="126" spans="1:13" x14ac:dyDescent="0.2">
      <c r="A126" s="18"/>
    </row>
    <row r="127" spans="1:13" x14ac:dyDescent="0.2">
      <c r="A127" s="18" t="s">
        <v>48</v>
      </c>
      <c r="K127" s="70" t="s">
        <v>24</v>
      </c>
      <c r="L127" s="70"/>
      <c r="M127" s="70"/>
    </row>
    <row r="128" spans="1:13" x14ac:dyDescent="0.2">
      <c r="K128" s="58" t="s">
        <v>41</v>
      </c>
      <c r="L128" s="58"/>
      <c r="M128" s="27">
        <f>D25+D56+D62+D70+D78+D86+D109+D115</f>
        <v>6283554.5169000002</v>
      </c>
    </row>
    <row r="129" spans="11:13" x14ac:dyDescent="0.2">
      <c r="K129" s="58" t="s">
        <v>42</v>
      </c>
      <c r="L129" s="58"/>
      <c r="M129" s="50">
        <f>I25+I56+I62+I70+I78+I86+I109+I115</f>
        <v>346546.4192304911</v>
      </c>
    </row>
    <row r="130" spans="11:13" x14ac:dyDescent="0.2">
      <c r="K130" s="66" t="s">
        <v>43</v>
      </c>
      <c r="L130" s="66"/>
      <c r="M130" s="51">
        <f>L25+L56+L62+L70+L78+L86+L109+L115</f>
        <v>0</v>
      </c>
    </row>
    <row r="131" spans="11:13" x14ac:dyDescent="0.2">
      <c r="K131" s="67" t="s">
        <v>44</v>
      </c>
      <c r="L131" s="67"/>
      <c r="M131" s="52">
        <f>M25+M56+M62+M70+M78+M86+M109+M115</f>
        <v>346546.4192304911</v>
      </c>
    </row>
    <row r="132" spans="11:13" x14ac:dyDescent="0.2">
      <c r="K132" s="68" t="s">
        <v>45</v>
      </c>
      <c r="L132" s="68"/>
      <c r="M132" s="53">
        <f>M131*23/100</f>
        <v>79705.676423012948</v>
      </c>
    </row>
    <row r="133" spans="11:13" x14ac:dyDescent="0.2">
      <c r="K133" s="69" t="s">
        <v>47</v>
      </c>
      <c r="L133" s="69"/>
      <c r="M133" s="54">
        <f>M131+M132</f>
        <v>426252.09565350402</v>
      </c>
    </row>
  </sheetData>
  <mergeCells count="346">
    <mergeCell ref="K133:L133"/>
    <mergeCell ref="K123:L123"/>
    <mergeCell ref="K124:L124"/>
    <mergeCell ref="K125:L125"/>
    <mergeCell ref="K127:M127"/>
    <mergeCell ref="K128:L128"/>
    <mergeCell ref="K129:L129"/>
    <mergeCell ref="K130:L130"/>
    <mergeCell ref="K131:L131"/>
    <mergeCell ref="K132:L132"/>
    <mergeCell ref="M113:M114"/>
    <mergeCell ref="A115:A116"/>
    <mergeCell ref="B115:B116"/>
    <mergeCell ref="A117:B117"/>
    <mergeCell ref="G117:H117"/>
    <mergeCell ref="J117:K117"/>
    <mergeCell ref="K120:L120"/>
    <mergeCell ref="K121:L121"/>
    <mergeCell ref="K122:L122"/>
    <mergeCell ref="A112:C112"/>
    <mergeCell ref="G112:I112"/>
    <mergeCell ref="J112:L112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L113:L114"/>
    <mergeCell ref="A107:A108"/>
    <mergeCell ref="G107:G108"/>
    <mergeCell ref="H107:H108"/>
    <mergeCell ref="I107:I108"/>
    <mergeCell ref="M107:M108"/>
    <mergeCell ref="A109:B109"/>
    <mergeCell ref="G109:H109"/>
    <mergeCell ref="J109:K109"/>
    <mergeCell ref="A111:D111"/>
    <mergeCell ref="G111:I111"/>
    <mergeCell ref="J111:L111"/>
    <mergeCell ref="J103:J104"/>
    <mergeCell ref="K103:K104"/>
    <mergeCell ref="L103:L104"/>
    <mergeCell ref="M103:M104"/>
    <mergeCell ref="A105:A106"/>
    <mergeCell ref="G105:G106"/>
    <mergeCell ref="H105:H106"/>
    <mergeCell ref="I105:I106"/>
    <mergeCell ref="M105:M106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A98:A99"/>
    <mergeCell ref="G98:G99"/>
    <mergeCell ref="H98:H99"/>
    <mergeCell ref="I98:I99"/>
    <mergeCell ref="M98:M99"/>
    <mergeCell ref="A100:B100"/>
    <mergeCell ref="G100:H100"/>
    <mergeCell ref="J100:K100"/>
    <mergeCell ref="A102:D102"/>
    <mergeCell ref="G102:I102"/>
    <mergeCell ref="J102:L102"/>
    <mergeCell ref="J94:J95"/>
    <mergeCell ref="K94:K95"/>
    <mergeCell ref="L94:L95"/>
    <mergeCell ref="M94:M95"/>
    <mergeCell ref="A96:A97"/>
    <mergeCell ref="G96:G97"/>
    <mergeCell ref="H96:H97"/>
    <mergeCell ref="I96:I97"/>
    <mergeCell ref="M96:M97"/>
    <mergeCell ref="A94:A95"/>
    <mergeCell ref="B94:B95"/>
    <mergeCell ref="C94:C95"/>
    <mergeCell ref="D94:D95"/>
    <mergeCell ref="E94:E95"/>
    <mergeCell ref="F94:F95"/>
    <mergeCell ref="G94:G95"/>
    <mergeCell ref="H94:H95"/>
    <mergeCell ref="I94:I95"/>
    <mergeCell ref="M84:M85"/>
    <mergeCell ref="A86:A87"/>
    <mergeCell ref="B86:B87"/>
    <mergeCell ref="A88:B88"/>
    <mergeCell ref="G88:H88"/>
    <mergeCell ref="J88:K88"/>
    <mergeCell ref="A92:C92"/>
    <mergeCell ref="A93:C93"/>
    <mergeCell ref="G93:I93"/>
    <mergeCell ref="J93:L93"/>
    <mergeCell ref="A83:C83"/>
    <mergeCell ref="G83:I83"/>
    <mergeCell ref="J83:L83"/>
    <mergeCell ref="A84:A85"/>
    <mergeCell ref="B84:B85"/>
    <mergeCell ref="C84:C85"/>
    <mergeCell ref="D84:D85"/>
    <mergeCell ref="E84:E85"/>
    <mergeCell ref="F84:F85"/>
    <mergeCell ref="G84:G85"/>
    <mergeCell ref="H84:H85"/>
    <mergeCell ref="I84:I85"/>
    <mergeCell ref="J84:J85"/>
    <mergeCell ref="K84:K85"/>
    <mergeCell ref="L84:L85"/>
    <mergeCell ref="M76:M77"/>
    <mergeCell ref="A78:A79"/>
    <mergeCell ref="B78:B79"/>
    <mergeCell ref="A80:B80"/>
    <mergeCell ref="G80:H80"/>
    <mergeCell ref="J80:K80"/>
    <mergeCell ref="A82:D82"/>
    <mergeCell ref="G82:I82"/>
    <mergeCell ref="J82:L82"/>
    <mergeCell ref="A75:C75"/>
    <mergeCell ref="G75:I75"/>
    <mergeCell ref="J75:L75"/>
    <mergeCell ref="A76:A77"/>
    <mergeCell ref="B76:B77"/>
    <mergeCell ref="C76:C77"/>
    <mergeCell ref="D76:D77"/>
    <mergeCell ref="E76:E77"/>
    <mergeCell ref="F76:F77"/>
    <mergeCell ref="G76:G77"/>
    <mergeCell ref="H76:H77"/>
    <mergeCell ref="I76:I77"/>
    <mergeCell ref="J76:J77"/>
    <mergeCell ref="K76:K77"/>
    <mergeCell ref="L76:L77"/>
    <mergeCell ref="M68:M69"/>
    <mergeCell ref="A70:A71"/>
    <mergeCell ref="B70:B71"/>
    <mergeCell ref="A72:B72"/>
    <mergeCell ref="G72:H72"/>
    <mergeCell ref="J72:K72"/>
    <mergeCell ref="A74:D74"/>
    <mergeCell ref="G74:I74"/>
    <mergeCell ref="J74:L74"/>
    <mergeCell ref="A67:C67"/>
    <mergeCell ref="G67:I67"/>
    <mergeCell ref="J67:L67"/>
    <mergeCell ref="A68:A69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0:M61"/>
    <mergeCell ref="A62:A63"/>
    <mergeCell ref="B62:B63"/>
    <mergeCell ref="A64:B64"/>
    <mergeCell ref="G64:H64"/>
    <mergeCell ref="J64:K64"/>
    <mergeCell ref="A66:D66"/>
    <mergeCell ref="G66:I66"/>
    <mergeCell ref="J66:L66"/>
    <mergeCell ref="A59:C59"/>
    <mergeCell ref="G59:I59"/>
    <mergeCell ref="J59:L59"/>
    <mergeCell ref="A60:A61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A54:A55"/>
    <mergeCell ref="G54:G55"/>
    <mergeCell ref="H54:H55"/>
    <mergeCell ref="I54:I55"/>
    <mergeCell ref="M54:M55"/>
    <mergeCell ref="A56:B56"/>
    <mergeCell ref="G56:H56"/>
    <mergeCell ref="J56:K56"/>
    <mergeCell ref="A58:D58"/>
    <mergeCell ref="G58:I58"/>
    <mergeCell ref="J58:L58"/>
    <mergeCell ref="A50:A51"/>
    <mergeCell ref="G50:G51"/>
    <mergeCell ref="H50:H51"/>
    <mergeCell ref="I50:I51"/>
    <mergeCell ref="M50:M51"/>
    <mergeCell ref="A52:A53"/>
    <mergeCell ref="G52:G53"/>
    <mergeCell ref="H52:H53"/>
    <mergeCell ref="I52:I53"/>
    <mergeCell ref="M52:M53"/>
    <mergeCell ref="M44:M45"/>
    <mergeCell ref="A46:A47"/>
    <mergeCell ref="G46:G47"/>
    <mergeCell ref="H46:H47"/>
    <mergeCell ref="I46:I47"/>
    <mergeCell ref="M46:M47"/>
    <mergeCell ref="A48:A49"/>
    <mergeCell ref="G48:G49"/>
    <mergeCell ref="H48:H49"/>
    <mergeCell ref="I48:I49"/>
    <mergeCell ref="M48:M49"/>
    <mergeCell ref="A41:B41"/>
    <mergeCell ref="G41:H41"/>
    <mergeCell ref="J41:K41"/>
    <mergeCell ref="A43:D43"/>
    <mergeCell ref="G43:I43"/>
    <mergeCell ref="J43:L43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A37:A38"/>
    <mergeCell ref="G37:G38"/>
    <mergeCell ref="H37:H38"/>
    <mergeCell ref="I37:I38"/>
    <mergeCell ref="M37:M38"/>
    <mergeCell ref="A39:A40"/>
    <mergeCell ref="G39:G40"/>
    <mergeCell ref="H39:H40"/>
    <mergeCell ref="I39:I40"/>
    <mergeCell ref="M39:M40"/>
    <mergeCell ref="M31:M32"/>
    <mergeCell ref="A33:A34"/>
    <mergeCell ref="G33:G34"/>
    <mergeCell ref="H33:H34"/>
    <mergeCell ref="I33:I34"/>
    <mergeCell ref="M33:M34"/>
    <mergeCell ref="A35:A36"/>
    <mergeCell ref="G35:G36"/>
    <mergeCell ref="H35:H36"/>
    <mergeCell ref="I35:I36"/>
    <mergeCell ref="M35:M36"/>
    <mergeCell ref="A25:B25"/>
    <mergeCell ref="G25:H25"/>
    <mergeCell ref="J25:K25"/>
    <mergeCell ref="A29:C29"/>
    <mergeCell ref="A30:C30"/>
    <mergeCell ref="G30:I30"/>
    <mergeCell ref="J30:L30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A21:A22"/>
    <mergeCell ref="G21:G22"/>
    <mergeCell ref="H21:H22"/>
    <mergeCell ref="I21:I22"/>
    <mergeCell ref="M21:M22"/>
    <mergeCell ref="A23:A24"/>
    <mergeCell ref="G23:G24"/>
    <mergeCell ref="H23:H24"/>
    <mergeCell ref="I23:I24"/>
    <mergeCell ref="M23:M24"/>
    <mergeCell ref="J17:J18"/>
    <mergeCell ref="K17:K18"/>
    <mergeCell ref="L17:L18"/>
    <mergeCell ref="M17:M18"/>
    <mergeCell ref="A19:A20"/>
    <mergeCell ref="G19:G20"/>
    <mergeCell ref="H19:H20"/>
    <mergeCell ref="I19:I20"/>
    <mergeCell ref="M19:M20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A12:A13"/>
    <mergeCell ref="G12:G13"/>
    <mergeCell ref="H12:H13"/>
    <mergeCell ref="I12:I13"/>
    <mergeCell ref="M12:M13"/>
    <mergeCell ref="A14:B14"/>
    <mergeCell ref="G14:H14"/>
    <mergeCell ref="J14:K14"/>
    <mergeCell ref="A16:D16"/>
    <mergeCell ref="G16:I16"/>
    <mergeCell ref="J16:L16"/>
    <mergeCell ref="M6:M7"/>
    <mergeCell ref="A8:A9"/>
    <mergeCell ref="G8:G9"/>
    <mergeCell ref="H8:H9"/>
    <mergeCell ref="I8:I9"/>
    <mergeCell ref="M8:M9"/>
    <mergeCell ref="A10:A11"/>
    <mergeCell ref="G10:G11"/>
    <mergeCell ref="H10:H11"/>
    <mergeCell ref="I10:I11"/>
    <mergeCell ref="M10:M11"/>
    <mergeCell ref="B2:H2"/>
    <mergeCell ref="A4:C4"/>
    <mergeCell ref="A5:C5"/>
    <mergeCell ref="G5:I5"/>
    <mergeCell ref="J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C19:C24 C46:C55 C105:C106">
    <cfRule type="cellIs" dxfId="1" priority="2" operator="equal">
      <formula>0</formula>
    </cfRule>
  </conditionalFormatting>
  <conditionalFormatting sqref="D19:F24 D46:F55 D105:F106">
    <cfRule type="cellIs" dxfId="0" priority="3" operator="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533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Rok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dc:description/>
  <cp:lastModifiedBy>Roman Bartyzel</cp:lastModifiedBy>
  <cp:revision>182</cp:revision>
  <dcterms:created xsi:type="dcterms:W3CDTF">2022-08-11T08:27:19Z</dcterms:created>
  <dcterms:modified xsi:type="dcterms:W3CDTF">2023-11-24T12:35:42Z</dcterms:modified>
  <dc:language>pl-PL</dc:language>
</cp:coreProperties>
</file>