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70" windowWidth="9420" windowHeight="1170" tabRatio="601" activeTab="0"/>
  </bookViews>
  <sheets>
    <sheet name="PILAWA_040" sheetId="1" r:id="rId1"/>
    <sheet name="ZielonkaP_624" sheetId="2" r:id="rId2"/>
  </sheets>
  <definedNames/>
  <calcPr fullCalcOnLoad="1"/>
</workbook>
</file>

<file path=xl/comments1.xml><?xml version="1.0" encoding="utf-8"?>
<comments xmlns="http://schemas.openxmlformats.org/spreadsheetml/2006/main">
  <authors>
    <author>Andrzej Gościcki</author>
    <author>Dariusz Sznajder</author>
    <author>dm</author>
    <author>Gościcki Andrzej</author>
    <author>Sznajder Dariusz</author>
  </authors>
  <commentList>
    <comment ref="AA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4239,04</t>
        </r>
      </text>
    </comment>
    <comment ref="AA24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3154,29</t>
        </r>
      </text>
    </comment>
    <comment ref="AA2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3084,73</t>
        </r>
      </text>
    </comment>
    <comment ref="AA28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2762,26</t>
        </r>
      </text>
    </comment>
    <comment ref="AA32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2525,3</t>
        </r>
      </text>
    </comment>
    <comment ref="AA34" authorId="1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2594,61</t>
        </r>
      </text>
    </comment>
    <comment ref="AA36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2533,51</t>
        </r>
      </text>
    </comment>
    <comment ref="AA38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,54</t>
        </r>
      </text>
    </comment>
    <comment ref="AA40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,15</t>
        </r>
      </text>
    </comment>
    <comment ref="AA42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,26</t>
        </r>
      </text>
    </comment>
    <comment ref="AA47" authorId="2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,78</t>
        </r>
      </text>
    </comment>
    <comment ref="AA57" authorId="3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2324,34</t>
        </r>
      </text>
    </comment>
    <comment ref="AA104" authorId="4">
      <text>
        <r>
          <rPr>
            <b/>
            <sz val="9"/>
            <rFont val="Tahoma"/>
            <family val="2"/>
          </rPr>
          <t>Sznajder Dariusz:</t>
        </r>
        <r>
          <rPr>
            <sz val="9"/>
            <rFont val="Tahoma"/>
            <family val="2"/>
          </rPr>
          <t xml:space="preserve">
2 277,09</t>
        </r>
      </text>
    </comment>
  </commentList>
</comments>
</file>

<file path=xl/comments2.xml><?xml version="1.0" encoding="utf-8"?>
<comments xmlns="http://schemas.openxmlformats.org/spreadsheetml/2006/main">
  <authors>
    <author>Andrzej Gościcki</author>
    <author>Gościcki Andrzej</author>
    <author>Dariusz Sznajder</author>
    <author>dm</author>
  </authors>
  <commentList>
    <comment ref="AA2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1701,75</t>
        </r>
      </text>
    </comment>
    <comment ref="X2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</t>
        </r>
        <r>
          <rPr>
            <sz val="12"/>
            <color indexed="10"/>
            <rFont val="Tahoma"/>
            <family val="2"/>
          </rPr>
          <t>dlaczego ? Wniosek na 20 kW</t>
        </r>
      </text>
    </comment>
    <comment ref="AA31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762,88</t>
        </r>
      </text>
    </comment>
    <comment ref="X2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czekamy na 20 kW w drodze picmo 3559/15/03/16</t>
        </r>
      </text>
    </comment>
    <comment ref="X3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jest 20 kW</t>
        </r>
      </text>
    </comment>
    <comment ref="AA3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816,77</t>
        </r>
      </text>
    </comment>
    <comment ref="E3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>straty = "0"</t>
        </r>
      </text>
    </comment>
    <comment ref="AA3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845,45</t>
        </r>
      </text>
    </comment>
    <comment ref="AA4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-62,20</t>
        </r>
      </text>
    </comment>
    <comment ref="AA47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901,33</t>
        </r>
      </text>
    </comment>
    <comment ref="AA53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1000,90</t>
        </r>
      </text>
    </comment>
    <comment ref="AA5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1035,38</t>
        </r>
      </text>
    </comment>
    <comment ref="AA6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961,28</t>
        </r>
      </text>
    </comment>
    <comment ref="AA6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958,20</t>
        </r>
      </text>
    </comment>
    <comment ref="E7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w frze 3524 bo cofnięte wskazanie poprzednie</t>
        </r>
      </text>
    </comment>
    <comment ref="AA75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993,73</t>
        </r>
      </text>
    </comment>
    <comment ref="AA79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1013,92</t>
        </r>
      </text>
    </comment>
    <comment ref="AA12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995,24</t>
        </r>
      </text>
    </comment>
    <comment ref="AA12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1503,61</t>
        </r>
      </text>
    </comment>
    <comment ref="AA132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1818,03</t>
        </r>
      </text>
    </comment>
    <comment ref="R8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bez strat</t>
        </r>
      </text>
    </comment>
    <comment ref="E86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bez strat</t>
        </r>
      </text>
    </comment>
    <comment ref="AA13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1308,14</t>
        </r>
      </text>
    </comment>
    <comment ref="H138" authorId="0">
      <text>
        <r>
          <rPr>
            <b/>
            <sz val="9"/>
            <rFont val="Tahoma"/>
            <family val="2"/>
          </rPr>
          <t>Andrzej Gościcki:</t>
        </r>
        <r>
          <rPr>
            <sz val="9"/>
            <rFont val="Tahoma"/>
            <family val="2"/>
          </rPr>
          <t xml:space="preserve">
1589,46</t>
        </r>
      </text>
    </comment>
    <comment ref="X139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p b 20 kW</t>
        </r>
      </text>
    </comment>
    <comment ref="AA146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1014,70</t>
        </r>
      </text>
    </comment>
    <comment ref="T99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bo większe kWh</t>
        </r>
      </text>
    </comment>
    <comment ref="AA154" authorId="2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1097,97</t>
        </r>
      </text>
    </comment>
    <comment ref="AA165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974,56</t>
        </r>
      </text>
    </comment>
    <comment ref="AA173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,75</t>
        </r>
      </text>
    </comment>
    <comment ref="E85" authorId="2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korekta strat</t>
        </r>
      </text>
    </comment>
    <comment ref="AA180" authorId="3">
      <text>
        <r>
          <rPr>
            <b/>
            <sz val="8"/>
            <rFont val="Tahoma"/>
            <family val="2"/>
          </rPr>
          <t>dm:</t>
        </r>
        <r>
          <rPr>
            <sz val="8"/>
            <rFont val="Tahoma"/>
            <family val="2"/>
          </rPr>
          <t xml:space="preserve">
,11</t>
        </r>
      </text>
    </comment>
    <comment ref="AA184" authorId="2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,71</t>
        </r>
      </text>
    </comment>
    <comment ref="AA188" authorId="2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,65</t>
        </r>
      </text>
    </comment>
    <comment ref="AA196" authorId="2">
      <text>
        <r>
          <rPr>
            <b/>
            <sz val="8"/>
            <rFont val="Tahoma"/>
            <family val="2"/>
          </rPr>
          <t>Dariusz Sznajder:</t>
        </r>
        <r>
          <rPr>
            <sz val="8"/>
            <rFont val="Tahoma"/>
            <family val="2"/>
          </rPr>
          <t xml:space="preserve">
,43</t>
        </r>
      </text>
    </comment>
    <comment ref="E200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0,299</t>
        </r>
      </text>
    </comment>
    <comment ref="R201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0,008</t>
        </r>
      </text>
    </comment>
    <comment ref="AA200" authorId="1">
      <text>
        <r>
          <rPr>
            <b/>
            <sz val="9"/>
            <rFont val="Tahoma"/>
            <family val="2"/>
          </rPr>
          <t>Gościcki Andrzej:</t>
        </r>
        <r>
          <rPr>
            <sz val="9"/>
            <rFont val="Tahoma"/>
            <family val="2"/>
          </rPr>
          <t xml:space="preserve">
1057,73</t>
        </r>
      </text>
    </comment>
  </commentList>
</comments>
</file>

<file path=xl/sharedStrings.xml><?xml version="1.0" encoding="utf-8"?>
<sst xmlns="http://schemas.openxmlformats.org/spreadsheetml/2006/main" count="609" uniqueCount="336">
  <si>
    <t xml:space="preserve">Pp = </t>
  </si>
  <si>
    <t xml:space="preserve"> </t>
  </si>
  <si>
    <t>Lp.</t>
  </si>
  <si>
    <t>Energia czynna</t>
  </si>
  <si>
    <t>Opłaty</t>
  </si>
  <si>
    <t>Łączne</t>
  </si>
  <si>
    <t xml:space="preserve">Moc </t>
  </si>
  <si>
    <t>za</t>
  </si>
  <si>
    <t>wydatki</t>
  </si>
  <si>
    <t>Średnia</t>
  </si>
  <si>
    <t>Moc</t>
  </si>
  <si>
    <t>przekro-</t>
  </si>
  <si>
    <t>za energię</t>
  </si>
  <si>
    <t xml:space="preserve">cena </t>
  </si>
  <si>
    <t>umowna</t>
  </si>
  <si>
    <t xml:space="preserve">Stan </t>
  </si>
  <si>
    <t>Ilość</t>
  </si>
  <si>
    <t>Cena</t>
  </si>
  <si>
    <t>Wartość</t>
  </si>
  <si>
    <t>abona-</t>
  </si>
  <si>
    <t>czenie</t>
  </si>
  <si>
    <t>elektryczną</t>
  </si>
  <si>
    <t>płacona</t>
  </si>
  <si>
    <t>Pu</t>
  </si>
  <si>
    <t>licznika</t>
  </si>
  <si>
    <t>stawka</t>
  </si>
  <si>
    <t>wartość</t>
  </si>
  <si>
    <t>sprzedaży</t>
  </si>
  <si>
    <t>zł/kW/m-c</t>
  </si>
  <si>
    <t>kWh</t>
  </si>
  <si>
    <t>zł/kWh</t>
  </si>
  <si>
    <t>zł</t>
  </si>
  <si>
    <t>kW</t>
  </si>
  <si>
    <t>40 kW</t>
  </si>
  <si>
    <t>zużyta</t>
  </si>
  <si>
    <t>REJESTR zużycia ENERGII ELEKTRYCZNEJ</t>
  </si>
  <si>
    <t>Energia bierna</t>
  </si>
  <si>
    <t>oddana</t>
  </si>
  <si>
    <r>
      <t>Adres ..</t>
    </r>
    <r>
      <rPr>
        <b/>
        <sz val="11"/>
        <color indexed="12"/>
        <rFont val="Arial CE"/>
        <family val="2"/>
      </rPr>
      <t>08-440 Pilawa</t>
    </r>
    <r>
      <rPr>
        <b/>
        <sz val="11"/>
        <rFont val="Arial CE"/>
        <family val="2"/>
      </rPr>
      <t xml:space="preserve">...ul. </t>
    </r>
    <r>
      <rPr>
        <b/>
        <sz val="11"/>
        <color indexed="12"/>
        <rFont val="Arial CE"/>
        <family val="2"/>
      </rPr>
      <t>Wojska Polskiego</t>
    </r>
    <r>
      <rPr>
        <b/>
        <sz val="11"/>
        <rFont val="Arial CE"/>
        <family val="2"/>
      </rPr>
      <t>.......kk 14</t>
    </r>
  </si>
  <si>
    <t>PL_ZEWD_1403000772_09</t>
  </si>
  <si>
    <t>zasilane budynki nr:</t>
  </si>
  <si>
    <t>Wartość netto</t>
  </si>
  <si>
    <t>Wskazanie</t>
  </si>
  <si>
    <t>poprzednie</t>
  </si>
  <si>
    <t>bieżące</t>
  </si>
  <si>
    <t>dystrybucji</t>
  </si>
  <si>
    <t>oraz umowy o świadczenie usług dystrybucji nr 01585/GD/2014/URD zawartej  pomiędzy PGE Dystrybucja S.A. Oddział Warszawa, a SZI dla odbiorcy ..........26. WOG…........</t>
  </si>
  <si>
    <t>OSD/57214/51W/FZ/2015</t>
  </si>
  <si>
    <t>31.12.15</t>
  </si>
  <si>
    <t>11.01.16</t>
  </si>
  <si>
    <r>
      <t>Adres ..</t>
    </r>
    <r>
      <rPr>
        <b/>
        <sz val="11"/>
        <color indexed="12"/>
        <rFont val="Arial CE"/>
        <family val="2"/>
      </rPr>
      <t>-… Zielonka...Poligon Zielonka</t>
    </r>
    <r>
      <rPr>
        <b/>
        <sz val="11"/>
        <rFont val="Arial CE"/>
        <family val="2"/>
      </rPr>
      <t>...</t>
    </r>
    <r>
      <rPr>
        <b/>
        <sz val="11"/>
        <rFont val="Arial CE"/>
        <family val="2"/>
      </rPr>
      <t>.kk 8627</t>
    </r>
  </si>
  <si>
    <t>st. 0958</t>
  </si>
  <si>
    <t>PL_ZEWD_1434003584_00</t>
  </si>
  <si>
    <t>145111786/21r/2015</t>
  </si>
  <si>
    <t>08.02.16</t>
  </si>
  <si>
    <t>31.01.16</t>
  </si>
  <si>
    <t>OSD/57214/52W/FZ/2016</t>
  </si>
  <si>
    <t>08.03.16</t>
  </si>
  <si>
    <t>OSD/57214/54W/FZ/2016</t>
  </si>
  <si>
    <t>29.02.16</t>
  </si>
  <si>
    <t>11.03.16</t>
  </si>
  <si>
    <t>OSD/57214/53F/FZ/2016</t>
  </si>
  <si>
    <t>145111786/22r/2016</t>
  </si>
  <si>
    <t>145111786/23r/2016</t>
  </si>
  <si>
    <t>kVarh</t>
  </si>
  <si>
    <t>tg ϕ</t>
  </si>
  <si>
    <t>05.04.16</t>
  </si>
  <si>
    <t>OSD/57214/55W/FZ/2016</t>
  </si>
  <si>
    <t>31.03.16</t>
  </si>
  <si>
    <t>145111786/24r/2016</t>
  </si>
  <si>
    <t>09.05.16</t>
  </si>
  <si>
    <t>OSD/57214/56W/FZ/2016</t>
  </si>
  <si>
    <t>30.04.16</t>
  </si>
  <si>
    <t>145111786/25R/2016</t>
  </si>
  <si>
    <t>01.06.16</t>
  </si>
  <si>
    <t>OSD/57214/57F/FZ/2016</t>
  </si>
  <si>
    <t>10.06.16</t>
  </si>
  <si>
    <t>OSD/57214/58W/FZ/2016</t>
  </si>
  <si>
    <t>31.05.16</t>
  </si>
  <si>
    <t>145111786/26R/2016</t>
  </si>
  <si>
    <t>30.06.16</t>
  </si>
  <si>
    <t>28.07.16</t>
  </si>
  <si>
    <t>OSD/57214/59W/FZ/2016</t>
  </si>
  <si>
    <t>145111786/27R/2016</t>
  </si>
  <si>
    <t>31.07.16</t>
  </si>
  <si>
    <t>17.08.16</t>
  </si>
  <si>
    <t>OSD/57214/60W/FZ/2016</t>
  </si>
  <si>
    <t>145111786/28R/2016</t>
  </si>
  <si>
    <t>31.08.16</t>
  </si>
  <si>
    <t>05.09.16</t>
  </si>
  <si>
    <t>OSD/57214/65W/FZ/2016</t>
  </si>
  <si>
    <t>145111786/29R/2016</t>
  </si>
  <si>
    <t>06.10.16</t>
  </si>
  <si>
    <t>OSD/57214/68W/FZ/2016</t>
  </si>
  <si>
    <t>30.09.16</t>
  </si>
  <si>
    <t>145111786/30R/2016</t>
  </si>
  <si>
    <t>09.11.16</t>
  </si>
  <si>
    <t>OSD/57214/70W/FZ/2016</t>
  </si>
  <si>
    <t>31.10.16</t>
  </si>
  <si>
    <t>145111786/31R/2016</t>
  </si>
  <si>
    <t>06.12.16</t>
  </si>
  <si>
    <t>OSD/57214/71W/FZ/2016</t>
  </si>
  <si>
    <t>30.11.16</t>
  </si>
  <si>
    <t>07.12.16</t>
  </si>
  <si>
    <t>14/1390/385/145111786/32F/2016</t>
  </si>
  <si>
    <t>14/1390/386/145111786/33F/2016</t>
  </si>
  <si>
    <t>14/1390/387/145111786/34F/2016</t>
  </si>
  <si>
    <t>14/1390/388/145111786/35F/2016</t>
  </si>
  <si>
    <t>145111786/36R/2016</t>
  </si>
  <si>
    <t>04.01.17</t>
  </si>
  <si>
    <t>31.12.16</t>
  </si>
  <si>
    <t>09.01.17</t>
  </si>
  <si>
    <t>13.02.17</t>
  </si>
  <si>
    <t>OSD/57214/73W/FZ/2017</t>
  </si>
  <si>
    <t>31.01.17</t>
  </si>
  <si>
    <t>15.02.17</t>
  </si>
  <si>
    <t>145111848/33R/2017</t>
  </si>
  <si>
    <t>145111848/32R/2017</t>
  </si>
  <si>
    <t>OSD/57214/72W/FZ/2017</t>
  </si>
  <si>
    <t>08.03.17</t>
  </si>
  <si>
    <t>OSD/57214/74W/FZ/2017</t>
  </si>
  <si>
    <t>28.02.17</t>
  </si>
  <si>
    <t>23.03.17</t>
  </si>
  <si>
    <t>145111848/34R/2017</t>
  </si>
  <si>
    <t>OSD/57214/75F/FZ/2017</t>
  </si>
  <si>
    <t>24.03.17</t>
  </si>
  <si>
    <t>OSD/57214/76F/FZ/2017</t>
  </si>
  <si>
    <t>OSD/57214/77F/FZ/2017</t>
  </si>
  <si>
    <t>OSD/57214/78F/FZ/2017</t>
  </si>
  <si>
    <t>OSD/57214/79F/FZ/2017</t>
  </si>
  <si>
    <t>OSD/57214/80F/FZ/2017</t>
  </si>
  <si>
    <t>OSD/57214/81F/FZ/2017</t>
  </si>
  <si>
    <t>OSD/57214/82F/FZ/2017</t>
  </si>
  <si>
    <t>OSD/57214/83F/FZ/2017</t>
  </si>
  <si>
    <t>OSD/57214/84F/FZ/2017</t>
  </si>
  <si>
    <t>OSD/57214/85F/FZ/2017</t>
  </si>
  <si>
    <t>OSD/57214/86F/FZ/2017</t>
  </si>
  <si>
    <t>OSD/57214/87F/FZ/2017</t>
  </si>
  <si>
    <t>27.03.17</t>
  </si>
  <si>
    <t>OSD/57214/88F/FZ/2017</t>
  </si>
  <si>
    <t>12.04.17</t>
  </si>
  <si>
    <t>OSD/57214/89W/FZ/2017</t>
  </si>
  <si>
    <t>31.03.17</t>
  </si>
  <si>
    <t>14.04.17</t>
  </si>
  <si>
    <t>145111848/35R/2017</t>
  </si>
  <si>
    <t>30.04.17</t>
  </si>
  <si>
    <t>OSD/57214/91W/FZ/2017</t>
  </si>
  <si>
    <t>16.05.17</t>
  </si>
  <si>
    <t>24.05.17</t>
  </si>
  <si>
    <t>145111848/36R/2017</t>
  </si>
  <si>
    <t>13.06.17</t>
  </si>
  <si>
    <t>OSD/57214/103W/FZ/2017</t>
  </si>
  <si>
    <t>31.05.17</t>
  </si>
  <si>
    <t>16.06.17</t>
  </si>
  <si>
    <t>23.06.17</t>
  </si>
  <si>
    <t>145111848/37R/2017</t>
  </si>
  <si>
    <t>30.06.17</t>
  </si>
  <si>
    <t>27.07.17</t>
  </si>
  <si>
    <t>OSD/57214/228W/FZ/2017</t>
  </si>
  <si>
    <t>01.08.17</t>
  </si>
  <si>
    <t>145111848/38R/2017</t>
  </si>
  <si>
    <t>31.07.17</t>
  </si>
  <si>
    <t>OSD/57214/349W/FZ/2017</t>
  </si>
  <si>
    <t>25.08.17</t>
  </si>
  <si>
    <t>OSD/57214/94F/FZ/2017</t>
  </si>
  <si>
    <t>29.08.17</t>
  </si>
  <si>
    <t>31.08.17</t>
  </si>
  <si>
    <t>145111848/39R/2017</t>
  </si>
  <si>
    <t>OSD/57214/350W/FZ/2017</t>
  </si>
  <si>
    <t>OSD/57214/372W/FZ/2017</t>
  </si>
  <si>
    <t>30.09.17</t>
  </si>
  <si>
    <t>OSD/57214/374W/FZ/2017</t>
  </si>
  <si>
    <t>31.10.17</t>
  </si>
  <si>
    <t>OSD/57214/388W/FZ/2017</t>
  </si>
  <si>
    <t>30.11.17</t>
  </si>
  <si>
    <t>16.01.18</t>
  </si>
  <si>
    <t>17.01.18</t>
  </si>
  <si>
    <t>21.01.18</t>
  </si>
  <si>
    <t>145111848/40R/2017</t>
  </si>
  <si>
    <t>28.01.18</t>
  </si>
  <si>
    <t>31.01.18</t>
  </si>
  <si>
    <t>02.02.18</t>
  </si>
  <si>
    <t>145111848/41R/2017</t>
  </si>
  <si>
    <t>07.02.18</t>
  </si>
  <si>
    <t>11.02.18</t>
  </si>
  <si>
    <t>wymiana licz.</t>
  </si>
  <si>
    <t>145111848/42R/2017</t>
  </si>
  <si>
    <t>14.02.18</t>
  </si>
  <si>
    <t>17.02.18</t>
  </si>
  <si>
    <t>15/1712/00000540</t>
  </si>
  <si>
    <t>28.02.18</t>
  </si>
  <si>
    <t>OSD/57214/373F/FZ/2017</t>
  </si>
  <si>
    <t>KOREKTY 357-360F</t>
  </si>
  <si>
    <t>02.03.18</t>
  </si>
  <si>
    <t>OSD/57214/95F/FZ/2017</t>
  </si>
  <si>
    <t>OSD/57214/96F/FZ/2017</t>
  </si>
  <si>
    <t>OSD/57214/389W/FZ/2017</t>
  </si>
  <si>
    <t>31.12.17</t>
  </si>
  <si>
    <t>09.04.18</t>
  </si>
  <si>
    <t>19.04.18</t>
  </si>
  <si>
    <t>korekta</t>
  </si>
  <si>
    <t>390W/FZ/2018</t>
  </si>
  <si>
    <t>24.04.18</t>
  </si>
  <si>
    <t>391W/FZ/2018</t>
  </si>
  <si>
    <t>31.03.18</t>
  </si>
  <si>
    <t>zmiana cen</t>
  </si>
  <si>
    <t>30.04.18</t>
  </si>
  <si>
    <t>16.05.18</t>
  </si>
  <si>
    <t>394W/FZ/2018</t>
  </si>
  <si>
    <t>23.05.18</t>
  </si>
  <si>
    <t>395W/FZ/2018</t>
  </si>
  <si>
    <t>31.05.18</t>
  </si>
  <si>
    <t>396W/FZ/2018</t>
  </si>
  <si>
    <t>22.06.18</t>
  </si>
  <si>
    <t>30.06.18</t>
  </si>
  <si>
    <t>397W/FZ/2018</t>
  </si>
  <si>
    <t>31.07.18</t>
  </si>
  <si>
    <t>Data odczytu</t>
  </si>
  <si>
    <t>Opłaty za Pu</t>
  </si>
  <si>
    <t>Opłaty za kWh</t>
  </si>
  <si>
    <t>Wartość przekroczenia</t>
  </si>
  <si>
    <t>opł. sieciowa</t>
  </si>
  <si>
    <t>opł. jakościowa systemowa</t>
  </si>
  <si>
    <t>Opłaty za energię bierną</t>
  </si>
  <si>
    <t>opłata</t>
  </si>
  <si>
    <t>Nr FV</t>
  </si>
  <si>
    <t xml:space="preserve">pobrana / </t>
  </si>
  <si>
    <t>maks.</t>
  </si>
  <si>
    <t>mentowa</t>
  </si>
  <si>
    <t>taryfa: C22a</t>
  </si>
  <si>
    <t xml:space="preserve">taryfa: </t>
  </si>
  <si>
    <t>398W/FZ/2018</t>
  </si>
  <si>
    <t>23.08.18</t>
  </si>
  <si>
    <t>Db.+Sp.</t>
  </si>
  <si>
    <t>poligonowe ZK, plac bud. strzelnicy</t>
  </si>
  <si>
    <t>31.08.18</t>
  </si>
  <si>
    <t>400W/FZ/2018</t>
  </si>
  <si>
    <t>02.10.18</t>
  </si>
  <si>
    <t>30.09.18</t>
  </si>
  <si>
    <t>401W/FZ/2018</t>
  </si>
  <si>
    <t>31.10.18</t>
  </si>
  <si>
    <t>15.11.18</t>
  </si>
  <si>
    <t>402W/FZ/2018</t>
  </si>
  <si>
    <t>26.11.18</t>
  </si>
  <si>
    <t>403W/FZ/2018</t>
  </si>
  <si>
    <t>30.11.18</t>
  </si>
  <si>
    <t>18.12.18</t>
  </si>
  <si>
    <t>TYS.</t>
  </si>
  <si>
    <t>404W/FZ/2018</t>
  </si>
  <si>
    <t>31.12.18</t>
  </si>
  <si>
    <r>
      <t>Razem</t>
    </r>
    <r>
      <rPr>
        <sz val="10"/>
        <rFont val="Arial CE"/>
        <family val="2"/>
      </rPr>
      <t xml:space="preserve"> za okres obrachunkowy 2019 r.</t>
    </r>
  </si>
  <si>
    <t>umowa dystrybucji nr 02020/GD/2014/URD z PGE Dystrybucja S.A. .........  JW 2305</t>
  </si>
  <si>
    <t>TYS</t>
  </si>
  <si>
    <t>31.01.19</t>
  </si>
  <si>
    <t>suma D</t>
  </si>
  <si>
    <t>28.02.19</t>
  </si>
  <si>
    <t>kogen.</t>
  </si>
  <si>
    <t>405W/FZ/</t>
  </si>
  <si>
    <t>410W/FZ/</t>
  </si>
  <si>
    <t>405W/FZ</t>
  </si>
  <si>
    <t>21.02.19</t>
  </si>
  <si>
    <t>411W/FZ/</t>
  </si>
  <si>
    <t>31.03.19</t>
  </si>
  <si>
    <t>30.04.19</t>
  </si>
  <si>
    <t>06.04.19</t>
  </si>
  <si>
    <t>412W/FZ/</t>
  </si>
  <si>
    <t>31.05.19</t>
  </si>
  <si>
    <t>413W/FZ/</t>
  </si>
  <si>
    <t>30.06.19</t>
  </si>
  <si>
    <t>421W/FZ/</t>
  </si>
  <si>
    <t>zmiana tar. i licz.</t>
  </si>
  <si>
    <t>429W/FZ/</t>
  </si>
  <si>
    <t>31.07.19</t>
  </si>
  <si>
    <t>24.06.19</t>
  </si>
  <si>
    <t>C21…C23</t>
  </si>
  <si>
    <t>31.08.19</t>
  </si>
  <si>
    <t>430W/FZ/</t>
  </si>
  <si>
    <t>30.09.19</t>
  </si>
  <si>
    <t>432W/FZ/</t>
  </si>
  <si>
    <r>
      <t>Razem</t>
    </r>
    <r>
      <rPr>
        <sz val="10"/>
        <rFont val="Arial CE"/>
        <family val="2"/>
      </rPr>
      <t xml:space="preserve"> za okres obrachunkowy 2018 r. (tys.)</t>
    </r>
  </si>
  <si>
    <r>
      <t>Razem</t>
    </r>
    <r>
      <rPr>
        <sz val="10"/>
        <rFont val="Arial CE"/>
        <family val="2"/>
      </rPr>
      <t xml:space="preserve"> za okres obrachunkowy 2017 r. (tys.)</t>
    </r>
  </si>
  <si>
    <t>437W/FZ/</t>
  </si>
  <si>
    <t>31.10.19</t>
  </si>
  <si>
    <t>30.11.19</t>
  </si>
  <si>
    <t>448W/FZ/</t>
  </si>
  <si>
    <r>
      <t>Razem</t>
    </r>
    <r>
      <rPr>
        <sz val="10"/>
        <rFont val="Arial CE"/>
        <family val="2"/>
      </rPr>
      <t xml:space="preserve"> za okres 2018 r. (tys.)</t>
    </r>
  </si>
  <si>
    <r>
      <t>Razem</t>
    </r>
    <r>
      <rPr>
        <sz val="10"/>
        <rFont val="Arial CE"/>
        <family val="2"/>
      </rPr>
      <t xml:space="preserve"> za okres 2020 r.</t>
    </r>
  </si>
  <si>
    <t>450W/FZ/</t>
  </si>
  <si>
    <t>31.12.19</t>
  </si>
  <si>
    <t>31.01.20</t>
  </si>
  <si>
    <t>29.02.20</t>
  </si>
  <si>
    <t>451W/FZ/</t>
  </si>
  <si>
    <t>452W/FZ/</t>
  </si>
  <si>
    <t>31.03.20</t>
  </si>
  <si>
    <t>453W/FZ/</t>
  </si>
  <si>
    <t>30.04.20</t>
  </si>
  <si>
    <t>454W/FZ/</t>
  </si>
  <si>
    <r>
      <t>Razem</t>
    </r>
    <r>
      <rPr>
        <sz val="10"/>
        <rFont val="Arial CE"/>
        <family val="2"/>
      </rPr>
      <t xml:space="preserve"> za okres obrachunkowy 2016 r. (tys.)</t>
    </r>
  </si>
  <si>
    <r>
      <rPr>
        <b/>
        <sz val="14"/>
        <rFont val="Arial CE"/>
        <family val="0"/>
      </rPr>
      <t>Pp</t>
    </r>
    <r>
      <rPr>
        <b/>
        <sz val="14"/>
        <color indexed="40"/>
        <rFont val="Arial CE"/>
        <family val="0"/>
      </rPr>
      <t xml:space="preserve"> = </t>
    </r>
  </si>
  <si>
    <t>Razem za okres 2020 r.</t>
  </si>
  <si>
    <t>po średnim -st. dostawcy</t>
  </si>
  <si>
    <t>st. 0129 (bud. 46)</t>
  </si>
  <si>
    <t xml:space="preserve">zasilane budynki: </t>
  </si>
  <si>
    <t>1-7, 11, 25, 26, 28-36</t>
  </si>
  <si>
    <t>Licznik nr …4142799…477040</t>
  </si>
  <si>
    <t>Licznik nr …8457816…362624</t>
  </si>
  <si>
    <t>31.05.20</t>
  </si>
  <si>
    <t>455W/FZ/</t>
  </si>
  <si>
    <t>30.06.20</t>
  </si>
  <si>
    <t>465W/FZ/</t>
  </si>
  <si>
    <t>31.07.20</t>
  </si>
  <si>
    <t>467W/FZ/</t>
  </si>
  <si>
    <t>400 kVA</t>
  </si>
  <si>
    <t>470 kW</t>
  </si>
  <si>
    <t>31.08.20</t>
  </si>
  <si>
    <t>468W/FZ/</t>
  </si>
  <si>
    <t>30.09.20</t>
  </si>
  <si>
    <t>469W/FZ/</t>
  </si>
  <si>
    <t>(min. 26)</t>
  </si>
  <si>
    <t>31.10.20</t>
  </si>
  <si>
    <t>471W/FZ/</t>
  </si>
  <si>
    <t>30.11.20</t>
  </si>
  <si>
    <t>472W/FZ/</t>
  </si>
  <si>
    <t>Moc maks. Zużyta        kW</t>
  </si>
  <si>
    <r>
      <t>Razem</t>
    </r>
    <r>
      <rPr>
        <sz val="10"/>
        <rFont val="Arial CE"/>
        <family val="2"/>
      </rPr>
      <t xml:space="preserve"> za okres 2021 r.</t>
    </r>
  </si>
  <si>
    <t>473W/FZ/</t>
  </si>
  <si>
    <t>31.12.20</t>
  </si>
  <si>
    <t>Razem za okres 2021 r.</t>
  </si>
  <si>
    <t>474W/FZ/</t>
  </si>
  <si>
    <t>31.01.21</t>
  </si>
  <si>
    <t>suma opłat:</t>
  </si>
  <si>
    <t>umowa sprzedaży nr 239/006/2020 z Enea</t>
  </si>
  <si>
    <t>28.02.21</t>
  </si>
  <si>
    <t>oze</t>
  </si>
  <si>
    <t>opł.mocowa/opł. przejściowa/opł. stała za dystryb.</t>
  </si>
  <si>
    <t>475W/FZ/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</si>
</sst>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%"/>
    <numFmt numFmtId="172" formatCode="#,##0.0"/>
    <numFmt numFmtId="173" formatCode="#,##0.000"/>
    <numFmt numFmtId="174" formatCode="#,##0.0000"/>
    <numFmt numFmtId="175" formatCode="#,##0.00_ ;\-#,##0.00\ "/>
    <numFmt numFmtId="176" formatCode="0.0000000"/>
    <numFmt numFmtId="177" formatCode="0.000%"/>
    <numFmt numFmtId="178" formatCode="0.0000%"/>
    <numFmt numFmtId="179" formatCode="0.00000%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  <numFmt numFmtId="183" formatCode="[$€-2]\ #,##0.00_);[Red]\([$€-2]\ #,##0.00\)"/>
    <numFmt numFmtId="184" formatCode="0.000000%"/>
    <numFmt numFmtId="185" formatCode="#,##0\ &quot;zł&quot;"/>
  </numFmts>
  <fonts count="90">
    <font>
      <sz val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1"/>
      <color indexed="12"/>
      <name val="Arial CE"/>
      <family val="2"/>
    </font>
    <font>
      <sz val="11"/>
      <name val="Arial CE"/>
      <family val="2"/>
    </font>
    <font>
      <u val="single"/>
      <sz val="10"/>
      <name val="Arial CE"/>
      <family val="2"/>
    </font>
    <font>
      <i/>
      <sz val="10"/>
      <name val="Arial CE"/>
      <family val="2"/>
    </font>
    <font>
      <i/>
      <sz val="10"/>
      <color indexed="48"/>
      <name val="Arial CE"/>
      <family val="2"/>
    </font>
    <font>
      <i/>
      <sz val="10"/>
      <color indexed="12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sz val="12"/>
      <name val="Tahoma"/>
      <family val="2"/>
    </font>
    <font>
      <sz val="12"/>
      <name val="Arial CE"/>
      <family val="0"/>
    </font>
    <font>
      <sz val="9"/>
      <name val="Tahoma"/>
      <family val="2"/>
    </font>
    <font>
      <b/>
      <sz val="9"/>
      <name val="Tahoma"/>
      <family val="2"/>
    </font>
    <font>
      <sz val="12"/>
      <color indexed="10"/>
      <name val="Tahoma"/>
      <family val="2"/>
    </font>
    <font>
      <strike/>
      <sz val="11"/>
      <name val="Calibri"/>
      <family val="2"/>
    </font>
    <font>
      <b/>
      <sz val="14"/>
      <name val="Arial CE"/>
      <family val="2"/>
    </font>
    <font>
      <b/>
      <sz val="14"/>
      <color indexed="12"/>
      <name val="Arial CE"/>
      <family val="2"/>
    </font>
    <font>
      <b/>
      <sz val="14"/>
      <color indexed="4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i/>
      <sz val="10"/>
      <color indexed="10"/>
      <name val="Arial CE"/>
      <family val="2"/>
    </font>
    <font>
      <b/>
      <sz val="11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30"/>
      <name val="Arial CE"/>
      <family val="2"/>
    </font>
    <font>
      <sz val="11"/>
      <color indexed="10"/>
      <name val="Arial CE"/>
      <family val="0"/>
    </font>
    <font>
      <i/>
      <sz val="10"/>
      <color indexed="30"/>
      <name val="Arial CE"/>
      <family val="2"/>
    </font>
    <font>
      <i/>
      <sz val="11"/>
      <color indexed="10"/>
      <name val="Arial CE"/>
      <family val="0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i/>
      <sz val="10"/>
      <color indexed="40"/>
      <name val="Arial CE"/>
      <family val="2"/>
    </font>
    <font>
      <b/>
      <sz val="14"/>
      <color indexed="30"/>
      <name val="Arial CE"/>
      <family val="2"/>
    </font>
    <font>
      <b/>
      <sz val="16"/>
      <color indexed="10"/>
      <name val="Arial CE"/>
      <family val="2"/>
    </font>
    <font>
      <b/>
      <sz val="11"/>
      <color indexed="3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i/>
      <sz val="10"/>
      <color rgb="FFFF0000"/>
      <name val="Arial CE"/>
      <family val="2"/>
    </font>
    <font>
      <b/>
      <sz val="11"/>
      <color rgb="FFFF0000"/>
      <name val="Arial CE"/>
      <family val="2"/>
    </font>
    <font>
      <b/>
      <sz val="10"/>
      <color rgb="FFFF0000"/>
      <name val="Arial CE"/>
      <family val="2"/>
    </font>
    <font>
      <b/>
      <sz val="10"/>
      <color rgb="FF0070C0"/>
      <name val="Arial CE"/>
      <family val="2"/>
    </font>
    <font>
      <sz val="11"/>
      <color rgb="FFFF0000"/>
      <name val="Arial CE"/>
      <family val="0"/>
    </font>
    <font>
      <i/>
      <sz val="10"/>
      <color rgb="FF0070C0"/>
      <name val="Arial CE"/>
      <family val="2"/>
    </font>
    <font>
      <i/>
      <sz val="11"/>
      <color rgb="FFFF0000"/>
      <name val="Arial CE"/>
      <family val="0"/>
    </font>
    <font>
      <sz val="10"/>
      <color rgb="FFFF0000"/>
      <name val="Calibri"/>
      <family val="2"/>
    </font>
    <font>
      <sz val="11"/>
      <color rgb="FF0070C0"/>
      <name val="Calibri"/>
      <family val="2"/>
    </font>
    <font>
      <i/>
      <sz val="10"/>
      <color rgb="FF00B0F0"/>
      <name val="Arial CE"/>
      <family val="2"/>
    </font>
    <font>
      <b/>
      <sz val="14"/>
      <color rgb="FF00B0F0"/>
      <name val="Arial CE"/>
      <family val="0"/>
    </font>
    <font>
      <b/>
      <sz val="14"/>
      <color rgb="FF0070C0"/>
      <name val="Arial CE"/>
      <family val="2"/>
    </font>
    <font>
      <b/>
      <sz val="16"/>
      <color rgb="FFFF0000"/>
      <name val="Arial CE"/>
      <family val="2"/>
    </font>
    <font>
      <b/>
      <sz val="11"/>
      <color rgb="FF0070C0"/>
      <name val="Arial CE"/>
      <family val="2"/>
    </font>
    <font>
      <b/>
      <sz val="8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dotted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tted"/>
      <bottom style="medium"/>
    </border>
    <border>
      <left style="medium"/>
      <right style="medium"/>
      <top style="medium"/>
      <bottom style="dotted"/>
    </border>
    <border>
      <left style="medium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dotted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29" borderId="4" applyNumberFormat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4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/>
    </xf>
    <xf numFmtId="2" fontId="6" fillId="0" borderId="20" xfId="0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0" fontId="0" fillId="0" borderId="20" xfId="0" applyBorder="1" applyAlignment="1">
      <alignment/>
    </xf>
    <xf numFmtId="1" fontId="6" fillId="0" borderId="22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67" fontId="6" fillId="0" borderId="17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1" fontId="6" fillId="0" borderId="17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1" fontId="6" fillId="0" borderId="13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2" fontId="9" fillId="0" borderId="24" xfId="0" applyNumberFormat="1" applyFont="1" applyBorder="1" applyAlignment="1">
      <alignment horizontal="center"/>
    </xf>
    <xf numFmtId="167" fontId="9" fillId="0" borderId="24" xfId="0" applyNumberFormat="1" applyFont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2" fontId="9" fillId="0" borderId="26" xfId="0" applyNumberFormat="1" applyFont="1" applyBorder="1" applyAlignment="1">
      <alignment horizontal="center"/>
    </xf>
    <xf numFmtId="166" fontId="6" fillId="0" borderId="27" xfId="0" applyNumberFormat="1" applyFont="1" applyBorder="1" applyAlignment="1">
      <alignment horizontal="center"/>
    </xf>
    <xf numFmtId="166" fontId="6" fillId="0" borderId="21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6" fillId="0" borderId="16" xfId="0" applyFont="1" applyBorder="1" applyAlignment="1">
      <alignment horizontal="left"/>
    </xf>
    <xf numFmtId="166" fontId="6" fillId="0" borderId="16" xfId="0" applyNumberFormat="1" applyFont="1" applyBorder="1" applyAlignment="1">
      <alignment/>
    </xf>
    <xf numFmtId="166" fontId="6" fillId="0" borderId="16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 horizontal="center"/>
    </xf>
    <xf numFmtId="166" fontId="9" fillId="0" borderId="24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/>
    </xf>
    <xf numFmtId="0" fontId="0" fillId="0" borderId="14" xfId="0" applyFont="1" applyFill="1" applyBorder="1" applyAlignment="1">
      <alignment/>
    </xf>
    <xf numFmtId="1" fontId="6" fillId="0" borderId="22" xfId="0" applyNumberFormat="1" applyFont="1" applyFill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/>
    </xf>
    <xf numFmtId="2" fontId="6" fillId="0" borderId="16" xfId="0" applyNumberFormat="1" applyFont="1" applyBorder="1" applyAlignment="1">
      <alignment/>
    </xf>
    <xf numFmtId="0" fontId="6" fillId="0" borderId="16" xfId="0" applyFont="1" applyBorder="1" applyAlignment="1">
      <alignment/>
    </xf>
    <xf numFmtId="4" fontId="9" fillId="0" borderId="24" xfId="0" applyNumberFormat="1" applyFont="1" applyBorder="1" applyAlignment="1">
      <alignment horizontal="center"/>
    </xf>
    <xf numFmtId="166" fontId="6" fillId="0" borderId="16" xfId="0" applyNumberFormat="1" applyFont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1" fontId="6" fillId="0" borderId="17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0" fontId="6" fillId="0" borderId="16" xfId="0" applyFont="1" applyBorder="1" applyAlignment="1">
      <alignment horizontal="right" vertical="center"/>
    </xf>
    <xf numFmtId="2" fontId="6" fillId="0" borderId="20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2" fontId="6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6" fontId="6" fillId="0" borderId="14" xfId="0" applyNumberFormat="1" applyFont="1" applyBorder="1" applyAlignment="1">
      <alignment/>
    </xf>
    <xf numFmtId="2" fontId="6" fillId="0" borderId="14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4" fontId="6" fillId="0" borderId="16" xfId="0" applyNumberFormat="1" applyFont="1" applyFill="1" applyBorder="1" applyAlignment="1">
      <alignment horizontal="center"/>
    </xf>
    <xf numFmtId="4" fontId="6" fillId="0" borderId="16" xfId="0" applyNumberFormat="1" applyFont="1" applyBorder="1" applyAlignment="1">
      <alignment horizontal="center"/>
    </xf>
    <xf numFmtId="166" fontId="6" fillId="0" borderId="27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166" fontId="6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14" xfId="0" applyFont="1" applyBorder="1" applyAlignment="1">
      <alignment horizontal="left"/>
    </xf>
    <xf numFmtId="166" fontId="6" fillId="0" borderId="14" xfId="0" applyNumberFormat="1" applyFont="1" applyBorder="1" applyAlignment="1">
      <alignment horizontal="center"/>
    </xf>
    <xf numFmtId="167" fontId="6" fillId="0" borderId="14" xfId="0" applyNumberFormat="1" applyFont="1" applyBorder="1" applyAlignment="1">
      <alignment/>
    </xf>
    <xf numFmtId="4" fontId="6" fillId="0" borderId="20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2" fillId="0" borderId="0" xfId="0" applyFont="1" applyAlignment="1">
      <alignment/>
    </xf>
    <xf numFmtId="0" fontId="74" fillId="0" borderId="0" xfId="0" applyFont="1" applyAlignment="1">
      <alignment/>
    </xf>
    <xf numFmtId="0" fontId="6" fillId="0" borderId="14" xfId="0" applyFont="1" applyBorder="1" applyAlignment="1">
      <alignment horizontal="right" vertical="center"/>
    </xf>
    <xf numFmtId="2" fontId="6" fillId="0" borderId="29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0" xfId="0" applyBorder="1" applyAlignment="1">
      <alignment horizontal="center"/>
    </xf>
    <xf numFmtId="167" fontId="6" fillId="0" borderId="14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4" fontId="0" fillId="0" borderId="11" xfId="0" applyNumberFormat="1" applyBorder="1" applyAlignment="1">
      <alignment/>
    </xf>
    <xf numFmtId="4" fontId="9" fillId="0" borderId="24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9" fillId="0" borderId="24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14" fillId="0" borderId="0" xfId="0" applyFont="1" applyAlignment="1">
      <alignment/>
    </xf>
    <xf numFmtId="2" fontId="6" fillId="0" borderId="13" xfId="0" applyNumberFormat="1" applyFont="1" applyBorder="1" applyAlignment="1">
      <alignment/>
    </xf>
    <xf numFmtId="0" fontId="74" fillId="0" borderId="13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0" fontId="74" fillId="0" borderId="16" xfId="0" applyFont="1" applyBorder="1" applyAlignment="1">
      <alignment horizontal="center"/>
    </xf>
    <xf numFmtId="166" fontId="6" fillId="0" borderId="14" xfId="0" applyNumberFormat="1" applyFont="1" applyFill="1" applyBorder="1" applyAlignment="1">
      <alignment/>
    </xf>
    <xf numFmtId="166" fontId="6" fillId="0" borderId="21" xfId="0" applyNumberFormat="1" applyFont="1" applyFill="1" applyBorder="1" applyAlignment="1">
      <alignment horizontal="center"/>
    </xf>
    <xf numFmtId="2" fontId="6" fillId="0" borderId="21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4" xfId="0" applyFill="1" applyBorder="1" applyAlignment="1">
      <alignment/>
    </xf>
    <xf numFmtId="167" fontId="6" fillId="0" borderId="16" xfId="0" applyNumberFormat="1" applyFont="1" applyFill="1" applyBorder="1" applyAlignment="1">
      <alignment horizontal="center"/>
    </xf>
    <xf numFmtId="2" fontId="6" fillId="0" borderId="16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/>
    </xf>
    <xf numFmtId="166" fontId="6" fillId="0" borderId="14" xfId="0" applyNumberFormat="1" applyFont="1" applyBorder="1" applyAlignment="1">
      <alignment/>
    </xf>
    <xf numFmtId="167" fontId="6" fillId="0" borderId="13" xfId="0" applyNumberFormat="1" applyFont="1" applyBorder="1" applyAlignment="1">
      <alignment horizontal="center"/>
    </xf>
    <xf numFmtId="4" fontId="0" fillId="0" borderId="20" xfId="0" applyNumberFormat="1" applyFont="1" applyFill="1" applyBorder="1" applyAlignment="1">
      <alignment/>
    </xf>
    <xf numFmtId="1" fontId="75" fillId="0" borderId="17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6" fillId="0" borderId="0" xfId="0" applyFont="1" applyAlignment="1">
      <alignment horizontal="left"/>
    </xf>
    <xf numFmtId="166" fontId="6" fillId="0" borderId="20" xfId="0" applyNumberFormat="1" applyFont="1" applyBorder="1" applyAlignment="1">
      <alignment/>
    </xf>
    <xf numFmtId="2" fontId="6" fillId="0" borderId="20" xfId="0" applyNumberFormat="1" applyFont="1" applyFill="1" applyBorder="1" applyAlignment="1">
      <alignment/>
    </xf>
    <xf numFmtId="173" fontId="6" fillId="0" borderId="16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/>
    </xf>
    <xf numFmtId="2" fontId="75" fillId="0" borderId="14" xfId="0" applyNumberFormat="1" applyFont="1" applyFill="1" applyBorder="1" applyAlignment="1">
      <alignment horizontal="center"/>
    </xf>
    <xf numFmtId="0" fontId="74" fillId="0" borderId="20" xfId="0" applyFont="1" applyBorder="1" applyAlignment="1">
      <alignment horizontal="center"/>
    </xf>
    <xf numFmtId="166" fontId="75" fillId="0" borderId="14" xfId="0" applyNumberFormat="1" applyFont="1" applyBorder="1" applyAlignment="1">
      <alignment horizontal="center"/>
    </xf>
    <xf numFmtId="2" fontId="75" fillId="0" borderId="14" xfId="0" applyNumberFormat="1" applyFont="1" applyBorder="1" applyAlignment="1">
      <alignment/>
    </xf>
    <xf numFmtId="2" fontId="75" fillId="0" borderId="20" xfId="0" applyNumberFormat="1" applyFont="1" applyBorder="1" applyAlignment="1">
      <alignment horizontal="center"/>
    </xf>
    <xf numFmtId="2" fontId="75" fillId="0" borderId="16" xfId="0" applyNumberFormat="1" applyFont="1" applyBorder="1" applyAlignment="1">
      <alignment/>
    </xf>
    <xf numFmtId="1" fontId="75" fillId="0" borderId="17" xfId="0" applyNumberFormat="1" applyFont="1" applyBorder="1" applyAlignment="1">
      <alignment horizontal="center"/>
    </xf>
    <xf numFmtId="4" fontId="77" fillId="0" borderId="24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/>
    </xf>
    <xf numFmtId="2" fontId="6" fillId="0" borderId="31" xfId="0" applyNumberFormat="1" applyFont="1" applyBorder="1" applyAlignment="1">
      <alignment horizontal="center"/>
    </xf>
    <xf numFmtId="4" fontId="6" fillId="0" borderId="31" xfId="0" applyNumberFormat="1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/>
    </xf>
    <xf numFmtId="1" fontId="7" fillId="0" borderId="13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6" xfId="0" applyFill="1" applyBorder="1" applyAlignment="1">
      <alignment/>
    </xf>
    <xf numFmtId="166" fontId="6" fillId="0" borderId="14" xfId="0" applyNumberFormat="1" applyFont="1" applyFill="1" applyBorder="1" applyAlignment="1">
      <alignment/>
    </xf>
    <xf numFmtId="166" fontId="75" fillId="0" borderId="14" xfId="0" applyNumberFormat="1" applyFont="1" applyFill="1" applyBorder="1" applyAlignment="1">
      <alignment/>
    </xf>
    <xf numFmtId="2" fontId="75" fillId="0" borderId="14" xfId="0" applyNumberFormat="1" applyFont="1" applyFill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6" fontId="75" fillId="0" borderId="27" xfId="0" applyNumberFormat="1" applyFont="1" applyBorder="1" applyAlignment="1">
      <alignment horizontal="center"/>
    </xf>
    <xf numFmtId="2" fontId="75" fillId="0" borderId="27" xfId="0" applyNumberFormat="1" applyFont="1" applyBorder="1" applyAlignment="1">
      <alignment horizontal="center"/>
    </xf>
    <xf numFmtId="4" fontId="6" fillId="0" borderId="20" xfId="0" applyNumberFormat="1" applyFont="1" applyFill="1" applyBorder="1" applyAlignment="1">
      <alignment horizontal="center"/>
    </xf>
    <xf numFmtId="10" fontId="0" fillId="0" borderId="14" xfId="54" applyNumberFormat="1" applyFont="1" applyBorder="1" applyAlignment="1">
      <alignment/>
    </xf>
    <xf numFmtId="2" fontId="75" fillId="0" borderId="21" xfId="0" applyNumberFormat="1" applyFont="1" applyBorder="1" applyAlignment="1">
      <alignment horizontal="center"/>
    </xf>
    <xf numFmtId="4" fontId="75" fillId="0" borderId="16" xfId="0" applyNumberFormat="1" applyFont="1" applyBorder="1" applyAlignment="1">
      <alignment horizontal="center"/>
    </xf>
    <xf numFmtId="166" fontId="75" fillId="0" borderId="27" xfId="0" applyNumberFormat="1" applyFont="1" applyFill="1" applyBorder="1" applyAlignment="1">
      <alignment horizontal="center"/>
    </xf>
    <xf numFmtId="2" fontId="75" fillId="0" borderId="27" xfId="0" applyNumberFormat="1" applyFont="1" applyFill="1" applyBorder="1" applyAlignment="1">
      <alignment horizontal="center"/>
    </xf>
    <xf numFmtId="0" fontId="75" fillId="0" borderId="14" xfId="0" applyFont="1" applyBorder="1" applyAlignment="1">
      <alignment horizontal="right" vertical="center"/>
    </xf>
    <xf numFmtId="166" fontId="75" fillId="0" borderId="20" xfId="0" applyNumberFormat="1" applyFont="1" applyBorder="1" applyAlignment="1">
      <alignment/>
    </xf>
    <xf numFmtId="4" fontId="75" fillId="0" borderId="14" xfId="0" applyNumberFormat="1" applyFont="1" applyBorder="1" applyAlignment="1">
      <alignment horizontal="center"/>
    </xf>
    <xf numFmtId="166" fontId="6" fillId="0" borderId="20" xfId="0" applyNumberFormat="1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4" fontId="75" fillId="0" borderId="15" xfId="0" applyNumberFormat="1" applyFont="1" applyBorder="1" applyAlignment="1">
      <alignment horizontal="center"/>
    </xf>
    <xf numFmtId="2" fontId="75" fillId="0" borderId="20" xfId="0" applyNumberFormat="1" applyFont="1" applyBorder="1" applyAlignment="1">
      <alignment/>
    </xf>
    <xf numFmtId="166" fontId="6" fillId="0" borderId="20" xfId="0" applyNumberFormat="1" applyFont="1" applyBorder="1" applyAlignment="1">
      <alignment/>
    </xf>
    <xf numFmtId="4" fontId="75" fillId="0" borderId="32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center"/>
    </xf>
    <xf numFmtId="4" fontId="6" fillId="0" borderId="33" xfId="0" applyNumberFormat="1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/>
    </xf>
    <xf numFmtId="4" fontId="6" fillId="0" borderId="33" xfId="0" applyNumberFormat="1" applyFont="1" applyBorder="1" applyAlignment="1">
      <alignment/>
    </xf>
    <xf numFmtId="4" fontId="6" fillId="0" borderId="32" xfId="0" applyNumberFormat="1" applyFont="1" applyBorder="1" applyAlignment="1">
      <alignment/>
    </xf>
    <xf numFmtId="4" fontId="75" fillId="0" borderId="33" xfId="0" applyNumberFormat="1" applyFont="1" applyBorder="1" applyAlignment="1">
      <alignment/>
    </xf>
    <xf numFmtId="4" fontId="75" fillId="0" borderId="32" xfId="0" applyNumberFormat="1" applyFont="1" applyBorder="1" applyAlignment="1">
      <alignment/>
    </xf>
    <xf numFmtId="2" fontId="6" fillId="0" borderId="16" xfId="0" applyNumberFormat="1" applyFont="1" applyFill="1" applyBorder="1" applyAlignment="1">
      <alignment horizontal="center"/>
    </xf>
    <xf numFmtId="4" fontId="0" fillId="0" borderId="34" xfId="0" applyNumberFormat="1" applyBorder="1" applyAlignment="1">
      <alignment/>
    </xf>
    <xf numFmtId="166" fontId="6" fillId="0" borderId="35" xfId="0" applyNumberFormat="1" applyFont="1" applyBorder="1" applyAlignment="1">
      <alignment/>
    </xf>
    <xf numFmtId="0" fontId="0" fillId="0" borderId="0" xfId="0" applyFill="1" applyAlignment="1">
      <alignment/>
    </xf>
    <xf numFmtId="3" fontId="6" fillId="0" borderId="14" xfId="0" applyNumberFormat="1" applyFont="1" applyBorder="1" applyAlignment="1">
      <alignment/>
    </xf>
    <xf numFmtId="173" fontId="6" fillId="0" borderId="14" xfId="0" applyNumberFormat="1" applyFont="1" applyBorder="1" applyAlignment="1">
      <alignment/>
    </xf>
    <xf numFmtId="0" fontId="0" fillId="0" borderId="36" xfId="0" applyBorder="1" applyAlignment="1">
      <alignment horizontal="center" vertical="center"/>
    </xf>
    <xf numFmtId="0" fontId="74" fillId="0" borderId="11" xfId="0" applyFont="1" applyBorder="1" applyAlignment="1">
      <alignment horizontal="right"/>
    </xf>
    <xf numFmtId="4" fontId="75" fillId="0" borderId="21" xfId="0" applyNumberFormat="1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2" fontId="75" fillId="0" borderId="2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66" fontId="75" fillId="0" borderId="1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66" fontId="6" fillId="0" borderId="16" xfId="0" applyNumberFormat="1" applyFont="1" applyFill="1" applyBorder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2" fontId="75" fillId="0" borderId="15" xfId="0" applyNumberFormat="1" applyFont="1" applyFill="1" applyBorder="1" applyAlignment="1">
      <alignment/>
    </xf>
    <xf numFmtId="0" fontId="0" fillId="0" borderId="24" xfId="0" applyBorder="1" applyAlignment="1">
      <alignment/>
    </xf>
    <xf numFmtId="9" fontId="0" fillId="0" borderId="11" xfId="54" applyFont="1" applyBorder="1" applyAlignment="1">
      <alignment/>
    </xf>
    <xf numFmtId="9" fontId="0" fillId="0" borderId="11" xfId="54" applyNumberFormat="1" applyFont="1" applyBorder="1" applyAlignment="1">
      <alignment/>
    </xf>
    <xf numFmtId="0" fontId="75" fillId="0" borderId="16" xfId="0" applyFont="1" applyBorder="1" applyAlignment="1">
      <alignment/>
    </xf>
    <xf numFmtId="2" fontId="77" fillId="0" borderId="24" xfId="0" applyNumberFormat="1" applyFont="1" applyBorder="1" applyAlignment="1">
      <alignment horizontal="center"/>
    </xf>
    <xf numFmtId="167" fontId="6" fillId="0" borderId="21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167" fontId="6" fillId="0" borderId="37" xfId="0" applyNumberFormat="1" applyFont="1" applyBorder="1" applyAlignment="1">
      <alignment horizontal="center"/>
    </xf>
    <xf numFmtId="4" fontId="74" fillId="0" borderId="21" xfId="0" applyNumberFormat="1" applyFont="1" applyBorder="1" applyAlignment="1">
      <alignment horizontal="center"/>
    </xf>
    <xf numFmtId="2" fontId="9" fillId="0" borderId="24" xfId="0" applyNumberFormat="1" applyFont="1" applyFill="1" applyBorder="1" applyAlignment="1">
      <alignment horizontal="center"/>
    </xf>
    <xf numFmtId="4" fontId="6" fillId="0" borderId="27" xfId="0" applyNumberFormat="1" applyFont="1" applyBorder="1" applyAlignment="1">
      <alignment horizontal="center"/>
    </xf>
    <xf numFmtId="166" fontId="78" fillId="0" borderId="24" xfId="0" applyNumberFormat="1" applyFont="1" applyBorder="1" applyAlignment="1">
      <alignment horizontal="center"/>
    </xf>
    <xf numFmtId="167" fontId="78" fillId="0" borderId="24" xfId="0" applyNumberFormat="1" applyFont="1" applyBorder="1" applyAlignment="1">
      <alignment horizontal="center"/>
    </xf>
    <xf numFmtId="4" fontId="78" fillId="0" borderId="24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10" fontId="0" fillId="0" borderId="14" xfId="54" applyNumberFormat="1" applyFont="1" applyFill="1" applyBorder="1" applyAlignment="1">
      <alignment/>
    </xf>
    <xf numFmtId="173" fontId="9" fillId="0" borderId="11" xfId="0" applyNumberFormat="1" applyFont="1" applyFill="1" applyBorder="1" applyAlignment="1">
      <alignment horizontal="center"/>
    </xf>
    <xf numFmtId="173" fontId="77" fillId="0" borderId="11" xfId="0" applyNumberFormat="1" applyFont="1" applyFill="1" applyBorder="1" applyAlignment="1">
      <alignment horizontal="center"/>
    </xf>
    <xf numFmtId="171" fontId="0" fillId="0" borderId="14" xfId="54" applyNumberFormat="1" applyFont="1" applyFill="1" applyBorder="1" applyAlignment="1">
      <alignment/>
    </xf>
    <xf numFmtId="0" fontId="4" fillId="0" borderId="0" xfId="0" applyFont="1" applyFill="1" applyAlignment="1">
      <alignment horizontal="left"/>
    </xf>
    <xf numFmtId="166" fontId="74" fillId="0" borderId="0" xfId="0" applyNumberFormat="1" applyFont="1" applyAlignment="1">
      <alignment/>
    </xf>
    <xf numFmtId="0" fontId="0" fillId="0" borderId="11" xfId="0" applyFill="1" applyBorder="1" applyAlignment="1">
      <alignment/>
    </xf>
    <xf numFmtId="0" fontId="0" fillId="0" borderId="24" xfId="0" applyFill="1" applyBorder="1" applyAlignment="1">
      <alignment/>
    </xf>
    <xf numFmtId="4" fontId="77" fillId="0" borderId="24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79" fillId="0" borderId="0" xfId="0" applyFont="1" applyAlignment="1">
      <alignment/>
    </xf>
    <xf numFmtId="2" fontId="6" fillId="0" borderId="14" xfId="0" applyNumberFormat="1" applyFont="1" applyFill="1" applyBorder="1" applyAlignment="1">
      <alignment horizontal="right"/>
    </xf>
    <xf numFmtId="2" fontId="75" fillId="0" borderId="14" xfId="0" applyNumberFormat="1" applyFont="1" applyFill="1" applyBorder="1" applyAlignment="1">
      <alignment horizontal="right"/>
    </xf>
    <xf numFmtId="2" fontId="6" fillId="0" borderId="16" xfId="0" applyNumberFormat="1" applyFont="1" applyFill="1" applyBorder="1" applyAlignment="1">
      <alignment horizontal="right"/>
    </xf>
    <xf numFmtId="166" fontId="80" fillId="0" borderId="16" xfId="0" applyNumberFormat="1" applyFont="1" applyBorder="1" applyAlignment="1">
      <alignment horizontal="center"/>
    </xf>
    <xf numFmtId="4" fontId="80" fillId="0" borderId="16" xfId="0" applyNumberFormat="1" applyFont="1" applyBorder="1" applyAlignment="1">
      <alignment horizontal="center"/>
    </xf>
    <xf numFmtId="4" fontId="80" fillId="0" borderId="14" xfId="0" applyNumberFormat="1" applyFont="1" applyBorder="1" applyAlignment="1">
      <alignment horizontal="center"/>
    </xf>
    <xf numFmtId="2" fontId="75" fillId="0" borderId="16" xfId="0" applyNumberFormat="1" applyFont="1" applyFill="1" applyBorder="1" applyAlignment="1">
      <alignment horizontal="right"/>
    </xf>
    <xf numFmtId="2" fontId="6" fillId="0" borderId="24" xfId="0" applyNumberFormat="1" applyFont="1" applyFill="1" applyBorder="1" applyAlignment="1">
      <alignment horizontal="center"/>
    </xf>
    <xf numFmtId="167" fontId="80" fillId="0" borderId="21" xfId="0" applyNumberFormat="1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167" fontId="6" fillId="0" borderId="21" xfId="0" applyNumberFormat="1" applyFont="1" applyFill="1" applyBorder="1" applyAlignment="1">
      <alignment/>
    </xf>
    <xf numFmtId="166" fontId="6" fillId="0" borderId="16" xfId="0" applyNumberFormat="1" applyFont="1" applyFill="1" applyBorder="1" applyAlignment="1">
      <alignment horizontal="center"/>
    </xf>
    <xf numFmtId="4" fontId="75" fillId="0" borderId="21" xfId="0" applyNumberFormat="1" applyFont="1" applyFill="1" applyBorder="1" applyAlignment="1">
      <alignment horizontal="center"/>
    </xf>
    <xf numFmtId="167" fontId="80" fillId="0" borderId="2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81" fillId="0" borderId="0" xfId="0" applyFont="1" applyAlignment="1">
      <alignment/>
    </xf>
    <xf numFmtId="2" fontId="75" fillId="0" borderId="16" xfId="0" applyNumberFormat="1" applyFont="1" applyFill="1" applyBorder="1" applyAlignment="1">
      <alignment/>
    </xf>
    <xf numFmtId="166" fontId="75" fillId="0" borderId="16" xfId="0" applyNumberFormat="1" applyFont="1" applyFill="1" applyBorder="1" applyAlignment="1">
      <alignment/>
    </xf>
    <xf numFmtId="2" fontId="6" fillId="0" borderId="15" xfId="0" applyNumberFormat="1" applyFont="1" applyFill="1" applyBorder="1" applyAlignment="1">
      <alignment horizontal="center"/>
    </xf>
    <xf numFmtId="166" fontId="6" fillId="0" borderId="20" xfId="0" applyNumberFormat="1" applyFont="1" applyFill="1" applyBorder="1" applyAlignment="1">
      <alignment/>
    </xf>
    <xf numFmtId="1" fontId="6" fillId="0" borderId="14" xfId="0" applyNumberFormat="1" applyFont="1" applyFill="1" applyBorder="1" applyAlignment="1">
      <alignment horizontal="center"/>
    </xf>
    <xf numFmtId="0" fontId="6" fillId="0" borderId="35" xfId="0" applyFont="1" applyBorder="1" applyAlignment="1">
      <alignment horizontal="right"/>
    </xf>
    <xf numFmtId="1" fontId="6" fillId="0" borderId="16" xfId="0" applyNumberFormat="1" applyFont="1" applyFill="1" applyBorder="1" applyAlignment="1">
      <alignment/>
    </xf>
    <xf numFmtId="1" fontId="8" fillId="0" borderId="12" xfId="0" applyNumberFormat="1" applyFont="1" applyBorder="1" applyAlignment="1">
      <alignment horizontal="center"/>
    </xf>
    <xf numFmtId="4" fontId="74" fillId="0" borderId="21" xfId="0" applyNumberFormat="1" applyFont="1" applyBorder="1" applyAlignment="1">
      <alignment horizontal="center"/>
    </xf>
    <xf numFmtId="166" fontId="6" fillId="0" borderId="20" xfId="0" applyNumberFormat="1" applyFont="1" applyFill="1" applyBorder="1" applyAlignment="1">
      <alignment horizontal="center"/>
    </xf>
    <xf numFmtId="167" fontId="6" fillId="0" borderId="20" xfId="0" applyNumberFormat="1" applyFont="1" applyBorder="1" applyAlignment="1">
      <alignment horizontal="center"/>
    </xf>
    <xf numFmtId="2" fontId="80" fillId="0" borderId="20" xfId="0" applyNumberFormat="1" applyFont="1" applyBorder="1" applyAlignment="1">
      <alignment horizontal="center"/>
    </xf>
    <xf numFmtId="167" fontId="6" fillId="0" borderId="20" xfId="0" applyNumberFormat="1" applyFont="1" applyFill="1" applyBorder="1" applyAlignment="1">
      <alignment horizontal="center"/>
    </xf>
    <xf numFmtId="2" fontId="80" fillId="0" borderId="20" xfId="0" applyNumberFormat="1" applyFont="1" applyFill="1" applyBorder="1" applyAlignment="1">
      <alignment horizontal="center"/>
    </xf>
    <xf numFmtId="0" fontId="75" fillId="0" borderId="14" xfId="0" applyFont="1" applyBorder="1" applyAlignment="1">
      <alignment/>
    </xf>
    <xf numFmtId="166" fontId="75" fillId="0" borderId="21" xfId="0" applyNumberFormat="1" applyFont="1" applyFill="1" applyBorder="1" applyAlignment="1">
      <alignment horizontal="center"/>
    </xf>
    <xf numFmtId="0" fontId="75" fillId="0" borderId="35" xfId="0" applyFont="1" applyBorder="1" applyAlignment="1">
      <alignment horizontal="right"/>
    </xf>
    <xf numFmtId="4" fontId="75" fillId="0" borderId="14" xfId="0" applyNumberFormat="1" applyFont="1" applyBorder="1" applyAlignment="1">
      <alignment/>
    </xf>
    <xf numFmtId="4" fontId="0" fillId="0" borderId="20" xfId="0" applyNumberFormat="1" applyFill="1" applyBorder="1" applyAlignment="1">
      <alignment/>
    </xf>
    <xf numFmtId="4" fontId="6" fillId="0" borderId="26" xfId="0" applyNumberFormat="1" applyFont="1" applyBorder="1" applyAlignment="1">
      <alignment horizontal="center"/>
    </xf>
    <xf numFmtId="166" fontId="80" fillId="0" borderId="16" xfId="0" applyNumberFormat="1" applyFont="1" applyFill="1" applyBorder="1" applyAlignment="1">
      <alignment horizontal="center"/>
    </xf>
    <xf numFmtId="4" fontId="80" fillId="0" borderId="27" xfId="0" applyNumberFormat="1" applyFont="1" applyBorder="1" applyAlignment="1">
      <alignment horizontal="center"/>
    </xf>
    <xf numFmtId="2" fontId="80" fillId="0" borderId="21" xfId="0" applyNumberFormat="1" applyFont="1" applyFill="1" applyBorder="1" applyAlignment="1">
      <alignment horizontal="center"/>
    </xf>
    <xf numFmtId="2" fontId="80" fillId="0" borderId="27" xfId="0" applyNumberFormat="1" applyFont="1" applyFill="1" applyBorder="1" applyAlignment="1">
      <alignment horizontal="center"/>
    </xf>
    <xf numFmtId="166" fontId="80" fillId="0" borderId="21" xfId="0" applyNumberFormat="1" applyFont="1" applyFill="1" applyBorder="1" applyAlignment="1">
      <alignment horizontal="center"/>
    </xf>
    <xf numFmtId="167" fontId="75" fillId="0" borderId="17" xfId="0" applyNumberFormat="1" applyFont="1" applyBorder="1" applyAlignment="1">
      <alignment horizontal="center"/>
    </xf>
    <xf numFmtId="2" fontId="75" fillId="0" borderId="16" xfId="0" applyNumberFormat="1" applyFont="1" applyFill="1" applyBorder="1" applyAlignment="1">
      <alignment horizontal="right"/>
    </xf>
    <xf numFmtId="0" fontId="82" fillId="0" borderId="14" xfId="0" applyFont="1" applyBorder="1" applyAlignment="1">
      <alignment horizontal="center"/>
    </xf>
    <xf numFmtId="4" fontId="77" fillId="0" borderId="11" xfId="0" applyNumberFormat="1" applyFont="1" applyBorder="1" applyAlignment="1">
      <alignment horizontal="center"/>
    </xf>
    <xf numFmtId="167" fontId="75" fillId="0" borderId="11" xfId="0" applyNumberFormat="1" applyFont="1" applyBorder="1" applyAlignment="1">
      <alignment horizontal="center"/>
    </xf>
    <xf numFmtId="167" fontId="77" fillId="0" borderId="11" xfId="0" applyNumberFormat="1" applyFont="1" applyBorder="1" applyAlignment="1">
      <alignment horizontal="center"/>
    </xf>
    <xf numFmtId="4" fontId="6" fillId="0" borderId="29" xfId="0" applyNumberFormat="1" applyFont="1" applyBorder="1" applyAlignment="1">
      <alignment horizontal="center"/>
    </xf>
    <xf numFmtId="4" fontId="6" fillId="0" borderId="13" xfId="0" applyNumberFormat="1" applyFont="1" applyFill="1" applyBorder="1" applyAlignment="1">
      <alignment horizontal="center"/>
    </xf>
    <xf numFmtId="166" fontId="80" fillId="0" borderId="20" xfId="0" applyNumberFormat="1" applyFont="1" applyFill="1" applyBorder="1" applyAlignment="1">
      <alignment horizontal="center"/>
    </xf>
    <xf numFmtId="167" fontId="6" fillId="0" borderId="35" xfId="0" applyNumberFormat="1" applyFont="1" applyFill="1" applyBorder="1" applyAlignment="1">
      <alignment horizontal="center"/>
    </xf>
    <xf numFmtId="2" fontId="80" fillId="0" borderId="35" xfId="0" applyNumberFormat="1" applyFont="1" applyFill="1" applyBorder="1" applyAlignment="1">
      <alignment horizontal="center"/>
    </xf>
    <xf numFmtId="2" fontId="74" fillId="0" borderId="11" xfId="0" applyNumberFormat="1" applyFont="1" applyBorder="1" applyAlignment="1">
      <alignment/>
    </xf>
    <xf numFmtId="9" fontId="6" fillId="0" borderId="12" xfId="54" applyFont="1" applyBorder="1" applyAlignment="1">
      <alignment horizontal="center"/>
    </xf>
    <xf numFmtId="9" fontId="75" fillId="0" borderId="12" xfId="54" applyFont="1" applyBorder="1" applyAlignment="1">
      <alignment horizontal="center"/>
    </xf>
    <xf numFmtId="2" fontId="75" fillId="0" borderId="24" xfId="0" applyNumberFormat="1" applyFont="1" applyFill="1" applyBorder="1" applyAlignment="1">
      <alignment horizontal="right"/>
    </xf>
    <xf numFmtId="0" fontId="10" fillId="33" borderId="27" xfId="0" applyFont="1" applyFill="1" applyBorder="1" applyAlignment="1">
      <alignment horizontal="center"/>
    </xf>
    <xf numFmtId="2" fontId="75" fillId="0" borderId="20" xfId="0" applyNumberFormat="1" applyFont="1" applyBorder="1" applyAlignment="1">
      <alignment horizontal="right"/>
    </xf>
    <xf numFmtId="2" fontId="75" fillId="0" borderId="35" xfId="0" applyNumberFormat="1" applyFont="1" applyBorder="1" applyAlignment="1">
      <alignment/>
    </xf>
    <xf numFmtId="4" fontId="6" fillId="0" borderId="35" xfId="0" applyNumberFormat="1" applyFont="1" applyBorder="1" applyAlignment="1">
      <alignment horizontal="center"/>
    </xf>
    <xf numFmtId="2" fontId="80" fillId="0" borderId="38" xfId="0" applyNumberFormat="1" applyFont="1" applyFill="1" applyBorder="1" applyAlignment="1">
      <alignment horizontal="center"/>
    </xf>
    <xf numFmtId="0" fontId="0" fillId="0" borderId="21" xfId="0" applyFill="1" applyBorder="1" applyAlignment="1">
      <alignment/>
    </xf>
    <xf numFmtId="2" fontId="75" fillId="0" borderId="16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/>
    </xf>
    <xf numFmtId="2" fontId="74" fillId="0" borderId="16" xfId="0" applyNumberFormat="1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0" fillId="0" borderId="35" xfId="0" applyBorder="1" applyAlignment="1">
      <alignment/>
    </xf>
    <xf numFmtId="173" fontId="6" fillId="0" borderId="16" xfId="0" applyNumberFormat="1" applyFont="1" applyBorder="1" applyAlignment="1">
      <alignment/>
    </xf>
    <xf numFmtId="2" fontId="74" fillId="0" borderId="11" xfId="0" applyNumberFormat="1" applyFont="1" applyBorder="1" applyAlignment="1">
      <alignment horizontal="center"/>
    </xf>
    <xf numFmtId="0" fontId="74" fillId="0" borderId="35" xfId="0" applyFont="1" applyFill="1" applyBorder="1" applyAlignment="1">
      <alignment horizontal="right"/>
    </xf>
    <xf numFmtId="166" fontId="80" fillId="0" borderId="35" xfId="0" applyNumberFormat="1" applyFont="1" applyFill="1" applyBorder="1" applyAlignment="1">
      <alignment horizontal="center"/>
    </xf>
    <xf numFmtId="167" fontId="6" fillId="0" borderId="35" xfId="0" applyNumberFormat="1" applyFont="1" applyBorder="1" applyAlignment="1">
      <alignment horizontal="center"/>
    </xf>
    <xf numFmtId="166" fontId="6" fillId="0" borderId="35" xfId="0" applyNumberFormat="1" applyFont="1" applyBorder="1" applyAlignment="1">
      <alignment horizontal="center"/>
    </xf>
    <xf numFmtId="166" fontId="6" fillId="0" borderId="15" xfId="0" applyNumberFormat="1" applyFont="1" applyFill="1" applyBorder="1" applyAlignment="1">
      <alignment/>
    </xf>
    <xf numFmtId="0" fontId="6" fillId="0" borderId="20" xfId="0" applyFont="1" applyBorder="1" applyAlignment="1">
      <alignment/>
    </xf>
    <xf numFmtId="0" fontId="75" fillId="0" borderId="16" xfId="0" applyFont="1" applyBorder="1" applyAlignment="1">
      <alignment/>
    </xf>
    <xf numFmtId="166" fontId="77" fillId="0" borderId="24" xfId="0" applyNumberFormat="1" applyFont="1" applyBorder="1" applyAlignment="1">
      <alignment horizontal="center"/>
    </xf>
    <xf numFmtId="0" fontId="6" fillId="0" borderId="35" xfId="0" applyFont="1" applyBorder="1" applyAlignment="1">
      <alignment horizontal="left"/>
    </xf>
    <xf numFmtId="0" fontId="10" fillId="33" borderId="39" xfId="0" applyFont="1" applyFill="1" applyBorder="1" applyAlignment="1">
      <alignment horizontal="center"/>
    </xf>
    <xf numFmtId="0" fontId="10" fillId="33" borderId="4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83" fillId="0" borderId="14" xfId="0" applyNumberFormat="1" applyFont="1" applyBorder="1" applyAlignment="1">
      <alignment horizontal="center"/>
    </xf>
    <xf numFmtId="0" fontId="9" fillId="0" borderId="25" xfId="0" applyNumberFormat="1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41" xfId="0" applyBorder="1" applyAlignment="1">
      <alignment horizontal="center" vertical="center"/>
    </xf>
    <xf numFmtId="0" fontId="18" fillId="0" borderId="0" xfId="0" applyFont="1" applyAlignment="1">
      <alignment vertical="center"/>
    </xf>
    <xf numFmtId="3" fontId="6" fillId="0" borderId="27" xfId="0" applyNumberFormat="1" applyFont="1" applyBorder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6" fillId="0" borderId="27" xfId="0" applyNumberFormat="1" applyFont="1" applyFill="1" applyBorder="1" applyAlignment="1">
      <alignment horizontal="center"/>
    </xf>
    <xf numFmtId="0" fontId="18" fillId="0" borderId="0" xfId="0" applyFont="1" applyAlignment="1">
      <alignment/>
    </xf>
    <xf numFmtId="3" fontId="6" fillId="0" borderId="16" xfId="0" applyNumberFormat="1" applyFont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right" vertical="center"/>
    </xf>
    <xf numFmtId="0" fontId="81" fillId="34" borderId="0" xfId="0" applyFont="1" applyFill="1" applyAlignment="1">
      <alignment/>
    </xf>
    <xf numFmtId="3" fontId="78" fillId="0" borderId="24" xfId="0" applyNumberFormat="1" applyFont="1" applyBorder="1" applyAlignment="1">
      <alignment horizontal="center"/>
    </xf>
    <xf numFmtId="3" fontId="74" fillId="0" borderId="0" xfId="0" applyNumberFormat="1" applyFont="1" applyAlignment="1">
      <alignment/>
    </xf>
    <xf numFmtId="1" fontId="0" fillId="0" borderId="24" xfId="0" applyNumberFormat="1" applyFont="1" applyBorder="1" applyAlignment="1">
      <alignment horizontal="center"/>
    </xf>
    <xf numFmtId="1" fontId="0" fillId="0" borderId="25" xfId="0" applyNumberFormat="1" applyFont="1" applyBorder="1" applyAlignment="1">
      <alignment horizontal="center"/>
    </xf>
    <xf numFmtId="3" fontId="80" fillId="0" borderId="16" xfId="0" applyNumberFormat="1" applyFont="1" applyFill="1" applyBorder="1" applyAlignment="1">
      <alignment horizontal="center"/>
    </xf>
    <xf numFmtId="2" fontId="6" fillId="0" borderId="35" xfId="0" applyNumberFormat="1" applyFont="1" applyBorder="1" applyAlignment="1">
      <alignment/>
    </xf>
    <xf numFmtId="0" fontId="10" fillId="33" borderId="42" xfId="0" applyFont="1" applyFill="1" applyBorder="1" applyAlignment="1">
      <alignment horizontal="center"/>
    </xf>
    <xf numFmtId="0" fontId="6" fillId="0" borderId="43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10" fillId="33" borderId="44" xfId="0" applyFont="1" applyFill="1" applyBorder="1" applyAlignment="1">
      <alignment horizontal="center"/>
    </xf>
    <xf numFmtId="0" fontId="6" fillId="0" borderId="45" xfId="0" applyFont="1" applyBorder="1" applyAlignment="1">
      <alignment/>
    </xf>
    <xf numFmtId="0" fontId="6" fillId="0" borderId="18" xfId="0" applyFont="1" applyBorder="1" applyAlignment="1">
      <alignment horizontal="right" vertical="center"/>
    </xf>
    <xf numFmtId="0" fontId="6" fillId="0" borderId="26" xfId="0" applyFont="1" applyBorder="1" applyAlignment="1">
      <alignment horizontal="left"/>
    </xf>
    <xf numFmtId="1" fontId="7" fillId="0" borderId="46" xfId="0" applyNumberFormat="1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1" fontId="6" fillId="0" borderId="47" xfId="0" applyNumberFormat="1" applyFont="1" applyBorder="1" applyAlignment="1">
      <alignment horizontal="center"/>
    </xf>
    <xf numFmtId="1" fontId="6" fillId="0" borderId="48" xfId="0" applyNumberFormat="1" applyFont="1" applyBorder="1" applyAlignment="1">
      <alignment horizontal="center"/>
    </xf>
    <xf numFmtId="0" fontId="75" fillId="0" borderId="36" xfId="0" applyFont="1" applyBorder="1" applyAlignment="1">
      <alignment horizontal="right" vertical="center"/>
    </xf>
    <xf numFmtId="3" fontId="80" fillId="0" borderId="16" xfId="0" applyNumberFormat="1" applyFont="1" applyBorder="1" applyAlignment="1">
      <alignment horizontal="center"/>
    </xf>
    <xf numFmtId="3" fontId="80" fillId="0" borderId="21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right" vertical="center"/>
    </xf>
    <xf numFmtId="0" fontId="6" fillId="0" borderId="35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49" xfId="0" applyFont="1" applyBorder="1" applyAlignment="1">
      <alignment horizontal="right"/>
    </xf>
    <xf numFmtId="0" fontId="0" fillId="0" borderId="50" xfId="0" applyBorder="1" applyAlignment="1">
      <alignment horizontal="center"/>
    </xf>
    <xf numFmtId="0" fontId="6" fillId="0" borderId="51" xfId="0" applyFont="1" applyBorder="1" applyAlignment="1">
      <alignment horizontal="right"/>
    </xf>
    <xf numFmtId="1" fontId="84" fillId="0" borderId="16" xfId="0" applyNumberFormat="1" applyFont="1" applyBorder="1" applyAlignment="1">
      <alignment horizontal="center"/>
    </xf>
    <xf numFmtId="0" fontId="74" fillId="0" borderId="52" xfId="0" applyFont="1" applyBorder="1" applyAlignment="1">
      <alignment horizontal="center"/>
    </xf>
    <xf numFmtId="0" fontId="74" fillId="0" borderId="50" xfId="0" applyFont="1" applyBorder="1" applyAlignment="1">
      <alignment horizontal="center"/>
    </xf>
    <xf numFmtId="4" fontId="84" fillId="0" borderId="33" xfId="0" applyNumberFormat="1" applyFont="1" applyBorder="1" applyAlignment="1">
      <alignment/>
    </xf>
    <xf numFmtId="0" fontId="75" fillId="0" borderId="20" xfId="0" applyFont="1" applyBorder="1" applyAlignment="1">
      <alignment/>
    </xf>
    <xf numFmtId="1" fontId="84" fillId="0" borderId="13" xfId="0" applyNumberFormat="1" applyFont="1" applyBorder="1" applyAlignment="1">
      <alignment horizontal="center"/>
    </xf>
    <xf numFmtId="4" fontId="84" fillId="0" borderId="32" xfId="0" applyNumberFormat="1" applyFont="1" applyBorder="1" applyAlignment="1">
      <alignment horizontal="center"/>
    </xf>
    <xf numFmtId="1" fontId="84" fillId="0" borderId="41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80" fillId="0" borderId="14" xfId="0" applyNumberFormat="1" applyFont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6" fillId="0" borderId="16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0" fontId="74" fillId="0" borderId="15" xfId="0" applyFont="1" applyBorder="1" applyAlignment="1">
      <alignment horizontal="center"/>
    </xf>
    <xf numFmtId="0" fontId="75" fillId="0" borderId="50" xfId="0" applyFont="1" applyBorder="1" applyAlignment="1">
      <alignment horizontal="right" vertical="center"/>
    </xf>
    <xf numFmtId="0" fontId="6" fillId="0" borderId="53" xfId="0" applyFont="1" applyBorder="1" applyAlignment="1">
      <alignment horizontal="right" vertical="center"/>
    </xf>
    <xf numFmtId="0" fontId="75" fillId="0" borderId="54" xfId="0" applyFont="1" applyBorder="1" applyAlignment="1">
      <alignment horizontal="right" vertical="center"/>
    </xf>
    <xf numFmtId="1" fontId="0" fillId="0" borderId="14" xfId="0" applyNumberFormat="1" applyFont="1" applyFill="1" applyBorder="1" applyAlignment="1">
      <alignment/>
    </xf>
    <xf numFmtId="4" fontId="6" fillId="0" borderId="14" xfId="0" applyNumberFormat="1" applyFont="1" applyBorder="1" applyAlignment="1">
      <alignment/>
    </xf>
    <xf numFmtId="0" fontId="75" fillId="0" borderId="11" xfId="0" applyFont="1" applyBorder="1" applyAlignment="1">
      <alignment horizontal="right" vertical="center"/>
    </xf>
    <xf numFmtId="4" fontId="6" fillId="0" borderId="17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/>
    </xf>
    <xf numFmtId="1" fontId="0" fillId="0" borderId="35" xfId="0" applyNumberFormat="1" applyFont="1" applyFill="1" applyBorder="1" applyAlignment="1">
      <alignment/>
    </xf>
    <xf numFmtId="0" fontId="75" fillId="0" borderId="27" xfId="0" applyFont="1" applyBorder="1" applyAlignment="1">
      <alignment horizontal="right" vertical="center"/>
    </xf>
    <xf numFmtId="167" fontId="6" fillId="0" borderId="55" xfId="0" applyNumberFormat="1" applyFont="1" applyBorder="1" applyAlignment="1">
      <alignment horizontal="center"/>
    </xf>
    <xf numFmtId="1" fontId="6" fillId="0" borderId="15" xfId="0" applyNumberFormat="1" applyFont="1" applyFill="1" applyBorder="1" applyAlignment="1">
      <alignment/>
    </xf>
    <xf numFmtId="4" fontId="6" fillId="0" borderId="56" xfId="0" applyNumberFormat="1" applyFont="1" applyBorder="1" applyAlignment="1">
      <alignment/>
    </xf>
    <xf numFmtId="0" fontId="75" fillId="0" borderId="16" xfId="0" applyFont="1" applyBorder="1" applyAlignment="1">
      <alignment horizontal="right"/>
    </xf>
    <xf numFmtId="0" fontId="6" fillId="0" borderId="20" xfId="0" applyFont="1" applyBorder="1" applyAlignment="1">
      <alignment horizontal="right" vertical="center"/>
    </xf>
    <xf numFmtId="2" fontId="6" fillId="0" borderId="3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167" fontId="6" fillId="0" borderId="31" xfId="0" applyNumberFormat="1" applyFont="1" applyBorder="1" applyAlignment="1">
      <alignment horizontal="center"/>
    </xf>
    <xf numFmtId="2" fontId="75" fillId="0" borderId="15" xfId="0" applyNumberFormat="1" applyFont="1" applyFill="1" applyBorder="1" applyAlignment="1">
      <alignment horizontal="right"/>
    </xf>
    <xf numFmtId="1" fontId="6" fillId="0" borderId="15" xfId="0" applyNumberFormat="1" applyFont="1" applyBorder="1" applyAlignment="1">
      <alignment horizontal="center"/>
    </xf>
    <xf numFmtId="1" fontId="84" fillId="0" borderId="14" xfId="0" applyNumberFormat="1" applyFont="1" applyBorder="1" applyAlignment="1">
      <alignment horizontal="center"/>
    </xf>
    <xf numFmtId="4" fontId="84" fillId="0" borderId="32" xfId="0" applyNumberFormat="1" applyFont="1" applyBorder="1" applyAlignment="1">
      <alignment/>
    </xf>
    <xf numFmtId="0" fontId="75" fillId="0" borderId="29" xfId="0" applyFont="1" applyBorder="1" applyAlignment="1">
      <alignment horizontal="right" vertical="center"/>
    </xf>
    <xf numFmtId="2" fontId="6" fillId="0" borderId="57" xfId="0" applyNumberFormat="1" applyFont="1" applyBorder="1" applyAlignment="1">
      <alignment horizontal="center"/>
    </xf>
    <xf numFmtId="4" fontId="6" fillId="0" borderId="58" xfId="0" applyNumberFormat="1" applyFont="1" applyBorder="1" applyAlignment="1">
      <alignment horizontal="center"/>
    </xf>
    <xf numFmtId="4" fontId="6" fillId="0" borderId="57" xfId="0" applyNumberFormat="1" applyFont="1" applyBorder="1" applyAlignment="1">
      <alignment horizontal="center"/>
    </xf>
    <xf numFmtId="167" fontId="6" fillId="0" borderId="21" xfId="0" applyNumberFormat="1" applyFont="1" applyBorder="1" applyAlignment="1">
      <alignment horizontal="center"/>
    </xf>
    <xf numFmtId="168" fontId="74" fillId="0" borderId="0" xfId="0" applyNumberFormat="1" applyFont="1" applyAlignment="1">
      <alignment/>
    </xf>
    <xf numFmtId="0" fontId="10" fillId="33" borderId="57" xfId="0" applyFont="1" applyFill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166" fontId="6" fillId="0" borderId="57" xfId="0" applyNumberFormat="1" applyFont="1" applyBorder="1" applyAlignment="1">
      <alignment horizontal="center"/>
    </xf>
    <xf numFmtId="0" fontId="6" fillId="0" borderId="59" xfId="0" applyFont="1" applyBorder="1" applyAlignment="1">
      <alignment/>
    </xf>
    <xf numFmtId="2" fontId="6" fillId="0" borderId="57" xfId="0" applyNumberFormat="1" applyFont="1" applyBorder="1" applyAlignment="1">
      <alignment/>
    </xf>
    <xf numFmtId="167" fontId="6" fillId="0" borderId="57" xfId="0" applyNumberFormat="1" applyFont="1" applyBorder="1" applyAlignment="1">
      <alignment/>
    </xf>
    <xf numFmtId="166" fontId="6" fillId="0" borderId="57" xfId="0" applyNumberFormat="1" applyFont="1" applyBorder="1" applyAlignment="1">
      <alignment/>
    </xf>
    <xf numFmtId="173" fontId="6" fillId="0" borderId="57" xfId="0" applyNumberFormat="1" applyFont="1" applyBorder="1" applyAlignment="1">
      <alignment/>
    </xf>
    <xf numFmtId="4" fontId="75" fillId="0" borderId="57" xfId="0" applyNumberFormat="1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 horizontal="left"/>
    </xf>
    <xf numFmtId="0" fontId="85" fillId="0" borderId="0" xfId="0" applyFont="1" applyAlignment="1">
      <alignment horizontal="right"/>
    </xf>
    <xf numFmtId="0" fontId="86" fillId="0" borderId="0" xfId="0" applyFont="1" applyAlignment="1">
      <alignment horizontal="left"/>
    </xf>
    <xf numFmtId="9" fontId="87" fillId="0" borderId="0" xfId="0" applyNumberFormat="1" applyFont="1" applyAlignment="1">
      <alignment horizontal="left"/>
    </xf>
    <xf numFmtId="0" fontId="2" fillId="34" borderId="0" xfId="0" applyFont="1" applyFill="1" applyAlignment="1">
      <alignment horizontal="right" vertical="center"/>
    </xf>
    <xf numFmtId="0" fontId="14" fillId="34" borderId="0" xfId="0" applyFont="1" applyFill="1" applyAlignment="1">
      <alignment horizontal="left"/>
    </xf>
    <xf numFmtId="3" fontId="75" fillId="0" borderId="27" xfId="0" applyNumberFormat="1" applyFont="1" applyFill="1" applyBorder="1" applyAlignment="1">
      <alignment horizontal="center"/>
    </xf>
    <xf numFmtId="4" fontId="75" fillId="0" borderId="24" xfId="0" applyNumberFormat="1" applyFont="1" applyBorder="1" applyAlignment="1">
      <alignment horizontal="center"/>
    </xf>
    <xf numFmtId="3" fontId="6" fillId="0" borderId="38" xfId="0" applyNumberFormat="1" applyFont="1" applyFill="1" applyBorder="1" applyAlignment="1">
      <alignment horizontal="center"/>
    </xf>
    <xf numFmtId="4" fontId="80" fillId="0" borderId="38" xfId="0" applyNumberFormat="1" applyFont="1" applyBorder="1" applyAlignment="1">
      <alignment horizontal="center"/>
    </xf>
    <xf numFmtId="1" fontId="0" fillId="0" borderId="19" xfId="0" applyNumberFormat="1" applyFont="1" applyFill="1" applyBorder="1" applyAlignment="1">
      <alignment/>
    </xf>
    <xf numFmtId="9" fontId="0" fillId="0" borderId="24" xfId="54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4" fontId="22" fillId="0" borderId="60" xfId="0" applyNumberFormat="1" applyFont="1" applyBorder="1" applyAlignment="1">
      <alignment horizontal="center"/>
    </xf>
    <xf numFmtId="4" fontId="9" fillId="0" borderId="61" xfId="0" applyNumberFormat="1" applyFont="1" applyBorder="1" applyAlignment="1">
      <alignment horizontal="center"/>
    </xf>
    <xf numFmtId="4" fontId="80" fillId="0" borderId="29" xfId="0" applyNumberFormat="1" applyFont="1" applyBorder="1" applyAlignment="1">
      <alignment horizontal="center"/>
    </xf>
    <xf numFmtId="167" fontId="6" fillId="0" borderId="29" xfId="0" applyNumberFormat="1" applyFont="1" applyBorder="1" applyAlignment="1">
      <alignment/>
    </xf>
    <xf numFmtId="4" fontId="75" fillId="0" borderId="16" xfId="0" applyNumberFormat="1" applyFont="1" applyBorder="1" applyAlignment="1">
      <alignment/>
    </xf>
    <xf numFmtId="2" fontId="0" fillId="0" borderId="16" xfId="0" applyNumberFormat="1" applyBorder="1" applyAlignment="1">
      <alignment/>
    </xf>
    <xf numFmtId="1" fontId="7" fillId="0" borderId="17" xfId="0" applyNumberFormat="1" applyFont="1" applyFill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0" fontId="6" fillId="0" borderId="37" xfId="0" applyFont="1" applyBorder="1" applyAlignment="1">
      <alignment/>
    </xf>
    <xf numFmtId="167" fontId="6" fillId="0" borderId="27" xfId="0" applyNumberFormat="1" applyFont="1" applyBorder="1" applyAlignment="1">
      <alignment horizontal="center"/>
    </xf>
    <xf numFmtId="0" fontId="9" fillId="0" borderId="46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8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5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6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 shrinkToFit="1"/>
    </xf>
    <xf numFmtId="0" fontId="0" fillId="0" borderId="14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74" fillId="0" borderId="15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66" xfId="0" applyFont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07"/>
  <sheetViews>
    <sheetView tabSelected="1" zoomScale="90" zoomScaleNormal="90" zoomScalePageLayoutView="0" workbookViewId="0" topLeftCell="B1">
      <selection activeCell="X134" sqref="X134"/>
    </sheetView>
  </sheetViews>
  <sheetFormatPr defaultColWidth="9.00390625" defaultRowHeight="12.75"/>
  <cols>
    <col min="1" max="1" width="3.875" style="0" hidden="1" customWidth="1"/>
    <col min="2" max="2" width="22.625" style="0" customWidth="1"/>
    <col min="3" max="3" width="8.375" style="0" customWidth="1"/>
    <col min="4" max="4" width="10.75390625" style="0" customWidth="1"/>
    <col min="5" max="6" width="8.25390625" style="0" customWidth="1"/>
    <col min="7" max="7" width="8.75390625" style="0" customWidth="1"/>
    <col min="8" max="8" width="10.75390625" style="0" customWidth="1"/>
    <col min="9" max="9" width="8.875" style="0" customWidth="1"/>
    <col min="10" max="10" width="10.375" style="0" customWidth="1"/>
    <col min="11" max="11" width="7.875" style="0" customWidth="1"/>
    <col min="12" max="12" width="10.25390625" style="0" customWidth="1"/>
    <col min="13" max="13" width="7.875" style="0" customWidth="1"/>
    <col min="14" max="14" width="9.125" style="0" customWidth="1"/>
    <col min="15" max="15" width="7.875" style="0" customWidth="1"/>
    <col min="16" max="16" width="10.25390625" style="0" customWidth="1"/>
    <col min="17" max="17" width="10.875" style="0" customWidth="1"/>
    <col min="18" max="18" width="9.375" style="0" customWidth="1"/>
    <col min="19" max="19" width="7.25390625" style="0" customWidth="1"/>
    <col min="20" max="20" width="9.375" style="0" customWidth="1"/>
    <col min="21" max="21" width="9.25390625" style="0" customWidth="1"/>
    <col min="22" max="22" width="11.25390625" style="0" customWidth="1"/>
    <col min="23" max="23" width="9.00390625" style="0" customWidth="1"/>
    <col min="24" max="24" width="9.375" style="0" customWidth="1"/>
    <col min="25" max="25" width="8.75390625" style="0" customWidth="1"/>
    <col min="26" max="26" width="8.25390625" style="0" customWidth="1"/>
    <col min="27" max="27" width="10.375" style="0" customWidth="1"/>
    <col min="28" max="28" width="9.75390625" style="0" customWidth="1"/>
    <col min="29" max="29" width="10.375" style="0" customWidth="1"/>
  </cols>
  <sheetData>
    <row r="1" spans="1:24" ht="15">
      <c r="A1" s="445" t="s">
        <v>38</v>
      </c>
      <c r="B1" s="445"/>
      <c r="C1" s="445"/>
      <c r="D1" s="445"/>
      <c r="E1" s="445"/>
      <c r="F1" s="445"/>
      <c r="G1" s="445"/>
      <c r="H1" s="445"/>
      <c r="I1" s="445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12"/>
      <c r="X1" s="112"/>
    </row>
    <row r="2" spans="1:24" ht="15">
      <c r="A2" s="192"/>
      <c r="B2" s="202"/>
      <c r="C2" s="203"/>
      <c r="D2" s="192"/>
      <c r="E2" s="192"/>
      <c r="F2" s="192"/>
      <c r="G2" s="204"/>
      <c r="H2" s="203"/>
      <c r="I2" s="206" t="s">
        <v>301</v>
      </c>
      <c r="J2" s="192"/>
      <c r="K2" s="192"/>
      <c r="L2" s="331"/>
      <c r="M2" s="332"/>
      <c r="N2" s="333"/>
      <c r="O2" s="331"/>
      <c r="P2" s="331"/>
      <c r="Q2" s="331"/>
      <c r="R2" s="331"/>
      <c r="S2" s="331"/>
      <c r="T2" s="332"/>
      <c r="U2" s="333"/>
      <c r="V2" s="331"/>
      <c r="W2" s="112"/>
      <c r="X2" s="112"/>
    </row>
    <row r="3" spans="1:24" ht="15.75">
      <c r="A3" s="192"/>
      <c r="B3" s="417" t="s">
        <v>302</v>
      </c>
      <c r="C3" s="418" t="s">
        <v>303</v>
      </c>
      <c r="D3" s="331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112"/>
      <c r="X3" s="112"/>
    </row>
    <row r="4" spans="1:29" ht="15" customHeight="1">
      <c r="A4" s="454" t="s">
        <v>35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</row>
    <row r="5" spans="1:29" s="3" customFormat="1" ht="15" customHeight="1">
      <c r="A5" s="444" t="s">
        <v>304</v>
      </c>
      <c r="B5" s="444"/>
      <c r="C5" s="444"/>
      <c r="D5" s="444"/>
      <c r="E5" s="97"/>
      <c r="F5" s="1"/>
      <c r="G5" s="208"/>
      <c r="H5" s="209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Z5" s="2"/>
      <c r="AA5" s="7"/>
      <c r="AB5" s="1"/>
      <c r="AC5" s="2"/>
    </row>
    <row r="6" spans="1:29" s="3" customFormat="1" ht="14.25">
      <c r="A6" s="445" t="s">
        <v>331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</row>
    <row r="7" spans="1:27" s="3" customFormat="1" ht="14.25">
      <c r="A7" s="447" t="s">
        <v>46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</row>
    <row r="8" spans="1:26" s="3" customFormat="1" ht="18">
      <c r="A8" s="446" t="s">
        <v>230</v>
      </c>
      <c r="B8" s="446"/>
      <c r="C8" s="446"/>
      <c r="D8" s="446"/>
      <c r="E8" s="5" t="s">
        <v>274</v>
      </c>
      <c r="F8" s="5"/>
      <c r="G8" s="412" t="s">
        <v>0</v>
      </c>
      <c r="H8" s="413" t="s">
        <v>313</v>
      </c>
      <c r="I8" s="4"/>
      <c r="J8" s="6"/>
      <c r="K8" s="1"/>
      <c r="M8" s="1"/>
      <c r="N8" s="2"/>
      <c r="O8" s="1"/>
      <c r="P8" s="1"/>
      <c r="R8" s="1"/>
      <c r="S8" s="1"/>
      <c r="T8" s="135" t="s">
        <v>39</v>
      </c>
      <c r="U8" s="1"/>
      <c r="V8" s="1"/>
      <c r="W8" s="1"/>
      <c r="X8" s="2"/>
      <c r="Y8" s="1"/>
      <c r="Z8" s="1"/>
    </row>
    <row r="9" spans="1:27" s="3" customFormat="1" ht="15" thickBot="1">
      <c r="A9" s="3" t="s">
        <v>1</v>
      </c>
      <c r="B9" s="4"/>
      <c r="C9" s="8"/>
      <c r="D9" s="2"/>
      <c r="G9" s="9"/>
      <c r="H9" s="4"/>
      <c r="I9" s="8"/>
      <c r="J9" s="2"/>
      <c r="N9" s="4"/>
      <c r="O9" s="8"/>
      <c r="P9" s="8"/>
      <c r="Q9" s="8"/>
      <c r="R9" s="2"/>
      <c r="S9" s="2"/>
      <c r="T9" s="2"/>
      <c r="U9" s="10"/>
      <c r="X9" s="230">
        <v>30</v>
      </c>
      <c r="Y9" s="11"/>
      <c r="Z9" s="11"/>
      <c r="AA9" s="12"/>
    </row>
    <row r="10" spans="1:27" ht="12.75" customHeight="1">
      <c r="A10" s="455" t="s">
        <v>2</v>
      </c>
      <c r="B10" s="13"/>
      <c r="C10" s="458" t="s">
        <v>217</v>
      </c>
      <c r="D10" s="13"/>
      <c r="E10" s="472" t="s">
        <v>3</v>
      </c>
      <c r="F10" s="473"/>
      <c r="G10" s="473"/>
      <c r="H10" s="474"/>
      <c r="I10" s="464" t="s">
        <v>218</v>
      </c>
      <c r="J10" s="465"/>
      <c r="K10" s="464" t="s">
        <v>219</v>
      </c>
      <c r="L10" s="466"/>
      <c r="M10" s="466"/>
      <c r="N10" s="465"/>
      <c r="O10" s="13"/>
      <c r="P10" s="472" t="s">
        <v>36</v>
      </c>
      <c r="Q10" s="473"/>
      <c r="R10" s="473"/>
      <c r="S10" s="473"/>
      <c r="T10" s="474"/>
      <c r="U10" s="14" t="s">
        <v>4</v>
      </c>
      <c r="V10" s="15" t="s">
        <v>5</v>
      </c>
      <c r="W10" s="14" t="s">
        <v>9</v>
      </c>
      <c r="X10" s="14" t="s">
        <v>10</v>
      </c>
      <c r="Y10" s="467" t="s">
        <v>323</v>
      </c>
      <c r="Z10" s="467" t="s">
        <v>220</v>
      </c>
      <c r="AA10" s="461" t="s">
        <v>41</v>
      </c>
    </row>
    <row r="11" spans="1:27" ht="12.75" customHeight="1">
      <c r="A11" s="456"/>
      <c r="B11" s="18"/>
      <c r="C11" s="459"/>
      <c r="D11" s="18"/>
      <c r="E11" s="20"/>
      <c r="F11" s="20"/>
      <c r="G11" s="20"/>
      <c r="H11" s="20"/>
      <c r="I11" s="448" t="s">
        <v>334</v>
      </c>
      <c r="J11" s="449"/>
      <c r="K11" s="448" t="s">
        <v>221</v>
      </c>
      <c r="L11" s="449"/>
      <c r="M11" s="448" t="s">
        <v>222</v>
      </c>
      <c r="N11" s="449"/>
      <c r="O11" s="163"/>
      <c r="P11" s="21"/>
      <c r="Q11" s="21"/>
      <c r="R11" s="114"/>
      <c r="S11" s="115"/>
      <c r="T11" s="470" t="s">
        <v>223</v>
      </c>
      <c r="U11" s="22" t="s">
        <v>7</v>
      </c>
      <c r="V11" s="22" t="s">
        <v>8</v>
      </c>
      <c r="W11" s="21" t="s">
        <v>13</v>
      </c>
      <c r="X11" s="18" t="s">
        <v>14</v>
      </c>
      <c r="Y11" s="468"/>
      <c r="Z11" s="468"/>
      <c r="AA11" s="462"/>
    </row>
    <row r="12" spans="1:27" ht="12.75" customHeight="1">
      <c r="A12" s="456"/>
      <c r="B12" s="73"/>
      <c r="C12" s="459"/>
      <c r="D12" s="18"/>
      <c r="E12" s="18"/>
      <c r="F12" s="18"/>
      <c r="G12" s="18"/>
      <c r="H12" s="18"/>
      <c r="I12" s="450"/>
      <c r="J12" s="451"/>
      <c r="K12" s="450"/>
      <c r="L12" s="451"/>
      <c r="M12" s="450"/>
      <c r="N12" s="451"/>
      <c r="O12" s="22" t="s">
        <v>224</v>
      </c>
      <c r="P12" s="22" t="s">
        <v>42</v>
      </c>
      <c r="Q12" s="22" t="s">
        <v>42</v>
      </c>
      <c r="R12" s="22" t="s">
        <v>16</v>
      </c>
      <c r="T12" s="471"/>
      <c r="U12" s="23" t="s">
        <v>11</v>
      </c>
      <c r="V12" s="18" t="s">
        <v>12</v>
      </c>
      <c r="W12" s="21" t="s">
        <v>22</v>
      </c>
      <c r="X12" s="17" t="s">
        <v>23</v>
      </c>
      <c r="Y12" s="468"/>
      <c r="Z12" s="468"/>
      <c r="AA12" s="462"/>
    </row>
    <row r="13" spans="1:27" ht="12.75" customHeight="1">
      <c r="A13" s="456" t="s">
        <v>2</v>
      </c>
      <c r="B13" s="18" t="s">
        <v>225</v>
      </c>
      <c r="C13" s="459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450"/>
      <c r="J13" s="451"/>
      <c r="K13" s="450"/>
      <c r="L13" s="451"/>
      <c r="M13" s="450"/>
      <c r="N13" s="451"/>
      <c r="O13" s="18" t="s">
        <v>19</v>
      </c>
      <c r="P13" s="22" t="s">
        <v>43</v>
      </c>
      <c r="Q13" s="22" t="s">
        <v>44</v>
      </c>
      <c r="R13" s="55" t="s">
        <v>226</v>
      </c>
      <c r="S13" s="163" t="s">
        <v>26</v>
      </c>
      <c r="T13" s="471"/>
      <c r="U13" s="18" t="s">
        <v>20</v>
      </c>
      <c r="V13" s="18" t="s">
        <v>21</v>
      </c>
      <c r="X13" s="19"/>
      <c r="Y13" s="468"/>
      <c r="Z13" s="468"/>
      <c r="AA13" s="462"/>
    </row>
    <row r="14" spans="1:27" ht="12.75">
      <c r="A14" s="456"/>
      <c r="B14" s="18"/>
      <c r="C14" s="459"/>
      <c r="D14" s="18" t="s">
        <v>24</v>
      </c>
      <c r="E14" s="18" t="s">
        <v>45</v>
      </c>
      <c r="F14" s="18" t="s">
        <v>27</v>
      </c>
      <c r="G14" s="18"/>
      <c r="H14" s="18"/>
      <c r="I14" s="452"/>
      <c r="J14" s="453"/>
      <c r="K14" s="452"/>
      <c r="L14" s="453"/>
      <c r="M14" s="452"/>
      <c r="N14" s="453"/>
      <c r="O14" s="18" t="s">
        <v>228</v>
      </c>
      <c r="P14" s="18"/>
      <c r="Q14" s="18"/>
      <c r="R14" s="22" t="s">
        <v>37</v>
      </c>
      <c r="S14" s="163" t="s">
        <v>65</v>
      </c>
      <c r="T14" s="471"/>
      <c r="U14" s="18" t="s">
        <v>23</v>
      </c>
      <c r="V14" s="24"/>
      <c r="W14" s="21"/>
      <c r="X14" s="17"/>
      <c r="Y14" s="468"/>
      <c r="Z14" s="468"/>
      <c r="AA14" s="462"/>
    </row>
    <row r="15" spans="1:27" ht="12.75">
      <c r="A15" s="456"/>
      <c r="B15" s="18"/>
      <c r="C15" s="459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30" t="s">
        <v>256</v>
      </c>
      <c r="P15" s="18"/>
      <c r="Q15" s="18"/>
      <c r="R15" s="22"/>
      <c r="T15" s="471"/>
      <c r="U15" s="18"/>
      <c r="V15" s="24"/>
      <c r="W15" s="21"/>
      <c r="X15" s="25"/>
      <c r="Y15" s="468"/>
      <c r="Z15" s="468"/>
      <c r="AA15" s="462"/>
    </row>
    <row r="16" spans="1:27" ht="15">
      <c r="A16" s="456"/>
      <c r="B16" s="74"/>
      <c r="C16" s="459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333</v>
      </c>
      <c r="P16" s="163"/>
      <c r="Q16" s="163"/>
      <c r="R16" s="22"/>
      <c r="S16" s="281"/>
      <c r="T16" s="471"/>
      <c r="U16" s="26"/>
      <c r="V16" s="319" t="s">
        <v>233</v>
      </c>
      <c r="W16" s="27"/>
      <c r="X16" s="25"/>
      <c r="Y16" s="468"/>
      <c r="Z16" s="468"/>
      <c r="AA16" s="462"/>
    </row>
    <row r="17" spans="1:27" ht="12.75">
      <c r="A17" s="457"/>
      <c r="B17" s="28"/>
      <c r="C17" s="460"/>
      <c r="D17" s="2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64"/>
      <c r="Q17" s="164"/>
      <c r="R17" s="318" t="s">
        <v>64</v>
      </c>
      <c r="S17" s="116"/>
      <c r="T17" s="116" t="s">
        <v>31</v>
      </c>
      <c r="U17" s="28" t="s">
        <v>31</v>
      </c>
      <c r="V17" s="28" t="s">
        <v>31</v>
      </c>
      <c r="W17" s="28" t="s">
        <v>30</v>
      </c>
      <c r="X17" s="29" t="s">
        <v>32</v>
      </c>
      <c r="Y17" s="469"/>
      <c r="Z17" s="469"/>
      <c r="AA17" s="463"/>
    </row>
    <row r="18" spans="1:27" ht="13.5" thickBot="1">
      <c r="A18" s="30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1">
        <v>13</v>
      </c>
      <c r="N18" s="31">
        <v>14</v>
      </c>
      <c r="O18" s="31">
        <v>15</v>
      </c>
      <c r="P18" s="31">
        <v>16</v>
      </c>
      <c r="Q18" s="31">
        <v>17</v>
      </c>
      <c r="R18" s="31">
        <v>18</v>
      </c>
      <c r="S18" s="31">
        <v>19</v>
      </c>
      <c r="T18" s="31">
        <v>20</v>
      </c>
      <c r="U18" s="31">
        <v>21</v>
      </c>
      <c r="V18" s="31">
        <v>22</v>
      </c>
      <c r="W18" s="31">
        <v>23</v>
      </c>
      <c r="X18" s="31">
        <v>27</v>
      </c>
      <c r="Y18" s="31">
        <v>28</v>
      </c>
      <c r="Z18" s="31">
        <v>29</v>
      </c>
      <c r="AA18" s="101">
        <v>30</v>
      </c>
    </row>
    <row r="19" spans="1:27" ht="12.75" hidden="1">
      <c r="A19" s="442">
        <v>1</v>
      </c>
      <c r="B19" s="73" t="s">
        <v>111</v>
      </c>
      <c r="C19" s="133"/>
      <c r="D19" s="82"/>
      <c r="E19" s="53"/>
      <c r="F19" s="53"/>
      <c r="G19" s="245" t="s">
        <v>117</v>
      </c>
      <c r="H19" s="197"/>
      <c r="I19" s="33">
        <f>0.85*1.23</f>
        <v>1.0454999999999999</v>
      </c>
      <c r="J19" s="94"/>
      <c r="K19" s="95"/>
      <c r="L19" s="198"/>
      <c r="M19" s="95"/>
      <c r="N19" s="34"/>
      <c r="O19" s="83">
        <f>16*1.23</f>
        <v>19.68</v>
      </c>
      <c r="P19" s="129">
        <v>1.50226</v>
      </c>
      <c r="Q19" s="129">
        <v>1.59436</v>
      </c>
      <c r="R19" s="194">
        <f aca="true" t="shared" si="0" ref="R19:R24">(Q19-P19)*30</f>
        <v>2.763000000000002</v>
      </c>
      <c r="S19" s="83">
        <f>R19/E20</f>
        <v>0.19478322171307733</v>
      </c>
      <c r="T19" s="271"/>
      <c r="U19" s="19"/>
      <c r="V19" s="149"/>
      <c r="W19" s="80"/>
      <c r="X19" s="152"/>
      <c r="Y19" s="154"/>
      <c r="Z19" s="152"/>
      <c r="AA19" s="182"/>
    </row>
    <row r="20" spans="1:27" ht="12.75" hidden="1">
      <c r="A20" s="443"/>
      <c r="B20" s="76" t="s">
        <v>118</v>
      </c>
      <c r="C20" s="56" t="s">
        <v>110</v>
      </c>
      <c r="D20" s="57">
        <v>8.75996</v>
      </c>
      <c r="E20" s="52">
        <v>14.185</v>
      </c>
      <c r="F20" s="240">
        <v>14.185</v>
      </c>
      <c r="G20" s="59">
        <f>0.2153*1.23</f>
        <v>0.26481899999999997</v>
      </c>
      <c r="H20" s="275">
        <f>F20*G20*1000</f>
        <v>3756.4575149999996</v>
      </c>
      <c r="I20" s="38">
        <f>15.77*1.23</f>
        <v>19.3971</v>
      </c>
      <c r="J20" s="86">
        <f>X20*(I19+I20)</f>
        <v>1430.982</v>
      </c>
      <c r="K20" s="62">
        <f>0.1107*1.23</f>
        <v>0.136161</v>
      </c>
      <c r="L20" s="221">
        <f>(E19+E20)*K20*1000</f>
        <v>1931.4437850000002</v>
      </c>
      <c r="M20" s="62">
        <f>0.0129*1.23</f>
        <v>0.015867</v>
      </c>
      <c r="N20" s="65">
        <f>(E19+E20)*M20*1000</f>
        <v>225.073395</v>
      </c>
      <c r="O20" s="146">
        <f>(E19+E20)*2.51*1.23</f>
        <v>43.793350499999995</v>
      </c>
      <c r="P20" s="57">
        <v>0.00228</v>
      </c>
      <c r="Q20" s="57">
        <v>0.00253</v>
      </c>
      <c r="R20" s="138">
        <f t="shared" si="0"/>
        <v>0.007500000000000007</v>
      </c>
      <c r="S20" s="85"/>
      <c r="T20" s="170">
        <f>3.93*1.23</f>
        <v>4.8339</v>
      </c>
      <c r="U20" s="153"/>
      <c r="V20" s="86">
        <f>J20+L19+L20+N19+N20+O19+O20+T19+T20+U20</f>
        <v>3655.8064305000003</v>
      </c>
      <c r="W20" s="41">
        <f>(V20+H20)/(E19+E20)/1000</f>
        <v>0.5225424001057455</v>
      </c>
      <c r="X20" s="43">
        <v>70</v>
      </c>
      <c r="Y20" s="72">
        <v>63</v>
      </c>
      <c r="Z20" s="43"/>
      <c r="AA20" s="183">
        <f>V20/1.23</f>
        <v>2972.20035</v>
      </c>
    </row>
    <row r="21" spans="1:27" ht="12.75" hidden="1">
      <c r="A21" s="442">
        <v>2</v>
      </c>
      <c r="B21" s="73" t="s">
        <v>115</v>
      </c>
      <c r="C21" s="133"/>
      <c r="D21" s="82"/>
      <c r="E21" s="53"/>
      <c r="F21" s="53"/>
      <c r="G21" s="245" t="s">
        <v>116</v>
      </c>
      <c r="H21" s="197"/>
      <c r="I21" s="33">
        <f>1.65*1.23</f>
        <v>2.0295</v>
      </c>
      <c r="J21" s="94"/>
      <c r="K21" s="95"/>
      <c r="L21" s="198"/>
      <c r="M21" s="95"/>
      <c r="N21" s="34"/>
      <c r="O21" s="83">
        <f>15*1.23</f>
        <v>18.45</v>
      </c>
      <c r="P21" s="129">
        <v>1.59436</v>
      </c>
      <c r="Q21" s="129">
        <v>1.69826</v>
      </c>
      <c r="R21" s="194">
        <f t="shared" si="0"/>
        <v>3.117000000000003</v>
      </c>
      <c r="S21" s="83">
        <f>R21/E22</f>
        <v>0.18589755058954024</v>
      </c>
      <c r="T21" s="271"/>
      <c r="U21" s="124"/>
      <c r="V21" s="149"/>
      <c r="W21" s="80"/>
      <c r="X21" s="152"/>
      <c r="Y21" s="154"/>
      <c r="Z21" s="152"/>
      <c r="AA21" s="182"/>
    </row>
    <row r="22" spans="1:27" ht="12.75" hidden="1">
      <c r="A22" s="443"/>
      <c r="B22" s="76" t="s">
        <v>113</v>
      </c>
      <c r="C22" s="56" t="s">
        <v>114</v>
      </c>
      <c r="D22" s="57">
        <v>9.31887</v>
      </c>
      <c r="E22" s="52">
        <f>(D22-D20)*X$9</f>
        <v>16.767300000000027</v>
      </c>
      <c r="F22" s="240">
        <v>16.767</v>
      </c>
      <c r="G22" s="59">
        <f>0.2153*1.23</f>
        <v>0.26481899999999997</v>
      </c>
      <c r="H22" s="275">
        <f>F22*G22*1000</f>
        <v>4440.220173</v>
      </c>
      <c r="I22" s="38">
        <f>15.77*1.23</f>
        <v>19.3971</v>
      </c>
      <c r="J22" s="86">
        <f>X22*(I21+I22)</f>
        <v>1499.8619999999999</v>
      </c>
      <c r="K22" s="62">
        <f>0.1192*1.23</f>
        <v>0.146616</v>
      </c>
      <c r="L22" s="221">
        <f>(E21+E22)*K22*1000</f>
        <v>2458.354456800004</v>
      </c>
      <c r="M22" s="62">
        <f>0.0127*1.23</f>
        <v>0.015621</v>
      </c>
      <c r="N22" s="65">
        <f>(E21+E22)*M22*1000</f>
        <v>261.92199330000045</v>
      </c>
      <c r="O22" s="146">
        <f>(E21+E22)*3.7*1.23</f>
        <v>76.30798230000013</v>
      </c>
      <c r="P22" s="57">
        <v>0.00253</v>
      </c>
      <c r="Q22" s="57">
        <v>0.00288</v>
      </c>
      <c r="R22" s="138">
        <f t="shared" si="0"/>
        <v>0.010500000000000002</v>
      </c>
      <c r="S22" s="85"/>
      <c r="T22" s="170">
        <f>5.61*1.23</f>
        <v>6.9003000000000005</v>
      </c>
      <c r="U22" s="302">
        <f>I22*(11+4+7+2+11+8+3)</f>
        <v>892.2665999999999</v>
      </c>
      <c r="V22" s="86">
        <f>J22+L21+L22+N21+N22+O21+O22+T21+T22+U22</f>
        <v>5214.063332400004</v>
      </c>
      <c r="W22" s="41">
        <f>(V22+H22)/(E21+E22)/1000</f>
        <v>0.5757804479791013</v>
      </c>
      <c r="X22" s="43">
        <v>70</v>
      </c>
      <c r="Y22" s="132">
        <v>81</v>
      </c>
      <c r="Z22" s="147">
        <f>Y22-X22</f>
        <v>11</v>
      </c>
      <c r="AA22" s="183">
        <f>V22/1.23</f>
        <v>4239.075880000003</v>
      </c>
    </row>
    <row r="23" spans="1:27" ht="12.75" hidden="1">
      <c r="A23" s="442">
        <v>3</v>
      </c>
      <c r="B23" s="73" t="s">
        <v>119</v>
      </c>
      <c r="C23" s="133"/>
      <c r="D23" s="82"/>
      <c r="E23" s="53"/>
      <c r="F23" s="53"/>
      <c r="G23" s="245" t="s">
        <v>123</v>
      </c>
      <c r="H23" s="197"/>
      <c r="I23" s="33">
        <f>1.65*1.23</f>
        <v>2.0295</v>
      </c>
      <c r="J23" s="94"/>
      <c r="K23" s="95"/>
      <c r="L23" s="198"/>
      <c r="M23" s="95"/>
      <c r="N23" s="34"/>
      <c r="O23" s="83">
        <f>15*1.23</f>
        <v>18.45</v>
      </c>
      <c r="P23" s="129">
        <v>1.69826</v>
      </c>
      <c r="Q23" s="129">
        <v>1.78094</v>
      </c>
      <c r="R23" s="194">
        <f t="shared" si="0"/>
        <v>2.480399999999996</v>
      </c>
      <c r="S23" s="83">
        <f>R23/E24</f>
        <v>0.17589243926307246</v>
      </c>
      <c r="T23" s="271"/>
      <c r="U23" s="124"/>
      <c r="V23" s="149"/>
      <c r="W23" s="80"/>
      <c r="X23" s="152"/>
      <c r="Y23" s="154"/>
      <c r="Z23" s="152"/>
      <c r="AA23" s="182"/>
    </row>
    <row r="24" spans="1:27" ht="12.75" hidden="1">
      <c r="A24" s="443"/>
      <c r="B24" s="76" t="s">
        <v>120</v>
      </c>
      <c r="C24" s="56" t="s">
        <v>121</v>
      </c>
      <c r="D24" s="57">
        <v>9.78893</v>
      </c>
      <c r="E24" s="52">
        <f>(D24-D22)*X$9</f>
        <v>14.101800000000004</v>
      </c>
      <c r="F24" s="240">
        <v>14.102</v>
      </c>
      <c r="G24" s="59">
        <f>0.2153*1.23</f>
        <v>0.26481899999999997</v>
      </c>
      <c r="H24" s="275">
        <f>F24*G24*1000</f>
        <v>3734.4775379999996</v>
      </c>
      <c r="I24" s="38">
        <f>15.77*1.23</f>
        <v>19.3971</v>
      </c>
      <c r="J24" s="86">
        <f>X24*(I23+I24)</f>
        <v>1499.8619999999999</v>
      </c>
      <c r="K24" s="62">
        <f>0.1192*1.23</f>
        <v>0.146616</v>
      </c>
      <c r="L24" s="221">
        <f>(E23+E24)*K24*1000</f>
        <v>2067.5495088000002</v>
      </c>
      <c r="M24" s="62">
        <f>0.0127*1.23</f>
        <v>0.015621</v>
      </c>
      <c r="N24" s="65">
        <f>(E23+E24)*M24*1000</f>
        <v>220.28421780000008</v>
      </c>
      <c r="O24" s="146">
        <f>(E23+E24)*3.7*1.23</f>
        <v>64.17729180000002</v>
      </c>
      <c r="P24" s="57">
        <v>0.00288</v>
      </c>
      <c r="Q24" s="57">
        <v>0.00339</v>
      </c>
      <c r="R24" s="138">
        <f t="shared" si="0"/>
        <v>0.015299999999999987</v>
      </c>
      <c r="S24" s="85"/>
      <c r="T24" s="170">
        <f>7.65*1.23</f>
        <v>9.4095</v>
      </c>
      <c r="U24" s="302"/>
      <c r="V24" s="86">
        <f>J24+L23+L24+N23+N24+O23+O24+T23+T24+U24</f>
        <v>3879.7325184</v>
      </c>
      <c r="W24" s="41">
        <f>(V24+H24)/(E23+E24)/1000</f>
        <v>0.5399459683444664</v>
      </c>
      <c r="X24" s="43">
        <v>70</v>
      </c>
      <c r="Y24" s="132">
        <v>69</v>
      </c>
      <c r="Z24" s="147"/>
      <c r="AA24" s="183">
        <f>V24/1.23</f>
        <v>3154.25408</v>
      </c>
    </row>
    <row r="25" spans="1:27" ht="12.75" hidden="1">
      <c r="A25" s="442">
        <v>4</v>
      </c>
      <c r="B25" s="73" t="s">
        <v>143</v>
      </c>
      <c r="C25" s="133"/>
      <c r="D25" s="82"/>
      <c r="E25" s="53"/>
      <c r="F25" s="53"/>
      <c r="G25" s="245" t="s">
        <v>144</v>
      </c>
      <c r="H25" s="197"/>
      <c r="I25" s="33">
        <f>1.65*1.23</f>
        <v>2.0295</v>
      </c>
      <c r="J25" s="94"/>
      <c r="K25" s="95"/>
      <c r="L25" s="198"/>
      <c r="M25" s="95"/>
      <c r="N25" s="34"/>
      <c r="O25" s="83">
        <f>15*1.23</f>
        <v>18.45</v>
      </c>
      <c r="P25" s="129">
        <v>1.78094</v>
      </c>
      <c r="Q25" s="129">
        <v>1.86837</v>
      </c>
      <c r="R25" s="194">
        <f aca="true" t="shared" si="1" ref="R25:R30">(Q25-P25)*30</f>
        <v>2.6229000000000036</v>
      </c>
      <c r="S25" s="83">
        <f>R25/E26</f>
        <v>0.1934463226834237</v>
      </c>
      <c r="T25" s="271"/>
      <c r="U25" s="90"/>
      <c r="V25" s="149"/>
      <c r="W25" s="80"/>
      <c r="X25" s="152"/>
      <c r="Y25" s="154"/>
      <c r="Z25" s="152"/>
      <c r="AA25" s="182"/>
    </row>
    <row r="26" spans="1:27" ht="12.75" hidden="1">
      <c r="A26" s="443"/>
      <c r="B26" s="76" t="s">
        <v>141</v>
      </c>
      <c r="C26" s="56" t="s">
        <v>142</v>
      </c>
      <c r="D26" s="57">
        <v>10.24089</v>
      </c>
      <c r="E26" s="52">
        <f>(D26-D24)*X$9</f>
        <v>13.55879999999999</v>
      </c>
      <c r="F26" s="240">
        <v>13.559</v>
      </c>
      <c r="G26" s="59">
        <f>0.2153*1.23</f>
        <v>0.26481899999999997</v>
      </c>
      <c r="H26" s="275">
        <f>F26*G26*1000</f>
        <v>3590.6808209999995</v>
      </c>
      <c r="I26" s="38">
        <f>15.77*1.23</f>
        <v>19.3971</v>
      </c>
      <c r="J26" s="86">
        <f>X26*(I25+I26)</f>
        <v>1499.8619999999999</v>
      </c>
      <c r="K26" s="62">
        <f>0.1192*1.23</f>
        <v>0.146616</v>
      </c>
      <c r="L26" s="221">
        <f>(E25+E26)*K26*1000</f>
        <v>1987.9370207999987</v>
      </c>
      <c r="M26" s="62">
        <f>0.0127*1.23</f>
        <v>0.015621</v>
      </c>
      <c r="N26" s="65">
        <f>(E25+E26)*M26*1000</f>
        <v>211.80201479999985</v>
      </c>
      <c r="O26" s="146">
        <f>(E25+E26)*3.7*1.23</f>
        <v>61.70609879999996</v>
      </c>
      <c r="P26" s="57">
        <v>0.00339</v>
      </c>
      <c r="Q26" s="57">
        <v>0.00414</v>
      </c>
      <c r="R26" s="138">
        <f t="shared" si="1"/>
        <v>0.022499999999999992</v>
      </c>
      <c r="S26" s="85"/>
      <c r="T26" s="170">
        <f>11.73*1.23</f>
        <v>14.427900000000001</v>
      </c>
      <c r="U26" s="254"/>
      <c r="V26" s="86">
        <f>J26+L25+L26+N25+N26+O25+O26+T25+T26+U26</f>
        <v>3794.185034399998</v>
      </c>
      <c r="W26" s="41">
        <f>(V26+H26)/(E25+E26)/1000</f>
        <v>0.544654826046553</v>
      </c>
      <c r="X26" s="43">
        <v>70</v>
      </c>
      <c r="Y26" s="72">
        <v>58</v>
      </c>
      <c r="Z26" s="43"/>
      <c r="AA26" s="183">
        <f>V26/1.23</f>
        <v>3084.7032799999984</v>
      </c>
    </row>
    <row r="27" spans="1:27" ht="12.75" hidden="1">
      <c r="A27" s="442">
        <v>5</v>
      </c>
      <c r="B27" s="73" t="s">
        <v>148</v>
      </c>
      <c r="C27" s="133"/>
      <c r="D27" s="82"/>
      <c r="E27" s="53"/>
      <c r="F27" s="53"/>
      <c r="G27" s="245" t="s">
        <v>149</v>
      </c>
      <c r="H27" s="197"/>
      <c r="I27" s="33">
        <f>1.65*1.23</f>
        <v>2.0295</v>
      </c>
      <c r="J27" s="94"/>
      <c r="K27" s="95"/>
      <c r="L27" s="198"/>
      <c r="M27" s="95"/>
      <c r="N27" s="34"/>
      <c r="O27" s="83">
        <f>15*1.23</f>
        <v>18.45</v>
      </c>
      <c r="P27" s="129">
        <v>1.86837</v>
      </c>
      <c r="Q27" s="129">
        <v>1.94487</v>
      </c>
      <c r="R27" s="194">
        <f t="shared" si="1"/>
        <v>2.2950000000000004</v>
      </c>
      <c r="S27" s="83">
        <f>R27/E28</f>
        <v>0.2061716749764181</v>
      </c>
      <c r="T27" s="271"/>
      <c r="U27" s="90"/>
      <c r="V27" s="149"/>
      <c r="W27" s="80"/>
      <c r="X27" s="152"/>
      <c r="Y27" s="154"/>
      <c r="Z27" s="152"/>
      <c r="AA27" s="182"/>
    </row>
    <row r="28" spans="1:27" ht="12.75" hidden="1">
      <c r="A28" s="443"/>
      <c r="B28" s="76" t="s">
        <v>146</v>
      </c>
      <c r="C28" s="56" t="s">
        <v>145</v>
      </c>
      <c r="D28" s="57">
        <v>10.61194</v>
      </c>
      <c r="E28" s="52">
        <f>(D28-D26)*X$9</f>
        <v>11.13150000000001</v>
      </c>
      <c r="F28" s="240">
        <v>11.132</v>
      </c>
      <c r="G28" s="59">
        <f>0.2153*1.23</f>
        <v>0.26481899999999997</v>
      </c>
      <c r="H28" s="275">
        <f>F28*G28*1000</f>
        <v>2947.9651079999994</v>
      </c>
      <c r="I28" s="38">
        <f>15.77*1.23</f>
        <v>19.3971</v>
      </c>
      <c r="J28" s="86">
        <f>X28*(I27+I28)</f>
        <v>1499.8619999999999</v>
      </c>
      <c r="K28" s="62">
        <f>0.1192*1.23</f>
        <v>0.146616</v>
      </c>
      <c r="L28" s="221">
        <f>(E27+E28)*K28*1000</f>
        <v>1632.0560040000014</v>
      </c>
      <c r="M28" s="62">
        <f>0.0127*1.23</f>
        <v>0.015621</v>
      </c>
      <c r="N28" s="65">
        <f>(E27+E28)*M28*1000</f>
        <v>173.88516150000012</v>
      </c>
      <c r="O28" s="146">
        <f>(E27+E28)*3.7*1.23</f>
        <v>50.65945650000005</v>
      </c>
      <c r="P28" s="57">
        <v>0.00414</v>
      </c>
      <c r="Q28" s="57">
        <v>0.00535</v>
      </c>
      <c r="R28" s="138">
        <f t="shared" si="1"/>
        <v>0.036300000000000006</v>
      </c>
      <c r="S28" s="85"/>
      <c r="T28" s="170">
        <f>18.36*1.23</f>
        <v>22.5828</v>
      </c>
      <c r="U28" s="254"/>
      <c r="V28" s="86">
        <f>J28+L27+L28+N27+N28+O27+O28+T27+T28+U28</f>
        <v>3397.4954220000013</v>
      </c>
      <c r="W28" s="41">
        <f>(V28+H28)/(E27+E28)/1000</f>
        <v>0.5700454143646405</v>
      </c>
      <c r="X28" s="43">
        <v>70</v>
      </c>
      <c r="Y28" s="72">
        <v>59</v>
      </c>
      <c r="Z28" s="43"/>
      <c r="AA28" s="183">
        <f>V28/1.23</f>
        <v>2762.191400000001</v>
      </c>
    </row>
    <row r="29" spans="1:27" ht="12.75" hidden="1">
      <c r="A29" s="442">
        <v>6</v>
      </c>
      <c r="B29" s="73" t="s">
        <v>153</v>
      </c>
      <c r="C29" s="133"/>
      <c r="D29" s="82"/>
      <c r="E29" s="53"/>
      <c r="F29" s="53"/>
      <c r="G29" s="245" t="s">
        <v>155</v>
      </c>
      <c r="H29" s="197"/>
      <c r="I29" s="33">
        <f>1.65*1.23</f>
        <v>2.0295</v>
      </c>
      <c r="J29" s="94"/>
      <c r="K29" s="95"/>
      <c r="L29" s="198"/>
      <c r="M29" s="95"/>
      <c r="N29" s="34"/>
      <c r="O29" s="83">
        <f>15*1.23</f>
        <v>18.45</v>
      </c>
      <c r="P29" s="129">
        <v>1.94487</v>
      </c>
      <c r="Q29" s="129">
        <v>2.02403</v>
      </c>
      <c r="R29" s="194">
        <f t="shared" si="1"/>
        <v>2.3748000000000036</v>
      </c>
      <c r="S29" s="83">
        <f>R29/E30</f>
        <v>0.22355266873764573</v>
      </c>
      <c r="T29" s="271"/>
      <c r="U29" s="124"/>
      <c r="V29" s="149"/>
      <c r="W29" s="80"/>
      <c r="X29" s="152"/>
      <c r="Y29" s="154"/>
      <c r="Z29" s="152"/>
      <c r="AA29" s="182"/>
    </row>
    <row r="30" spans="1:27" ht="12.75" hidden="1">
      <c r="A30" s="443"/>
      <c r="B30" s="76" t="s">
        <v>151</v>
      </c>
      <c r="C30" s="56" t="s">
        <v>152</v>
      </c>
      <c r="D30" s="57">
        <v>10.96604</v>
      </c>
      <c r="E30" s="52">
        <f>(D30-D28)*X$9</f>
        <v>10.62299999999997</v>
      </c>
      <c r="F30" s="240">
        <v>10.623</v>
      </c>
      <c r="G30" s="59">
        <f>0.2153*1.23</f>
        <v>0.26481899999999997</v>
      </c>
      <c r="H30" s="275">
        <f>F30*G30*1000</f>
        <v>2813.1722369999993</v>
      </c>
      <c r="I30" s="38">
        <f>15.77*1.23</f>
        <v>19.3971</v>
      </c>
      <c r="J30" s="86">
        <f>X30*(I29+I30)</f>
        <v>1499.8619999999999</v>
      </c>
      <c r="K30" s="62">
        <f>0.1192*1.23</f>
        <v>0.146616</v>
      </c>
      <c r="L30" s="221">
        <f>(E29+E30)*K30*1000</f>
        <v>1557.5017679999953</v>
      </c>
      <c r="M30" s="62">
        <f>0.0127*1.23</f>
        <v>0.015621</v>
      </c>
      <c r="N30" s="65">
        <f>(E29+E30)*M30*1000</f>
        <v>165.9418829999995</v>
      </c>
      <c r="O30" s="146">
        <f>(E29+E30)*3.7*1.23</f>
        <v>48.345272999999864</v>
      </c>
      <c r="P30" s="57">
        <v>0.00535</v>
      </c>
      <c r="Q30" s="57">
        <v>0.00785</v>
      </c>
      <c r="R30" s="138">
        <f t="shared" si="1"/>
        <v>0.07499999999999998</v>
      </c>
      <c r="S30" s="85"/>
      <c r="T30" s="170">
        <f>38.25*1.23</f>
        <v>47.0475</v>
      </c>
      <c r="U30" s="301"/>
      <c r="V30" s="86">
        <f>J30+L29+L30+N29+N30+O29+O30+T29+T30+U30</f>
        <v>3337.1484239999945</v>
      </c>
      <c r="W30" s="41">
        <f>(V30+H30)/(E29+E30)/1000</f>
        <v>0.5789626904829156</v>
      </c>
      <c r="X30" s="43">
        <v>70</v>
      </c>
      <c r="Y30" s="72">
        <v>56</v>
      </c>
      <c r="Z30" s="43"/>
      <c r="AA30" s="183">
        <f>V30/1.23</f>
        <v>2713.1287999999954</v>
      </c>
    </row>
    <row r="31" spans="1:27" ht="12.75" hidden="1">
      <c r="A31" s="442">
        <v>7</v>
      </c>
      <c r="B31" s="73" t="s">
        <v>159</v>
      </c>
      <c r="C31" s="133"/>
      <c r="D31" s="82"/>
      <c r="E31" s="53"/>
      <c r="F31" s="53"/>
      <c r="G31" s="245" t="s">
        <v>160</v>
      </c>
      <c r="H31" s="197"/>
      <c r="I31" s="33">
        <f>1.65*1.23</f>
        <v>2.0295</v>
      </c>
      <c r="J31" s="94"/>
      <c r="K31" s="95"/>
      <c r="L31" s="198"/>
      <c r="M31" s="95"/>
      <c r="N31" s="34"/>
      <c r="O31" s="83">
        <f>15*1.23</f>
        <v>18.45</v>
      </c>
      <c r="P31" s="129">
        <v>2.02403</v>
      </c>
      <c r="Q31" s="129">
        <v>2.08473</v>
      </c>
      <c r="R31" s="194">
        <f>(Q31-P31)*30</f>
        <v>1.8209999999999926</v>
      </c>
      <c r="S31" s="83">
        <f>R31/E32</f>
        <v>0.2030847468968508</v>
      </c>
      <c r="T31" s="271"/>
      <c r="U31" s="124"/>
      <c r="V31" s="149"/>
      <c r="W31" s="80"/>
      <c r="X31" s="152"/>
      <c r="Y31" s="154"/>
      <c r="Z31" s="152"/>
      <c r="AA31" s="182"/>
    </row>
    <row r="32" spans="1:27" ht="12.75" hidden="1">
      <c r="A32" s="443"/>
      <c r="B32" s="76" t="s">
        <v>158</v>
      </c>
      <c r="C32" s="56" t="s">
        <v>156</v>
      </c>
      <c r="D32" s="57">
        <v>11.26493</v>
      </c>
      <c r="E32" s="52">
        <f>(D32-D30)*X$9</f>
        <v>8.966700000000003</v>
      </c>
      <c r="F32" s="240">
        <v>8.967</v>
      </c>
      <c r="G32" s="59">
        <f>0.2153*1.23</f>
        <v>0.26481899999999997</v>
      </c>
      <c r="H32" s="275">
        <f>F32*G32*1000</f>
        <v>2374.631973</v>
      </c>
      <c r="I32" s="38">
        <f>15.77*1.23</f>
        <v>19.3971</v>
      </c>
      <c r="J32" s="86">
        <f>X32*(I31+I32)</f>
        <v>1499.8619999999999</v>
      </c>
      <c r="K32" s="62">
        <f>0.1192*1.23</f>
        <v>0.146616</v>
      </c>
      <c r="L32" s="221">
        <f>(E31+E32)*K32*1000</f>
        <v>1314.6616872000004</v>
      </c>
      <c r="M32" s="62">
        <f>0.0127*1.23</f>
        <v>0.015621</v>
      </c>
      <c r="N32" s="65">
        <f>(E31+E32)*M32*1000</f>
        <v>140.06882070000003</v>
      </c>
      <c r="O32" s="146">
        <f>(E31+E32)*3.7*1.23</f>
        <v>40.807451700000016</v>
      </c>
      <c r="P32" s="57">
        <v>0.00785</v>
      </c>
      <c r="Q32" s="57">
        <v>0.01276</v>
      </c>
      <c r="R32" s="138">
        <f>(Q32-P32)*30</f>
        <v>0.14730000000000004</v>
      </c>
      <c r="S32" s="85"/>
      <c r="T32" s="170">
        <f>74.97*1.23</f>
        <v>92.2131</v>
      </c>
      <c r="U32" s="301"/>
      <c r="V32" s="86">
        <f>J32+L31+L32+N31+N32+O31+O32+T31+T32+U32</f>
        <v>3106.0630596</v>
      </c>
      <c r="W32" s="41">
        <f>(V32+H32)/(E31+E32)/1000</f>
        <v>0.6112276570644717</v>
      </c>
      <c r="X32" s="43">
        <v>70</v>
      </c>
      <c r="Y32" s="72">
        <v>47</v>
      </c>
      <c r="Z32" s="43"/>
      <c r="AA32" s="183">
        <f>V32/1.23</f>
        <v>2525.25452</v>
      </c>
    </row>
    <row r="33" spans="1:27" ht="12.75" hidden="1">
      <c r="A33" s="442">
        <v>8</v>
      </c>
      <c r="B33" s="73" t="s">
        <v>166</v>
      </c>
      <c r="C33" s="133"/>
      <c r="D33" s="82"/>
      <c r="E33" s="53"/>
      <c r="F33" s="53"/>
      <c r="G33" s="245" t="s">
        <v>167</v>
      </c>
      <c r="H33" s="197"/>
      <c r="I33" s="33">
        <f>1.65*1.23</f>
        <v>2.0295</v>
      </c>
      <c r="J33" s="94"/>
      <c r="K33" s="95"/>
      <c r="L33" s="198"/>
      <c r="M33" s="95"/>
      <c r="N33" s="34"/>
      <c r="O33" s="83">
        <f>15*1.23</f>
        <v>18.45</v>
      </c>
      <c r="P33" s="129">
        <v>2.08473</v>
      </c>
      <c r="Q33" s="129">
        <v>2.15039</v>
      </c>
      <c r="R33" s="194">
        <f>(Q33-P33)*30</f>
        <v>1.9697999999999949</v>
      </c>
      <c r="S33" s="83">
        <f>R33/E34</f>
        <v>0.2074106832612052</v>
      </c>
      <c r="T33" s="271"/>
      <c r="U33" s="124"/>
      <c r="V33" s="149"/>
      <c r="W33" s="80"/>
      <c r="X33" s="152"/>
      <c r="Y33" s="154"/>
      <c r="Z33" s="152"/>
      <c r="AA33" s="182"/>
    </row>
    <row r="34" spans="1:27" ht="12.75" hidden="1">
      <c r="A34" s="443"/>
      <c r="B34" s="76" t="s">
        <v>162</v>
      </c>
      <c r="C34" s="56" t="s">
        <v>161</v>
      </c>
      <c r="D34" s="57">
        <v>11.5815</v>
      </c>
      <c r="E34" s="52">
        <f>(D34-D32)*X$9</f>
        <v>9.497100000000014</v>
      </c>
      <c r="F34" s="240">
        <v>9.497</v>
      </c>
      <c r="G34" s="59">
        <f>0.2153*1.23</f>
        <v>0.26481899999999997</v>
      </c>
      <c r="H34" s="275">
        <f>F34*G34*1000</f>
        <v>2514.9860429999994</v>
      </c>
      <c r="I34" s="38">
        <f>15.77*1.23</f>
        <v>19.3971</v>
      </c>
      <c r="J34" s="86">
        <f>X34*(I33+I34)</f>
        <v>1499.8619999999999</v>
      </c>
      <c r="K34" s="62">
        <f>0.1192*1.23</f>
        <v>0.146616</v>
      </c>
      <c r="L34" s="221">
        <f>(E33+E34)*K34*1000</f>
        <v>1392.4268136000019</v>
      </c>
      <c r="M34" s="62">
        <f>0.0127*1.23</f>
        <v>0.015621</v>
      </c>
      <c r="N34" s="65">
        <f>(E33+E34)*M34*1000</f>
        <v>148.35419910000022</v>
      </c>
      <c r="O34" s="146">
        <f>(E33+E34)*3.7*1.23</f>
        <v>43.22130210000007</v>
      </c>
      <c r="P34" s="57">
        <v>0.01276</v>
      </c>
      <c r="Q34" s="57">
        <v>0.01749</v>
      </c>
      <c r="R34" s="138">
        <f>(Q34-P34)*30</f>
        <v>0.14189999999999994</v>
      </c>
      <c r="S34" s="85"/>
      <c r="T34" s="170">
        <f>72.42*1.23</f>
        <v>89.0766</v>
      </c>
      <c r="U34" s="301"/>
      <c r="V34" s="86">
        <f>J34+L33+L34+N33+N34+O33+O34+T33+T34+U34</f>
        <v>3191.390914800002</v>
      </c>
      <c r="W34" s="41">
        <f>(V34+H34)/(E33+E34)/1000</f>
        <v>0.6008546775120818</v>
      </c>
      <c r="X34" s="43">
        <v>70</v>
      </c>
      <c r="Y34" s="72">
        <v>51</v>
      </c>
      <c r="Z34" s="43"/>
      <c r="AA34" s="183">
        <f>V34/1.23</f>
        <v>2594.626760000002</v>
      </c>
    </row>
    <row r="35" spans="1:27" ht="12.75" hidden="1">
      <c r="A35" s="442">
        <v>9</v>
      </c>
      <c r="B35" s="73" t="s">
        <v>177</v>
      </c>
      <c r="C35" s="133"/>
      <c r="D35" s="82"/>
      <c r="E35" s="53"/>
      <c r="F35" s="53"/>
      <c r="G35" s="245" t="s">
        <v>178</v>
      </c>
      <c r="H35" s="197"/>
      <c r="I35" s="33">
        <f>1.65*1.23</f>
        <v>2.0295</v>
      </c>
      <c r="J35" s="94"/>
      <c r="K35" s="95"/>
      <c r="L35" s="198"/>
      <c r="M35" s="95"/>
      <c r="N35" s="34"/>
      <c r="O35" s="83">
        <f>15*1.23</f>
        <v>18.45</v>
      </c>
      <c r="P35" s="129"/>
      <c r="Q35" s="129"/>
      <c r="R35" s="194"/>
      <c r="S35" s="83"/>
      <c r="T35" s="271"/>
      <c r="U35" s="124"/>
      <c r="V35" s="149"/>
      <c r="W35" s="80"/>
      <c r="X35" s="152"/>
      <c r="Y35" s="154"/>
      <c r="Z35" s="152"/>
      <c r="AA35" s="182"/>
    </row>
    <row r="36" spans="1:27" ht="12.75" hidden="1">
      <c r="A36" s="443"/>
      <c r="B36" s="76" t="s">
        <v>168</v>
      </c>
      <c r="C36" s="56" t="s">
        <v>166</v>
      </c>
      <c r="D36" s="57">
        <v>11.87175</v>
      </c>
      <c r="E36" s="52">
        <f>(D36-D34)*X$9</f>
        <v>8.70750000000001</v>
      </c>
      <c r="F36" s="240">
        <v>8.708</v>
      </c>
      <c r="G36" s="59">
        <f>0.2153*1.23</f>
        <v>0.26481899999999997</v>
      </c>
      <c r="H36" s="275">
        <f>F36*G36*1000</f>
        <v>2306.043852</v>
      </c>
      <c r="I36" s="38">
        <f>15.77*1.23</f>
        <v>19.3971</v>
      </c>
      <c r="J36" s="86">
        <f>X36*(I35+I36)</f>
        <v>1499.8619999999999</v>
      </c>
      <c r="K36" s="62">
        <f>0.1192*1.23</f>
        <v>0.146616</v>
      </c>
      <c r="L36" s="221">
        <f>(E35+E36)*K36*1000</f>
        <v>1276.6588200000015</v>
      </c>
      <c r="M36" s="62">
        <f>0.0127*1.23</f>
        <v>0.015621</v>
      </c>
      <c r="N36" s="65">
        <f>(E35+E36)*M36*1000</f>
        <v>136.01985750000014</v>
      </c>
      <c r="O36" s="146">
        <f>(E35+E36)*3.7*1.23</f>
        <v>39.627832500000046</v>
      </c>
      <c r="P36" s="57">
        <v>0.01749</v>
      </c>
      <c r="Q36" s="57">
        <v>0.02521</v>
      </c>
      <c r="R36" s="138">
        <f>(Q36-P36)*30</f>
        <v>0.23160000000000003</v>
      </c>
      <c r="S36" s="85"/>
      <c r="T36" s="170">
        <f>118.31*1.23</f>
        <v>145.5213</v>
      </c>
      <c r="U36" s="301"/>
      <c r="V36" s="86">
        <f>J36+L35+L36+N35+N36+O35+O36+T35+T36+U36</f>
        <v>3116.139810000001</v>
      </c>
      <c r="W36" s="41">
        <f>(V36+H36)/(E35+E36)/1000</f>
        <v>0.622702688716623</v>
      </c>
      <c r="X36" s="43">
        <v>70</v>
      </c>
      <c r="Y36" s="72">
        <v>57</v>
      </c>
      <c r="Z36" s="43"/>
      <c r="AA36" s="183">
        <f>V36/1.23</f>
        <v>2533.447000000001</v>
      </c>
    </row>
    <row r="37" spans="1:27" ht="12.75" hidden="1">
      <c r="A37" s="442">
        <v>10</v>
      </c>
      <c r="B37" s="73" t="s">
        <v>181</v>
      </c>
      <c r="C37" s="133"/>
      <c r="D37" s="82"/>
      <c r="E37" s="53"/>
      <c r="F37" s="53"/>
      <c r="G37" s="245" t="s">
        <v>182</v>
      </c>
      <c r="H37" s="197"/>
      <c r="I37" s="33">
        <f>1.65*1.23</f>
        <v>2.0295</v>
      </c>
      <c r="J37" s="94"/>
      <c r="K37" s="95"/>
      <c r="L37" s="198"/>
      <c r="M37" s="95"/>
      <c r="N37" s="34"/>
      <c r="O37" s="83">
        <f>15*1.23</f>
        <v>18.45</v>
      </c>
      <c r="P37" s="129"/>
      <c r="Q37" s="129"/>
      <c r="R37" s="194"/>
      <c r="S37" s="83"/>
      <c r="T37" s="271"/>
      <c r="U37" s="124"/>
      <c r="V37" s="149"/>
      <c r="W37" s="80"/>
      <c r="X37" s="152"/>
      <c r="Y37" s="154"/>
      <c r="Z37" s="152"/>
      <c r="AA37" s="182"/>
    </row>
    <row r="38" spans="1:27" ht="12.75" hidden="1">
      <c r="A38" s="443"/>
      <c r="B38" s="76" t="s">
        <v>169</v>
      </c>
      <c r="C38" s="56" t="s">
        <v>170</v>
      </c>
      <c r="D38" s="57">
        <v>12.24827</v>
      </c>
      <c r="E38" s="52">
        <f>(D38-D36)*X$9</f>
        <v>11.295599999999979</v>
      </c>
      <c r="F38" s="240">
        <v>11.296</v>
      </c>
      <c r="G38" s="59">
        <f>0.2153*1.23</f>
        <v>0.26481899999999997</v>
      </c>
      <c r="H38" s="275">
        <f>F38*G38*1000</f>
        <v>2991.3954239999994</v>
      </c>
      <c r="I38" s="38">
        <f>15.77*1.23</f>
        <v>19.3971</v>
      </c>
      <c r="J38" s="86">
        <f>X38*(I37+I38)</f>
        <v>1499.8619999999999</v>
      </c>
      <c r="K38" s="62">
        <f>0.1192*1.23</f>
        <v>0.146616</v>
      </c>
      <c r="L38" s="221">
        <f>(E37+E38)*K38*1000</f>
        <v>1656.1156895999968</v>
      </c>
      <c r="M38" s="62">
        <f>0.0127*1.23</f>
        <v>0.015621</v>
      </c>
      <c r="N38" s="65">
        <f>(E37+E38)*M38*1000</f>
        <v>176.44856759999965</v>
      </c>
      <c r="O38" s="146">
        <f>(E37+E38)*3.7*1.23</f>
        <v>51.4062755999999</v>
      </c>
      <c r="P38" s="57">
        <v>0.02521</v>
      </c>
      <c r="Q38" s="57">
        <v>0.03492</v>
      </c>
      <c r="R38" s="138">
        <f>(Q38-P38)*30</f>
        <v>0.2913</v>
      </c>
      <c r="S38" s="85"/>
      <c r="T38" s="170">
        <f>148.4*1.23</f>
        <v>182.532</v>
      </c>
      <c r="U38" s="301"/>
      <c r="V38" s="86">
        <f>J38+L37+L38+N37+N38+O37+O38+T37+T38+U38</f>
        <v>3584.814532799996</v>
      </c>
      <c r="W38" s="41">
        <f>(V38+H38)/(E37+E38)/1000</f>
        <v>0.582192177201743</v>
      </c>
      <c r="X38" s="43">
        <v>70</v>
      </c>
      <c r="Y38" s="72">
        <v>65</v>
      </c>
      <c r="Z38" s="43"/>
      <c r="AA38" s="183">
        <f>V38/1.23</f>
        <v>2914.4833599999965</v>
      </c>
    </row>
    <row r="39" spans="1:27" ht="12.75" hidden="1">
      <c r="A39" s="442">
        <v>11</v>
      </c>
      <c r="B39" s="73" t="s">
        <v>184</v>
      </c>
      <c r="C39" s="133"/>
      <c r="D39" s="82"/>
      <c r="E39" s="53"/>
      <c r="F39" s="53"/>
      <c r="G39" s="245" t="s">
        <v>186</v>
      </c>
      <c r="H39" s="197"/>
      <c r="I39" s="33">
        <f>1.65*1.23</f>
        <v>2.0295</v>
      </c>
      <c r="J39" s="94"/>
      <c r="K39" s="95"/>
      <c r="L39" s="198"/>
      <c r="M39" s="95"/>
      <c r="N39" s="34"/>
      <c r="O39" s="83">
        <f>15*1.23</f>
        <v>18.45</v>
      </c>
      <c r="P39" s="129"/>
      <c r="Q39" s="129"/>
      <c r="R39" s="194"/>
      <c r="S39" s="83"/>
      <c r="T39" s="271"/>
      <c r="U39" s="124"/>
      <c r="V39" s="149"/>
      <c r="W39" s="80"/>
      <c r="X39" s="152"/>
      <c r="Y39" s="154"/>
      <c r="Z39" s="152"/>
      <c r="AA39" s="182"/>
    </row>
    <row r="40" spans="1:27" ht="12.75" hidden="1">
      <c r="A40" s="443"/>
      <c r="B40" s="76" t="s">
        <v>171</v>
      </c>
      <c r="C40" s="56" t="s">
        <v>172</v>
      </c>
      <c r="D40" s="57">
        <v>12.68071</v>
      </c>
      <c r="E40" s="52">
        <f>(D40-D38)*X$9</f>
        <v>12.973199999999991</v>
      </c>
      <c r="F40" s="240">
        <v>12.973</v>
      </c>
      <c r="G40" s="59">
        <f>0.2153*1.23</f>
        <v>0.26481899999999997</v>
      </c>
      <c r="H40" s="275">
        <f>F40*G40*1000</f>
        <v>3435.496887</v>
      </c>
      <c r="I40" s="38">
        <f>15.77*1.23</f>
        <v>19.3971</v>
      </c>
      <c r="J40" s="86">
        <f>X40*(I39+I40)</f>
        <v>1499.8619999999999</v>
      </c>
      <c r="K40" s="62">
        <f>0.1192*1.23</f>
        <v>0.146616</v>
      </c>
      <c r="L40" s="221">
        <f>(E39+E40)*K40*1000</f>
        <v>1902.0786911999987</v>
      </c>
      <c r="M40" s="62">
        <f>0.0127*1.23</f>
        <v>0.015621</v>
      </c>
      <c r="N40" s="65">
        <f>(E39+E40)*M40*1000</f>
        <v>202.65435719999985</v>
      </c>
      <c r="O40" s="146">
        <f>(E39+E40)*3.7*1.23</f>
        <v>59.04103319999996</v>
      </c>
      <c r="P40" s="57">
        <v>0.03492</v>
      </c>
      <c r="Q40" s="57">
        <v>0.04697</v>
      </c>
      <c r="R40" s="138">
        <f>(Q40-P40)*30</f>
        <v>0.36149999999999993</v>
      </c>
      <c r="S40" s="85"/>
      <c r="T40" s="170">
        <f>184.61*1.23</f>
        <v>227.0703</v>
      </c>
      <c r="U40" s="301"/>
      <c r="V40" s="86">
        <f>J40+L39+L40+N39+N40+O39+O40+T39+T40+U40</f>
        <v>3909.1563815999984</v>
      </c>
      <c r="W40" s="41">
        <f>(V40+H40)/(E39+E40)/1000</f>
        <v>0.5661404486633986</v>
      </c>
      <c r="X40" s="43">
        <v>70</v>
      </c>
      <c r="Y40" s="72">
        <v>65</v>
      </c>
      <c r="Z40" s="43"/>
      <c r="AA40" s="183">
        <f>V40/1.23</f>
        <v>3178.1759199999988</v>
      </c>
    </row>
    <row r="41" spans="1:27" ht="12.75" hidden="1">
      <c r="A41" s="442">
        <v>12</v>
      </c>
      <c r="B41" s="73" t="s">
        <v>188</v>
      </c>
      <c r="C41" s="133"/>
      <c r="D41" s="82"/>
      <c r="E41" s="53"/>
      <c r="F41" s="53"/>
      <c r="G41" s="245" t="s">
        <v>189</v>
      </c>
      <c r="H41" s="197"/>
      <c r="I41" s="33">
        <f>1.65*1.23</f>
        <v>2.0295</v>
      </c>
      <c r="J41" s="94"/>
      <c r="K41" s="95"/>
      <c r="L41" s="198"/>
      <c r="M41" s="95"/>
      <c r="N41" s="34"/>
      <c r="O41" s="83">
        <f>15*1.23</f>
        <v>18.45</v>
      </c>
      <c r="P41" s="129"/>
      <c r="Q41" s="129"/>
      <c r="R41" s="194"/>
      <c r="S41" s="83"/>
      <c r="T41" s="271"/>
      <c r="U41" s="124"/>
      <c r="V41" s="149"/>
      <c r="W41" s="80"/>
      <c r="X41" s="152"/>
      <c r="Y41" s="154"/>
      <c r="Z41" s="152"/>
      <c r="AA41" s="182"/>
    </row>
    <row r="42" spans="1:27" ht="13.5" hidden="1" thickBot="1">
      <c r="A42" s="443"/>
      <c r="B42" s="76" t="s">
        <v>173</v>
      </c>
      <c r="C42" s="56" t="s">
        <v>174</v>
      </c>
      <c r="D42" s="57">
        <v>13.11119</v>
      </c>
      <c r="E42" s="52">
        <f>(D42-D40)*X$9</f>
        <v>12.914400000000033</v>
      </c>
      <c r="F42" s="240">
        <v>12.914</v>
      </c>
      <c r="G42" s="59">
        <f>0.2228*1.23</f>
        <v>0.274044</v>
      </c>
      <c r="H42" s="275">
        <f>F42*G42*1000</f>
        <v>3539.004216</v>
      </c>
      <c r="I42" s="38">
        <f>15.77*1.23</f>
        <v>19.3971</v>
      </c>
      <c r="J42" s="86">
        <f>X42*(I41+I42)</f>
        <v>1499.8619999999999</v>
      </c>
      <c r="K42" s="62">
        <f>0.1192*1.23</f>
        <v>0.146616</v>
      </c>
      <c r="L42" s="221">
        <f>(E41+E42)*K42*1000</f>
        <v>1893.4576704000049</v>
      </c>
      <c r="M42" s="62">
        <f>0.0127*1.23</f>
        <v>0.015621</v>
      </c>
      <c r="N42" s="65">
        <f>(E41+E42)*M42*1000</f>
        <v>201.7358424000005</v>
      </c>
      <c r="O42" s="146">
        <f>(E41+E42)*3.7*1.23</f>
        <v>58.773434400000156</v>
      </c>
      <c r="P42" s="57">
        <v>0.04697</v>
      </c>
      <c r="Q42" s="57">
        <v>0.05772</v>
      </c>
      <c r="R42" s="138">
        <f>(Q42-P42)*30</f>
        <v>0.32250000000000006</v>
      </c>
      <c r="S42" s="85"/>
      <c r="T42" s="170">
        <f>164.72*1.23</f>
        <v>202.6056</v>
      </c>
      <c r="U42" s="301"/>
      <c r="V42" s="86">
        <f>J42+L41+L42+N41+N42+O41+O42+T41+T42+U42</f>
        <v>3874.884547200005</v>
      </c>
      <c r="W42" s="41">
        <f>(V42+H42)/(E41+E42)/1000</f>
        <v>0.5740792265378172</v>
      </c>
      <c r="X42" s="43">
        <v>70</v>
      </c>
      <c r="Y42" s="72">
        <v>65</v>
      </c>
      <c r="Z42" s="43"/>
      <c r="AA42" s="183">
        <f>V42/1.23</f>
        <v>3150.3126400000037</v>
      </c>
    </row>
    <row r="43" spans="1:27" ht="12.75">
      <c r="A43" s="436" t="s">
        <v>280</v>
      </c>
      <c r="B43" s="437"/>
      <c r="C43" s="437"/>
      <c r="D43" s="438"/>
      <c r="E43" s="46"/>
      <c r="F43" s="13"/>
      <c r="G43" s="196"/>
      <c r="H43" s="219"/>
      <c r="I43" s="13"/>
      <c r="J43" s="155"/>
      <c r="K43" s="46"/>
      <c r="L43" s="46"/>
      <c r="M43" s="46"/>
      <c r="N43" s="46"/>
      <c r="O43" s="290">
        <f>O34+O36+O38+O40+O42</f>
        <v>252.06987780000014</v>
      </c>
      <c r="P43" s="32"/>
      <c r="Q43" s="213">
        <f>R43/E44</f>
        <v>0.14584592933066795</v>
      </c>
      <c r="R43" s="227">
        <f>SUM(R19:R42)</f>
        <v>21.1071</v>
      </c>
      <c r="S43" s="107"/>
      <c r="T43" s="168"/>
      <c r="U43" s="229"/>
      <c r="V43" s="282"/>
      <c r="W43" s="283"/>
      <c r="X43" s="47"/>
      <c r="Y43" s="291">
        <f>Y44/X44</f>
        <v>0.8761904761904762</v>
      </c>
      <c r="Z43" s="47"/>
      <c r="AA43" s="190"/>
    </row>
    <row r="44" spans="1:27" ht="13.5" thickBot="1">
      <c r="A44" s="439"/>
      <c r="B44" s="440"/>
      <c r="C44" s="440"/>
      <c r="D44" s="441"/>
      <c r="E44" s="61">
        <f>SUM(E19:E42)</f>
        <v>144.72190000000003</v>
      </c>
      <c r="F44" s="222">
        <f>SUM(F19:F42)</f>
        <v>144.723</v>
      </c>
      <c r="G44" s="223"/>
      <c r="H44" s="224"/>
      <c r="I44" s="69"/>
      <c r="J44" s="69"/>
      <c r="K44" s="69"/>
      <c r="L44" s="69">
        <f>SUM(L19:L42)</f>
        <v>21070.241915400005</v>
      </c>
      <c r="M44" s="69"/>
      <c r="N44" s="69">
        <f>SUM(N19:N42)</f>
        <v>2264.1903099000006</v>
      </c>
      <c r="O44" s="48">
        <f>SUM(O19:O42)</f>
        <v>860.4967824000004</v>
      </c>
      <c r="P44" s="48"/>
      <c r="Q44" s="48"/>
      <c r="R44" s="211"/>
      <c r="S44" s="108"/>
      <c r="T44" s="215"/>
      <c r="U44" s="48"/>
      <c r="V44" s="69"/>
      <c r="W44" s="49"/>
      <c r="X44" s="50">
        <f>X22</f>
        <v>70</v>
      </c>
      <c r="Y44" s="50">
        <f>SUM(Y20:Y42)/12</f>
        <v>61.333333333333336</v>
      </c>
      <c r="Z44" s="50"/>
      <c r="AA44" s="51"/>
    </row>
    <row r="45" spans="6:7" ht="13.5" hidden="1" thickBot="1">
      <c r="F45" s="231">
        <f>F44-E44</f>
        <v>0.0010999999999796728</v>
      </c>
      <c r="G45" s="98"/>
    </row>
    <row r="46" spans="1:27" ht="13.5" hidden="1" thickBot="1">
      <c r="A46" s="442">
        <v>1</v>
      </c>
      <c r="B46" s="73"/>
      <c r="C46" s="133"/>
      <c r="D46" s="82"/>
      <c r="E46" s="53"/>
      <c r="F46" s="53"/>
      <c r="G46" s="245"/>
      <c r="H46" s="197"/>
      <c r="I46" s="33">
        <f>1.65*1.23</f>
        <v>2.0295</v>
      </c>
      <c r="J46" s="94"/>
      <c r="K46" s="95"/>
      <c r="L46" s="198"/>
      <c r="M46" s="95"/>
      <c r="N46" s="34"/>
      <c r="O46" s="83">
        <f>15*1.23</f>
        <v>18.45</v>
      </c>
      <c r="P46" s="129"/>
      <c r="Q46" s="129"/>
      <c r="R46" s="194"/>
      <c r="S46" s="83"/>
      <c r="T46" s="271"/>
      <c r="U46" s="124"/>
      <c r="V46" s="149"/>
      <c r="W46" s="80"/>
      <c r="X46" s="152"/>
      <c r="Y46" s="154"/>
      <c r="Z46" s="152"/>
      <c r="AA46" s="182"/>
    </row>
    <row r="47" spans="1:27" ht="13.5" hidden="1" thickBot="1">
      <c r="A47" s="443"/>
      <c r="B47" s="76" t="s">
        <v>196</v>
      </c>
      <c r="C47" s="56" t="s">
        <v>197</v>
      </c>
      <c r="D47" s="57">
        <v>13.57162</v>
      </c>
      <c r="E47" s="52">
        <f>(D47-D42)*X$9</f>
        <v>13.812899999999964</v>
      </c>
      <c r="F47" s="240">
        <v>13.813</v>
      </c>
      <c r="G47" s="59"/>
      <c r="H47" s="275"/>
      <c r="I47" s="38">
        <f>15.77*1.23</f>
        <v>19.3971</v>
      </c>
      <c r="J47" s="86"/>
      <c r="K47" s="62"/>
      <c r="L47" s="221">
        <f>(E46+E47)*K47*1000</f>
        <v>0</v>
      </c>
      <c r="M47" s="62"/>
      <c r="N47" s="65">
        <f>(E46+E47)*M47*1000</f>
        <v>0</v>
      </c>
      <c r="O47" s="146">
        <f>(E46+E47)*3.7*1.23</f>
        <v>62.86250789999984</v>
      </c>
      <c r="P47" s="57">
        <v>0.05772</v>
      </c>
      <c r="Q47" s="57">
        <v>0.06553</v>
      </c>
      <c r="R47" s="138">
        <f>(Q47-P47)*30</f>
        <v>0.23430000000000012</v>
      </c>
      <c r="S47" s="85"/>
      <c r="T47" s="170"/>
      <c r="U47" s="301"/>
      <c r="V47" s="86"/>
      <c r="W47" s="41"/>
      <c r="X47" s="43">
        <v>70</v>
      </c>
      <c r="Y47" s="72">
        <v>65</v>
      </c>
      <c r="Z47" s="43"/>
      <c r="AA47" s="183"/>
    </row>
    <row r="48" spans="1:27" ht="13.5" hidden="1" thickBot="1">
      <c r="A48" s="442">
        <v>2</v>
      </c>
      <c r="B48" s="73"/>
      <c r="C48" s="133"/>
      <c r="D48" s="82"/>
      <c r="E48" s="53"/>
      <c r="F48" s="53"/>
      <c r="G48" s="245"/>
      <c r="H48" s="197"/>
      <c r="I48" s="33">
        <f>1.65*1.23</f>
        <v>2.0295</v>
      </c>
      <c r="J48" s="94"/>
      <c r="K48" s="95"/>
      <c r="L48" s="198"/>
      <c r="M48" s="95"/>
      <c r="N48" s="34"/>
      <c r="O48" s="83">
        <f>11.5*1.23</f>
        <v>14.145</v>
      </c>
      <c r="P48" s="129"/>
      <c r="Q48" s="129"/>
      <c r="R48" s="194"/>
      <c r="S48" s="83"/>
      <c r="T48" s="271"/>
      <c r="U48" s="124"/>
      <c r="V48" s="149"/>
      <c r="W48" s="80"/>
      <c r="X48" s="152"/>
      <c r="Y48" s="154"/>
      <c r="Z48" s="152"/>
      <c r="AA48" s="182"/>
    </row>
    <row r="49" spans="1:27" ht="13.5" hidden="1" thickBot="1">
      <c r="A49" s="443"/>
      <c r="B49" s="76" t="s">
        <v>201</v>
      </c>
      <c r="C49" s="56" t="s">
        <v>180</v>
      </c>
      <c r="D49" s="57">
        <v>14.07432</v>
      </c>
      <c r="E49" s="52">
        <f>(D49-D47)*X$9</f>
        <v>15.081000000000024</v>
      </c>
      <c r="F49" s="240">
        <v>15.081</v>
      </c>
      <c r="G49" s="59"/>
      <c r="H49" s="275"/>
      <c r="I49" s="38">
        <f>15.78*1.23</f>
        <v>19.409399999999998</v>
      </c>
      <c r="J49" s="86"/>
      <c r="K49" s="62"/>
      <c r="L49" s="221">
        <f>(E48+E49)*K49*1000</f>
        <v>0</v>
      </c>
      <c r="M49" s="62"/>
      <c r="N49" s="65">
        <f>(E48+E49)*M49*1000</f>
        <v>0</v>
      </c>
      <c r="O49" s="146"/>
      <c r="P49" s="57">
        <v>0.06553</v>
      </c>
      <c r="Q49" s="57">
        <v>0.07401</v>
      </c>
      <c r="R49" s="138">
        <f>(Q49-P49)*30</f>
        <v>0.25440000000000007</v>
      </c>
      <c r="S49" s="85"/>
      <c r="T49" s="170"/>
      <c r="U49" s="301"/>
      <c r="V49" s="86"/>
      <c r="W49" s="41"/>
      <c r="X49" s="43">
        <v>70</v>
      </c>
      <c r="Y49" s="72">
        <v>59</v>
      </c>
      <c r="Z49" s="43"/>
      <c r="AA49" s="183"/>
    </row>
    <row r="50" spans="1:27" ht="13.5" hidden="1" thickBot="1">
      <c r="A50" s="442">
        <v>3</v>
      </c>
      <c r="B50" s="73"/>
      <c r="C50" s="133"/>
      <c r="D50" s="82"/>
      <c r="E50" s="53"/>
      <c r="F50" s="53"/>
      <c r="G50" s="245"/>
      <c r="H50" s="197"/>
      <c r="I50" s="33">
        <f>1.65*1.23</f>
        <v>2.0295</v>
      </c>
      <c r="J50" s="94"/>
      <c r="K50" s="95"/>
      <c r="L50" s="198"/>
      <c r="M50" s="95"/>
      <c r="N50" s="34"/>
      <c r="O50" s="83">
        <f>11.5*1.23</f>
        <v>14.145</v>
      </c>
      <c r="P50" s="129"/>
      <c r="Q50" s="129"/>
      <c r="R50" s="194"/>
      <c r="S50" s="83"/>
      <c r="T50" s="271"/>
      <c r="U50" s="124"/>
      <c r="V50" s="149"/>
      <c r="W50" s="80"/>
      <c r="X50" s="152"/>
      <c r="Y50" s="154"/>
      <c r="Z50" s="152"/>
      <c r="AA50" s="182"/>
    </row>
    <row r="51" spans="1:27" ht="13.5" hidden="1" thickBot="1">
      <c r="A51" s="443"/>
      <c r="B51" s="76" t="s">
        <v>203</v>
      </c>
      <c r="C51" s="56" t="s">
        <v>190</v>
      </c>
      <c r="D51" s="57">
        <v>14.52676</v>
      </c>
      <c r="E51" s="52">
        <f>(D51-D49)*X$9</f>
        <v>13.573199999999979</v>
      </c>
      <c r="F51" s="240">
        <v>13.573</v>
      </c>
      <c r="G51" s="59"/>
      <c r="H51" s="275"/>
      <c r="I51" s="38">
        <f>15.78*1.23</f>
        <v>19.409399999999998</v>
      </c>
      <c r="J51" s="86"/>
      <c r="K51" s="62"/>
      <c r="L51" s="221">
        <f>(E50+E51)*K51*1000</f>
        <v>0</v>
      </c>
      <c r="M51" s="62"/>
      <c r="N51" s="65">
        <f>(E50+E51)*M51*1000</f>
        <v>0</v>
      </c>
      <c r="O51" s="146"/>
      <c r="P51" s="57">
        <v>0.07401</v>
      </c>
      <c r="Q51" s="57">
        <v>0.08213</v>
      </c>
      <c r="R51" s="138">
        <f>(Q51-P51)*30</f>
        <v>0.24359999999999965</v>
      </c>
      <c r="S51" s="85"/>
      <c r="T51" s="170"/>
      <c r="U51" s="301"/>
      <c r="V51" s="86"/>
      <c r="W51" s="41"/>
      <c r="X51" s="43">
        <v>70</v>
      </c>
      <c r="Y51" s="72">
        <v>56</v>
      </c>
      <c r="Z51" s="43"/>
      <c r="AA51" s="183"/>
    </row>
    <row r="52" spans="1:27" ht="13.5" hidden="1" thickBot="1">
      <c r="A52" s="442">
        <v>4</v>
      </c>
      <c r="B52" s="73"/>
      <c r="C52" s="133"/>
      <c r="D52" s="82"/>
      <c r="E52" s="53"/>
      <c r="F52" s="53"/>
      <c r="G52" s="245"/>
      <c r="H52" s="197"/>
      <c r="I52" s="33">
        <f>1.65*1.23</f>
        <v>2.0295</v>
      </c>
      <c r="J52" s="94"/>
      <c r="K52" s="95"/>
      <c r="L52" s="198"/>
      <c r="M52" s="95"/>
      <c r="N52" s="34"/>
      <c r="O52" s="83">
        <f>11.5*1.23</f>
        <v>14.145</v>
      </c>
      <c r="P52" s="129"/>
      <c r="Q52" s="129"/>
      <c r="R52" s="194"/>
      <c r="S52" s="83"/>
      <c r="T52" s="271"/>
      <c r="U52" s="124"/>
      <c r="V52" s="149"/>
      <c r="W52" s="80"/>
      <c r="X52" s="152"/>
      <c r="Y52" s="154"/>
      <c r="Z52" s="152"/>
      <c r="AA52" s="182"/>
    </row>
    <row r="53" spans="1:27" ht="13.5" hidden="1" thickBot="1">
      <c r="A53" s="443"/>
      <c r="B53" s="76" t="s">
        <v>208</v>
      </c>
      <c r="C53" s="56" t="s">
        <v>204</v>
      </c>
      <c r="D53" s="57">
        <v>14.98574</v>
      </c>
      <c r="E53" s="52">
        <f>(D53-D51)*X$9</f>
        <v>13.769400000000012</v>
      </c>
      <c r="F53" s="240">
        <v>13.769</v>
      </c>
      <c r="G53" s="59"/>
      <c r="H53" s="275"/>
      <c r="I53" s="38">
        <f>15.78*1.23</f>
        <v>19.409399999999998</v>
      </c>
      <c r="J53" s="86"/>
      <c r="K53" s="62"/>
      <c r="L53" s="221">
        <f>(E52+E53)*K53*1000</f>
        <v>0</v>
      </c>
      <c r="M53" s="62"/>
      <c r="N53" s="65">
        <f>(E52+E53)*M53*1000</f>
        <v>0</v>
      </c>
      <c r="O53" s="146"/>
      <c r="P53" s="57">
        <v>0.08213</v>
      </c>
      <c r="Q53" s="57">
        <v>0.0979</v>
      </c>
      <c r="R53" s="138">
        <f>(Q53-P53)*30</f>
        <v>0.4731000000000002</v>
      </c>
      <c r="S53" s="85"/>
      <c r="T53" s="170"/>
      <c r="U53" s="301"/>
      <c r="V53" s="86"/>
      <c r="W53" s="41"/>
      <c r="X53" s="43">
        <v>70</v>
      </c>
      <c r="Y53" s="72">
        <v>59</v>
      </c>
      <c r="Z53" s="43"/>
      <c r="AA53" s="183"/>
    </row>
    <row r="54" spans="1:27" ht="13.5" hidden="1" thickBot="1">
      <c r="A54" s="442">
        <v>5</v>
      </c>
      <c r="B54" s="73"/>
      <c r="C54" s="133"/>
      <c r="D54" s="82"/>
      <c r="E54" s="53"/>
      <c r="F54" s="53"/>
      <c r="G54" s="245"/>
      <c r="H54" s="197"/>
      <c r="I54" s="33">
        <f>1.65*1.23</f>
        <v>2.0295</v>
      </c>
      <c r="J54" s="94"/>
      <c r="K54" s="95"/>
      <c r="L54" s="198"/>
      <c r="M54" s="95"/>
      <c r="N54" s="34"/>
      <c r="O54" s="83">
        <f>11.5*1.23</f>
        <v>14.145</v>
      </c>
      <c r="P54" s="129"/>
      <c r="Q54" s="129"/>
      <c r="R54" s="194"/>
      <c r="S54" s="83"/>
      <c r="T54" s="271"/>
      <c r="U54" s="124"/>
      <c r="V54" s="149"/>
      <c r="W54" s="80"/>
      <c r="X54" s="152"/>
      <c r="Y54" s="154"/>
      <c r="Z54" s="152"/>
      <c r="AA54" s="182"/>
    </row>
    <row r="55" spans="1:27" ht="13.5" hidden="1" thickBot="1">
      <c r="A55" s="443"/>
      <c r="B55" s="76" t="s">
        <v>210</v>
      </c>
      <c r="C55" s="56" t="s">
        <v>206</v>
      </c>
      <c r="D55" s="57">
        <v>15.2975</v>
      </c>
      <c r="E55" s="52">
        <f>(D55-D53)*X$9</f>
        <v>9.352799999999988</v>
      </c>
      <c r="F55" s="240">
        <v>9.353</v>
      </c>
      <c r="G55" s="59"/>
      <c r="H55" s="275"/>
      <c r="I55" s="38">
        <f>15.78*1.23</f>
        <v>19.409399999999998</v>
      </c>
      <c r="J55" s="86"/>
      <c r="K55" s="62"/>
      <c r="L55" s="221">
        <f>(E54+E55)*K55*1000</f>
        <v>0</v>
      </c>
      <c r="M55" s="62"/>
      <c r="N55" s="65">
        <f>(E54+E55)*M55*1000</f>
        <v>0</v>
      </c>
      <c r="O55" s="146"/>
      <c r="P55" s="57">
        <v>0.0979</v>
      </c>
      <c r="Q55" s="57">
        <v>0.10476</v>
      </c>
      <c r="R55" s="138">
        <f>(Q55-P55)*30</f>
        <v>0.20580000000000015</v>
      </c>
      <c r="S55" s="85"/>
      <c r="T55" s="170"/>
      <c r="U55" s="301"/>
      <c r="V55" s="86"/>
      <c r="W55" s="41"/>
      <c r="X55" s="43">
        <v>70</v>
      </c>
      <c r="Y55" s="72">
        <v>48</v>
      </c>
      <c r="Z55" s="43"/>
      <c r="AA55" s="183"/>
    </row>
    <row r="56" spans="1:27" ht="13.5" hidden="1" thickBot="1">
      <c r="A56" s="442">
        <v>6</v>
      </c>
      <c r="B56" s="73"/>
      <c r="C56" s="133"/>
      <c r="D56" s="82"/>
      <c r="E56" s="53"/>
      <c r="F56" s="53"/>
      <c r="G56" s="245"/>
      <c r="H56" s="197"/>
      <c r="I56" s="33">
        <f>1.65*1.23</f>
        <v>2.0295</v>
      </c>
      <c r="J56" s="94"/>
      <c r="K56" s="95"/>
      <c r="L56" s="198"/>
      <c r="M56" s="95"/>
      <c r="N56" s="34"/>
      <c r="O56" s="83">
        <f>11.5*1.23</f>
        <v>14.145</v>
      </c>
      <c r="P56" s="129"/>
      <c r="Q56" s="129"/>
      <c r="R56" s="194"/>
      <c r="S56" s="83"/>
      <c r="T56" s="271"/>
      <c r="U56" s="124"/>
      <c r="V56" s="149"/>
      <c r="W56" s="80"/>
      <c r="X56" s="152"/>
      <c r="Y56" s="154"/>
      <c r="Z56" s="152"/>
      <c r="AA56" s="182"/>
    </row>
    <row r="57" spans="1:27" ht="13.5" hidden="1" thickBot="1">
      <c r="A57" s="443"/>
      <c r="B57" s="76" t="s">
        <v>212</v>
      </c>
      <c r="C57" s="56" t="s">
        <v>211</v>
      </c>
      <c r="D57" s="57">
        <v>15.56451</v>
      </c>
      <c r="E57" s="52">
        <f>(D57-D55)*X$9</f>
        <v>8.010300000000026</v>
      </c>
      <c r="F57" s="240">
        <v>8.01</v>
      </c>
      <c r="G57" s="59"/>
      <c r="H57" s="275"/>
      <c r="I57" s="38">
        <f>15.78*1.23</f>
        <v>19.409399999999998</v>
      </c>
      <c r="J57" s="86"/>
      <c r="K57" s="62"/>
      <c r="L57" s="221">
        <f>(E56+E57)*K57*1000</f>
        <v>0</v>
      </c>
      <c r="M57" s="62"/>
      <c r="N57" s="65">
        <f>(E56+E57)*M57*1000</f>
        <v>0</v>
      </c>
      <c r="O57" s="146"/>
      <c r="P57" s="57">
        <v>0.10476</v>
      </c>
      <c r="Q57" s="57">
        <v>0.11246</v>
      </c>
      <c r="R57" s="138">
        <f>(Q57-P57)*30</f>
        <v>0.23099999999999996</v>
      </c>
      <c r="S57" s="85"/>
      <c r="T57" s="170"/>
      <c r="U57" s="301"/>
      <c r="V57" s="86"/>
      <c r="W57" s="41"/>
      <c r="X57" s="43">
        <v>60</v>
      </c>
      <c r="Y57" s="72">
        <v>51</v>
      </c>
      <c r="Z57" s="43"/>
      <c r="AA57" s="183"/>
    </row>
    <row r="58" spans="1:27" ht="13.5" hidden="1" thickBot="1">
      <c r="A58" s="442">
        <v>7</v>
      </c>
      <c r="B58" s="73"/>
      <c r="C58" s="133"/>
      <c r="D58" s="82"/>
      <c r="E58" s="53"/>
      <c r="F58" s="53"/>
      <c r="G58" s="245"/>
      <c r="H58" s="197"/>
      <c r="I58" s="33">
        <f>1.65*1.23</f>
        <v>2.0295</v>
      </c>
      <c r="J58" s="94"/>
      <c r="K58" s="95"/>
      <c r="L58" s="198"/>
      <c r="M58" s="95"/>
      <c r="N58" s="34"/>
      <c r="O58" s="83">
        <f>11.5*1.23</f>
        <v>14.145</v>
      </c>
      <c r="P58" s="129"/>
      <c r="Q58" s="129"/>
      <c r="R58" s="194"/>
      <c r="S58" s="83"/>
      <c r="T58" s="271"/>
      <c r="U58" s="124"/>
      <c r="V58" s="149"/>
      <c r="W58" s="80"/>
      <c r="X58" s="45"/>
      <c r="Y58" s="154"/>
      <c r="Z58" s="152"/>
      <c r="AA58" s="182"/>
    </row>
    <row r="59" spans="1:27" ht="13.5" hidden="1" thickBot="1">
      <c r="A59" s="443"/>
      <c r="B59" s="76" t="s">
        <v>215</v>
      </c>
      <c r="C59" s="56" t="s">
        <v>214</v>
      </c>
      <c r="D59" s="57">
        <v>15.8235</v>
      </c>
      <c r="E59" s="52">
        <f>(D59-D57)*X$9</f>
        <v>7.769699999999968</v>
      </c>
      <c r="F59" s="240">
        <v>7.77</v>
      </c>
      <c r="G59" s="59"/>
      <c r="H59" s="275"/>
      <c r="I59" s="38">
        <f>15.78*1.23</f>
        <v>19.409399999999998</v>
      </c>
      <c r="J59" s="86"/>
      <c r="K59" s="62"/>
      <c r="L59" s="221">
        <f>(E58+E59)*K59*1000</f>
        <v>0</v>
      </c>
      <c r="M59" s="62"/>
      <c r="N59" s="65">
        <f>(E58+E59)*M59*1000</f>
        <v>0</v>
      </c>
      <c r="O59" s="146"/>
      <c r="P59" s="57">
        <v>0.11246</v>
      </c>
      <c r="Q59" s="57">
        <v>0.12034</v>
      </c>
      <c r="R59" s="138">
        <f>(Q59-P59)*30</f>
        <v>0.23639999999999994</v>
      </c>
      <c r="S59" s="85"/>
      <c r="T59" s="170"/>
      <c r="U59" s="301"/>
      <c r="V59" s="86"/>
      <c r="W59" s="41"/>
      <c r="X59" s="43">
        <v>60</v>
      </c>
      <c r="Y59" s="72">
        <v>45</v>
      </c>
      <c r="Z59" s="43"/>
      <c r="AA59" s="183"/>
    </row>
    <row r="60" spans="1:27" ht="13.5" hidden="1" thickBot="1">
      <c r="A60" s="442">
        <v>8</v>
      </c>
      <c r="B60" s="73"/>
      <c r="C60" s="133"/>
      <c r="D60" s="82"/>
      <c r="E60" s="53"/>
      <c r="F60" s="53"/>
      <c r="G60" s="245"/>
      <c r="H60" s="197"/>
      <c r="I60" s="33">
        <f>1.65*1.23</f>
        <v>2.0295</v>
      </c>
      <c r="J60" s="94"/>
      <c r="K60" s="95"/>
      <c r="L60" s="198"/>
      <c r="M60" s="95"/>
      <c r="N60" s="34"/>
      <c r="O60" s="83">
        <f>11.5*1.23</f>
        <v>14.145</v>
      </c>
      <c r="P60" s="129"/>
      <c r="Q60" s="129"/>
      <c r="R60" s="194"/>
      <c r="S60" s="83"/>
      <c r="T60" s="271"/>
      <c r="U60" s="124"/>
      <c r="V60" s="149"/>
      <c r="W60" s="80"/>
      <c r="X60" s="45"/>
      <c r="Y60" s="154"/>
      <c r="Z60" s="152"/>
      <c r="AA60" s="182"/>
    </row>
    <row r="61" spans="1:27" ht="13.5" hidden="1" thickBot="1">
      <c r="A61" s="443"/>
      <c r="B61" s="76" t="s">
        <v>231</v>
      </c>
      <c r="C61" s="56" t="s">
        <v>216</v>
      </c>
      <c r="D61" s="57">
        <v>16.07561</v>
      </c>
      <c r="E61" s="52">
        <f>(D61-D59)*X$9</f>
        <v>7.563300000000055</v>
      </c>
      <c r="F61" s="240">
        <v>7.563</v>
      </c>
      <c r="G61" s="59"/>
      <c r="H61" s="275"/>
      <c r="I61" s="38">
        <f>15.78*1.23</f>
        <v>19.409399999999998</v>
      </c>
      <c r="J61" s="86"/>
      <c r="K61" s="62"/>
      <c r="L61" s="221">
        <f>(E60+E61)*K61*1000</f>
        <v>0</v>
      </c>
      <c r="M61" s="62"/>
      <c r="N61" s="65">
        <f>(E60+E61)*M61*1000</f>
        <v>0</v>
      </c>
      <c r="O61" s="146"/>
      <c r="P61" s="57">
        <v>0.12034</v>
      </c>
      <c r="Q61" s="57">
        <v>0.13065</v>
      </c>
      <c r="R61" s="138">
        <f>(Q61-P61)*30</f>
        <v>0.3092999999999996</v>
      </c>
      <c r="S61" s="85"/>
      <c r="T61" s="170"/>
      <c r="U61" s="301"/>
      <c r="V61" s="86"/>
      <c r="W61" s="41"/>
      <c r="X61" s="43">
        <v>60</v>
      </c>
      <c r="Y61" s="72">
        <v>46</v>
      </c>
      <c r="Z61" s="43"/>
      <c r="AA61" s="183"/>
    </row>
    <row r="62" spans="1:27" ht="13.5" hidden="1" thickBot="1">
      <c r="A62" s="442">
        <v>9</v>
      </c>
      <c r="B62" s="73"/>
      <c r="C62" s="133"/>
      <c r="D62" s="82"/>
      <c r="E62" s="53"/>
      <c r="F62" s="53"/>
      <c r="G62" s="245"/>
      <c r="H62" s="197"/>
      <c r="I62" s="33">
        <f>1.65*1.23</f>
        <v>2.0295</v>
      </c>
      <c r="J62" s="94"/>
      <c r="K62" s="95"/>
      <c r="L62" s="198"/>
      <c r="M62" s="95"/>
      <c r="N62" s="34"/>
      <c r="O62" s="83">
        <f>11.5*1.23</f>
        <v>14.145</v>
      </c>
      <c r="P62" s="129"/>
      <c r="Q62" s="129"/>
      <c r="R62" s="194"/>
      <c r="S62" s="83"/>
      <c r="T62" s="271"/>
      <c r="U62" s="124"/>
      <c r="V62" s="149"/>
      <c r="W62" s="80"/>
      <c r="X62" s="45"/>
      <c r="Y62" s="154"/>
      <c r="Z62" s="152"/>
      <c r="AA62" s="182"/>
    </row>
    <row r="63" spans="1:27" ht="13.5" hidden="1" thickBot="1">
      <c r="A63" s="443"/>
      <c r="B63" s="76" t="s">
        <v>236</v>
      </c>
      <c r="C63" s="56" t="s">
        <v>235</v>
      </c>
      <c r="D63" s="57">
        <v>16.31955</v>
      </c>
      <c r="E63" s="52">
        <f>(D63-D61)*X$9</f>
        <v>7.318199999999955</v>
      </c>
      <c r="F63" s="240">
        <v>7.318</v>
      </c>
      <c r="G63" s="59"/>
      <c r="H63" s="275"/>
      <c r="I63" s="38">
        <f>15.78*1.23</f>
        <v>19.409399999999998</v>
      </c>
      <c r="J63" s="86"/>
      <c r="K63" s="62"/>
      <c r="L63" s="221">
        <f>(E62+E63)*K63*1000</f>
        <v>0</v>
      </c>
      <c r="M63" s="62"/>
      <c r="N63" s="65">
        <f>(E62+E63)*M63*1000</f>
        <v>0</v>
      </c>
      <c r="O63" s="146"/>
      <c r="P63" s="57">
        <v>0.13065</v>
      </c>
      <c r="Q63" s="57">
        <v>0.14025</v>
      </c>
      <c r="R63" s="138">
        <f>(Q63-P63)*30</f>
        <v>0.28800000000000076</v>
      </c>
      <c r="S63" s="85"/>
      <c r="T63" s="170"/>
      <c r="U63" s="301"/>
      <c r="V63" s="86"/>
      <c r="W63" s="41"/>
      <c r="X63" s="43">
        <v>60</v>
      </c>
      <c r="Y63" s="72">
        <v>39</v>
      </c>
      <c r="Z63" s="43"/>
      <c r="AA63" s="183"/>
    </row>
    <row r="64" spans="1:27" ht="13.5" hidden="1" thickBot="1">
      <c r="A64" s="442">
        <v>10</v>
      </c>
      <c r="B64" s="73"/>
      <c r="C64" s="133"/>
      <c r="D64" s="82"/>
      <c r="E64" s="53"/>
      <c r="F64" s="53"/>
      <c r="G64" s="245"/>
      <c r="H64" s="197"/>
      <c r="I64" s="33">
        <f>1.65*1.23</f>
        <v>2.0295</v>
      </c>
      <c r="J64" s="94"/>
      <c r="K64" s="95"/>
      <c r="L64" s="198"/>
      <c r="M64" s="95"/>
      <c r="N64" s="34"/>
      <c r="O64" s="83">
        <f>11.5*1.23</f>
        <v>14.145</v>
      </c>
      <c r="P64" s="129"/>
      <c r="Q64" s="129"/>
      <c r="R64" s="194"/>
      <c r="S64" s="83"/>
      <c r="T64" s="271"/>
      <c r="U64" s="124"/>
      <c r="V64" s="149"/>
      <c r="W64" s="80"/>
      <c r="X64" s="45"/>
      <c r="Y64" s="154"/>
      <c r="Z64" s="152"/>
      <c r="AA64" s="182"/>
    </row>
    <row r="65" spans="1:27" ht="13.5" hidden="1" thickBot="1">
      <c r="A65" s="443"/>
      <c r="B65" s="76" t="s">
        <v>239</v>
      </c>
      <c r="C65" s="56" t="s">
        <v>238</v>
      </c>
      <c r="D65" s="57">
        <v>16.58927</v>
      </c>
      <c r="E65" s="52">
        <f>(D65-D63)*X$9</f>
        <v>8.091599999999985</v>
      </c>
      <c r="F65" s="240">
        <v>8.092</v>
      </c>
      <c r="G65" s="59"/>
      <c r="H65" s="275"/>
      <c r="I65" s="38">
        <f>15.78*1.23</f>
        <v>19.409399999999998</v>
      </c>
      <c r="J65" s="86"/>
      <c r="K65" s="62"/>
      <c r="L65" s="221">
        <f>(E64+E65)*K65*1000</f>
        <v>0</v>
      </c>
      <c r="M65" s="62"/>
      <c r="N65" s="65">
        <f>(E64+E65)*M65*1000</f>
        <v>0</v>
      </c>
      <c r="O65" s="146"/>
      <c r="P65" s="57">
        <v>0.14025</v>
      </c>
      <c r="Q65" s="57">
        <v>0.14989</v>
      </c>
      <c r="R65" s="138">
        <f>(Q65-P65)*30</f>
        <v>0.28919999999999946</v>
      </c>
      <c r="S65" s="85"/>
      <c r="T65" s="170"/>
      <c r="U65" s="301"/>
      <c r="V65" s="86"/>
      <c r="W65" s="41"/>
      <c r="X65" s="43">
        <v>60</v>
      </c>
      <c r="Y65" s="72">
        <v>42</v>
      </c>
      <c r="Z65" s="43"/>
      <c r="AA65" s="183"/>
    </row>
    <row r="66" spans="1:27" ht="13.5" hidden="1" thickBot="1">
      <c r="A66" s="442">
        <v>11</v>
      </c>
      <c r="B66" s="73"/>
      <c r="C66" s="133"/>
      <c r="D66" s="82"/>
      <c r="E66" s="53"/>
      <c r="F66" s="53"/>
      <c r="G66" s="245"/>
      <c r="H66" s="197"/>
      <c r="I66" s="33">
        <f>1.65*1.23</f>
        <v>2.0295</v>
      </c>
      <c r="J66" s="94"/>
      <c r="K66" s="95"/>
      <c r="L66" s="198"/>
      <c r="M66" s="95"/>
      <c r="N66" s="34"/>
      <c r="O66" s="83">
        <f>11.5*1.23</f>
        <v>14.145</v>
      </c>
      <c r="P66" s="129"/>
      <c r="Q66" s="129"/>
      <c r="R66" s="194"/>
      <c r="S66" s="83"/>
      <c r="T66" s="271"/>
      <c r="U66" s="124"/>
      <c r="V66" s="149"/>
      <c r="W66" s="80"/>
      <c r="X66" s="45"/>
      <c r="Y66" s="154"/>
      <c r="Z66" s="152"/>
      <c r="AA66" s="182"/>
    </row>
    <row r="67" spans="1:27" ht="13.5" hidden="1" thickBot="1">
      <c r="A67" s="443"/>
      <c r="B67" s="76" t="s">
        <v>242</v>
      </c>
      <c r="C67" s="56" t="s">
        <v>240</v>
      </c>
      <c r="D67" s="57">
        <v>16.97776</v>
      </c>
      <c r="E67" s="52">
        <f>(D67-D65)*X$9</f>
        <v>11.654700000000027</v>
      </c>
      <c r="F67" s="240">
        <v>11.655</v>
      </c>
      <c r="G67" s="59"/>
      <c r="H67" s="275"/>
      <c r="I67" s="38">
        <f>15.78*1.23</f>
        <v>19.409399999999998</v>
      </c>
      <c r="J67" s="86"/>
      <c r="K67" s="62"/>
      <c r="L67" s="221">
        <f>(E66+E67)*K67*1000</f>
        <v>0</v>
      </c>
      <c r="M67" s="62"/>
      <c r="N67" s="65">
        <f>(E66+E67)*M67*1000</f>
        <v>0</v>
      </c>
      <c r="O67" s="146"/>
      <c r="P67" s="57">
        <v>0.14989</v>
      </c>
      <c r="Q67" s="57">
        <v>0.15831</v>
      </c>
      <c r="R67" s="138">
        <f>(Q67-P67)*30</f>
        <v>0.2526000000000003</v>
      </c>
      <c r="S67" s="85"/>
      <c r="T67" s="170"/>
      <c r="U67" s="301"/>
      <c r="V67" s="86"/>
      <c r="W67" s="41"/>
      <c r="X67" s="43">
        <v>70</v>
      </c>
      <c r="Y67" s="72">
        <v>48</v>
      </c>
      <c r="Z67" s="43"/>
      <c r="AA67" s="183"/>
    </row>
    <row r="68" spans="1:27" ht="13.5" hidden="1" thickBot="1">
      <c r="A68" s="442">
        <v>12</v>
      </c>
      <c r="B68" s="73"/>
      <c r="C68" s="133"/>
      <c r="D68" s="82"/>
      <c r="E68" s="53"/>
      <c r="F68" s="53"/>
      <c r="G68" s="245"/>
      <c r="H68" s="197"/>
      <c r="I68" s="33">
        <f>1.65*1.23</f>
        <v>2.0295</v>
      </c>
      <c r="J68" s="94"/>
      <c r="K68" s="95"/>
      <c r="L68" s="198"/>
      <c r="M68" s="95"/>
      <c r="N68" s="34"/>
      <c r="O68" s="83">
        <f>11.5*1.23</f>
        <v>14.145</v>
      </c>
      <c r="P68" s="129"/>
      <c r="Q68" s="129"/>
      <c r="R68" s="194"/>
      <c r="S68" s="83"/>
      <c r="T68" s="271"/>
      <c r="U68" s="124"/>
      <c r="V68" s="149"/>
      <c r="W68" s="80"/>
      <c r="X68" s="45"/>
      <c r="Y68" s="154"/>
      <c r="Z68" s="152"/>
      <c r="AA68" s="182"/>
    </row>
    <row r="69" spans="1:27" ht="13.5" hidden="1" thickBot="1">
      <c r="A69" s="443"/>
      <c r="B69" s="76" t="s">
        <v>244</v>
      </c>
      <c r="C69" s="56" t="s">
        <v>245</v>
      </c>
      <c r="D69" s="57">
        <v>17.39182</v>
      </c>
      <c r="E69" s="52">
        <f>(D69-D67)*X$9</f>
        <v>12.421799999999976</v>
      </c>
      <c r="F69" s="240">
        <v>12.422</v>
      </c>
      <c r="G69" s="59"/>
      <c r="H69" s="275"/>
      <c r="I69" s="38">
        <f>15.78*1.23</f>
        <v>19.409399999999998</v>
      </c>
      <c r="J69" s="86"/>
      <c r="K69" s="62"/>
      <c r="L69" s="221">
        <f>(E68+E69)*K69*1000</f>
        <v>0</v>
      </c>
      <c r="M69" s="62"/>
      <c r="N69" s="65">
        <f>(E68+E69)*M69*1000</f>
        <v>0</v>
      </c>
      <c r="O69" s="146"/>
      <c r="P69" s="57">
        <v>0.15831</v>
      </c>
      <c r="Q69" s="57">
        <v>0.16483</v>
      </c>
      <c r="R69" s="138">
        <f>(Q69-P69)*30</f>
        <v>0.19559999999999994</v>
      </c>
      <c r="S69" s="85"/>
      <c r="T69" s="170"/>
      <c r="U69" s="301"/>
      <c r="V69" s="86"/>
      <c r="W69" s="41"/>
      <c r="X69" s="43">
        <v>70</v>
      </c>
      <c r="Y69" s="72">
        <v>57</v>
      </c>
      <c r="Z69" s="43"/>
      <c r="AA69" s="183"/>
    </row>
    <row r="70" spans="1:27" ht="12.75">
      <c r="A70" s="436" t="s">
        <v>279</v>
      </c>
      <c r="B70" s="437"/>
      <c r="C70" s="437"/>
      <c r="D70" s="438"/>
      <c r="E70" s="46"/>
      <c r="F70" s="13"/>
      <c r="G70" s="196"/>
      <c r="H70" s="219"/>
      <c r="I70" s="13"/>
      <c r="J70" s="306"/>
      <c r="K70" s="46"/>
      <c r="L70" s="46"/>
      <c r="M70" s="46"/>
      <c r="N70" s="46"/>
      <c r="O70" s="290"/>
      <c r="P70" s="32" t="s">
        <v>254</v>
      </c>
      <c r="Q70" s="213"/>
      <c r="R70" s="227"/>
      <c r="S70" s="107"/>
      <c r="T70" s="168"/>
      <c r="U70" s="229"/>
      <c r="V70" s="225"/>
      <c r="W70" s="283"/>
      <c r="X70" s="47"/>
      <c r="Y70" s="291"/>
      <c r="Z70" s="47"/>
      <c r="AA70" s="190"/>
    </row>
    <row r="71" spans="1:27" ht="13.5" thickBot="1">
      <c r="A71" s="439"/>
      <c r="B71" s="440"/>
      <c r="C71" s="440"/>
      <c r="D71" s="441"/>
      <c r="E71" s="61">
        <f>SUM(E46:E69)</f>
        <v>128.41889999999995</v>
      </c>
      <c r="F71" s="222">
        <f>SUM(F46:F69)</f>
        <v>128.419</v>
      </c>
      <c r="G71" s="223"/>
      <c r="H71" s="224"/>
      <c r="I71" s="69"/>
      <c r="J71" s="69"/>
      <c r="K71" s="69"/>
      <c r="L71" s="69">
        <f>SUM(L46:L70)</f>
        <v>0</v>
      </c>
      <c r="M71" s="69"/>
      <c r="N71" s="69">
        <f>SUM(N46:N70)</f>
        <v>0</v>
      </c>
      <c r="O71" s="69">
        <f>SUM(O46:O70)</f>
        <v>236.9075078999999</v>
      </c>
      <c r="P71" s="69">
        <f>SUM(J71:O71)</f>
        <v>236.9075078999999</v>
      </c>
      <c r="Q71" s="48"/>
      <c r="R71" s="211"/>
      <c r="S71" s="108"/>
      <c r="T71" s="215"/>
      <c r="U71" s="48"/>
      <c r="V71" s="224"/>
      <c r="W71" s="223"/>
      <c r="X71" s="320">
        <v>70</v>
      </c>
      <c r="Y71" s="336">
        <f>SUM(Y47:Y69)/12</f>
        <v>51.25</v>
      </c>
      <c r="Z71" s="50"/>
      <c r="AA71" s="51"/>
    </row>
    <row r="72" spans="2:7" ht="15.75" hidden="1" thickBot="1">
      <c r="B72" s="328" t="s">
        <v>252</v>
      </c>
      <c r="F72" s="402">
        <f>F71-E71</f>
        <v>0.00010000000006016307</v>
      </c>
      <c r="G72" s="98"/>
    </row>
    <row r="73" spans="1:27" ht="13.5" hidden="1" thickBot="1">
      <c r="A73" s="442">
        <v>1</v>
      </c>
      <c r="B73" s="73"/>
      <c r="C73" s="133"/>
      <c r="D73" s="83">
        <v>17391.82</v>
      </c>
      <c r="E73" s="53"/>
      <c r="F73" s="53"/>
      <c r="G73" s="245"/>
      <c r="H73" s="197"/>
      <c r="I73" s="33">
        <f>1.65*1.23</f>
        <v>2.0295</v>
      </c>
      <c r="J73" s="94"/>
      <c r="K73" s="95"/>
      <c r="L73" s="198"/>
      <c r="M73" s="95"/>
      <c r="N73" s="34"/>
      <c r="O73" s="83">
        <f>11.5*1.23</f>
        <v>14.145</v>
      </c>
      <c r="P73" s="129"/>
      <c r="Q73" s="129"/>
      <c r="R73" s="194"/>
      <c r="S73" s="83"/>
      <c r="T73" s="271"/>
      <c r="U73" s="124"/>
      <c r="V73" s="149"/>
      <c r="W73" s="80"/>
      <c r="X73" s="45"/>
      <c r="Y73" s="154"/>
      <c r="Z73" s="152"/>
      <c r="AA73" s="182"/>
    </row>
    <row r="74" spans="1:27" ht="13.5" hidden="1" thickBot="1">
      <c r="A74" s="443"/>
      <c r="B74" s="76" t="s">
        <v>248</v>
      </c>
      <c r="C74" s="56" t="s">
        <v>249</v>
      </c>
      <c r="D74" s="67">
        <v>17821.31</v>
      </c>
      <c r="E74" s="324">
        <f>(D74-D73)*X$9</f>
        <v>12884.700000000048</v>
      </c>
      <c r="F74" s="352">
        <v>12885</v>
      </c>
      <c r="G74" s="59"/>
      <c r="H74" s="275"/>
      <c r="I74" s="38">
        <f>15.78*1.23</f>
        <v>19.409399999999998</v>
      </c>
      <c r="J74" s="86"/>
      <c r="K74" s="62"/>
      <c r="L74" s="221">
        <f>(E73+E74)*K74</f>
        <v>0</v>
      </c>
      <c r="M74" s="62"/>
      <c r="N74" s="65">
        <f>(E73+E74)*M74</f>
        <v>0</v>
      </c>
      <c r="O74" s="146"/>
      <c r="P74" s="67">
        <v>164.83</v>
      </c>
      <c r="Q74" s="67">
        <v>172.24</v>
      </c>
      <c r="R74" s="324">
        <f>(Q74-P74)*30</f>
        <v>222.2999999999999</v>
      </c>
      <c r="S74" s="85"/>
      <c r="T74" s="170"/>
      <c r="U74" s="301"/>
      <c r="V74" s="86"/>
      <c r="W74" s="41"/>
      <c r="X74" s="43">
        <v>70</v>
      </c>
      <c r="Y74" s="72">
        <v>60</v>
      </c>
      <c r="Z74" s="43"/>
      <c r="AA74" s="183"/>
    </row>
    <row r="75" spans="1:27" ht="13.5" hidden="1" thickBot="1">
      <c r="A75" s="442">
        <v>2</v>
      </c>
      <c r="B75" s="73"/>
      <c r="C75" s="133"/>
      <c r="D75" s="83"/>
      <c r="E75" s="53"/>
      <c r="F75" s="53"/>
      <c r="G75" s="245"/>
      <c r="H75" s="197"/>
      <c r="I75" s="33">
        <f>0.08*1.23</f>
        <v>0.0984</v>
      </c>
      <c r="J75" s="94"/>
      <c r="K75" s="95"/>
      <c r="L75" s="198"/>
      <c r="M75" s="95"/>
      <c r="N75" s="34"/>
      <c r="O75" s="83">
        <f>11.5*1.23</f>
        <v>14.145</v>
      </c>
      <c r="P75" s="129"/>
      <c r="Q75" s="129"/>
      <c r="R75" s="194"/>
      <c r="S75" s="83"/>
      <c r="T75" s="271"/>
      <c r="U75" s="124"/>
      <c r="V75" s="149"/>
      <c r="W75" s="80"/>
      <c r="X75" s="45"/>
      <c r="Y75" s="154"/>
      <c r="Z75" s="152"/>
      <c r="AA75" s="182"/>
    </row>
    <row r="76" spans="1:27" ht="13.5" hidden="1" thickBot="1">
      <c r="A76" s="443"/>
      <c r="B76" s="354" t="s">
        <v>257</v>
      </c>
      <c r="C76" s="56" t="s">
        <v>253</v>
      </c>
      <c r="D76" s="67">
        <v>18298.55</v>
      </c>
      <c r="E76" s="324">
        <f>(D76-D74)*X$9</f>
        <v>14317.199999999939</v>
      </c>
      <c r="F76" s="352">
        <v>14317</v>
      </c>
      <c r="G76" s="59"/>
      <c r="H76" s="275"/>
      <c r="I76" s="38">
        <f>15.78*1.23</f>
        <v>19.409399999999998</v>
      </c>
      <c r="J76" s="86"/>
      <c r="K76" s="62"/>
      <c r="L76" s="221">
        <f>(E75+E76)*K76</f>
        <v>0</v>
      </c>
      <c r="M76" s="62"/>
      <c r="N76" s="65">
        <f>(E75+E76)*M76</f>
        <v>0</v>
      </c>
      <c r="O76" s="67">
        <f>0.00158*3214*1.23</f>
        <v>6.2460876</v>
      </c>
      <c r="P76" s="67">
        <v>172.24</v>
      </c>
      <c r="Q76" s="67">
        <v>180.2</v>
      </c>
      <c r="R76" s="324">
        <f>(Q76-P76)*30</f>
        <v>238.7999999999994</v>
      </c>
      <c r="S76" s="85"/>
      <c r="T76" s="170"/>
      <c r="U76" s="301"/>
      <c r="V76" s="86"/>
      <c r="W76" s="41"/>
      <c r="X76" s="43">
        <v>65</v>
      </c>
      <c r="Y76" s="72">
        <v>55</v>
      </c>
      <c r="Z76" s="45"/>
      <c r="AA76" s="182"/>
    </row>
    <row r="77" spans="1:27" ht="13.5" hidden="1" thickBot="1">
      <c r="A77" s="322"/>
      <c r="B77" s="388"/>
      <c r="C77" s="133"/>
      <c r="D77" s="83"/>
      <c r="E77" s="53"/>
      <c r="F77" s="53"/>
      <c r="G77" s="245"/>
      <c r="H77" s="197"/>
      <c r="I77" s="33"/>
      <c r="J77" s="94"/>
      <c r="K77" s="93"/>
      <c r="L77" s="111"/>
      <c r="M77" s="93"/>
      <c r="N77" s="44"/>
      <c r="O77" s="79"/>
      <c r="P77" s="79"/>
      <c r="Q77" s="79"/>
      <c r="R77" s="368"/>
      <c r="S77" s="184"/>
      <c r="T77" s="175"/>
      <c r="U77" s="377"/>
      <c r="V77" s="94"/>
      <c r="W77" s="130"/>
      <c r="X77" s="45"/>
      <c r="Y77" s="81"/>
      <c r="Z77" s="105"/>
      <c r="AA77" s="182"/>
    </row>
    <row r="78" spans="1:27" ht="13.5" hidden="1" thickBot="1">
      <c r="A78" s="322"/>
      <c r="B78" s="397" t="s">
        <v>200</v>
      </c>
      <c r="C78" s="91" t="s">
        <v>253</v>
      </c>
      <c r="D78" s="67"/>
      <c r="E78" s="324"/>
      <c r="F78" s="352"/>
      <c r="G78" s="59"/>
      <c r="H78" s="275"/>
      <c r="I78" s="33"/>
      <c r="J78" s="94"/>
      <c r="K78" s="93"/>
      <c r="L78" s="111"/>
      <c r="M78" s="93"/>
      <c r="N78" s="44"/>
      <c r="O78" s="79"/>
      <c r="P78" s="79"/>
      <c r="Q78" s="79"/>
      <c r="R78" s="368"/>
      <c r="S78" s="184"/>
      <c r="T78" s="175"/>
      <c r="U78" s="377"/>
      <c r="V78" s="94"/>
      <c r="W78" s="130"/>
      <c r="X78" s="45"/>
      <c r="Y78" s="81"/>
      <c r="Z78" s="105"/>
      <c r="AA78" s="182"/>
    </row>
    <row r="79" spans="1:27" ht="13.5" hidden="1" thickBot="1">
      <c r="A79" s="475">
        <v>3</v>
      </c>
      <c r="B79" s="340"/>
      <c r="C79" s="341"/>
      <c r="D79" s="75"/>
      <c r="E79" s="53"/>
      <c r="F79" s="53"/>
      <c r="G79" s="245"/>
      <c r="H79" s="197"/>
      <c r="I79" s="33">
        <f>0.08*1.23</f>
        <v>0.0984</v>
      </c>
      <c r="J79" s="94"/>
      <c r="K79" s="95"/>
      <c r="L79" s="198"/>
      <c r="M79" s="95"/>
      <c r="N79" s="34"/>
      <c r="O79" s="83"/>
      <c r="P79" s="129"/>
      <c r="Q79" s="129"/>
      <c r="R79" s="194"/>
      <c r="S79" s="83"/>
      <c r="T79" s="271"/>
      <c r="U79" s="124"/>
      <c r="V79" s="149"/>
      <c r="W79" s="80"/>
      <c r="X79" s="45"/>
      <c r="Y79" s="154"/>
      <c r="Z79" s="347"/>
      <c r="AA79" s="348"/>
    </row>
    <row r="80" spans="1:27" ht="13.5" hidden="1" thickBot="1">
      <c r="A80" s="476"/>
      <c r="B80" s="351" t="s">
        <v>185</v>
      </c>
      <c r="C80" s="342" t="s">
        <v>260</v>
      </c>
      <c r="D80" s="339">
        <v>18592.55</v>
      </c>
      <c r="E80" s="324">
        <f>(D80-D76)*X$9</f>
        <v>8820</v>
      </c>
      <c r="F80" s="352">
        <v>8820</v>
      </c>
      <c r="G80" s="59"/>
      <c r="H80" s="275"/>
      <c r="I80" s="38">
        <f>15.78*1.23</f>
        <v>19.409399999999998</v>
      </c>
      <c r="J80" s="86"/>
      <c r="K80" s="62"/>
      <c r="L80" s="221">
        <f>(E79+E80)*K80</f>
        <v>0</v>
      </c>
      <c r="M80" s="62"/>
      <c r="N80" s="65">
        <f>(E79+E80)*M80</f>
        <v>0</v>
      </c>
      <c r="O80" s="67">
        <f>0.00158*E80*1.23</f>
        <v>17.140788</v>
      </c>
      <c r="P80" s="67">
        <v>180.2</v>
      </c>
      <c r="Q80" s="67">
        <v>188.84</v>
      </c>
      <c r="R80" s="324">
        <f>(Q80-P80)*30</f>
        <v>259.20000000000044</v>
      </c>
      <c r="S80" s="85"/>
      <c r="T80" s="170"/>
      <c r="U80" s="301"/>
      <c r="V80" s="86"/>
      <c r="W80" s="41"/>
      <c r="X80" s="43"/>
      <c r="Y80" s="72"/>
      <c r="Z80" s="349"/>
      <c r="AA80" s="183"/>
    </row>
    <row r="81" spans="1:27" ht="13.5" hidden="1" thickBot="1">
      <c r="A81" s="475">
        <v>4</v>
      </c>
      <c r="B81" s="343"/>
      <c r="C81" s="344"/>
      <c r="D81" s="75">
        <v>0</v>
      </c>
      <c r="E81" s="53"/>
      <c r="F81" s="53"/>
      <c r="G81" s="245"/>
      <c r="H81" s="197"/>
      <c r="I81" s="33">
        <f>0.08*1.23</f>
        <v>0.0984</v>
      </c>
      <c r="J81" s="94"/>
      <c r="K81" s="95"/>
      <c r="L81" s="198"/>
      <c r="M81" s="95"/>
      <c r="N81" s="34"/>
      <c r="O81" s="83">
        <f>11.5*1.23</f>
        <v>14.145</v>
      </c>
      <c r="P81" s="129"/>
      <c r="Q81" s="129"/>
      <c r="R81" s="194"/>
      <c r="S81" s="83"/>
      <c r="T81" s="271"/>
      <c r="U81" s="124"/>
      <c r="V81" s="149"/>
      <c r="W81" s="80"/>
      <c r="X81" s="45"/>
      <c r="Y81" s="154"/>
      <c r="Z81" s="367"/>
      <c r="AA81" s="366"/>
    </row>
    <row r="82" spans="1:27" ht="13.5" hidden="1" thickBot="1">
      <c r="A82" s="476"/>
      <c r="B82" s="345" t="s">
        <v>258</v>
      </c>
      <c r="C82" s="346" t="s">
        <v>255</v>
      </c>
      <c r="D82" s="339">
        <v>104.21</v>
      </c>
      <c r="E82" s="324">
        <f>(D82-D81)*X$9</f>
        <v>3126.2999999999997</v>
      </c>
      <c r="F82" s="352">
        <v>3126</v>
      </c>
      <c r="G82" s="59"/>
      <c r="H82" s="275"/>
      <c r="I82" s="38">
        <f>15.78*1.23</f>
        <v>19.409399999999998</v>
      </c>
      <c r="J82" s="86"/>
      <c r="K82" s="62"/>
      <c r="L82" s="221">
        <f>(E81+E82)*K82</f>
        <v>0</v>
      </c>
      <c r="M82" s="62"/>
      <c r="N82" s="65">
        <f>(E81+E82)*M82</f>
        <v>0</v>
      </c>
      <c r="O82" s="67">
        <f>0.00158*E82*1.23</f>
        <v>6.075651419999999</v>
      </c>
      <c r="P82" s="67">
        <v>0</v>
      </c>
      <c r="Q82" s="67">
        <v>2.73</v>
      </c>
      <c r="R82" s="324">
        <f>(Q82-P82)*30</f>
        <v>81.9</v>
      </c>
      <c r="S82" s="85"/>
      <c r="T82" s="170"/>
      <c r="U82" s="301"/>
      <c r="V82" s="86"/>
      <c r="W82" s="41"/>
      <c r="X82" s="43">
        <v>65</v>
      </c>
      <c r="Y82" s="72">
        <v>49</v>
      </c>
      <c r="Z82" s="350"/>
      <c r="AA82" s="273"/>
    </row>
    <row r="83" spans="1:27" ht="13.5" hidden="1" thickBot="1">
      <c r="A83" s="442">
        <v>5</v>
      </c>
      <c r="B83" s="73"/>
      <c r="C83" s="133"/>
      <c r="D83" s="83"/>
      <c r="E83" s="53"/>
      <c r="F83" s="53"/>
      <c r="G83" s="245"/>
      <c r="H83" s="197"/>
      <c r="I83" s="33">
        <f>0.08*1.23</f>
        <v>0.0984</v>
      </c>
      <c r="J83" s="94"/>
      <c r="K83" s="95"/>
      <c r="L83" s="198"/>
      <c r="M83" s="95"/>
      <c r="N83" s="34"/>
      <c r="O83" s="83">
        <f>11.5*1.23</f>
        <v>14.145</v>
      </c>
      <c r="P83" s="129"/>
      <c r="Q83" s="129"/>
      <c r="R83" s="194"/>
      <c r="S83" s="83"/>
      <c r="T83" s="271"/>
      <c r="U83" s="124"/>
      <c r="V83" s="149"/>
      <c r="W83" s="80"/>
      <c r="X83" s="45"/>
      <c r="Y83" s="154"/>
      <c r="Z83" s="152"/>
      <c r="AA83" s="182"/>
    </row>
    <row r="84" spans="1:27" ht="13.5" hidden="1" thickBot="1">
      <c r="A84" s="443"/>
      <c r="B84" s="354" t="s">
        <v>261</v>
      </c>
      <c r="C84" s="56" t="s">
        <v>262</v>
      </c>
      <c r="D84" s="67">
        <v>504.65</v>
      </c>
      <c r="E84" s="324">
        <f>(D84-D82)*X$9</f>
        <v>12013.2</v>
      </c>
      <c r="F84" s="352">
        <v>12013</v>
      </c>
      <c r="G84" s="59"/>
      <c r="H84" s="275"/>
      <c r="I84" s="38">
        <f>15.78*1.23</f>
        <v>19.409399999999998</v>
      </c>
      <c r="J84" s="86"/>
      <c r="K84" s="62"/>
      <c r="L84" s="221">
        <f>(E83+E84)*K84</f>
        <v>0</v>
      </c>
      <c r="M84" s="62"/>
      <c r="N84" s="65">
        <f>(E83+E84)*M84</f>
        <v>0</v>
      </c>
      <c r="O84" s="67">
        <f>0.00158*E84*1.23</f>
        <v>23.346452880000005</v>
      </c>
      <c r="P84" s="67">
        <v>2.73</v>
      </c>
      <c r="Q84" s="67">
        <v>7.33</v>
      </c>
      <c r="R84" s="324">
        <f>(Q84-P84)*30</f>
        <v>138</v>
      </c>
      <c r="S84" s="85"/>
      <c r="T84" s="170"/>
      <c r="U84" s="301"/>
      <c r="V84" s="86"/>
      <c r="W84" s="41"/>
      <c r="X84" s="43">
        <v>65</v>
      </c>
      <c r="Y84" s="72">
        <v>48</v>
      </c>
      <c r="Z84" s="43"/>
      <c r="AA84" s="183"/>
    </row>
    <row r="85" spans="1:27" ht="13.5" hidden="1" thickBot="1">
      <c r="A85" s="78"/>
      <c r="B85" s="99"/>
      <c r="C85" s="133"/>
      <c r="D85" s="83"/>
      <c r="E85" s="53"/>
      <c r="F85" s="53"/>
      <c r="G85" s="245"/>
      <c r="H85" s="197"/>
      <c r="I85" s="33"/>
      <c r="J85" s="94"/>
      <c r="K85" s="93"/>
      <c r="L85" s="111"/>
      <c r="M85" s="93"/>
      <c r="N85" s="44"/>
      <c r="O85" s="79"/>
      <c r="P85" s="79"/>
      <c r="Q85" s="79"/>
      <c r="R85" s="368"/>
      <c r="S85" s="184"/>
      <c r="T85" s="175"/>
      <c r="U85" s="377"/>
      <c r="V85" s="94"/>
      <c r="W85" s="130"/>
      <c r="X85" s="45"/>
      <c r="Y85" s="81"/>
      <c r="Z85" s="45"/>
      <c r="AA85" s="182"/>
    </row>
    <row r="86" spans="1:27" ht="13.5" hidden="1" thickBot="1">
      <c r="A86" s="78"/>
      <c r="B86" s="383" t="s">
        <v>200</v>
      </c>
      <c r="C86" s="56" t="s">
        <v>262</v>
      </c>
      <c r="D86" s="67"/>
      <c r="E86" s="324"/>
      <c r="F86" s="352"/>
      <c r="G86" s="59"/>
      <c r="H86" s="275"/>
      <c r="I86" s="38"/>
      <c r="J86" s="297"/>
      <c r="K86" s="62"/>
      <c r="L86" s="86"/>
      <c r="M86" s="62"/>
      <c r="N86" s="38"/>
      <c r="O86" s="67"/>
      <c r="P86" s="67"/>
      <c r="Q86" s="67"/>
      <c r="R86" s="329"/>
      <c r="S86" s="85"/>
      <c r="T86" s="170"/>
      <c r="U86" s="301"/>
      <c r="V86" s="297"/>
      <c r="W86" s="41"/>
      <c r="X86" s="43"/>
      <c r="Y86" s="72"/>
      <c r="Z86" s="43"/>
      <c r="AA86" s="183"/>
    </row>
    <row r="87" spans="1:27" ht="13.5" hidden="1" thickBot="1">
      <c r="A87" s="442">
        <v>6</v>
      </c>
      <c r="B87" s="73"/>
      <c r="C87" s="133"/>
      <c r="D87" s="83"/>
      <c r="E87" s="53"/>
      <c r="F87" s="53"/>
      <c r="G87" s="245"/>
      <c r="H87" s="197"/>
      <c r="I87" s="33">
        <f>0.08*1.23*0.17</f>
        <v>0.016728</v>
      </c>
      <c r="J87" s="94"/>
      <c r="K87" s="95"/>
      <c r="L87" s="198"/>
      <c r="M87" s="95"/>
      <c r="N87" s="34"/>
      <c r="O87" s="83">
        <f>11.5*1.23*0.17</f>
        <v>2.40465</v>
      </c>
      <c r="P87" s="129"/>
      <c r="Q87" s="129"/>
      <c r="R87" s="194"/>
      <c r="S87" s="83"/>
      <c r="T87" s="271"/>
      <c r="U87" s="124"/>
      <c r="V87" s="149"/>
      <c r="W87" s="80"/>
      <c r="X87" s="45"/>
      <c r="Y87" s="154"/>
      <c r="Z87" s="152"/>
      <c r="AA87" s="182"/>
    </row>
    <row r="88" spans="1:27" ht="13.5" hidden="1" thickBot="1">
      <c r="A88" s="443"/>
      <c r="B88" s="354" t="s">
        <v>265</v>
      </c>
      <c r="C88" s="56" t="s">
        <v>264</v>
      </c>
      <c r="D88" s="67">
        <v>575.22</v>
      </c>
      <c r="E88" s="324">
        <f>(D88-D84)*X$9</f>
        <v>2117.1000000000013</v>
      </c>
      <c r="F88" s="352"/>
      <c r="G88" s="59"/>
      <c r="H88" s="275"/>
      <c r="I88" s="38">
        <f>15.78*1.23*0.17</f>
        <v>3.299598</v>
      </c>
      <c r="J88" s="86"/>
      <c r="K88" s="62"/>
      <c r="L88" s="221">
        <f>(E87+E88)*K88</f>
        <v>0</v>
      </c>
      <c r="M88" s="62"/>
      <c r="N88" s="65">
        <f>(E87+E88)*M88</f>
        <v>0</v>
      </c>
      <c r="O88" s="67">
        <f>0.00158*E88*1.23</f>
        <v>4.114372140000003</v>
      </c>
      <c r="P88" s="67">
        <v>7.33</v>
      </c>
      <c r="Q88" s="67">
        <v>8.34</v>
      </c>
      <c r="R88" s="324">
        <f>(Q88-P88)*30</f>
        <v>30.299999999999994</v>
      </c>
      <c r="S88" s="85"/>
      <c r="T88" s="170"/>
      <c r="U88" s="301"/>
      <c r="V88" s="86"/>
      <c r="W88" s="41"/>
      <c r="X88" s="43">
        <v>65</v>
      </c>
      <c r="Y88" s="72">
        <v>43</v>
      </c>
      <c r="Z88" s="43"/>
      <c r="AA88" s="183"/>
    </row>
    <row r="89" spans="1:27" ht="13.5" hidden="1" thickBot="1">
      <c r="A89" s="442">
        <v>7</v>
      </c>
      <c r="B89" s="73"/>
      <c r="C89" s="133"/>
      <c r="D89" s="83"/>
      <c r="E89" s="53"/>
      <c r="F89" s="53"/>
      <c r="G89" s="245"/>
      <c r="H89" s="197"/>
      <c r="I89" s="33">
        <f>0.08*1.23*0.83</f>
        <v>0.081672</v>
      </c>
      <c r="J89" s="94"/>
      <c r="K89" s="95"/>
      <c r="L89" s="198"/>
      <c r="M89" s="95"/>
      <c r="N89" s="34"/>
      <c r="O89" s="83">
        <f>9.5*1.23*0.83</f>
        <v>9.69855</v>
      </c>
      <c r="P89" s="129"/>
      <c r="Q89" s="129"/>
      <c r="R89" s="194"/>
      <c r="S89" s="83"/>
      <c r="T89" s="271"/>
      <c r="U89" s="124"/>
      <c r="V89" s="149"/>
      <c r="W89" s="80"/>
      <c r="X89" s="45"/>
      <c r="Y89" s="154"/>
      <c r="Z89" s="365"/>
      <c r="AA89" s="366"/>
    </row>
    <row r="90" spans="1:27" ht="13.5" hidden="1" thickBot="1">
      <c r="A90" s="443"/>
      <c r="B90" s="354" t="s">
        <v>205</v>
      </c>
      <c r="C90" s="56" t="s">
        <v>263</v>
      </c>
      <c r="D90" s="67">
        <v>833.39</v>
      </c>
      <c r="E90" s="324">
        <f>(D90-D88)*X$9</f>
        <v>7745.0999999999985</v>
      </c>
      <c r="F90" s="352">
        <v>9862</v>
      </c>
      <c r="G90" s="59"/>
      <c r="H90" s="275"/>
      <c r="I90" s="38">
        <f>16.34*1.23*0.83</f>
        <v>16.681506</v>
      </c>
      <c r="J90" s="86"/>
      <c r="K90" s="62"/>
      <c r="L90" s="221">
        <f>(E89+E90)*K90</f>
        <v>0</v>
      </c>
      <c r="M90" s="62"/>
      <c r="N90" s="65">
        <f>(E89+E90)*M90</f>
        <v>0</v>
      </c>
      <c r="O90" s="67">
        <f>0.00158*E90*1.23</f>
        <v>15.051827339999996</v>
      </c>
      <c r="P90" s="67">
        <v>8.34</v>
      </c>
      <c r="Q90" s="67">
        <v>14.99</v>
      </c>
      <c r="R90" s="324">
        <f>(Q90-P90)*30</f>
        <v>199.5</v>
      </c>
      <c r="S90" s="85"/>
      <c r="T90" s="170"/>
      <c r="U90" s="301"/>
      <c r="V90" s="86"/>
      <c r="W90" s="41"/>
      <c r="X90" s="43">
        <v>65</v>
      </c>
      <c r="Y90" s="72">
        <v>43</v>
      </c>
      <c r="Z90" s="43"/>
      <c r="AA90" s="183"/>
    </row>
    <row r="91" spans="1:27" ht="13.5" hidden="1" thickBot="1">
      <c r="A91" s="442">
        <v>8</v>
      </c>
      <c r="B91" s="73"/>
      <c r="C91" s="133"/>
      <c r="D91" s="83"/>
      <c r="E91" s="53"/>
      <c r="F91" s="53"/>
      <c r="G91" s="245"/>
      <c r="H91" s="197"/>
      <c r="I91" s="33">
        <f>0.08*1.23</f>
        <v>0.0984</v>
      </c>
      <c r="J91" s="94"/>
      <c r="K91" s="95"/>
      <c r="L91" s="198"/>
      <c r="M91" s="95"/>
      <c r="N91" s="34"/>
      <c r="O91" s="83">
        <f>9.5*1.23</f>
        <v>11.685</v>
      </c>
      <c r="P91" s="129"/>
      <c r="Q91" s="129"/>
      <c r="R91" s="194"/>
      <c r="S91" s="83"/>
      <c r="T91" s="271"/>
      <c r="U91" s="124"/>
      <c r="V91" s="149"/>
      <c r="W91" s="80"/>
      <c r="X91" s="45"/>
      <c r="Y91" s="154"/>
      <c r="Z91" s="365"/>
      <c r="AA91" s="366"/>
    </row>
    <row r="92" spans="1:27" ht="13.5" hidden="1" thickBot="1">
      <c r="A92" s="443"/>
      <c r="B92" s="354" t="s">
        <v>267</v>
      </c>
      <c r="C92" s="56" t="s">
        <v>266</v>
      </c>
      <c r="D92" s="67">
        <v>1162.18</v>
      </c>
      <c r="E92" s="324">
        <f>(D92-D90)*X$9</f>
        <v>9863.700000000003</v>
      </c>
      <c r="F92" s="352">
        <v>9864</v>
      </c>
      <c r="G92" s="59"/>
      <c r="H92" s="275"/>
      <c r="I92" s="38">
        <f>16.34*1.23</f>
        <v>20.0982</v>
      </c>
      <c r="J92" s="86"/>
      <c r="K92" s="62"/>
      <c r="L92" s="221">
        <f>(E91+E92)*K92</f>
        <v>0</v>
      </c>
      <c r="M92" s="62"/>
      <c r="N92" s="65">
        <f>(E91+E92)*M92</f>
        <v>0</v>
      </c>
      <c r="O92" s="67">
        <f>0.00158*E92*1.23</f>
        <v>19.169114580000006</v>
      </c>
      <c r="P92" s="67">
        <v>14.99</v>
      </c>
      <c r="Q92" s="67">
        <v>25.3</v>
      </c>
      <c r="R92" s="324">
        <f>(Q92-P92)*30</f>
        <v>309.3</v>
      </c>
      <c r="S92" s="85"/>
      <c r="T92" s="170"/>
      <c r="U92" s="301"/>
      <c r="V92" s="86"/>
      <c r="W92" s="41"/>
      <c r="X92" s="43">
        <v>65</v>
      </c>
      <c r="Y92" s="72">
        <v>59</v>
      </c>
      <c r="Z92" s="43"/>
      <c r="AA92" s="183"/>
    </row>
    <row r="93" spans="1:27" ht="13.5" hidden="1" thickBot="1">
      <c r="A93" s="322"/>
      <c r="B93" s="73"/>
      <c r="C93" s="133"/>
      <c r="D93" s="83"/>
      <c r="E93" s="53"/>
      <c r="F93" s="53"/>
      <c r="G93" s="245"/>
      <c r="H93" s="197"/>
      <c r="I93" s="33"/>
      <c r="J93" s="94"/>
      <c r="K93" s="93"/>
      <c r="L93" s="111"/>
      <c r="M93" s="93"/>
      <c r="N93" s="44"/>
      <c r="O93" s="79"/>
      <c r="P93" s="79"/>
      <c r="Q93" s="79"/>
      <c r="R93" s="368"/>
      <c r="S93" s="184"/>
      <c r="T93" s="175"/>
      <c r="U93" s="377"/>
      <c r="V93" s="94"/>
      <c r="W93" s="130"/>
      <c r="X93" s="45"/>
      <c r="Y93" s="81"/>
      <c r="Z93" s="45"/>
      <c r="AA93" s="182"/>
    </row>
    <row r="94" spans="1:27" ht="13.5" hidden="1" thickBot="1">
      <c r="A94" s="322"/>
      <c r="B94" s="397" t="s">
        <v>200</v>
      </c>
      <c r="C94" s="56" t="s">
        <v>266</v>
      </c>
      <c r="D94" s="67"/>
      <c r="E94" s="324"/>
      <c r="F94" s="352"/>
      <c r="G94" s="59"/>
      <c r="H94" s="275"/>
      <c r="I94" s="38"/>
      <c r="J94" s="297"/>
      <c r="K94" s="62"/>
      <c r="L94" s="86"/>
      <c r="M94" s="62"/>
      <c r="N94" s="38"/>
      <c r="O94" s="67"/>
      <c r="P94" s="67"/>
      <c r="Q94" s="67"/>
      <c r="R94" s="329"/>
      <c r="S94" s="85"/>
      <c r="T94" s="170"/>
      <c r="U94" s="301"/>
      <c r="V94" s="297"/>
      <c r="W94" s="41"/>
      <c r="X94" s="43"/>
      <c r="Y94" s="72"/>
      <c r="Z94" s="43"/>
      <c r="AA94" s="183"/>
    </row>
    <row r="95" spans="1:27" ht="13.5" hidden="1" thickBot="1">
      <c r="A95" s="475">
        <v>9</v>
      </c>
      <c r="B95" s="316"/>
      <c r="C95" s="133"/>
      <c r="D95" s="83"/>
      <c r="E95" s="53"/>
      <c r="F95" s="53"/>
      <c r="G95" s="245"/>
      <c r="H95" s="197"/>
      <c r="I95" s="33">
        <f>0.08*1.23*0.77</f>
        <v>0.075768</v>
      </c>
      <c r="J95" s="94"/>
      <c r="K95" s="95"/>
      <c r="L95" s="198"/>
      <c r="M95" s="95"/>
      <c r="N95" s="34"/>
      <c r="O95" s="83">
        <f>9.5*1.23*0.77</f>
        <v>8.99745</v>
      </c>
      <c r="P95" s="129"/>
      <c r="Q95" s="129"/>
      <c r="R95" s="194"/>
      <c r="S95" s="83"/>
      <c r="T95" s="271"/>
      <c r="U95" s="124"/>
      <c r="V95" s="149"/>
      <c r="W95" s="80"/>
      <c r="X95" s="45"/>
      <c r="Y95" s="154"/>
      <c r="Z95" s="365"/>
      <c r="AA95" s="366"/>
    </row>
    <row r="96" spans="1:27" ht="13.5" hidden="1" thickBot="1">
      <c r="A96" s="476"/>
      <c r="B96" s="376" t="s">
        <v>270</v>
      </c>
      <c r="C96" s="315" t="s">
        <v>273</v>
      </c>
      <c r="D96" s="67">
        <v>1357.92</v>
      </c>
      <c r="E96" s="324">
        <f>(D96-D92)*X$9</f>
        <v>5872.200000000001</v>
      </c>
      <c r="F96" s="352">
        <v>5872</v>
      </c>
      <c r="G96" s="59"/>
      <c r="H96" s="275"/>
      <c r="I96" s="38">
        <f>16.34*1.23*0.77</f>
        <v>15.475613999999998</v>
      </c>
      <c r="J96" s="86"/>
      <c r="K96" s="62"/>
      <c r="L96" s="221">
        <f>(E95+E96)*K96</f>
        <v>0</v>
      </c>
      <c r="M96" s="62"/>
      <c r="N96" s="65">
        <f>(E95+E96)*M96</f>
        <v>0</v>
      </c>
      <c r="O96" s="67">
        <f>0.00158*E96*1.23</f>
        <v>11.41203348</v>
      </c>
      <c r="P96" s="67">
        <v>25.3</v>
      </c>
      <c r="Q96" s="67">
        <v>31.75</v>
      </c>
      <c r="R96" s="324">
        <f>(Q96-P96)*30</f>
        <v>193.49999999999997</v>
      </c>
      <c r="S96" s="85"/>
      <c r="T96" s="170"/>
      <c r="U96" s="301"/>
      <c r="V96" s="86"/>
      <c r="W96" s="41"/>
      <c r="X96" s="43">
        <v>65</v>
      </c>
      <c r="Y96" s="72">
        <v>41</v>
      </c>
      <c r="Z96" s="43"/>
      <c r="AA96" s="183"/>
    </row>
    <row r="97" spans="1:27" ht="13.5" hidden="1" thickBot="1">
      <c r="A97" s="322"/>
      <c r="B97" s="374"/>
      <c r="C97" s="134"/>
      <c r="D97" s="177">
        <v>2174.04</v>
      </c>
      <c r="E97" s="368"/>
      <c r="F97" s="369"/>
      <c r="G97" s="60"/>
      <c r="H97" s="242"/>
      <c r="I97" s="33"/>
      <c r="J97" s="94"/>
      <c r="K97" s="93"/>
      <c r="L97" s="111"/>
      <c r="M97" s="93"/>
      <c r="N97" s="44"/>
      <c r="O97" s="79"/>
      <c r="P97" s="79"/>
      <c r="Q97" s="79"/>
      <c r="R97" s="368"/>
      <c r="S97" s="184"/>
      <c r="T97" s="175"/>
      <c r="U97" s="377"/>
      <c r="V97" s="94"/>
      <c r="W97" s="130"/>
      <c r="X97" s="45"/>
      <c r="Y97" s="81"/>
      <c r="Z97" s="45"/>
      <c r="AA97" s="182"/>
    </row>
    <row r="98" spans="1:27" ht="13.5" hidden="1" thickBot="1">
      <c r="A98" s="322"/>
      <c r="B98" s="374"/>
      <c r="C98" s="134"/>
      <c r="D98" s="91">
        <v>0</v>
      </c>
      <c r="E98" s="368"/>
      <c r="F98" s="369"/>
      <c r="G98" s="60"/>
      <c r="H98" s="242"/>
      <c r="I98" s="33"/>
      <c r="J98" s="94"/>
      <c r="K98" s="93"/>
      <c r="L98" s="111"/>
      <c r="M98" s="93"/>
      <c r="N98" s="44"/>
      <c r="O98" s="79"/>
      <c r="P98" s="79"/>
      <c r="Q98" s="79"/>
      <c r="R98" s="368"/>
      <c r="S98" s="184"/>
      <c r="T98" s="175"/>
      <c r="U98" s="377"/>
      <c r="V98" s="94"/>
      <c r="W98" s="130"/>
      <c r="X98" s="45"/>
      <c r="Y98" s="81"/>
      <c r="Z98" s="365"/>
      <c r="AA98" s="366"/>
    </row>
    <row r="99" spans="1:27" ht="13.5" hidden="1" thickBot="1">
      <c r="A99" s="322"/>
      <c r="B99" s="374"/>
      <c r="C99" s="134"/>
      <c r="D99" s="79">
        <v>2194.56</v>
      </c>
      <c r="E99" s="368">
        <f>(D99-D97)*X$9</f>
        <v>615.5999999999995</v>
      </c>
      <c r="F99" s="369"/>
      <c r="G99" s="60"/>
      <c r="H99" s="242"/>
      <c r="I99" s="33"/>
      <c r="J99" s="94"/>
      <c r="K99" s="93"/>
      <c r="L99" s="111"/>
      <c r="M99" s="93"/>
      <c r="N99" s="44"/>
      <c r="O99" s="79"/>
      <c r="P99" s="79">
        <v>28.05</v>
      </c>
      <c r="Q99" s="79">
        <v>28.11</v>
      </c>
      <c r="R99" s="368">
        <f aca="true" t="shared" si="2" ref="R99:R104">(Q99-P99)*30</f>
        <v>1.7999999999999616</v>
      </c>
      <c r="S99" s="184"/>
      <c r="T99" s="170"/>
      <c r="U99" s="377"/>
      <c r="V99" s="94"/>
      <c r="W99" s="130"/>
      <c r="X99" s="45"/>
      <c r="Y99" s="81"/>
      <c r="Z99" s="45"/>
      <c r="AA99" s="182"/>
    </row>
    <row r="100" spans="1:27" ht="13.5" hidden="1" thickBot="1">
      <c r="A100" s="475">
        <v>10</v>
      </c>
      <c r="B100" s="317"/>
      <c r="C100" s="133"/>
      <c r="D100" s="83">
        <v>2.86</v>
      </c>
      <c r="E100" s="325">
        <f>(D100-D98)*X$9</f>
        <v>85.8</v>
      </c>
      <c r="F100" s="53"/>
      <c r="G100" s="245"/>
      <c r="H100" s="197"/>
      <c r="I100" s="33">
        <f>0.08*1.23*0.23</f>
        <v>0.022632000000000003</v>
      </c>
      <c r="J100" s="94"/>
      <c r="K100" s="93"/>
      <c r="L100" s="198"/>
      <c r="M100" s="95"/>
      <c r="N100" s="34"/>
      <c r="O100" s="83">
        <f>9.5*1.23*0.23</f>
        <v>2.6875500000000003</v>
      </c>
      <c r="P100" s="378">
        <v>0</v>
      </c>
      <c r="Q100" s="378">
        <v>0.28</v>
      </c>
      <c r="R100" s="193">
        <f t="shared" si="2"/>
        <v>8.4</v>
      </c>
      <c r="S100" s="83"/>
      <c r="T100" s="170"/>
      <c r="U100" s="124"/>
      <c r="V100" s="149"/>
      <c r="W100" s="80"/>
      <c r="X100" s="45"/>
      <c r="Y100" s="154"/>
      <c r="Z100" s="365"/>
      <c r="AA100" s="366"/>
    </row>
    <row r="101" spans="1:27" ht="13.5" hidden="1" thickBot="1">
      <c r="A101" s="476"/>
      <c r="B101" s="375" t="s">
        <v>269</v>
      </c>
      <c r="C101" s="315" t="s">
        <v>268</v>
      </c>
      <c r="D101" s="67">
        <v>28.15</v>
      </c>
      <c r="E101" s="324">
        <f>(D101-D98)*X$9</f>
        <v>844.5</v>
      </c>
      <c r="F101" s="352">
        <v>1546</v>
      </c>
      <c r="G101" s="59"/>
      <c r="H101" s="275"/>
      <c r="I101" s="38">
        <f>16.34*1.23*0.23</f>
        <v>4.622586</v>
      </c>
      <c r="J101" s="86"/>
      <c r="K101" s="62"/>
      <c r="L101" s="221">
        <f>(E99*K99)+(E100*K100)+(E101*K101)</f>
        <v>0</v>
      </c>
      <c r="M101" s="62"/>
      <c r="N101" s="65">
        <f>(E99+E100+E101)*M101</f>
        <v>0</v>
      </c>
      <c r="O101" s="67">
        <f>0.00158*(E99+E100+E101)*1.23</f>
        <v>3.0043020599999988</v>
      </c>
      <c r="P101" s="67">
        <v>0</v>
      </c>
      <c r="Q101" s="67">
        <v>2.83</v>
      </c>
      <c r="R101" s="324">
        <f t="shared" si="2"/>
        <v>84.9</v>
      </c>
      <c r="S101" s="85"/>
      <c r="T101" s="175"/>
      <c r="U101" s="301"/>
      <c r="V101" s="86"/>
      <c r="W101" s="41"/>
      <c r="X101" s="43">
        <v>65</v>
      </c>
      <c r="Y101" s="72"/>
      <c r="Z101" s="43"/>
      <c r="AA101" s="183"/>
    </row>
    <row r="102" spans="1:27" ht="13.5" hidden="1" thickBot="1">
      <c r="A102" s="475">
        <v>11</v>
      </c>
      <c r="B102" s="379"/>
      <c r="C102" s="134"/>
      <c r="D102" s="79">
        <v>2307.13</v>
      </c>
      <c r="E102" s="368">
        <f>(D102-D99)*X$9</f>
        <v>3377.100000000005</v>
      </c>
      <c r="F102" s="369"/>
      <c r="G102" s="60"/>
      <c r="H102" s="242"/>
      <c r="I102" s="33"/>
      <c r="J102" s="94"/>
      <c r="K102" s="93"/>
      <c r="L102" s="111"/>
      <c r="M102" s="93"/>
      <c r="N102" s="44"/>
      <c r="O102" s="79"/>
      <c r="P102" s="79">
        <v>28.11</v>
      </c>
      <c r="Q102" s="79">
        <v>28.49</v>
      </c>
      <c r="R102" s="368">
        <f t="shared" si="2"/>
        <v>11.39999999999997</v>
      </c>
      <c r="S102" s="286"/>
      <c r="T102" s="178"/>
      <c r="U102" s="381"/>
      <c r="V102" s="94"/>
      <c r="W102" s="130"/>
      <c r="X102" s="45"/>
      <c r="Y102" s="81"/>
      <c r="Z102" s="45"/>
      <c r="AA102" s="182"/>
    </row>
    <row r="103" spans="1:27" ht="13.5" hidden="1" thickBot="1">
      <c r="A103" s="476"/>
      <c r="B103" s="73"/>
      <c r="C103" s="133"/>
      <c r="D103" s="83">
        <v>16.81</v>
      </c>
      <c r="E103" s="325">
        <f>(D103-D100)*X$9</f>
        <v>418.5</v>
      </c>
      <c r="F103" s="53"/>
      <c r="G103" s="245"/>
      <c r="H103" s="197"/>
      <c r="I103" s="33">
        <f>0.08*1.23</f>
        <v>0.0984</v>
      </c>
      <c r="J103" s="94"/>
      <c r="K103" s="93"/>
      <c r="L103" s="198"/>
      <c r="M103" s="95"/>
      <c r="N103" s="34"/>
      <c r="O103" s="83">
        <f>9.5*1.23</f>
        <v>11.685</v>
      </c>
      <c r="P103" s="378">
        <v>0.28</v>
      </c>
      <c r="Q103" s="378">
        <v>1.81</v>
      </c>
      <c r="R103" s="193">
        <f t="shared" si="2"/>
        <v>45.9</v>
      </c>
      <c r="S103" s="113"/>
      <c r="T103" s="175"/>
      <c r="U103" s="123"/>
      <c r="V103" s="149"/>
      <c r="W103" s="80"/>
      <c r="X103" s="45"/>
      <c r="Y103" s="154"/>
      <c r="Z103" s="365"/>
      <c r="AA103" s="366"/>
    </row>
    <row r="104" spans="1:27" ht="13.5" hidden="1" thickBot="1">
      <c r="A104" s="322"/>
      <c r="B104" s="354" t="s">
        <v>271</v>
      </c>
      <c r="C104" s="315" t="s">
        <v>272</v>
      </c>
      <c r="D104" s="67">
        <v>169.61</v>
      </c>
      <c r="E104" s="324">
        <f>(D104-D101)*X$9</f>
        <v>4243.8</v>
      </c>
      <c r="F104" s="352">
        <v>8039</v>
      </c>
      <c r="G104" s="59"/>
      <c r="H104" s="275"/>
      <c r="I104" s="38">
        <f>16.34*1.23</f>
        <v>20.0982</v>
      </c>
      <c r="J104" s="86"/>
      <c r="K104" s="62"/>
      <c r="L104" s="221">
        <f>(E102*K102)+(E103*K103)+(E104*K104)</f>
        <v>0</v>
      </c>
      <c r="M104" s="62"/>
      <c r="N104" s="65">
        <f>(E102+E103+E104)*M104</f>
        <v>0</v>
      </c>
      <c r="O104" s="67">
        <f>0.00158*(E102+E103+E104)*1.23</f>
        <v>15.62376996000001</v>
      </c>
      <c r="P104" s="67">
        <v>2.83</v>
      </c>
      <c r="Q104" s="67">
        <v>18.47</v>
      </c>
      <c r="R104" s="324">
        <f t="shared" si="2"/>
        <v>469.2</v>
      </c>
      <c r="S104" s="380"/>
      <c r="T104" s="170"/>
      <c r="U104" s="382"/>
      <c r="V104" s="86"/>
      <c r="W104" s="41"/>
      <c r="X104" s="43">
        <v>65</v>
      </c>
      <c r="Y104" s="72">
        <v>41</v>
      </c>
      <c r="Z104" s="43"/>
      <c r="AA104" s="183"/>
    </row>
    <row r="105" spans="1:27" ht="13.5" hidden="1" thickBot="1">
      <c r="A105" s="322"/>
      <c r="B105" s="73"/>
      <c r="C105" s="133"/>
      <c r="D105" s="83"/>
      <c r="E105" s="325"/>
      <c r="F105" s="53"/>
      <c r="G105" s="245"/>
      <c r="H105" s="197"/>
      <c r="I105" s="33"/>
      <c r="J105" s="94"/>
      <c r="K105" s="93"/>
      <c r="L105" s="111"/>
      <c r="M105" s="93"/>
      <c r="N105" s="44"/>
      <c r="O105" s="79"/>
      <c r="P105" s="79"/>
      <c r="Q105" s="79"/>
      <c r="R105" s="368"/>
      <c r="S105" s="286"/>
      <c r="T105" s="175"/>
      <c r="U105" s="381"/>
      <c r="V105" s="94"/>
      <c r="W105" s="130"/>
      <c r="X105" s="45"/>
      <c r="Y105" s="81"/>
      <c r="Z105" s="45"/>
      <c r="AA105" s="182"/>
    </row>
    <row r="106" spans="1:27" ht="13.5" hidden="1" thickBot="1">
      <c r="A106" s="322"/>
      <c r="B106" s="383" t="s">
        <v>200</v>
      </c>
      <c r="C106" s="315" t="s">
        <v>272</v>
      </c>
      <c r="D106" s="67"/>
      <c r="E106" s="324"/>
      <c r="F106" s="352"/>
      <c r="G106" s="59"/>
      <c r="H106" s="275"/>
      <c r="I106" s="38"/>
      <c r="J106" s="297"/>
      <c r="K106" s="62"/>
      <c r="L106" s="86"/>
      <c r="M106" s="62"/>
      <c r="N106" s="38"/>
      <c r="O106" s="67"/>
      <c r="P106" s="67"/>
      <c r="Q106" s="67"/>
      <c r="R106" s="329"/>
      <c r="S106" s="380"/>
      <c r="T106" s="170"/>
      <c r="U106" s="382"/>
      <c r="V106" s="297"/>
      <c r="W106" s="41"/>
      <c r="X106" s="43"/>
      <c r="Y106" s="72"/>
      <c r="Z106" s="43"/>
      <c r="AA106" s="183"/>
    </row>
    <row r="107" spans="1:27" ht="13.5" hidden="1" thickBot="1">
      <c r="A107" s="78"/>
      <c r="B107" s="173"/>
      <c r="C107" s="134"/>
      <c r="D107" s="79">
        <v>2409.21</v>
      </c>
      <c r="E107" s="368">
        <f>(D107-D102)*X$9</f>
        <v>3062.399999999998</v>
      </c>
      <c r="F107" s="369"/>
      <c r="G107" s="60"/>
      <c r="H107" s="242"/>
      <c r="I107" s="33"/>
      <c r="J107" s="94"/>
      <c r="K107" s="93"/>
      <c r="L107" s="111"/>
      <c r="M107" s="93"/>
      <c r="N107" s="44"/>
      <c r="O107" s="79"/>
      <c r="P107" s="79">
        <v>28.49</v>
      </c>
      <c r="Q107" s="79">
        <v>29.01</v>
      </c>
      <c r="R107" s="368">
        <f aca="true" t="shared" si="3" ref="R107:R112">(Q107-P107)*30</f>
        <v>15.600000000000094</v>
      </c>
      <c r="S107" s="286"/>
      <c r="T107" s="175"/>
      <c r="U107" s="381"/>
      <c r="V107" s="94"/>
      <c r="W107" s="130"/>
      <c r="X107" s="45"/>
      <c r="Y107" s="81"/>
      <c r="Z107" s="45"/>
      <c r="AA107" s="182"/>
    </row>
    <row r="108" spans="1:27" ht="13.5" hidden="1" thickBot="1">
      <c r="A108" s="78"/>
      <c r="B108" s="73"/>
      <c r="C108" s="133"/>
      <c r="D108" s="83">
        <v>32.1</v>
      </c>
      <c r="E108" s="325">
        <f>(D108-D103)*X$9</f>
        <v>458.7000000000001</v>
      </c>
      <c r="F108" s="53"/>
      <c r="G108" s="245"/>
      <c r="H108" s="197"/>
      <c r="I108" s="33">
        <f>0.08*1.23</f>
        <v>0.0984</v>
      </c>
      <c r="J108" s="94"/>
      <c r="K108" s="93"/>
      <c r="L108" s="198"/>
      <c r="M108" s="95"/>
      <c r="N108" s="34"/>
      <c r="O108" s="83">
        <f>9.5*1.23</f>
        <v>11.685</v>
      </c>
      <c r="P108" s="378">
        <v>1.81</v>
      </c>
      <c r="Q108" s="378">
        <v>3.76</v>
      </c>
      <c r="R108" s="193">
        <f t="shared" si="3"/>
        <v>58.49999999999999</v>
      </c>
      <c r="S108" s="113"/>
      <c r="T108" s="175"/>
      <c r="U108" s="123"/>
      <c r="V108" s="149"/>
      <c r="W108" s="80"/>
      <c r="X108" s="45"/>
      <c r="Y108" s="154"/>
      <c r="Z108" s="365"/>
      <c r="AA108" s="366"/>
    </row>
    <row r="109" spans="1:27" ht="13.5" hidden="1" thickBot="1">
      <c r="A109" s="78"/>
      <c r="B109" s="354" t="s">
        <v>276</v>
      </c>
      <c r="C109" s="315" t="s">
        <v>275</v>
      </c>
      <c r="D109" s="67">
        <v>314.83</v>
      </c>
      <c r="E109" s="324">
        <f>(D109-D104)*X$9</f>
        <v>4356.599999999999</v>
      </c>
      <c r="F109" s="352">
        <v>7878</v>
      </c>
      <c r="G109" s="59"/>
      <c r="H109" s="275"/>
      <c r="I109" s="38">
        <f>16.34*1.23</f>
        <v>20.0982</v>
      </c>
      <c r="J109" s="86"/>
      <c r="K109" s="62"/>
      <c r="L109" s="221">
        <f>(E107*K107)+(E108*K108)+(E109*K109)</f>
        <v>0</v>
      </c>
      <c r="M109" s="62"/>
      <c r="N109" s="65">
        <f>(E107+E108+E109)*M109</f>
        <v>0</v>
      </c>
      <c r="O109" s="67">
        <f>0.00158*(E107+E108+E109)*1.23</f>
        <v>15.309522179999993</v>
      </c>
      <c r="P109" s="67">
        <v>18.47</v>
      </c>
      <c r="Q109" s="67">
        <v>33.22</v>
      </c>
      <c r="R109" s="324">
        <f t="shared" si="3"/>
        <v>442.5</v>
      </c>
      <c r="S109" s="380"/>
      <c r="T109" s="170"/>
      <c r="U109" s="382"/>
      <c r="V109" s="86"/>
      <c r="W109" s="41"/>
      <c r="X109" s="43">
        <v>65</v>
      </c>
      <c r="Y109" s="72">
        <v>44</v>
      </c>
      <c r="Z109" s="43"/>
      <c r="AA109" s="183"/>
    </row>
    <row r="110" spans="1:27" ht="13.5" hidden="1" thickBot="1">
      <c r="A110" s="78"/>
      <c r="B110" s="173"/>
      <c r="C110" s="134"/>
      <c r="D110" s="79">
        <v>2534.59</v>
      </c>
      <c r="E110" s="368">
        <f aca="true" t="shared" si="4" ref="E110:E118">(D110-D107)*X$9</f>
        <v>3761.4000000000033</v>
      </c>
      <c r="F110" s="369"/>
      <c r="G110" s="60"/>
      <c r="H110" s="242"/>
      <c r="I110" s="33"/>
      <c r="J110" s="94"/>
      <c r="K110" s="93"/>
      <c r="L110" s="111"/>
      <c r="M110" s="93"/>
      <c r="N110" s="44"/>
      <c r="O110" s="79"/>
      <c r="P110" s="79">
        <v>29.01</v>
      </c>
      <c r="Q110" s="79">
        <v>29.71</v>
      </c>
      <c r="R110" s="368">
        <f t="shared" si="3"/>
        <v>20.99999999999998</v>
      </c>
      <c r="S110" s="286"/>
      <c r="T110" s="178"/>
      <c r="U110" s="381"/>
      <c r="V110" s="94"/>
      <c r="W110" s="130"/>
      <c r="X110" s="45"/>
      <c r="Y110" s="81"/>
      <c r="Z110" s="45"/>
      <c r="AA110" s="182"/>
    </row>
    <row r="111" spans="1:27" ht="13.5" hidden="1" thickBot="1">
      <c r="A111" s="78"/>
      <c r="B111" s="73"/>
      <c r="C111" s="133"/>
      <c r="D111" s="83">
        <v>52.62</v>
      </c>
      <c r="E111" s="325">
        <f t="shared" si="4"/>
        <v>615.5999999999999</v>
      </c>
      <c r="F111" s="53"/>
      <c r="G111" s="245"/>
      <c r="H111" s="197"/>
      <c r="I111" s="33">
        <f>0.08*1.23</f>
        <v>0.0984</v>
      </c>
      <c r="J111" s="94"/>
      <c r="K111" s="93"/>
      <c r="L111" s="198"/>
      <c r="M111" s="95"/>
      <c r="N111" s="34"/>
      <c r="O111" s="83">
        <f>9.5*1.23</f>
        <v>11.685</v>
      </c>
      <c r="P111" s="378">
        <v>3.76</v>
      </c>
      <c r="Q111" s="378">
        <v>6.4</v>
      </c>
      <c r="R111" s="193">
        <f t="shared" si="3"/>
        <v>79.20000000000002</v>
      </c>
      <c r="S111" s="113"/>
      <c r="T111" s="175"/>
      <c r="U111" s="123"/>
      <c r="V111" s="149"/>
      <c r="W111" s="80"/>
      <c r="X111" s="45"/>
      <c r="Y111" s="154"/>
      <c r="Z111" s="365"/>
      <c r="AA111" s="366"/>
    </row>
    <row r="112" spans="1:27" ht="13.5" hidden="1" thickBot="1">
      <c r="A112" s="78"/>
      <c r="B112" s="354" t="s">
        <v>278</v>
      </c>
      <c r="C112" s="315" t="s">
        <v>277</v>
      </c>
      <c r="D112" s="67">
        <v>480.02</v>
      </c>
      <c r="E112" s="324">
        <f t="shared" si="4"/>
        <v>4955.7</v>
      </c>
      <c r="F112" s="352">
        <v>9333</v>
      </c>
      <c r="G112" s="59"/>
      <c r="H112" s="275"/>
      <c r="I112" s="38">
        <f>16.34*1.23</f>
        <v>20.0982</v>
      </c>
      <c r="J112" s="86"/>
      <c r="K112" s="62"/>
      <c r="L112" s="221">
        <f>(E110*K110)+(E111*K111)+(E112*K112)</f>
        <v>0</v>
      </c>
      <c r="M112" s="62"/>
      <c r="N112" s="65">
        <f>(E110+E111+E112)*M112</f>
        <v>0</v>
      </c>
      <c r="O112" s="67">
        <f>0.00158*(E110+E111+E112)*1.23</f>
        <v>18.137169180000008</v>
      </c>
      <c r="P112" s="67">
        <v>33.22</v>
      </c>
      <c r="Q112" s="67">
        <v>48.84</v>
      </c>
      <c r="R112" s="324">
        <f t="shared" si="3"/>
        <v>468.60000000000014</v>
      </c>
      <c r="S112" s="380"/>
      <c r="T112" s="170"/>
      <c r="U112" s="382"/>
      <c r="V112" s="86"/>
      <c r="W112" s="41"/>
      <c r="X112" s="43">
        <v>65</v>
      </c>
      <c r="Y112" s="72">
        <v>55</v>
      </c>
      <c r="Z112" s="43"/>
      <c r="AA112" s="183"/>
    </row>
    <row r="113" spans="1:27" ht="13.5" hidden="1" thickBot="1">
      <c r="A113" s="78"/>
      <c r="B113" s="173"/>
      <c r="C113" s="134"/>
      <c r="D113" s="79">
        <v>2689.64</v>
      </c>
      <c r="E113" s="368">
        <f t="shared" si="4"/>
        <v>4651.499999999992</v>
      </c>
      <c r="F113" s="369"/>
      <c r="G113" s="60"/>
      <c r="H113" s="242"/>
      <c r="I113" s="33"/>
      <c r="J113" s="94"/>
      <c r="K113" s="93"/>
      <c r="L113" s="111"/>
      <c r="M113" s="93"/>
      <c r="N113" s="44"/>
      <c r="O113" s="79"/>
      <c r="P113" s="79">
        <v>29.71</v>
      </c>
      <c r="Q113" s="79">
        <v>30.05</v>
      </c>
      <c r="R113" s="368">
        <f aca="true" t="shared" si="5" ref="R113:R118">(Q113-P113)*30</f>
        <v>10.199999999999996</v>
      </c>
      <c r="S113" s="286"/>
      <c r="T113" s="178"/>
      <c r="U113" s="381"/>
      <c r="V113" s="94"/>
      <c r="W113" s="130"/>
      <c r="X113" s="45"/>
      <c r="Y113" s="81"/>
      <c r="Z113" s="45"/>
      <c r="AA113" s="182"/>
    </row>
    <row r="114" spans="1:27" ht="13.5" hidden="1" thickBot="1">
      <c r="A114" s="78"/>
      <c r="B114" s="73"/>
      <c r="C114" s="133"/>
      <c r="D114" s="83">
        <v>89</v>
      </c>
      <c r="E114" s="325">
        <f t="shared" si="4"/>
        <v>1091.4</v>
      </c>
      <c r="F114" s="53"/>
      <c r="G114" s="245"/>
      <c r="H114" s="197"/>
      <c r="I114" s="33">
        <f>0.08*1.23</f>
        <v>0.0984</v>
      </c>
      <c r="J114" s="94"/>
      <c r="K114" s="93"/>
      <c r="L114" s="198"/>
      <c r="M114" s="95"/>
      <c r="N114" s="34"/>
      <c r="O114" s="83">
        <f>9.5*1.23</f>
        <v>11.685</v>
      </c>
      <c r="P114" s="378">
        <v>6.4</v>
      </c>
      <c r="Q114" s="378">
        <v>10.1</v>
      </c>
      <c r="R114" s="193">
        <f t="shared" si="5"/>
        <v>110.99999999999997</v>
      </c>
      <c r="S114" s="113"/>
      <c r="T114" s="175"/>
      <c r="U114" s="123"/>
      <c r="V114" s="149"/>
      <c r="W114" s="80"/>
      <c r="X114" s="45"/>
      <c r="Y114" s="154"/>
      <c r="Z114" s="365"/>
      <c r="AA114" s="366"/>
    </row>
    <row r="115" spans="1:27" ht="13.5" hidden="1" thickBot="1">
      <c r="A115" s="78"/>
      <c r="B115" s="354" t="s">
        <v>281</v>
      </c>
      <c r="C115" s="315" t="s">
        <v>282</v>
      </c>
      <c r="D115" s="67">
        <v>672.18</v>
      </c>
      <c r="E115" s="324">
        <f t="shared" si="4"/>
        <v>5764.799999999999</v>
      </c>
      <c r="F115" s="352"/>
      <c r="G115" s="59"/>
      <c r="H115" s="275"/>
      <c r="I115" s="38">
        <f>16.34*1.23</f>
        <v>20.0982</v>
      </c>
      <c r="J115" s="86"/>
      <c r="K115" s="62"/>
      <c r="L115" s="221">
        <f>(E113*K113)+(E114*K114)+(E115*K115)</f>
        <v>0</v>
      </c>
      <c r="M115" s="62"/>
      <c r="N115" s="65">
        <f>(E113+E114+E115)*M115</f>
        <v>0</v>
      </c>
      <c r="O115" s="67">
        <f>0.00158*(E113+E114+E115)*1.23</f>
        <v>22.364064179999986</v>
      </c>
      <c r="P115" s="67">
        <v>48.84</v>
      </c>
      <c r="Q115" s="67">
        <v>65.71</v>
      </c>
      <c r="R115" s="324">
        <f t="shared" si="5"/>
        <v>506.0999999999997</v>
      </c>
      <c r="S115" s="380"/>
      <c r="T115" s="170"/>
      <c r="U115" s="382"/>
      <c r="V115" s="86"/>
      <c r="W115" s="41"/>
      <c r="X115" s="43">
        <v>65</v>
      </c>
      <c r="Y115" s="72">
        <v>49</v>
      </c>
      <c r="Z115" s="43"/>
      <c r="AA115" s="183"/>
    </row>
    <row r="116" spans="1:27" ht="13.5" hidden="1" thickBot="1">
      <c r="A116" s="78"/>
      <c r="B116" s="173"/>
      <c r="C116" s="134"/>
      <c r="D116" s="79">
        <v>2825.64</v>
      </c>
      <c r="E116" s="368">
        <f t="shared" si="4"/>
        <v>4080</v>
      </c>
      <c r="F116" s="369"/>
      <c r="G116" s="60"/>
      <c r="H116" s="242"/>
      <c r="I116" s="33"/>
      <c r="J116" s="94"/>
      <c r="K116" s="93"/>
      <c r="L116" s="111"/>
      <c r="M116" s="93"/>
      <c r="N116" s="44"/>
      <c r="O116" s="79"/>
      <c r="P116" s="79">
        <v>30.05</v>
      </c>
      <c r="Q116" s="79">
        <v>30.18</v>
      </c>
      <c r="R116" s="368">
        <f t="shared" si="5"/>
        <v>3.89999999999997</v>
      </c>
      <c r="S116" s="286"/>
      <c r="T116" s="178"/>
      <c r="U116" s="381"/>
      <c r="V116" s="94"/>
      <c r="W116" s="130"/>
      <c r="X116" s="45"/>
      <c r="Y116" s="81"/>
      <c r="Z116" s="45"/>
      <c r="AA116" s="182"/>
    </row>
    <row r="117" spans="1:27" ht="13.5" hidden="1" thickBot="1">
      <c r="A117" s="442">
        <v>12</v>
      </c>
      <c r="B117" s="73"/>
      <c r="C117" s="133"/>
      <c r="D117" s="83">
        <v>127.52</v>
      </c>
      <c r="E117" s="325">
        <f t="shared" si="4"/>
        <v>1155.6</v>
      </c>
      <c r="F117" s="53"/>
      <c r="G117" s="245"/>
      <c r="H117" s="197"/>
      <c r="I117" s="33">
        <f>0.08*1.23</f>
        <v>0.0984</v>
      </c>
      <c r="J117" s="94"/>
      <c r="K117" s="93"/>
      <c r="L117" s="198"/>
      <c r="M117" s="95"/>
      <c r="N117" s="34"/>
      <c r="O117" s="83">
        <f>9.5*1.23</f>
        <v>11.685</v>
      </c>
      <c r="P117" s="378">
        <v>10.1</v>
      </c>
      <c r="Q117" s="378">
        <v>14.26</v>
      </c>
      <c r="R117" s="193">
        <f t="shared" si="5"/>
        <v>124.80000000000001</v>
      </c>
      <c r="S117" s="113"/>
      <c r="T117" s="175"/>
      <c r="U117" s="123"/>
      <c r="V117" s="149"/>
      <c r="W117" s="80"/>
      <c r="X117" s="45"/>
      <c r="Y117" s="154"/>
      <c r="Z117" s="365"/>
      <c r="AA117" s="366"/>
    </row>
    <row r="118" spans="1:27" ht="13.5" hidden="1" thickBot="1">
      <c r="A118" s="443"/>
      <c r="B118" s="354" t="s">
        <v>284</v>
      </c>
      <c r="C118" s="315" t="s">
        <v>283</v>
      </c>
      <c r="D118" s="67">
        <v>875.93</v>
      </c>
      <c r="E118" s="324">
        <f t="shared" si="4"/>
        <v>6112.5</v>
      </c>
      <c r="F118" s="352"/>
      <c r="G118" s="59"/>
      <c r="H118" s="275"/>
      <c r="I118" s="38">
        <f>16.34*1.23</f>
        <v>20.0982</v>
      </c>
      <c r="J118" s="86"/>
      <c r="K118" s="62"/>
      <c r="L118" s="221">
        <f>(E116*K116)+(E117*K117)+(E118*K118)</f>
        <v>0</v>
      </c>
      <c r="M118" s="62"/>
      <c r="N118" s="65">
        <f>(E116+E117+E118)*M118</f>
        <v>0</v>
      </c>
      <c r="O118" s="67">
        <f>0.00158*(E116+E117+E118)*1.23</f>
        <v>22.05389754</v>
      </c>
      <c r="P118" s="67">
        <v>65.71</v>
      </c>
      <c r="Q118" s="67">
        <v>82.44</v>
      </c>
      <c r="R118" s="324">
        <f t="shared" si="5"/>
        <v>501.9000000000001</v>
      </c>
      <c r="S118" s="380"/>
      <c r="T118" s="170"/>
      <c r="U118" s="382"/>
      <c r="V118" s="86"/>
      <c r="W118" s="41"/>
      <c r="X118" s="43">
        <v>65</v>
      </c>
      <c r="Y118" s="72">
        <v>57</v>
      </c>
      <c r="Z118" s="43"/>
      <c r="AA118" s="183"/>
    </row>
    <row r="119" spans="1:27" ht="12.75">
      <c r="A119" s="436" t="s">
        <v>250</v>
      </c>
      <c r="B119" s="437"/>
      <c r="C119" s="437"/>
      <c r="D119" s="438"/>
      <c r="E119" s="46"/>
      <c r="F119" s="13"/>
      <c r="G119" s="196"/>
      <c r="H119" s="219"/>
      <c r="I119" s="13"/>
      <c r="J119" s="155"/>
      <c r="K119" s="46"/>
      <c r="L119" s="46"/>
      <c r="M119" s="46"/>
      <c r="N119" s="46"/>
      <c r="O119" s="290"/>
      <c r="P119" s="32"/>
      <c r="Q119" s="213"/>
      <c r="R119" s="227"/>
      <c r="S119" s="107"/>
      <c r="T119" s="168"/>
      <c r="U119" s="229"/>
      <c r="V119" s="225"/>
      <c r="W119" s="283"/>
      <c r="X119" s="47"/>
      <c r="Y119" s="291"/>
      <c r="Z119" s="47"/>
      <c r="AA119" s="190"/>
    </row>
    <row r="120" spans="1:27" ht="13.5" thickBot="1">
      <c r="A120" s="439"/>
      <c r="B120" s="440"/>
      <c r="C120" s="440"/>
      <c r="D120" s="441"/>
      <c r="E120" s="110">
        <f>SUM(E73:E118)</f>
        <v>126411</v>
      </c>
      <c r="F120" s="334">
        <f>SUM(F73:F118)+F123+F124</f>
        <v>126411</v>
      </c>
      <c r="G120" s="223"/>
      <c r="H120" s="224"/>
      <c r="I120" s="69"/>
      <c r="J120" s="69"/>
      <c r="K120" s="69"/>
      <c r="L120" s="69">
        <f>SUM(L73:L119)</f>
        <v>0</v>
      </c>
      <c r="M120" s="69"/>
      <c r="N120" s="69">
        <f>SUM(N73:N119)</f>
        <v>0</v>
      </c>
      <c r="O120" s="69">
        <f>SUM(O73:O119)</f>
        <v>349.5272525399999</v>
      </c>
      <c r="P120" s="48"/>
      <c r="Q120" s="48"/>
      <c r="R120" s="211"/>
      <c r="S120" s="108"/>
      <c r="T120" s="215"/>
      <c r="U120" s="48"/>
      <c r="V120" s="224"/>
      <c r="W120" s="223"/>
      <c r="X120" s="320">
        <v>65</v>
      </c>
      <c r="Y120" s="50">
        <f>SUM(Y73:Y119)/12</f>
        <v>53.666666666666664</v>
      </c>
      <c r="Z120" s="50"/>
      <c r="AA120" s="51"/>
    </row>
    <row r="121" spans="6:7" ht="12.75">
      <c r="F121" s="335">
        <f>F120-E120</f>
        <v>0</v>
      </c>
      <c r="G121" s="98"/>
    </row>
    <row r="122" spans="1:27" ht="12.75">
      <c r="A122" s="442">
        <v>1</v>
      </c>
      <c r="B122" s="73"/>
      <c r="C122" s="133"/>
      <c r="D122" s="83"/>
      <c r="E122" s="53"/>
      <c r="F122" s="369"/>
      <c r="G122" s="245"/>
      <c r="H122" s="242"/>
      <c r="I122" s="33"/>
      <c r="J122" s="94"/>
      <c r="K122" s="95"/>
      <c r="L122" s="198"/>
      <c r="M122" s="95"/>
      <c r="N122" s="34"/>
      <c r="O122" s="83"/>
      <c r="P122" s="129"/>
      <c r="Q122" s="129"/>
      <c r="R122" s="194"/>
      <c r="S122" s="83"/>
      <c r="T122" s="271"/>
      <c r="U122" s="124"/>
      <c r="V122" s="149"/>
      <c r="W122" s="80"/>
      <c r="X122" s="45"/>
      <c r="Y122" s="154"/>
      <c r="Z122" s="152"/>
      <c r="AA122" s="182"/>
    </row>
    <row r="123" spans="1:27" ht="12.75">
      <c r="A123" s="443"/>
      <c r="B123" s="76"/>
      <c r="C123" s="56"/>
      <c r="D123" s="67"/>
      <c r="E123" s="324"/>
      <c r="F123" s="352">
        <v>11508</v>
      </c>
      <c r="G123" s="401"/>
      <c r="H123" s="275"/>
      <c r="I123" s="38"/>
      <c r="J123" s="86"/>
      <c r="K123" s="62"/>
      <c r="L123" s="221"/>
      <c r="M123" s="62"/>
      <c r="N123" s="65"/>
      <c r="O123" s="146"/>
      <c r="P123" s="67"/>
      <c r="Q123" s="67"/>
      <c r="R123" s="324"/>
      <c r="S123" s="85"/>
      <c r="T123" s="170"/>
      <c r="U123" s="301"/>
      <c r="V123" s="86"/>
      <c r="W123" s="41"/>
      <c r="X123" s="43"/>
      <c r="Y123" s="72"/>
      <c r="Z123" s="43"/>
      <c r="AA123" s="183"/>
    </row>
    <row r="124" spans="1:27" ht="12.75">
      <c r="A124" s="442">
        <v>2</v>
      </c>
      <c r="B124" s="403"/>
      <c r="C124" s="406"/>
      <c r="D124" s="407"/>
      <c r="E124" s="405"/>
      <c r="F124" s="352">
        <v>11348</v>
      </c>
      <c r="G124" s="401"/>
      <c r="H124" s="275"/>
      <c r="I124" s="398"/>
      <c r="J124" s="399"/>
      <c r="K124" s="408"/>
      <c r="L124" s="400"/>
      <c r="M124" s="408"/>
      <c r="N124" s="398"/>
      <c r="O124" s="407"/>
      <c r="P124" s="409"/>
      <c r="Q124" s="409"/>
      <c r="R124" s="410"/>
      <c r="S124" s="407"/>
      <c r="T124" s="411"/>
      <c r="U124" s="124"/>
      <c r="V124" s="149"/>
      <c r="W124" s="80"/>
      <c r="X124" s="45"/>
      <c r="Y124" s="154"/>
      <c r="Z124" s="152"/>
      <c r="AA124" s="182"/>
    </row>
    <row r="125" spans="1:27" ht="12.75">
      <c r="A125" s="443"/>
      <c r="B125" s="173"/>
      <c r="C125" s="134"/>
      <c r="D125" s="79">
        <v>2966.03</v>
      </c>
      <c r="E125" s="368">
        <v>4212</v>
      </c>
      <c r="F125" s="369"/>
      <c r="G125" s="60"/>
      <c r="H125" s="242"/>
      <c r="I125" s="33"/>
      <c r="J125" s="94"/>
      <c r="K125" s="93"/>
      <c r="L125" s="111"/>
      <c r="M125" s="93"/>
      <c r="N125" s="44"/>
      <c r="O125" s="79"/>
      <c r="P125" s="79">
        <v>30.18</v>
      </c>
      <c r="Q125" s="79">
        <v>30.26</v>
      </c>
      <c r="R125" s="368">
        <f aca="true" t="shared" si="6" ref="R125:R130">(Q125-P125)*30</f>
        <v>2.4000000000000554</v>
      </c>
      <c r="S125" s="286"/>
      <c r="T125" s="175"/>
      <c r="U125" s="381"/>
      <c r="V125" s="94"/>
      <c r="W125" s="130"/>
      <c r="X125" s="45"/>
      <c r="Y125" s="81"/>
      <c r="Z125" s="45"/>
      <c r="AA125" s="182"/>
    </row>
    <row r="126" spans="1:27" ht="12.75">
      <c r="A126" s="322"/>
      <c r="B126" s="73"/>
      <c r="C126" s="133"/>
      <c r="D126" s="83">
        <v>169.59</v>
      </c>
      <c r="E126" s="325">
        <v>1262</v>
      </c>
      <c r="F126" s="53"/>
      <c r="G126" s="245"/>
      <c r="H126" s="197"/>
      <c r="I126" s="33">
        <f>0.08*1.23</f>
        <v>0.0984</v>
      </c>
      <c r="J126" s="94"/>
      <c r="K126" s="93"/>
      <c r="L126" s="198"/>
      <c r="M126" s="95"/>
      <c r="N126" s="34"/>
      <c r="O126" s="83">
        <f>9.5*1.23</f>
        <v>11.685</v>
      </c>
      <c r="P126" s="378">
        <v>14.26</v>
      </c>
      <c r="Q126" s="378">
        <v>18.1</v>
      </c>
      <c r="R126" s="193">
        <f t="shared" si="6"/>
        <v>115.20000000000005</v>
      </c>
      <c r="S126" s="113"/>
      <c r="T126" s="175"/>
      <c r="U126" s="123"/>
      <c r="V126" s="149"/>
      <c r="W126" s="80"/>
      <c r="X126" s="45"/>
      <c r="Y126" s="154"/>
      <c r="Z126" s="365"/>
      <c r="AA126" s="366"/>
    </row>
    <row r="127" spans="1:27" ht="12.75">
      <c r="A127" s="322"/>
      <c r="B127" s="354" t="s">
        <v>287</v>
      </c>
      <c r="C127" s="315" t="s">
        <v>288</v>
      </c>
      <c r="D127" s="67">
        <v>1100.27</v>
      </c>
      <c r="E127" s="324">
        <v>6730</v>
      </c>
      <c r="F127" s="352">
        <v>12204</v>
      </c>
      <c r="G127" s="59"/>
      <c r="H127" s="275"/>
      <c r="I127" s="38">
        <f>16.34*1.23</f>
        <v>20.0982</v>
      </c>
      <c r="J127" s="86"/>
      <c r="K127" s="62"/>
      <c r="L127" s="221">
        <f>(E125*K125)+(E126*K126)+(E127*K127)</f>
        <v>0</v>
      </c>
      <c r="M127" s="62"/>
      <c r="N127" s="65">
        <f>(E125+E126+E127)*M127</f>
        <v>0</v>
      </c>
      <c r="O127" s="67">
        <f>0.00158*(E125+E126+E127)*1.23</f>
        <v>23.7172536</v>
      </c>
      <c r="P127" s="67">
        <v>82.44</v>
      </c>
      <c r="Q127" s="67">
        <v>99.42</v>
      </c>
      <c r="R127" s="324">
        <f t="shared" si="6"/>
        <v>509.4000000000001</v>
      </c>
      <c r="S127" s="380"/>
      <c r="T127" s="170"/>
      <c r="U127" s="382"/>
      <c r="V127" s="86"/>
      <c r="W127" s="41"/>
      <c r="X127" s="43">
        <v>65</v>
      </c>
      <c r="Y127" s="72">
        <v>56</v>
      </c>
      <c r="Z127" s="43"/>
      <c r="AA127" s="183"/>
    </row>
    <row r="128" spans="1:27" ht="12.75">
      <c r="A128" s="475">
        <v>3</v>
      </c>
      <c r="B128" s="173"/>
      <c r="C128" s="134"/>
      <c r="D128" s="79">
        <v>3119.8</v>
      </c>
      <c r="E128" s="368">
        <f aca="true" t="shared" si="7" ref="E128:E160">(D128-D125)*X$9</f>
        <v>4613.099999999999</v>
      </c>
      <c r="F128" s="369"/>
      <c r="G128" s="60"/>
      <c r="H128" s="242"/>
      <c r="I128" s="33"/>
      <c r="J128" s="94"/>
      <c r="K128" s="93"/>
      <c r="L128" s="111"/>
      <c r="M128" s="93"/>
      <c r="N128" s="44"/>
      <c r="O128" s="79"/>
      <c r="P128" s="79">
        <v>30.26</v>
      </c>
      <c r="Q128" s="79">
        <v>30.36</v>
      </c>
      <c r="R128" s="368">
        <f t="shared" si="6"/>
        <v>2.999999999999936</v>
      </c>
      <c r="S128" s="286"/>
      <c r="T128" s="175"/>
      <c r="U128" s="381"/>
      <c r="V128" s="94"/>
      <c r="W128" s="130"/>
      <c r="X128" s="45"/>
      <c r="Y128" s="81"/>
      <c r="Z128" s="45"/>
      <c r="AA128" s="182"/>
    </row>
    <row r="129" spans="1:27" ht="12.75">
      <c r="A129" s="476"/>
      <c r="B129" s="73"/>
      <c r="C129" s="133"/>
      <c r="D129" s="83">
        <v>213.13</v>
      </c>
      <c r="E129" s="325">
        <f t="shared" si="7"/>
        <v>1306.1999999999998</v>
      </c>
      <c r="F129" s="53"/>
      <c r="G129" s="245"/>
      <c r="H129" s="197"/>
      <c r="I129" s="33">
        <f>0.08*1.23</f>
        <v>0.0984</v>
      </c>
      <c r="J129" s="94"/>
      <c r="K129" s="103"/>
      <c r="L129" s="198"/>
      <c r="M129" s="95"/>
      <c r="N129" s="34"/>
      <c r="O129" s="83">
        <f>9.5*1.23</f>
        <v>11.685</v>
      </c>
      <c r="P129" s="378">
        <v>18.1</v>
      </c>
      <c r="Q129" s="378">
        <v>22.05</v>
      </c>
      <c r="R129" s="193">
        <f t="shared" si="6"/>
        <v>118.49999999999997</v>
      </c>
      <c r="S129" s="113"/>
      <c r="T129" s="175"/>
      <c r="U129" s="123"/>
      <c r="V129" s="149"/>
      <c r="W129" s="80"/>
      <c r="X129" s="45"/>
      <c r="Y129" s="154"/>
      <c r="Z129" s="365"/>
      <c r="AA129" s="366"/>
    </row>
    <row r="130" spans="1:27" ht="12.75">
      <c r="A130" s="475">
        <v>4</v>
      </c>
      <c r="B130" s="354" t="s">
        <v>291</v>
      </c>
      <c r="C130" s="315" t="s">
        <v>289</v>
      </c>
      <c r="D130" s="67">
        <v>1322.01</v>
      </c>
      <c r="E130" s="324">
        <f t="shared" si="7"/>
        <v>6652.200000000001</v>
      </c>
      <c r="F130" s="352">
        <v>12572</v>
      </c>
      <c r="G130" s="59"/>
      <c r="H130" s="275"/>
      <c r="I130" s="38">
        <f>16.75*1.23</f>
        <v>20.6025</v>
      </c>
      <c r="J130" s="86"/>
      <c r="K130" s="62"/>
      <c r="L130" s="221">
        <f>(E128*K128)+(E129*K129)+(E130*K130)</f>
        <v>0</v>
      </c>
      <c r="M130" s="62"/>
      <c r="N130" s="65">
        <f>(E128+E129+E130)*M130</f>
        <v>0</v>
      </c>
      <c r="O130" s="67">
        <f>0.00139*(E128+E129+E130)*1.23</f>
        <v>21.493493549999997</v>
      </c>
      <c r="P130" s="67">
        <v>99.42</v>
      </c>
      <c r="Q130" s="67">
        <v>115.39</v>
      </c>
      <c r="R130" s="324">
        <f t="shared" si="6"/>
        <v>479.09999999999997</v>
      </c>
      <c r="S130" s="380"/>
      <c r="T130" s="170"/>
      <c r="U130" s="382"/>
      <c r="V130" s="86"/>
      <c r="W130" s="41"/>
      <c r="X130" s="43">
        <v>65</v>
      </c>
      <c r="Y130" s="72">
        <v>52</v>
      </c>
      <c r="Z130" s="43"/>
      <c r="AA130" s="183"/>
    </row>
    <row r="131" spans="1:27" ht="12.75">
      <c r="A131" s="476"/>
      <c r="B131" s="173"/>
      <c r="C131" s="134"/>
      <c r="D131" s="79">
        <v>3265.25</v>
      </c>
      <c r="E131" s="368">
        <f t="shared" si="7"/>
        <v>4363.4999999999945</v>
      </c>
      <c r="F131" s="369"/>
      <c r="G131" s="60"/>
      <c r="H131" s="242"/>
      <c r="I131" s="33"/>
      <c r="J131" s="94"/>
      <c r="K131" s="93"/>
      <c r="L131" s="111"/>
      <c r="M131" s="93"/>
      <c r="N131" s="44"/>
      <c r="O131" s="79"/>
      <c r="P131" s="79">
        <v>30.36</v>
      </c>
      <c r="Q131" s="79">
        <v>30.48</v>
      </c>
      <c r="R131" s="368">
        <f aca="true" t="shared" si="8" ref="R131:R136">(Q131-P131)*30</f>
        <v>3.60000000000003</v>
      </c>
      <c r="S131" s="286"/>
      <c r="T131" s="175"/>
      <c r="U131" s="381"/>
      <c r="V131" s="94"/>
      <c r="W131" s="130"/>
      <c r="X131" s="45"/>
      <c r="Y131" s="81"/>
      <c r="Z131" s="45"/>
      <c r="AA131" s="182"/>
    </row>
    <row r="132" spans="1:27" ht="12.75">
      <c r="A132" s="442">
        <v>5</v>
      </c>
      <c r="B132" s="73"/>
      <c r="C132" s="133"/>
      <c r="D132" s="83">
        <v>252.38</v>
      </c>
      <c r="E132" s="325">
        <f t="shared" si="7"/>
        <v>1177.5</v>
      </c>
      <c r="F132" s="53"/>
      <c r="G132" s="245"/>
      <c r="H132" s="197"/>
      <c r="I132" s="33">
        <f>0.08*1.23</f>
        <v>0.0984</v>
      </c>
      <c r="J132" s="94"/>
      <c r="K132" s="103"/>
      <c r="L132" s="198"/>
      <c r="M132" s="95"/>
      <c r="N132" s="34"/>
      <c r="O132" s="83">
        <f>9.5*1.23</f>
        <v>11.685</v>
      </c>
      <c r="P132" s="378">
        <v>22.05</v>
      </c>
      <c r="Q132" s="378">
        <v>25.45</v>
      </c>
      <c r="R132" s="193">
        <f t="shared" si="8"/>
        <v>101.99999999999996</v>
      </c>
      <c r="S132" s="113"/>
      <c r="T132" s="175"/>
      <c r="U132" s="123"/>
      <c r="V132" s="149"/>
      <c r="W132" s="80"/>
      <c r="X132" s="45"/>
      <c r="Y132" s="154"/>
      <c r="Z132" s="365"/>
      <c r="AA132" s="366"/>
    </row>
    <row r="133" spans="1:27" ht="12.75">
      <c r="A133" s="443"/>
      <c r="B133" s="354" t="s">
        <v>292</v>
      </c>
      <c r="C133" s="315" t="s">
        <v>290</v>
      </c>
      <c r="D133" s="67">
        <v>1525.27</v>
      </c>
      <c r="E133" s="324">
        <f t="shared" si="7"/>
        <v>6097.799999999999</v>
      </c>
      <c r="F133" s="352">
        <v>11639</v>
      </c>
      <c r="G133" s="59"/>
      <c r="H133" s="275"/>
      <c r="I133" s="38">
        <f>16.75*1.23</f>
        <v>20.6025</v>
      </c>
      <c r="J133" s="86"/>
      <c r="K133" s="62"/>
      <c r="L133" s="221">
        <f>(E131*K131)+(E132*K132)+(E133*K133)</f>
        <v>0</v>
      </c>
      <c r="M133" s="62"/>
      <c r="N133" s="65">
        <f>(E131+E132+E133)*M133</f>
        <v>0</v>
      </c>
      <c r="O133" s="67">
        <f>0.00139*(E131+E132+E133)*1.23</f>
        <v>19.89885635999999</v>
      </c>
      <c r="P133" s="67">
        <v>115.39</v>
      </c>
      <c r="Q133" s="67">
        <v>130.1</v>
      </c>
      <c r="R133" s="324">
        <f t="shared" si="8"/>
        <v>441.29999999999984</v>
      </c>
      <c r="S133" s="380"/>
      <c r="T133" s="170"/>
      <c r="U133" s="382"/>
      <c r="V133" s="86"/>
      <c r="W133" s="41"/>
      <c r="X133" s="43">
        <v>65</v>
      </c>
      <c r="Y133" s="72">
        <v>52</v>
      </c>
      <c r="Z133" s="43"/>
      <c r="AA133" s="183"/>
    </row>
    <row r="134" spans="1:27" ht="12.75">
      <c r="A134" s="78"/>
      <c r="B134" s="173"/>
      <c r="C134" s="134"/>
      <c r="D134" s="79">
        <v>3408.63</v>
      </c>
      <c r="E134" s="368">
        <f t="shared" si="7"/>
        <v>4301.400000000003</v>
      </c>
      <c r="F134" s="369"/>
      <c r="G134" s="60"/>
      <c r="H134" s="242"/>
      <c r="I134" s="33"/>
      <c r="J134" s="94"/>
      <c r="K134" s="93"/>
      <c r="L134" s="111"/>
      <c r="M134" s="93"/>
      <c r="N134" s="44"/>
      <c r="O134" s="79"/>
      <c r="P134" s="79">
        <v>30.48</v>
      </c>
      <c r="Q134" s="79">
        <v>30.52</v>
      </c>
      <c r="R134" s="368">
        <f t="shared" si="8"/>
        <v>1.1999999999999744</v>
      </c>
      <c r="S134" s="286"/>
      <c r="T134" s="175"/>
      <c r="U134" s="381"/>
      <c r="V134" s="94"/>
      <c r="W134" s="130"/>
      <c r="X134" s="45"/>
      <c r="Y134" s="81"/>
      <c r="Z134" s="45"/>
      <c r="AA134" s="182"/>
    </row>
    <row r="135" spans="1:27" ht="12.75">
      <c r="A135" s="78"/>
      <c r="B135" s="73"/>
      <c r="C135" s="133"/>
      <c r="D135" s="83">
        <v>290.56</v>
      </c>
      <c r="E135" s="325">
        <f t="shared" si="7"/>
        <v>1145.4</v>
      </c>
      <c r="F135" s="53"/>
      <c r="G135" s="245"/>
      <c r="H135" s="197"/>
      <c r="I135" s="33">
        <f>0.08*1.23</f>
        <v>0.0984</v>
      </c>
      <c r="J135" s="94"/>
      <c r="K135" s="103"/>
      <c r="L135" s="198"/>
      <c r="M135" s="95"/>
      <c r="N135" s="34"/>
      <c r="O135" s="83">
        <f>9.5*1.23</f>
        <v>11.685</v>
      </c>
      <c r="P135" s="378">
        <v>25.45</v>
      </c>
      <c r="Q135" s="378">
        <v>28.48</v>
      </c>
      <c r="R135" s="193">
        <f t="shared" si="8"/>
        <v>90.90000000000003</v>
      </c>
      <c r="S135" s="113"/>
      <c r="T135" s="175"/>
      <c r="U135" s="123"/>
      <c r="V135" s="149"/>
      <c r="W135" s="80"/>
      <c r="X135" s="45"/>
      <c r="Y135" s="154"/>
      <c r="Z135" s="365"/>
      <c r="AA135" s="366"/>
    </row>
    <row r="136" spans="1:27" ht="12.75">
      <c r="A136" s="442">
        <v>6</v>
      </c>
      <c r="B136" s="354" t="s">
        <v>294</v>
      </c>
      <c r="C136" s="315" t="s">
        <v>293</v>
      </c>
      <c r="D136" s="67">
        <v>1728.76</v>
      </c>
      <c r="E136" s="324">
        <f t="shared" si="7"/>
        <v>6104.700000000001</v>
      </c>
      <c r="F136" s="352">
        <v>11552</v>
      </c>
      <c r="G136" s="59"/>
      <c r="H136" s="275"/>
      <c r="I136" s="38">
        <f>16.75*1.23</f>
        <v>20.6025</v>
      </c>
      <c r="J136" s="86"/>
      <c r="K136" s="62"/>
      <c r="L136" s="221">
        <f>(E134*K134)+(E135*K135)+(E136*K136)</f>
        <v>0</v>
      </c>
      <c r="M136" s="62"/>
      <c r="N136" s="65">
        <f>(E134+E135+E136)*M136</f>
        <v>0</v>
      </c>
      <c r="O136" s="67">
        <f>0.00139*(E134+E135+E136)*1.23</f>
        <v>19.749599550000006</v>
      </c>
      <c r="P136" s="67">
        <v>130.1</v>
      </c>
      <c r="Q136" s="67">
        <v>143.98</v>
      </c>
      <c r="R136" s="324">
        <f t="shared" si="8"/>
        <v>416.39999999999986</v>
      </c>
      <c r="S136" s="380"/>
      <c r="T136" s="170"/>
      <c r="U136" s="382"/>
      <c r="V136" s="86"/>
      <c r="W136" s="41"/>
      <c r="X136" s="43">
        <v>65</v>
      </c>
      <c r="Y136" s="72">
        <v>53</v>
      </c>
      <c r="Z136" s="43"/>
      <c r="AA136" s="183"/>
    </row>
    <row r="137" spans="1:27" ht="12.75">
      <c r="A137" s="443"/>
      <c r="B137" s="173"/>
      <c r="C137" s="134"/>
      <c r="D137" s="79">
        <v>3540.05</v>
      </c>
      <c r="E137" s="368">
        <f t="shared" si="7"/>
        <v>3942.600000000002</v>
      </c>
      <c r="F137" s="369"/>
      <c r="G137" s="60"/>
      <c r="H137" s="242"/>
      <c r="I137" s="33"/>
      <c r="J137" s="94"/>
      <c r="K137" s="93"/>
      <c r="L137" s="111"/>
      <c r="M137" s="93"/>
      <c r="N137" s="44"/>
      <c r="O137" s="79"/>
      <c r="P137" s="79">
        <v>30.52</v>
      </c>
      <c r="Q137" s="79">
        <v>30.63</v>
      </c>
      <c r="R137" s="368">
        <f aca="true" t="shared" si="9" ref="R137:R142">(Q137-P137)*30</f>
        <v>3.299999999999983</v>
      </c>
      <c r="S137" s="286"/>
      <c r="T137" s="175"/>
      <c r="U137" s="381"/>
      <c r="V137" s="94"/>
      <c r="W137" s="130"/>
      <c r="X137" s="45"/>
      <c r="Y137" s="81"/>
      <c r="Z137" s="45"/>
      <c r="AA137" s="182"/>
    </row>
    <row r="138" spans="1:27" ht="12.75">
      <c r="A138" s="442">
        <v>7</v>
      </c>
      <c r="B138" s="73"/>
      <c r="C138" s="133"/>
      <c r="D138" s="83">
        <v>312.9</v>
      </c>
      <c r="E138" s="325">
        <f t="shared" si="7"/>
        <v>670.1999999999992</v>
      </c>
      <c r="F138" s="53"/>
      <c r="G138" s="245"/>
      <c r="H138" s="197"/>
      <c r="I138" s="33">
        <f>0.08*1.23</f>
        <v>0.0984</v>
      </c>
      <c r="J138" s="94"/>
      <c r="K138" s="103"/>
      <c r="L138" s="198"/>
      <c r="M138" s="95"/>
      <c r="N138" s="34"/>
      <c r="O138" s="83">
        <f>9.5*1.23</f>
        <v>11.685</v>
      </c>
      <c r="P138" s="378">
        <v>28.48</v>
      </c>
      <c r="Q138" s="378">
        <v>29.86</v>
      </c>
      <c r="R138" s="193">
        <f t="shared" si="9"/>
        <v>41.39999999999997</v>
      </c>
      <c r="S138" s="113"/>
      <c r="T138" s="175"/>
      <c r="U138" s="123"/>
      <c r="V138" s="149"/>
      <c r="W138" s="80"/>
      <c r="X138" s="45"/>
      <c r="Y138" s="154"/>
      <c r="Z138" s="365"/>
      <c r="AA138" s="366"/>
    </row>
    <row r="139" spans="1:27" ht="12.75">
      <c r="A139" s="443"/>
      <c r="B139" s="354" t="s">
        <v>296</v>
      </c>
      <c r="C139" s="315" t="s">
        <v>295</v>
      </c>
      <c r="D139" s="67">
        <v>1928.73</v>
      </c>
      <c r="E139" s="324">
        <f t="shared" si="7"/>
        <v>5999.1</v>
      </c>
      <c r="F139" s="352">
        <v>10612</v>
      </c>
      <c r="G139" s="59"/>
      <c r="H139" s="275"/>
      <c r="I139" s="38">
        <f>16.75*1.23</f>
        <v>20.6025</v>
      </c>
      <c r="J139" s="86"/>
      <c r="K139" s="62"/>
      <c r="L139" s="221">
        <f>(E137*K137)+(E138*K138)+(E139*K139)</f>
        <v>0</v>
      </c>
      <c r="M139" s="62"/>
      <c r="N139" s="65">
        <f>(E137+E138+E139)*M139</f>
        <v>0</v>
      </c>
      <c r="O139" s="67">
        <f>0.00139*(E137+E138+E139)*1.23</f>
        <v>18.143165430000003</v>
      </c>
      <c r="P139" s="67">
        <v>143.98</v>
      </c>
      <c r="Q139" s="67">
        <v>152.39</v>
      </c>
      <c r="R139" s="324">
        <f t="shared" si="9"/>
        <v>252.2999999999999</v>
      </c>
      <c r="S139" s="380"/>
      <c r="T139" s="170"/>
      <c r="U139" s="382"/>
      <c r="V139" s="86"/>
      <c r="W139" s="41"/>
      <c r="X139" s="43">
        <v>65</v>
      </c>
      <c r="Y139" s="72">
        <v>46</v>
      </c>
      <c r="Z139" s="43"/>
      <c r="AA139" s="183"/>
    </row>
    <row r="140" spans="1:27" ht="12.75">
      <c r="A140" s="442">
        <v>8</v>
      </c>
      <c r="B140" s="173"/>
      <c r="C140" s="134"/>
      <c r="D140" s="79">
        <v>3686.56</v>
      </c>
      <c r="E140" s="368">
        <f t="shared" si="7"/>
        <v>4395.299999999993</v>
      </c>
      <c r="F140" s="369"/>
      <c r="G140" s="60"/>
      <c r="H140" s="242"/>
      <c r="I140" s="33"/>
      <c r="J140" s="94"/>
      <c r="K140" s="93"/>
      <c r="L140" s="111"/>
      <c r="M140" s="93"/>
      <c r="N140" s="44"/>
      <c r="O140" s="79"/>
      <c r="P140" s="79">
        <v>30.63</v>
      </c>
      <c r="Q140" s="79">
        <v>30.68</v>
      </c>
      <c r="R140" s="368">
        <f t="shared" si="9"/>
        <v>1.5000000000000213</v>
      </c>
      <c r="S140" s="286"/>
      <c r="T140" s="175"/>
      <c r="U140" s="381"/>
      <c r="V140" s="94"/>
      <c r="W140" s="130"/>
      <c r="X140" s="45"/>
      <c r="Y140" s="81"/>
      <c r="Z140" s="45"/>
      <c r="AA140" s="182"/>
    </row>
    <row r="141" spans="1:27" ht="12.75">
      <c r="A141" s="443"/>
      <c r="B141" s="73"/>
      <c r="C141" s="133"/>
      <c r="D141" s="83">
        <v>336.23</v>
      </c>
      <c r="E141" s="325">
        <f t="shared" si="7"/>
        <v>699.9000000000012</v>
      </c>
      <c r="F141" s="53"/>
      <c r="G141" s="245"/>
      <c r="H141" s="197"/>
      <c r="I141" s="33">
        <f>0.08*1.23</f>
        <v>0.0984</v>
      </c>
      <c r="J141" s="94"/>
      <c r="K141" s="103"/>
      <c r="L141" s="198"/>
      <c r="M141" s="95"/>
      <c r="N141" s="34"/>
      <c r="O141" s="83">
        <f>9.5*1.23</f>
        <v>11.685</v>
      </c>
      <c r="P141" s="378">
        <v>29.86</v>
      </c>
      <c r="Q141" s="378">
        <v>30.81</v>
      </c>
      <c r="R141" s="193">
        <f t="shared" si="9"/>
        <v>28.49999999999998</v>
      </c>
      <c r="S141" s="113"/>
      <c r="T141" s="175"/>
      <c r="U141" s="123"/>
      <c r="V141" s="149"/>
      <c r="W141" s="80"/>
      <c r="X141" s="45"/>
      <c r="Y141" s="154"/>
      <c r="Z141" s="365"/>
      <c r="AA141" s="366"/>
    </row>
    <row r="142" spans="1:27" ht="12.75">
      <c r="A142" s="322"/>
      <c r="B142" s="354" t="s">
        <v>307</v>
      </c>
      <c r="C142" s="315" t="s">
        <v>306</v>
      </c>
      <c r="D142" s="67">
        <v>2156.94</v>
      </c>
      <c r="E142" s="324">
        <f t="shared" si="7"/>
        <v>6846.300000000001</v>
      </c>
      <c r="F142" s="352">
        <v>11942</v>
      </c>
      <c r="G142" s="59"/>
      <c r="H142" s="275"/>
      <c r="I142" s="38">
        <f>16.75*1.23</f>
        <v>20.6025</v>
      </c>
      <c r="J142" s="86"/>
      <c r="K142" s="62"/>
      <c r="L142" s="221">
        <f>(E140*K140)+(E141*K141)+(E142*K142)</f>
        <v>0</v>
      </c>
      <c r="M142" s="62"/>
      <c r="N142" s="65">
        <f>(E140+E141+E142)*M142</f>
        <v>0</v>
      </c>
      <c r="O142" s="67">
        <f>0.00139*(E140+E141+E142)*1.23</f>
        <v>20.416382549999994</v>
      </c>
      <c r="P142" s="67">
        <v>152.39</v>
      </c>
      <c r="Q142" s="67">
        <v>161.6</v>
      </c>
      <c r="R142" s="324">
        <f t="shared" si="9"/>
        <v>276.30000000000024</v>
      </c>
      <c r="S142" s="380"/>
      <c r="T142" s="170"/>
      <c r="U142" s="382"/>
      <c r="V142" s="86"/>
      <c r="W142" s="41"/>
      <c r="X142" s="43">
        <v>65</v>
      </c>
      <c r="Y142" s="72">
        <v>54</v>
      </c>
      <c r="Z142" s="43"/>
      <c r="AA142" s="183"/>
    </row>
    <row r="143" spans="1:27" ht="12.75">
      <c r="A143" s="322"/>
      <c r="B143" s="173"/>
      <c r="C143" s="134"/>
      <c r="D143" s="79">
        <v>3799.9</v>
      </c>
      <c r="E143" s="368">
        <f t="shared" si="7"/>
        <v>3400.2000000000044</v>
      </c>
      <c r="F143" s="369"/>
      <c r="G143" s="60"/>
      <c r="H143" s="242"/>
      <c r="I143" s="33"/>
      <c r="J143" s="94"/>
      <c r="K143" s="93"/>
      <c r="L143" s="111"/>
      <c r="M143" s="93"/>
      <c r="N143" s="44"/>
      <c r="O143" s="79"/>
      <c r="P143" s="79">
        <v>30.68</v>
      </c>
      <c r="Q143" s="79">
        <v>30.82</v>
      </c>
      <c r="R143" s="368">
        <f aca="true" t="shared" si="10" ref="R143:R148">(Q143-P143)*30</f>
        <v>4.200000000000017</v>
      </c>
      <c r="S143" s="286"/>
      <c r="T143" s="175"/>
      <c r="U143" s="381"/>
      <c r="V143" s="94"/>
      <c r="W143" s="130"/>
      <c r="X143" s="45"/>
      <c r="Y143" s="81"/>
      <c r="Z143" s="45"/>
      <c r="AA143" s="182"/>
    </row>
    <row r="144" spans="1:27" ht="12.75">
      <c r="A144" s="475">
        <v>9</v>
      </c>
      <c r="B144" s="73"/>
      <c r="C144" s="133"/>
      <c r="D144" s="83">
        <v>350.62</v>
      </c>
      <c r="E144" s="325">
        <f t="shared" si="7"/>
        <v>431.6999999999996</v>
      </c>
      <c r="F144" s="53"/>
      <c r="G144" s="245"/>
      <c r="H144" s="197"/>
      <c r="I144" s="33">
        <f>0.08*1.23</f>
        <v>0.0984</v>
      </c>
      <c r="J144" s="94"/>
      <c r="K144" s="103"/>
      <c r="L144" s="198"/>
      <c r="M144" s="95"/>
      <c r="N144" s="34"/>
      <c r="O144" s="83">
        <f>9.5*1.23</f>
        <v>11.685</v>
      </c>
      <c r="P144" s="378">
        <v>30.81</v>
      </c>
      <c r="Q144" s="378">
        <v>32.57</v>
      </c>
      <c r="R144" s="193">
        <f t="shared" si="10"/>
        <v>52.80000000000005</v>
      </c>
      <c r="S144" s="113"/>
      <c r="T144" s="175"/>
      <c r="U144" s="123"/>
      <c r="V144" s="149"/>
      <c r="W144" s="80"/>
      <c r="X144" s="45"/>
      <c r="Y144" s="154"/>
      <c r="Z144" s="365"/>
      <c r="AA144" s="366"/>
    </row>
    <row r="145" spans="1:27" ht="12.75">
      <c r="A145" s="476"/>
      <c r="B145" s="354" t="s">
        <v>309</v>
      </c>
      <c r="C145" s="315" t="s">
        <v>308</v>
      </c>
      <c r="D145" s="67">
        <v>2302.52</v>
      </c>
      <c r="E145" s="324">
        <f t="shared" si="7"/>
        <v>4367.399999999998</v>
      </c>
      <c r="F145" s="352">
        <v>8199</v>
      </c>
      <c r="G145" s="59"/>
      <c r="H145" s="275"/>
      <c r="I145" s="38">
        <f>16.75*1.23</f>
        <v>20.6025</v>
      </c>
      <c r="J145" s="86"/>
      <c r="K145" s="62"/>
      <c r="L145" s="221">
        <f>(E143*K143)+(E144*K144)+(E145*K145)</f>
        <v>0</v>
      </c>
      <c r="M145" s="62"/>
      <c r="N145" s="65">
        <f>(E143+E144+E145)*M145</f>
        <v>0</v>
      </c>
      <c r="O145" s="67">
        <f>0.00139*(E143+E144+E145)*1.23</f>
        <v>14.018343210000003</v>
      </c>
      <c r="P145" s="67">
        <v>161.6</v>
      </c>
      <c r="Q145" s="67">
        <v>178.49</v>
      </c>
      <c r="R145" s="324">
        <f t="shared" si="10"/>
        <v>506.70000000000044</v>
      </c>
      <c r="S145" s="380"/>
      <c r="T145" s="170"/>
      <c r="U145" s="382"/>
      <c r="V145" s="86"/>
      <c r="W145" s="41"/>
      <c r="X145" s="43">
        <v>65</v>
      </c>
      <c r="Y145" s="72">
        <v>50</v>
      </c>
      <c r="Z145" s="43"/>
      <c r="AA145" s="183"/>
    </row>
    <row r="146" spans="1:27" ht="12.75">
      <c r="A146" s="322"/>
      <c r="B146" s="173"/>
      <c r="C146" s="134"/>
      <c r="D146" s="79">
        <v>3912.49</v>
      </c>
      <c r="E146" s="368">
        <f t="shared" si="7"/>
        <v>3377.6999999999907</v>
      </c>
      <c r="F146" s="369"/>
      <c r="G146" s="60"/>
      <c r="H146" s="242"/>
      <c r="I146" s="33"/>
      <c r="J146" s="94"/>
      <c r="K146" s="93"/>
      <c r="L146" s="111"/>
      <c r="M146" s="93"/>
      <c r="N146" s="44"/>
      <c r="O146" s="79"/>
      <c r="P146" s="79">
        <v>30.82</v>
      </c>
      <c r="Q146" s="79">
        <v>31.37</v>
      </c>
      <c r="R146" s="368">
        <f t="shared" si="10"/>
        <v>16.50000000000002</v>
      </c>
      <c r="S146" s="286"/>
      <c r="T146" s="175"/>
      <c r="U146" s="381"/>
      <c r="V146" s="94"/>
      <c r="W146" s="130"/>
      <c r="X146" s="45"/>
      <c r="Y146" s="81"/>
      <c r="Z146" s="45"/>
      <c r="AA146" s="182"/>
    </row>
    <row r="147" spans="1:27" ht="12.75">
      <c r="A147" s="322"/>
      <c r="B147" s="73"/>
      <c r="C147" s="133"/>
      <c r="D147" s="83">
        <v>363.79</v>
      </c>
      <c r="E147" s="325">
        <f t="shared" si="7"/>
        <v>395.1000000000005</v>
      </c>
      <c r="F147" s="53"/>
      <c r="G147" s="245"/>
      <c r="H147" s="197"/>
      <c r="I147" s="33">
        <f>0.08*1.23</f>
        <v>0.0984</v>
      </c>
      <c r="J147" s="94"/>
      <c r="K147" s="103"/>
      <c r="L147" s="198"/>
      <c r="M147" s="95"/>
      <c r="N147" s="34"/>
      <c r="O147" s="83">
        <f>9.5*1.23</f>
        <v>11.685</v>
      </c>
      <c r="P147" s="378">
        <v>32.57</v>
      </c>
      <c r="Q147" s="378">
        <v>33.72</v>
      </c>
      <c r="R147" s="193">
        <f t="shared" si="10"/>
        <v>34.49999999999996</v>
      </c>
      <c r="S147" s="113"/>
      <c r="T147" s="175"/>
      <c r="U147" s="123"/>
      <c r="V147" s="149"/>
      <c r="W147" s="80"/>
      <c r="X147" s="45"/>
      <c r="Y147" s="154"/>
      <c r="Z147" s="365"/>
      <c r="AA147" s="366"/>
    </row>
    <row r="148" spans="1:27" ht="12.75">
      <c r="A148" s="322"/>
      <c r="B148" s="354" t="s">
        <v>311</v>
      </c>
      <c r="C148" s="315" t="s">
        <v>310</v>
      </c>
      <c r="D148" s="67">
        <v>2432.51</v>
      </c>
      <c r="E148" s="324">
        <f t="shared" si="7"/>
        <v>3899.700000000007</v>
      </c>
      <c r="F148" s="352">
        <v>7673</v>
      </c>
      <c r="G148" s="59"/>
      <c r="H148" s="275"/>
      <c r="I148" s="38">
        <f>16.75*1.23</f>
        <v>20.6025</v>
      </c>
      <c r="J148" s="86"/>
      <c r="K148" s="62"/>
      <c r="L148" s="221">
        <f>(E146*K146)+(E147*K147)+(E148*K148)</f>
        <v>0</v>
      </c>
      <c r="M148" s="62"/>
      <c r="N148" s="65">
        <f>(E146+E147+E148)*M148</f>
        <v>0</v>
      </c>
      <c r="O148" s="67">
        <f>0.00139*(E146+E147+E148)*1.23</f>
        <v>13.117673249999996</v>
      </c>
      <c r="P148" s="67">
        <v>178.49</v>
      </c>
      <c r="Q148" s="67">
        <v>187.87</v>
      </c>
      <c r="R148" s="324">
        <f t="shared" si="10"/>
        <v>281.39999999999986</v>
      </c>
      <c r="S148" s="380"/>
      <c r="T148" s="170"/>
      <c r="U148" s="382"/>
      <c r="V148" s="86"/>
      <c r="W148" s="41"/>
      <c r="X148" s="43">
        <v>65</v>
      </c>
      <c r="Y148" s="72">
        <v>39</v>
      </c>
      <c r="Z148" s="43"/>
      <c r="AA148" s="183"/>
    </row>
    <row r="149" spans="1:27" ht="12.75">
      <c r="A149" s="475">
        <v>10</v>
      </c>
      <c r="B149" s="173"/>
      <c r="C149" s="134"/>
      <c r="D149" s="79">
        <v>4010.69</v>
      </c>
      <c r="E149" s="368">
        <f t="shared" si="7"/>
        <v>2946.000000000008</v>
      </c>
      <c r="F149" s="369"/>
      <c r="G149" s="60"/>
      <c r="H149" s="242"/>
      <c r="I149" s="33"/>
      <c r="J149" s="94"/>
      <c r="K149" s="93"/>
      <c r="L149" s="111"/>
      <c r="M149" s="93"/>
      <c r="N149" s="44"/>
      <c r="O149" s="79"/>
      <c r="P149" s="79">
        <v>31.37</v>
      </c>
      <c r="Q149" s="79">
        <v>31.65</v>
      </c>
      <c r="R149" s="368">
        <f aca="true" t="shared" si="11" ref="R149:R154">(Q149-P149)*30</f>
        <v>8.399999999999928</v>
      </c>
      <c r="S149" s="286"/>
      <c r="T149" s="175"/>
      <c r="U149" s="381"/>
      <c r="V149" s="94"/>
      <c r="W149" s="130"/>
      <c r="X149" s="45"/>
      <c r="Y149" s="81"/>
      <c r="Z149" s="45"/>
      <c r="AA149" s="182"/>
    </row>
    <row r="150" spans="1:27" ht="12.75">
      <c r="A150" s="476"/>
      <c r="B150" s="73"/>
      <c r="C150" s="133"/>
      <c r="D150" s="83">
        <v>375.85</v>
      </c>
      <c r="E150" s="325">
        <f t="shared" si="7"/>
        <v>361.80000000000007</v>
      </c>
      <c r="F150" s="53"/>
      <c r="G150" s="245"/>
      <c r="H150" s="197"/>
      <c r="I150" s="33">
        <f>0.08*1.23</f>
        <v>0.0984</v>
      </c>
      <c r="J150" s="94"/>
      <c r="K150" s="103"/>
      <c r="L150" s="198"/>
      <c r="M150" s="95"/>
      <c r="N150" s="34"/>
      <c r="O150" s="83">
        <f>9.5*1.23</f>
        <v>11.685</v>
      </c>
      <c r="P150" s="378">
        <v>33.72</v>
      </c>
      <c r="Q150" s="378">
        <v>36.04</v>
      </c>
      <c r="R150" s="193">
        <f t="shared" si="11"/>
        <v>69.60000000000001</v>
      </c>
      <c r="S150" s="113"/>
      <c r="T150" s="175"/>
      <c r="U150" s="123"/>
      <c r="V150" s="149"/>
      <c r="W150" s="80"/>
      <c r="X150" s="45"/>
      <c r="Y150" s="154"/>
      <c r="Z150" s="365"/>
      <c r="AA150" s="366"/>
    </row>
    <row r="151" spans="1:27" ht="12.75">
      <c r="A151" s="475">
        <v>11</v>
      </c>
      <c r="B151" s="354" t="s">
        <v>315</v>
      </c>
      <c r="C151" s="315" t="s">
        <v>314</v>
      </c>
      <c r="D151" s="67">
        <v>2550.36</v>
      </c>
      <c r="E151" s="324">
        <f t="shared" si="7"/>
        <v>3535.4999999999973</v>
      </c>
      <c r="F151" s="352">
        <v>6843</v>
      </c>
      <c r="G151" s="59"/>
      <c r="H151" s="275"/>
      <c r="I151" s="38">
        <f>16.75*1.23</f>
        <v>20.6025</v>
      </c>
      <c r="J151" s="86"/>
      <c r="K151" s="62"/>
      <c r="L151" s="221">
        <f>(E149*K149)+(E150*K150)+(E151*K151)</f>
        <v>0</v>
      </c>
      <c r="M151" s="62"/>
      <c r="N151" s="65">
        <f>(E149+E150+E151)*M151</f>
        <v>0</v>
      </c>
      <c r="O151" s="67">
        <f>0.00139*(E149+E150+E151)*1.23</f>
        <v>11.69999001000001</v>
      </c>
      <c r="P151" s="67">
        <v>187.87</v>
      </c>
      <c r="Q151" s="67">
        <v>201.9</v>
      </c>
      <c r="R151" s="324">
        <f t="shared" si="11"/>
        <v>420.90000000000003</v>
      </c>
      <c r="S151" s="380"/>
      <c r="T151" s="170"/>
      <c r="U151" s="382"/>
      <c r="V151" s="86"/>
      <c r="W151" s="41"/>
      <c r="X151" s="43">
        <v>65</v>
      </c>
      <c r="Y151" s="72">
        <v>41</v>
      </c>
      <c r="Z151" s="43"/>
      <c r="AA151" s="183"/>
    </row>
    <row r="152" spans="1:27" ht="12.75">
      <c r="A152" s="476"/>
      <c r="B152" s="173"/>
      <c r="C152" s="134"/>
      <c r="D152" s="79">
        <v>4136.82</v>
      </c>
      <c r="E152" s="368">
        <f t="shared" si="7"/>
        <v>3783.8999999999896</v>
      </c>
      <c r="F152" s="369"/>
      <c r="G152" s="60"/>
      <c r="H152" s="242"/>
      <c r="I152" s="33"/>
      <c r="J152" s="94"/>
      <c r="K152" s="93"/>
      <c r="L152" s="111"/>
      <c r="M152" s="93"/>
      <c r="N152" s="44"/>
      <c r="O152" s="79"/>
      <c r="P152" s="79">
        <v>31.65</v>
      </c>
      <c r="Q152" s="79">
        <v>31.99</v>
      </c>
      <c r="R152" s="368">
        <f t="shared" si="11"/>
        <v>10.199999999999996</v>
      </c>
      <c r="S152" s="286"/>
      <c r="T152" s="175"/>
      <c r="U152" s="381"/>
      <c r="V152" s="94"/>
      <c r="W152" s="130"/>
      <c r="X152" s="45"/>
      <c r="Y152" s="81"/>
      <c r="Z152" s="45"/>
      <c r="AA152" s="182"/>
    </row>
    <row r="153" spans="1:27" ht="12.75">
      <c r="A153" s="322"/>
      <c r="B153" s="73"/>
      <c r="C153" s="133"/>
      <c r="D153" s="83">
        <v>392.64</v>
      </c>
      <c r="E153" s="325">
        <f t="shared" si="7"/>
        <v>503.6999999999989</v>
      </c>
      <c r="F153" s="53"/>
      <c r="G153" s="245"/>
      <c r="H153" s="197"/>
      <c r="I153" s="33">
        <f>0.08*1.23</f>
        <v>0.0984</v>
      </c>
      <c r="J153" s="94"/>
      <c r="K153" s="103"/>
      <c r="L153" s="198"/>
      <c r="M153" s="95"/>
      <c r="N153" s="34"/>
      <c r="O153" s="83">
        <f>9.5*1.23</f>
        <v>11.685</v>
      </c>
      <c r="P153" s="378">
        <v>36.04</v>
      </c>
      <c r="Q153" s="378">
        <v>39.85</v>
      </c>
      <c r="R153" s="193">
        <f t="shared" si="11"/>
        <v>114.30000000000007</v>
      </c>
      <c r="S153" s="113"/>
      <c r="T153" s="175"/>
      <c r="U153" s="123"/>
      <c r="V153" s="149"/>
      <c r="W153" s="80"/>
      <c r="X153" s="45"/>
      <c r="Y153" s="154"/>
      <c r="Z153" s="365"/>
      <c r="AA153" s="366"/>
    </row>
    <row r="154" spans="1:27" ht="12.75">
      <c r="A154" s="322"/>
      <c r="B154" s="354" t="s">
        <v>317</v>
      </c>
      <c r="C154" s="315" t="s">
        <v>316</v>
      </c>
      <c r="D154" s="67">
        <v>2681.58</v>
      </c>
      <c r="E154" s="324">
        <f t="shared" si="7"/>
        <v>3936.599999999994</v>
      </c>
      <c r="F154" s="352"/>
      <c r="G154" s="59"/>
      <c r="H154" s="275"/>
      <c r="I154" s="38">
        <f>16.75*1.23</f>
        <v>20.6025</v>
      </c>
      <c r="J154" s="86"/>
      <c r="K154" s="62"/>
      <c r="L154" s="221">
        <f>(E152*K152)+(E153*K153)+(E154*K154)</f>
        <v>0</v>
      </c>
      <c r="M154" s="62"/>
      <c r="N154" s="65">
        <f>(E152+E153+E154)*M154</f>
        <v>0</v>
      </c>
      <c r="O154" s="67">
        <f>0.00139*(E152+E153+E154)*1.23</f>
        <v>14.06091473999997</v>
      </c>
      <c r="P154" s="67">
        <v>201.9</v>
      </c>
      <c r="Q154" s="67">
        <v>218.69</v>
      </c>
      <c r="R154" s="324">
        <f t="shared" si="11"/>
        <v>503.69999999999976</v>
      </c>
      <c r="S154" s="380"/>
      <c r="T154" s="170"/>
      <c r="U154" s="382"/>
      <c r="V154" s="86"/>
      <c r="W154" s="41"/>
      <c r="X154" s="43">
        <v>65</v>
      </c>
      <c r="Y154" s="72">
        <v>52</v>
      </c>
      <c r="Z154" s="43"/>
      <c r="AA154" s="183"/>
    </row>
    <row r="155" spans="1:27" ht="12.75">
      <c r="A155" s="78"/>
      <c r="B155" s="173"/>
      <c r="C155" s="134"/>
      <c r="D155" s="79">
        <v>4295.18</v>
      </c>
      <c r="E155" s="368">
        <f t="shared" si="7"/>
        <v>4750.8000000000175</v>
      </c>
      <c r="F155" s="369"/>
      <c r="G155" s="60"/>
      <c r="H155" s="242"/>
      <c r="I155" s="33"/>
      <c r="J155" s="94"/>
      <c r="K155" s="93"/>
      <c r="L155" s="111"/>
      <c r="M155" s="93"/>
      <c r="N155" s="44"/>
      <c r="O155" s="79"/>
      <c r="P155" s="79">
        <v>31.99</v>
      </c>
      <c r="Q155" s="79">
        <v>32.37</v>
      </c>
      <c r="R155" s="368">
        <f aca="true" t="shared" si="12" ref="R155:R160">(Q155-P155)*30</f>
        <v>11.39999999999997</v>
      </c>
      <c r="S155" s="286"/>
      <c r="T155" s="175"/>
      <c r="U155" s="381"/>
      <c r="V155" s="94"/>
      <c r="W155" s="130"/>
      <c r="X155" s="45"/>
      <c r="Y155" s="81"/>
      <c r="Z155" s="45"/>
      <c r="AA155" s="182"/>
    </row>
    <row r="156" spans="1:27" ht="12.75">
      <c r="A156" s="78"/>
      <c r="B156" s="73"/>
      <c r="C156" s="133"/>
      <c r="D156" s="83">
        <v>422.45</v>
      </c>
      <c r="E156" s="325">
        <f t="shared" si="7"/>
        <v>894.3000000000001</v>
      </c>
      <c r="F156" s="53"/>
      <c r="G156" s="245"/>
      <c r="H156" s="197"/>
      <c r="I156" s="33">
        <f>0.08*1.23</f>
        <v>0.0984</v>
      </c>
      <c r="J156" s="94"/>
      <c r="K156" s="103"/>
      <c r="L156" s="198"/>
      <c r="M156" s="95"/>
      <c r="N156" s="34"/>
      <c r="O156" s="83">
        <f>9.5*1.23</f>
        <v>11.685</v>
      </c>
      <c r="P156" s="378">
        <v>39.85</v>
      </c>
      <c r="Q156" s="378">
        <v>44.29</v>
      </c>
      <c r="R156" s="193">
        <f t="shared" si="12"/>
        <v>133.19999999999993</v>
      </c>
      <c r="S156" s="113"/>
      <c r="T156" s="175"/>
      <c r="U156" s="123"/>
      <c r="V156" s="149"/>
      <c r="W156" s="80"/>
      <c r="X156" s="45"/>
      <c r="Y156" s="154"/>
      <c r="Z156" s="365"/>
      <c r="AA156" s="366"/>
    </row>
    <row r="157" spans="1:27" ht="12.75">
      <c r="A157" s="78"/>
      <c r="B157" s="354" t="s">
        <v>320</v>
      </c>
      <c r="C157" s="315" t="s">
        <v>319</v>
      </c>
      <c r="D157" s="67">
        <v>2856.02</v>
      </c>
      <c r="E157" s="324">
        <f t="shared" si="7"/>
        <v>5233.200000000002</v>
      </c>
      <c r="F157" s="352"/>
      <c r="G157" s="59"/>
      <c r="H157" s="275"/>
      <c r="I157" s="38">
        <f>16.75*1.23</f>
        <v>20.6025</v>
      </c>
      <c r="J157" s="86"/>
      <c r="K157" s="62"/>
      <c r="L157" s="221">
        <f>(E155*K155)+(E156*K156)+(E157*K157)</f>
        <v>0</v>
      </c>
      <c r="M157" s="62"/>
      <c r="N157" s="65">
        <f>(E155+E156+E157)*M157</f>
        <v>0</v>
      </c>
      <c r="O157" s="67">
        <f>0.00139*(E155+E156+E157)*1.23</f>
        <v>18.598629510000034</v>
      </c>
      <c r="P157" s="67">
        <v>218.69</v>
      </c>
      <c r="Q157" s="67">
        <v>239.52</v>
      </c>
      <c r="R157" s="324">
        <f t="shared" si="12"/>
        <v>624.9000000000003</v>
      </c>
      <c r="S157" s="380"/>
      <c r="T157" s="170"/>
      <c r="U157" s="382"/>
      <c r="V157" s="86"/>
      <c r="W157" s="41"/>
      <c r="X157" s="43">
        <v>65</v>
      </c>
      <c r="Y157" s="72">
        <v>55</v>
      </c>
      <c r="Z157" s="43"/>
      <c r="AA157" s="183"/>
    </row>
    <row r="158" spans="1:27" ht="12.75">
      <c r="A158" s="78"/>
      <c r="B158" s="173"/>
      <c r="C158" s="134"/>
      <c r="D158" s="79">
        <v>4435.37</v>
      </c>
      <c r="E158" s="368">
        <f t="shared" si="7"/>
        <v>4205.699999999988</v>
      </c>
      <c r="F158" s="369"/>
      <c r="G158" s="60"/>
      <c r="H158" s="242"/>
      <c r="I158" s="33"/>
      <c r="J158" s="94"/>
      <c r="K158" s="93"/>
      <c r="L158" s="111"/>
      <c r="M158" s="93"/>
      <c r="N158" s="44"/>
      <c r="O158" s="79"/>
      <c r="P158" s="79">
        <v>32.37</v>
      </c>
      <c r="Q158" s="79">
        <v>32.4</v>
      </c>
      <c r="R158" s="368">
        <f t="shared" si="12"/>
        <v>0.9000000000000341</v>
      </c>
      <c r="S158" s="286"/>
      <c r="T158" s="175"/>
      <c r="U158" s="381"/>
      <c r="V158" s="94"/>
      <c r="W158" s="130"/>
      <c r="X158" s="45"/>
      <c r="Y158" s="81"/>
      <c r="Z158" s="45"/>
      <c r="AA158" s="182"/>
    </row>
    <row r="159" spans="1:27" ht="12.75">
      <c r="A159" s="78"/>
      <c r="B159" s="73"/>
      <c r="C159" s="133"/>
      <c r="D159" s="83">
        <v>455.19</v>
      </c>
      <c r="E159" s="325">
        <f t="shared" si="7"/>
        <v>982.2000000000003</v>
      </c>
      <c r="F159" s="53"/>
      <c r="G159" s="245"/>
      <c r="H159" s="197"/>
      <c r="I159" s="33">
        <f>0.08*1.23</f>
        <v>0.0984</v>
      </c>
      <c r="J159" s="94"/>
      <c r="K159" s="103"/>
      <c r="L159" s="198"/>
      <c r="M159" s="95"/>
      <c r="N159" s="34"/>
      <c r="O159" s="83">
        <f>9.5*1.23</f>
        <v>11.685</v>
      </c>
      <c r="P159" s="378">
        <v>44.29</v>
      </c>
      <c r="Q159" s="378">
        <v>51.06</v>
      </c>
      <c r="R159" s="193">
        <f t="shared" si="12"/>
        <v>203.10000000000008</v>
      </c>
      <c r="S159" s="113"/>
      <c r="T159" s="175"/>
      <c r="U159" s="123"/>
      <c r="V159" s="149"/>
      <c r="W159" s="80"/>
      <c r="X159" s="45"/>
      <c r="Y159" s="154"/>
      <c r="Z159" s="365"/>
      <c r="AA159" s="366"/>
    </row>
    <row r="160" spans="1:27" ht="13.5" thickBot="1">
      <c r="A160" s="78"/>
      <c r="B160" s="354" t="s">
        <v>322</v>
      </c>
      <c r="C160" s="315" t="s">
        <v>321</v>
      </c>
      <c r="D160" s="67">
        <v>3035.7</v>
      </c>
      <c r="E160" s="324">
        <f t="shared" si="7"/>
        <v>5390.399999999995</v>
      </c>
      <c r="F160" s="352"/>
      <c r="G160" s="59"/>
      <c r="H160" s="422"/>
      <c r="I160" s="38">
        <f>16.75*1.23</f>
        <v>20.6025</v>
      </c>
      <c r="J160" s="86"/>
      <c r="K160" s="62"/>
      <c r="L160" s="221">
        <f>(E158*K158)+(E159*K159)+(E160*K160)</f>
        <v>0</v>
      </c>
      <c r="M160" s="62"/>
      <c r="N160" s="65">
        <f>(E158+E159+E160)*M160</f>
        <v>0</v>
      </c>
      <c r="O160" s="67">
        <f>0.00139*(E158+E159+E160)*1.23</f>
        <v>18.085719509999972</v>
      </c>
      <c r="P160" s="425">
        <v>239.52</v>
      </c>
      <c r="Q160" s="425">
        <v>263.85</v>
      </c>
      <c r="R160" s="324">
        <f t="shared" si="12"/>
        <v>729.9000000000003</v>
      </c>
      <c r="S160" s="380"/>
      <c r="T160" s="420"/>
      <c r="U160" s="423"/>
      <c r="V160" s="86"/>
      <c r="W160" s="41"/>
      <c r="X160" s="43">
        <v>65</v>
      </c>
      <c r="Y160" s="72">
        <v>52</v>
      </c>
      <c r="Z160" s="43"/>
      <c r="AA160" s="183"/>
    </row>
    <row r="161" spans="1:27" ht="13.5" thickBot="1">
      <c r="A161" s="436" t="s">
        <v>286</v>
      </c>
      <c r="B161" s="437"/>
      <c r="C161" s="437"/>
      <c r="D161" s="438"/>
      <c r="E161" s="46"/>
      <c r="F161" s="13"/>
      <c r="G161" s="196"/>
      <c r="H161" s="219"/>
      <c r="I161" s="13"/>
      <c r="J161" s="155"/>
      <c r="K161" s="46"/>
      <c r="L161" s="46"/>
      <c r="M161" s="46"/>
      <c r="N161" s="46"/>
      <c r="O161" s="290"/>
      <c r="P161" s="211"/>
      <c r="Q161" s="424"/>
      <c r="R161" s="227"/>
      <c r="S161" s="107"/>
      <c r="T161" s="168"/>
      <c r="U161" s="229"/>
      <c r="V161" s="225"/>
      <c r="W161" s="283"/>
      <c r="X161" s="47"/>
      <c r="Y161" s="291"/>
      <c r="Z161" s="47"/>
      <c r="AA161" s="190"/>
    </row>
    <row r="162" spans="1:27" ht="13.5" thickBot="1">
      <c r="A162" s="439"/>
      <c r="B162" s="440"/>
      <c r="C162" s="440"/>
      <c r="D162" s="441"/>
      <c r="E162" s="110">
        <f>SUM(E122:E160)</f>
        <v>122915.09999999999</v>
      </c>
      <c r="F162" s="334">
        <f>SUM(F125:F160)+F165+F168</f>
        <v>122916</v>
      </c>
      <c r="G162" s="223"/>
      <c r="H162" s="224"/>
      <c r="I162" s="69"/>
      <c r="J162" s="69"/>
      <c r="K162" s="69"/>
      <c r="L162" s="69">
        <f>SUM(L122:L161)</f>
        <v>0</v>
      </c>
      <c r="M162" s="69"/>
      <c r="N162" s="69">
        <f>SUM(N122:N161)</f>
        <v>0</v>
      </c>
      <c r="O162" s="69">
        <f>SUM(O122:O161)</f>
        <v>353.2200212700001</v>
      </c>
      <c r="P162" s="426" t="s">
        <v>330</v>
      </c>
      <c r="Q162" s="427">
        <f>SUM(J162:O162)</f>
        <v>353.2200212700001</v>
      </c>
      <c r="R162" s="211"/>
      <c r="S162" s="108"/>
      <c r="T162" s="215"/>
      <c r="U162" s="48"/>
      <c r="V162" s="224"/>
      <c r="W162" s="223"/>
      <c r="X162" s="320">
        <v>65</v>
      </c>
      <c r="Y162" s="50">
        <f>SUM(Y122:Y161)/12</f>
        <v>50.166666666666664</v>
      </c>
      <c r="Z162" s="50"/>
      <c r="AA162" s="51"/>
    </row>
    <row r="163" spans="6:7" ht="12.75">
      <c r="F163" s="335">
        <f>F162-E162</f>
        <v>0.9000000000087311</v>
      </c>
      <c r="G163" s="98"/>
    </row>
    <row r="164" spans="6:8" ht="12.75">
      <c r="F164" s="53"/>
      <c r="G164" s="245"/>
      <c r="H164" s="197"/>
    </row>
    <row r="165" spans="2:27" ht="12.75">
      <c r="B165" s="321"/>
      <c r="C165" s="315" t="s">
        <v>319</v>
      </c>
      <c r="D165" s="321"/>
      <c r="E165" s="304"/>
      <c r="F165" s="352">
        <v>19102</v>
      </c>
      <c r="G165" s="59"/>
      <c r="H165" s="275"/>
      <c r="I165" s="42"/>
      <c r="J165" s="321"/>
      <c r="K165" s="321"/>
      <c r="L165" s="321"/>
      <c r="M165" s="321"/>
      <c r="N165" s="321"/>
      <c r="O165" s="321"/>
      <c r="P165" s="321"/>
      <c r="Q165" s="321"/>
      <c r="R165" s="321"/>
      <c r="S165" s="321"/>
      <c r="T165" s="321"/>
      <c r="U165" s="321"/>
      <c r="V165" s="321"/>
      <c r="W165" s="321"/>
      <c r="X165" s="321"/>
      <c r="Y165" s="321"/>
      <c r="Z165" s="321"/>
      <c r="AA165" s="321"/>
    </row>
    <row r="166" spans="1:27" ht="12.75">
      <c r="A166" s="442">
        <v>1</v>
      </c>
      <c r="B166" s="73"/>
      <c r="C166" s="133"/>
      <c r="D166" s="83"/>
      <c r="E166" s="53"/>
      <c r="F166" s="369"/>
      <c r="G166" s="245"/>
      <c r="H166" s="242"/>
      <c r="I166" s="33"/>
      <c r="J166" s="94"/>
      <c r="K166" s="95"/>
      <c r="L166" s="198"/>
      <c r="M166" s="95"/>
      <c r="N166" s="34"/>
      <c r="O166" s="83"/>
      <c r="P166" s="129"/>
      <c r="Q166" s="129"/>
      <c r="R166" s="194"/>
      <c r="S166" s="83"/>
      <c r="T166" s="271"/>
      <c r="U166" s="124"/>
      <c r="V166" s="149"/>
      <c r="W166" s="80"/>
      <c r="X166" s="45"/>
      <c r="Y166" s="154"/>
      <c r="Z166" s="152"/>
      <c r="AA166" s="182"/>
    </row>
    <row r="167" spans="1:27" ht="12.75">
      <c r="A167" s="443"/>
      <c r="B167" s="99"/>
      <c r="C167" s="91"/>
      <c r="D167" s="79"/>
      <c r="E167" s="404"/>
      <c r="F167" s="369"/>
      <c r="G167" s="245"/>
      <c r="H167" s="428"/>
      <c r="I167" s="44"/>
      <c r="J167" s="111"/>
      <c r="K167" s="429"/>
      <c r="L167" s="285"/>
      <c r="M167" s="429"/>
      <c r="N167" s="100"/>
      <c r="O167" s="144"/>
      <c r="P167" s="79"/>
      <c r="Q167" s="79"/>
      <c r="R167" s="404"/>
      <c r="S167" s="184"/>
      <c r="T167" s="175"/>
      <c r="U167" s="377"/>
      <c r="V167" s="111"/>
      <c r="W167" s="130"/>
      <c r="X167" s="45"/>
      <c r="Y167" s="258"/>
      <c r="Z167" s="45"/>
      <c r="AA167" s="182"/>
    </row>
    <row r="168" spans="1:27" ht="12.75">
      <c r="A168" s="442">
        <v>2</v>
      </c>
      <c r="B168" s="303"/>
      <c r="C168" s="434" t="s">
        <v>321</v>
      </c>
      <c r="D168" s="160"/>
      <c r="E168" s="58"/>
      <c r="F168" s="352">
        <v>10578</v>
      </c>
      <c r="G168" s="435"/>
      <c r="H168" s="241"/>
      <c r="I168" s="38"/>
      <c r="J168" s="86"/>
      <c r="K168" s="140"/>
      <c r="L168" s="86"/>
      <c r="M168" s="140"/>
      <c r="N168" s="38"/>
      <c r="O168" s="160"/>
      <c r="P168" s="57"/>
      <c r="Q168" s="57"/>
      <c r="R168" s="305"/>
      <c r="S168" s="160"/>
      <c r="T168" s="430"/>
      <c r="U168" s="156"/>
      <c r="V168" s="431"/>
      <c r="W168" s="39"/>
      <c r="X168" s="40"/>
      <c r="Y168" s="432"/>
      <c r="Z168" s="433"/>
      <c r="AA168" s="183"/>
    </row>
    <row r="169" spans="1:27" ht="12.75">
      <c r="A169" s="443"/>
      <c r="B169" s="173"/>
      <c r="C169" s="134"/>
      <c r="D169" s="79">
        <v>4591.88</v>
      </c>
      <c r="E169" s="368">
        <f>(D169-D158)*X$9</f>
        <v>4695.300000000007</v>
      </c>
      <c r="F169" s="369"/>
      <c r="G169" s="60"/>
      <c r="H169" s="242"/>
      <c r="I169" s="33"/>
      <c r="J169" s="94"/>
      <c r="K169" s="93"/>
      <c r="L169" s="111"/>
      <c r="M169" s="93"/>
      <c r="N169" s="44"/>
      <c r="O169" s="79"/>
      <c r="P169" s="79">
        <v>32.4</v>
      </c>
      <c r="Q169" s="79">
        <v>32.42</v>
      </c>
      <c r="R169" s="368">
        <f aca="true" t="shared" si="13" ref="R169:R174">(Q169-P169)*30</f>
        <v>0.6000000000000938</v>
      </c>
      <c r="S169" s="286"/>
      <c r="T169" s="175"/>
      <c r="U169" s="381"/>
      <c r="V169" s="94"/>
      <c r="W169" s="130"/>
      <c r="X169" s="45"/>
      <c r="Y169" s="81"/>
      <c r="Z169" s="45"/>
      <c r="AA169" s="182"/>
    </row>
    <row r="170" spans="1:27" ht="12.75">
      <c r="A170" s="322"/>
      <c r="B170" s="73"/>
      <c r="C170" s="133"/>
      <c r="D170" s="83">
        <v>495.13</v>
      </c>
      <c r="E170" s="325">
        <f>(D170-D159)*X$9</f>
        <v>1198.1999999999998</v>
      </c>
      <c r="F170" s="369"/>
      <c r="G170" s="245"/>
      <c r="H170" s="428"/>
      <c r="I170" s="33">
        <f>0.08*1.23</f>
        <v>0.0984</v>
      </c>
      <c r="J170" s="94"/>
      <c r="K170" s="103"/>
      <c r="L170" s="198"/>
      <c r="M170" s="95"/>
      <c r="N170" s="34"/>
      <c r="O170" s="83">
        <f>9.5*1.23</f>
        <v>11.685</v>
      </c>
      <c r="P170" s="378">
        <v>51.06</v>
      </c>
      <c r="Q170" s="378">
        <v>57.97</v>
      </c>
      <c r="R170" s="193">
        <f t="shared" si="13"/>
        <v>207.2999999999999</v>
      </c>
      <c r="S170" s="113"/>
      <c r="T170" s="175"/>
      <c r="U170" s="123"/>
      <c r="V170" s="149"/>
      <c r="W170" s="80"/>
      <c r="X170" s="45"/>
      <c r="Y170" s="154"/>
      <c r="Z170" s="365"/>
      <c r="AA170" s="366"/>
    </row>
    <row r="171" spans="1:27" ht="12.75">
      <c r="A171" s="322"/>
      <c r="B171" s="354" t="s">
        <v>325</v>
      </c>
      <c r="C171" s="315" t="s">
        <v>326</v>
      </c>
      <c r="D171" s="67">
        <v>3237.43</v>
      </c>
      <c r="E171" s="324">
        <f>(D171-D160)*X$9</f>
        <v>6051.900000000001</v>
      </c>
      <c r="F171" s="352">
        <v>11945</v>
      </c>
      <c r="G171" s="435"/>
      <c r="H171" s="241"/>
      <c r="I171" s="38">
        <f>16.75*1.23</f>
        <v>20.6025</v>
      </c>
      <c r="J171" s="86"/>
      <c r="K171" s="62"/>
      <c r="L171" s="221">
        <f>(E169*K169)+(E170*K170)+(E171*K171)</f>
        <v>0</v>
      </c>
      <c r="M171" s="62"/>
      <c r="N171" s="65">
        <f>(E169+E170+E171)*M171</f>
        <v>0</v>
      </c>
      <c r="O171" s="67">
        <f>0.00139*(E169+E170+E171)*1.23</f>
        <v>20.42305038000001</v>
      </c>
      <c r="P171" s="67">
        <v>263.85</v>
      </c>
      <c r="Q171" s="67">
        <v>286.52</v>
      </c>
      <c r="R171" s="324">
        <f t="shared" si="13"/>
        <v>680.0999999999988</v>
      </c>
      <c r="S171" s="380"/>
      <c r="T171" s="170"/>
      <c r="U171" s="382"/>
      <c r="V171" s="86"/>
      <c r="W171" s="41"/>
      <c r="X171" s="43">
        <v>65</v>
      </c>
      <c r="Y171" s="72">
        <v>52</v>
      </c>
      <c r="Z171" s="43"/>
      <c r="AA171" s="183"/>
    </row>
    <row r="172" spans="1:27" ht="12.75">
      <c r="A172" s="475">
        <v>3</v>
      </c>
      <c r="B172" s="173"/>
      <c r="C172" s="134"/>
      <c r="D172" s="79">
        <v>4734.63</v>
      </c>
      <c r="E172" s="368">
        <f>(D172-D169)*X$9</f>
        <v>4282.5</v>
      </c>
      <c r="F172" s="369"/>
      <c r="G172" s="60"/>
      <c r="H172" s="242"/>
      <c r="I172" s="33">
        <f>0.0762*1.23</f>
        <v>0.093726</v>
      </c>
      <c r="J172" s="94"/>
      <c r="K172" s="93"/>
      <c r="L172" s="111"/>
      <c r="M172" s="93"/>
      <c r="N172" s="44"/>
      <c r="O172" s="79"/>
      <c r="P172" s="79">
        <v>32.42</v>
      </c>
      <c r="Q172" s="79">
        <v>32.45</v>
      </c>
      <c r="R172" s="368">
        <f t="shared" si="13"/>
        <v>0.9000000000000341</v>
      </c>
      <c r="S172" s="286"/>
      <c r="T172" s="175"/>
      <c r="U172" s="381"/>
      <c r="V172" s="94"/>
      <c r="W172" s="130"/>
      <c r="X172" s="45"/>
      <c r="Y172" s="81"/>
      <c r="Z172" s="45"/>
      <c r="AA172" s="182"/>
    </row>
    <row r="173" spans="1:27" ht="12.75">
      <c r="A173" s="476"/>
      <c r="B173" s="73"/>
      <c r="C173" s="133"/>
      <c r="D173" s="83">
        <v>530.96</v>
      </c>
      <c r="E173" s="325">
        <f>(D173-D170)*X$9</f>
        <v>1074.9000000000012</v>
      </c>
      <c r="F173" s="369"/>
      <c r="G173" s="245"/>
      <c r="H173" s="428"/>
      <c r="I173" s="33">
        <f>0.08*1.23</f>
        <v>0.0984</v>
      </c>
      <c r="J173" s="167"/>
      <c r="K173" s="103"/>
      <c r="L173" s="198"/>
      <c r="M173" s="95"/>
      <c r="N173" s="34"/>
      <c r="O173" s="83">
        <f>9.5*1.23</f>
        <v>11.685</v>
      </c>
      <c r="P173" s="378">
        <v>57.97</v>
      </c>
      <c r="Q173" s="378">
        <v>64.86</v>
      </c>
      <c r="R173" s="193">
        <f t="shared" si="13"/>
        <v>206.70000000000002</v>
      </c>
      <c r="S173" s="113"/>
      <c r="T173" s="175"/>
      <c r="U173" s="123"/>
      <c r="V173" s="149"/>
      <c r="W173" s="80"/>
      <c r="X173" s="45"/>
      <c r="Y173" s="154"/>
      <c r="Z173" s="365"/>
      <c r="AA173" s="366"/>
    </row>
    <row r="174" spans="1:27" ht="12.75">
      <c r="A174" s="475">
        <v>4</v>
      </c>
      <c r="B174" s="354" t="s">
        <v>328</v>
      </c>
      <c r="C174" s="315" t="s">
        <v>329</v>
      </c>
      <c r="D174" s="67">
        <v>3450.6</v>
      </c>
      <c r="E174" s="324">
        <f>(D174-D171)*X$9</f>
        <v>6395.100000000002</v>
      </c>
      <c r="F174" s="352">
        <v>11753</v>
      </c>
      <c r="G174" s="435"/>
      <c r="H174" s="241"/>
      <c r="I174" s="38">
        <f>16.75*1.23</f>
        <v>20.6025</v>
      </c>
      <c r="J174" s="86"/>
      <c r="K174" s="62"/>
      <c r="L174" s="221">
        <f>(E172*K172)+(E173*K173)+(E174*K174)</f>
        <v>0</v>
      </c>
      <c r="M174" s="62"/>
      <c r="N174" s="65">
        <f>(E172+E173+E174)*M174</f>
        <v>0</v>
      </c>
      <c r="O174" s="67">
        <f>0.0022*(E172+E173+E174)*1.23</f>
        <v>31.802265000000013</v>
      </c>
      <c r="P174" s="67">
        <v>286.52</v>
      </c>
      <c r="Q174" s="67">
        <v>313.54</v>
      </c>
      <c r="R174" s="324">
        <f t="shared" si="13"/>
        <v>810.6000000000012</v>
      </c>
      <c r="S174" s="380"/>
      <c r="T174" s="170"/>
      <c r="U174" s="382"/>
      <c r="V174" s="86"/>
      <c r="W174" s="41"/>
      <c r="X174" s="43">
        <v>65</v>
      </c>
      <c r="Y174" s="72">
        <v>55</v>
      </c>
      <c r="Z174" s="43"/>
      <c r="AA174" s="183"/>
    </row>
    <row r="175" spans="1:27" ht="12.75">
      <c r="A175" s="476"/>
      <c r="B175" s="173"/>
      <c r="C175" s="134"/>
      <c r="D175" s="79"/>
      <c r="E175" s="368"/>
      <c r="F175" s="369"/>
      <c r="G175" s="60"/>
      <c r="H175" s="242"/>
      <c r="I175" s="33"/>
      <c r="J175" s="94"/>
      <c r="K175" s="93"/>
      <c r="L175" s="111"/>
      <c r="M175" s="93"/>
      <c r="N175" s="44"/>
      <c r="O175" s="79"/>
      <c r="P175" s="79"/>
      <c r="Q175" s="79"/>
      <c r="R175" s="368"/>
      <c r="S175" s="286"/>
      <c r="T175" s="175"/>
      <c r="U175" s="381"/>
      <c r="V175" s="94"/>
      <c r="W175" s="130"/>
      <c r="X175" s="45"/>
      <c r="Y175" s="81"/>
      <c r="Z175" s="45"/>
      <c r="AA175" s="182"/>
    </row>
    <row r="176" spans="1:27" ht="12.75">
      <c r="A176" s="442">
        <v>5</v>
      </c>
      <c r="B176" s="73"/>
      <c r="C176" s="133"/>
      <c r="D176" s="83"/>
      <c r="E176" s="325"/>
      <c r="F176" s="53"/>
      <c r="G176" s="245"/>
      <c r="H176" s="197"/>
      <c r="I176" s="33"/>
      <c r="J176" s="94"/>
      <c r="K176" s="103"/>
      <c r="L176" s="198"/>
      <c r="M176" s="95"/>
      <c r="N176" s="34"/>
      <c r="O176" s="83"/>
      <c r="P176" s="378"/>
      <c r="Q176" s="378"/>
      <c r="R176" s="193"/>
      <c r="S176" s="113"/>
      <c r="T176" s="175"/>
      <c r="U176" s="123"/>
      <c r="V176" s="149"/>
      <c r="W176" s="80"/>
      <c r="X176" s="45"/>
      <c r="Y176" s="154"/>
      <c r="Z176" s="365"/>
      <c r="AA176" s="366"/>
    </row>
    <row r="177" spans="1:27" ht="12.75">
      <c r="A177" s="443"/>
      <c r="B177" s="354"/>
      <c r="C177" s="315"/>
      <c r="D177" s="67"/>
      <c r="E177" s="324"/>
      <c r="F177" s="352"/>
      <c r="G177" s="59"/>
      <c r="H177" s="275"/>
      <c r="I177" s="38"/>
      <c r="J177" s="86"/>
      <c r="K177" s="62"/>
      <c r="L177" s="221"/>
      <c r="M177" s="62"/>
      <c r="N177" s="65"/>
      <c r="O177" s="67"/>
      <c r="P177" s="67"/>
      <c r="Q177" s="67"/>
      <c r="R177" s="324"/>
      <c r="S177" s="380"/>
      <c r="T177" s="170"/>
      <c r="U177" s="382"/>
      <c r="V177" s="86"/>
      <c r="W177" s="41"/>
      <c r="X177" s="43"/>
      <c r="Y177" s="72"/>
      <c r="Z177" s="43"/>
      <c r="AA177" s="183"/>
    </row>
    <row r="178" spans="1:27" ht="12.75">
      <c r="A178" s="78"/>
      <c r="B178" s="173"/>
      <c r="C178" s="134"/>
      <c r="D178" s="79"/>
      <c r="E178" s="368"/>
      <c r="F178" s="369"/>
      <c r="G178" s="60"/>
      <c r="H178" s="242"/>
      <c r="I178" s="33"/>
      <c r="J178" s="94"/>
      <c r="K178" s="93"/>
      <c r="L178" s="111"/>
      <c r="M178" s="93"/>
      <c r="N178" s="44"/>
      <c r="O178" s="79"/>
      <c r="P178" s="79"/>
      <c r="Q178" s="79"/>
      <c r="R178" s="368"/>
      <c r="S178" s="286"/>
      <c r="T178" s="175"/>
      <c r="U178" s="381"/>
      <c r="V178" s="94"/>
      <c r="W178" s="130"/>
      <c r="X178" s="45"/>
      <c r="Y178" s="81"/>
      <c r="Z178" s="45"/>
      <c r="AA178" s="182"/>
    </row>
    <row r="179" spans="1:27" ht="12.75">
      <c r="A179" s="78"/>
      <c r="B179" s="73"/>
      <c r="C179" s="133"/>
      <c r="D179" s="83"/>
      <c r="E179" s="325"/>
      <c r="F179" s="53"/>
      <c r="G179" s="245"/>
      <c r="H179" s="197"/>
      <c r="I179" s="33"/>
      <c r="J179" s="86"/>
      <c r="K179" s="103"/>
      <c r="L179" s="198"/>
      <c r="M179" s="95"/>
      <c r="N179" s="34"/>
      <c r="O179" s="83"/>
      <c r="P179" s="378"/>
      <c r="Q179" s="378"/>
      <c r="R179" s="193"/>
      <c r="S179" s="113"/>
      <c r="T179" s="175"/>
      <c r="U179" s="123"/>
      <c r="V179" s="149"/>
      <c r="W179" s="80"/>
      <c r="X179" s="45"/>
      <c r="Y179" s="154"/>
      <c r="Z179" s="365"/>
      <c r="AA179" s="366"/>
    </row>
    <row r="180" spans="1:27" ht="12.75">
      <c r="A180" s="442">
        <v>6</v>
      </c>
      <c r="B180" s="354"/>
      <c r="C180" s="315"/>
      <c r="D180" s="67"/>
      <c r="E180" s="324"/>
      <c r="F180" s="352"/>
      <c r="G180" s="59"/>
      <c r="H180" s="275"/>
      <c r="I180" s="38"/>
      <c r="J180" s="86"/>
      <c r="K180" s="62"/>
      <c r="L180" s="221"/>
      <c r="M180" s="62"/>
      <c r="N180" s="65"/>
      <c r="O180" s="67"/>
      <c r="P180" s="67"/>
      <c r="Q180" s="67"/>
      <c r="R180" s="324"/>
      <c r="S180" s="380"/>
      <c r="T180" s="170"/>
      <c r="U180" s="382"/>
      <c r="V180" s="86"/>
      <c r="W180" s="41"/>
      <c r="X180" s="43"/>
      <c r="Y180" s="72"/>
      <c r="Z180" s="43"/>
      <c r="AA180" s="183"/>
    </row>
    <row r="181" spans="1:27" ht="12.75">
      <c r="A181" s="443"/>
      <c r="B181" s="173"/>
      <c r="C181" s="134"/>
      <c r="D181" s="79"/>
      <c r="E181" s="368"/>
      <c r="F181" s="369"/>
      <c r="G181" s="60"/>
      <c r="H181" s="242"/>
      <c r="I181" s="33"/>
      <c r="J181" s="94"/>
      <c r="K181" s="93"/>
      <c r="L181" s="111"/>
      <c r="M181" s="93"/>
      <c r="N181" s="44"/>
      <c r="O181" s="79"/>
      <c r="P181" s="79"/>
      <c r="Q181" s="79"/>
      <c r="R181" s="368"/>
      <c r="S181" s="286"/>
      <c r="T181" s="175"/>
      <c r="U181" s="381"/>
      <c r="V181" s="94"/>
      <c r="W181" s="130"/>
      <c r="X181" s="45"/>
      <c r="Y181" s="81"/>
      <c r="Z181" s="45"/>
      <c r="AA181" s="182"/>
    </row>
    <row r="182" spans="1:27" ht="12.75">
      <c r="A182" s="442">
        <v>7</v>
      </c>
      <c r="B182" s="73"/>
      <c r="C182" s="133"/>
      <c r="D182" s="83"/>
      <c r="E182" s="325"/>
      <c r="F182" s="53"/>
      <c r="G182" s="245"/>
      <c r="H182" s="197"/>
      <c r="I182" s="33"/>
      <c r="J182" s="94"/>
      <c r="K182" s="103"/>
      <c r="L182" s="198"/>
      <c r="M182" s="95"/>
      <c r="N182" s="34"/>
      <c r="O182" s="83"/>
      <c r="P182" s="378"/>
      <c r="Q182" s="378"/>
      <c r="R182" s="193"/>
      <c r="S182" s="113"/>
      <c r="T182" s="175"/>
      <c r="U182" s="123"/>
      <c r="V182" s="149"/>
      <c r="W182" s="80"/>
      <c r="X182" s="45"/>
      <c r="Y182" s="154"/>
      <c r="Z182" s="365"/>
      <c r="AA182" s="366"/>
    </row>
    <row r="183" spans="1:27" ht="12.75">
      <c r="A183" s="443"/>
      <c r="B183" s="354"/>
      <c r="C183" s="315"/>
      <c r="D183" s="67"/>
      <c r="E183" s="324"/>
      <c r="F183" s="352"/>
      <c r="G183" s="59"/>
      <c r="H183" s="275"/>
      <c r="I183" s="38"/>
      <c r="J183" s="86"/>
      <c r="K183" s="62"/>
      <c r="L183" s="221"/>
      <c r="M183" s="62"/>
      <c r="N183" s="65"/>
      <c r="O183" s="67"/>
      <c r="P183" s="67"/>
      <c r="Q183" s="67"/>
      <c r="R183" s="324"/>
      <c r="S183" s="380"/>
      <c r="T183" s="170"/>
      <c r="U183" s="382"/>
      <c r="V183" s="86"/>
      <c r="W183" s="41"/>
      <c r="X183" s="43"/>
      <c r="Y183" s="72"/>
      <c r="Z183" s="43"/>
      <c r="AA183" s="183"/>
    </row>
    <row r="184" spans="1:27" ht="12.75">
      <c r="A184" s="442">
        <v>8</v>
      </c>
      <c r="B184" s="173"/>
      <c r="C184" s="134"/>
      <c r="D184" s="79"/>
      <c r="E184" s="368"/>
      <c r="F184" s="369"/>
      <c r="G184" s="60"/>
      <c r="H184" s="242"/>
      <c r="I184" s="33"/>
      <c r="J184" s="94"/>
      <c r="K184" s="93"/>
      <c r="L184" s="111"/>
      <c r="M184" s="93"/>
      <c r="N184" s="44"/>
      <c r="O184" s="79"/>
      <c r="P184" s="79"/>
      <c r="Q184" s="79"/>
      <c r="R184" s="368"/>
      <c r="S184" s="286"/>
      <c r="T184" s="175"/>
      <c r="U184" s="381"/>
      <c r="V184" s="94"/>
      <c r="W184" s="130"/>
      <c r="X184" s="45"/>
      <c r="Y184" s="81"/>
      <c r="Z184" s="45"/>
      <c r="AA184" s="182"/>
    </row>
    <row r="185" spans="1:27" ht="12.75">
      <c r="A185" s="443"/>
      <c r="B185" s="73"/>
      <c r="C185" s="133"/>
      <c r="D185" s="83"/>
      <c r="E185" s="325"/>
      <c r="F185" s="53"/>
      <c r="G185" s="245"/>
      <c r="H185" s="197"/>
      <c r="I185" s="33"/>
      <c r="J185" s="94"/>
      <c r="K185" s="103"/>
      <c r="L185" s="198"/>
      <c r="M185" s="95"/>
      <c r="N185" s="34"/>
      <c r="O185" s="83"/>
      <c r="P185" s="378"/>
      <c r="Q185" s="378"/>
      <c r="R185" s="193"/>
      <c r="S185" s="113"/>
      <c r="T185" s="175"/>
      <c r="U185" s="123"/>
      <c r="V185" s="149"/>
      <c r="W185" s="80"/>
      <c r="X185" s="45"/>
      <c r="Y185" s="154"/>
      <c r="Z185" s="365"/>
      <c r="AA185" s="366"/>
    </row>
    <row r="186" spans="1:27" ht="12.75">
      <c r="A186" s="322"/>
      <c r="B186" s="354"/>
      <c r="C186" s="315"/>
      <c r="D186" s="67"/>
      <c r="E186" s="324"/>
      <c r="F186" s="352"/>
      <c r="G186" s="59"/>
      <c r="H186" s="275"/>
      <c r="I186" s="38"/>
      <c r="J186" s="86"/>
      <c r="K186" s="62"/>
      <c r="L186" s="221"/>
      <c r="M186" s="62"/>
      <c r="N186" s="65"/>
      <c r="O186" s="67"/>
      <c r="P186" s="67"/>
      <c r="Q186" s="67"/>
      <c r="R186" s="324"/>
      <c r="S186" s="380"/>
      <c r="T186" s="170"/>
      <c r="U186" s="382"/>
      <c r="V186" s="86"/>
      <c r="W186" s="41"/>
      <c r="X186" s="43"/>
      <c r="Y186" s="72"/>
      <c r="Z186" s="43"/>
      <c r="AA186" s="183"/>
    </row>
    <row r="187" spans="1:27" ht="12.75">
      <c r="A187" s="322"/>
      <c r="B187" s="173"/>
      <c r="C187" s="134"/>
      <c r="D187" s="79"/>
      <c r="E187" s="368"/>
      <c r="F187" s="369"/>
      <c r="G187" s="60"/>
      <c r="H187" s="242"/>
      <c r="I187" s="33"/>
      <c r="J187" s="94"/>
      <c r="K187" s="93"/>
      <c r="L187" s="111"/>
      <c r="M187" s="93"/>
      <c r="N187" s="44"/>
      <c r="O187" s="79"/>
      <c r="P187" s="79"/>
      <c r="Q187" s="79"/>
      <c r="R187" s="368"/>
      <c r="S187" s="286"/>
      <c r="T187" s="175"/>
      <c r="U187" s="381"/>
      <c r="V187" s="94"/>
      <c r="W187" s="130"/>
      <c r="X187" s="45"/>
      <c r="Y187" s="81"/>
      <c r="Z187" s="45"/>
      <c r="AA187" s="182"/>
    </row>
    <row r="188" spans="1:27" ht="12.75">
      <c r="A188" s="475">
        <v>9</v>
      </c>
      <c r="B188" s="73"/>
      <c r="C188" s="133"/>
      <c r="D188" s="83"/>
      <c r="E188" s="325"/>
      <c r="F188" s="53"/>
      <c r="G188" s="245"/>
      <c r="H188" s="197"/>
      <c r="I188" s="33"/>
      <c r="J188" s="94"/>
      <c r="K188" s="103"/>
      <c r="L188" s="198"/>
      <c r="M188" s="95"/>
      <c r="N188" s="34"/>
      <c r="O188" s="83"/>
      <c r="P188" s="378"/>
      <c r="Q188" s="378"/>
      <c r="R188" s="193"/>
      <c r="S188" s="113"/>
      <c r="T188" s="175"/>
      <c r="U188" s="123"/>
      <c r="V188" s="149"/>
      <c r="W188" s="80"/>
      <c r="X188" s="45"/>
      <c r="Y188" s="154"/>
      <c r="Z188" s="365"/>
      <c r="AA188" s="366"/>
    </row>
    <row r="189" spans="1:27" ht="12.75">
      <c r="A189" s="476"/>
      <c r="B189" s="354"/>
      <c r="C189" s="315"/>
      <c r="D189" s="67"/>
      <c r="E189" s="324"/>
      <c r="F189" s="352"/>
      <c r="G189" s="59"/>
      <c r="H189" s="275"/>
      <c r="I189" s="38"/>
      <c r="J189" s="86"/>
      <c r="K189" s="62"/>
      <c r="L189" s="221"/>
      <c r="M189" s="62"/>
      <c r="N189" s="65"/>
      <c r="O189" s="67"/>
      <c r="P189" s="67"/>
      <c r="Q189" s="67"/>
      <c r="R189" s="324"/>
      <c r="S189" s="380"/>
      <c r="T189" s="170"/>
      <c r="U189" s="382"/>
      <c r="V189" s="86"/>
      <c r="W189" s="41"/>
      <c r="X189" s="43"/>
      <c r="Y189" s="72"/>
      <c r="Z189" s="43"/>
      <c r="AA189" s="183"/>
    </row>
    <row r="190" spans="1:27" ht="12.75">
      <c r="A190" s="322"/>
      <c r="B190" s="173"/>
      <c r="C190" s="134"/>
      <c r="D190" s="79"/>
      <c r="E190" s="368"/>
      <c r="F190" s="369"/>
      <c r="G190" s="60"/>
      <c r="H190" s="242"/>
      <c r="I190" s="33"/>
      <c r="J190" s="94"/>
      <c r="K190" s="93"/>
      <c r="L190" s="111"/>
      <c r="M190" s="93"/>
      <c r="N190" s="44"/>
      <c r="O190" s="79"/>
      <c r="P190" s="79"/>
      <c r="Q190" s="79"/>
      <c r="R190" s="368"/>
      <c r="S190" s="286"/>
      <c r="T190" s="175"/>
      <c r="U190" s="381"/>
      <c r="V190" s="94"/>
      <c r="W190" s="130"/>
      <c r="X190" s="45"/>
      <c r="Y190" s="81"/>
      <c r="Z190" s="45"/>
      <c r="AA190" s="182"/>
    </row>
    <row r="191" spans="1:27" ht="12.75">
      <c r="A191" s="322"/>
      <c r="B191" s="73"/>
      <c r="C191" s="133"/>
      <c r="D191" s="83"/>
      <c r="E191" s="325"/>
      <c r="F191" s="53"/>
      <c r="G191" s="245"/>
      <c r="H191" s="197"/>
      <c r="I191" s="33"/>
      <c r="J191" s="94"/>
      <c r="K191" s="103"/>
      <c r="L191" s="198"/>
      <c r="M191" s="95"/>
      <c r="N191" s="34"/>
      <c r="O191" s="83"/>
      <c r="P191" s="378"/>
      <c r="Q191" s="378"/>
      <c r="R191" s="193"/>
      <c r="S191" s="113"/>
      <c r="T191" s="175"/>
      <c r="U191" s="123"/>
      <c r="V191" s="149"/>
      <c r="W191" s="80"/>
      <c r="X191" s="45"/>
      <c r="Y191" s="154"/>
      <c r="Z191" s="365"/>
      <c r="AA191" s="366"/>
    </row>
    <row r="192" spans="1:27" ht="12.75">
      <c r="A192" s="322"/>
      <c r="B192" s="354"/>
      <c r="C192" s="315"/>
      <c r="D192" s="67"/>
      <c r="E192" s="324"/>
      <c r="F192" s="352"/>
      <c r="G192" s="59"/>
      <c r="H192" s="275"/>
      <c r="I192" s="38"/>
      <c r="J192" s="86"/>
      <c r="K192" s="62"/>
      <c r="L192" s="221"/>
      <c r="M192" s="62"/>
      <c r="N192" s="65"/>
      <c r="O192" s="67"/>
      <c r="P192" s="67"/>
      <c r="Q192" s="67"/>
      <c r="R192" s="324"/>
      <c r="S192" s="380"/>
      <c r="T192" s="170"/>
      <c r="U192" s="382"/>
      <c r="V192" s="86"/>
      <c r="W192" s="41"/>
      <c r="X192" s="43"/>
      <c r="Y192" s="72"/>
      <c r="Z192" s="43"/>
      <c r="AA192" s="183"/>
    </row>
    <row r="193" spans="1:27" ht="12.75">
      <c r="A193" s="475">
        <v>10</v>
      </c>
      <c r="B193" s="173"/>
      <c r="C193" s="134"/>
      <c r="D193" s="79"/>
      <c r="E193" s="368"/>
      <c r="F193" s="369"/>
      <c r="G193" s="60"/>
      <c r="H193" s="242"/>
      <c r="I193" s="33"/>
      <c r="J193" s="94"/>
      <c r="K193" s="93"/>
      <c r="L193" s="111"/>
      <c r="M193" s="93"/>
      <c r="N193" s="44"/>
      <c r="O193" s="79"/>
      <c r="P193" s="79"/>
      <c r="Q193" s="79"/>
      <c r="R193" s="368"/>
      <c r="S193" s="286"/>
      <c r="T193" s="175"/>
      <c r="U193" s="381"/>
      <c r="V193" s="94"/>
      <c r="W193" s="130"/>
      <c r="X193" s="45"/>
      <c r="Y193" s="81"/>
      <c r="Z193" s="45"/>
      <c r="AA193" s="182"/>
    </row>
    <row r="194" spans="1:27" ht="12.75">
      <c r="A194" s="476"/>
      <c r="B194" s="73"/>
      <c r="C194" s="133"/>
      <c r="D194" s="83"/>
      <c r="E194" s="325"/>
      <c r="F194" s="53"/>
      <c r="G194" s="245"/>
      <c r="H194" s="197"/>
      <c r="I194" s="33"/>
      <c r="J194" s="94"/>
      <c r="K194" s="103"/>
      <c r="L194" s="198"/>
      <c r="M194" s="95"/>
      <c r="N194" s="34"/>
      <c r="O194" s="83"/>
      <c r="P194" s="378"/>
      <c r="Q194" s="378"/>
      <c r="R194" s="193"/>
      <c r="S194" s="113"/>
      <c r="T194" s="175"/>
      <c r="U194" s="123"/>
      <c r="V194" s="149"/>
      <c r="W194" s="80"/>
      <c r="X194" s="45"/>
      <c r="Y194" s="154"/>
      <c r="Z194" s="365"/>
      <c r="AA194" s="366"/>
    </row>
    <row r="195" spans="1:27" ht="12.75">
      <c r="A195" s="475">
        <v>11</v>
      </c>
      <c r="B195" s="354"/>
      <c r="C195" s="315"/>
      <c r="D195" s="67"/>
      <c r="E195" s="324"/>
      <c r="F195" s="352"/>
      <c r="G195" s="59"/>
      <c r="H195" s="275"/>
      <c r="I195" s="38"/>
      <c r="J195" s="86"/>
      <c r="K195" s="62"/>
      <c r="L195" s="221"/>
      <c r="M195" s="62"/>
      <c r="N195" s="65"/>
      <c r="O195" s="67"/>
      <c r="P195" s="67"/>
      <c r="Q195" s="67"/>
      <c r="R195" s="324"/>
      <c r="S195" s="380"/>
      <c r="T195" s="170"/>
      <c r="U195" s="382"/>
      <c r="V195" s="86"/>
      <c r="W195" s="41"/>
      <c r="X195" s="43"/>
      <c r="Y195" s="72"/>
      <c r="Z195" s="43"/>
      <c r="AA195" s="183"/>
    </row>
    <row r="196" spans="1:27" ht="12.75">
      <c r="A196" s="476"/>
      <c r="B196" s="173"/>
      <c r="C196" s="134"/>
      <c r="D196" s="79"/>
      <c r="E196" s="368"/>
      <c r="F196" s="369"/>
      <c r="G196" s="60"/>
      <c r="H196" s="242"/>
      <c r="I196" s="33"/>
      <c r="J196" s="94"/>
      <c r="K196" s="93"/>
      <c r="L196" s="111"/>
      <c r="M196" s="93"/>
      <c r="N196" s="44"/>
      <c r="O196" s="79"/>
      <c r="P196" s="79"/>
      <c r="Q196" s="79"/>
      <c r="R196" s="368"/>
      <c r="S196" s="286"/>
      <c r="T196" s="175"/>
      <c r="U196" s="381"/>
      <c r="V196" s="94"/>
      <c r="W196" s="130"/>
      <c r="X196" s="45"/>
      <c r="Y196" s="81"/>
      <c r="Z196" s="45"/>
      <c r="AA196" s="182"/>
    </row>
    <row r="197" spans="1:27" ht="12.75">
      <c r="A197" s="322"/>
      <c r="B197" s="73"/>
      <c r="C197" s="133"/>
      <c r="D197" s="83"/>
      <c r="E197" s="325"/>
      <c r="F197" s="53"/>
      <c r="G197" s="245"/>
      <c r="H197" s="197"/>
      <c r="I197" s="33"/>
      <c r="J197" s="94"/>
      <c r="K197" s="103"/>
      <c r="L197" s="198"/>
      <c r="M197" s="95"/>
      <c r="N197" s="34"/>
      <c r="O197" s="83"/>
      <c r="P197" s="378"/>
      <c r="Q197" s="378"/>
      <c r="R197" s="193"/>
      <c r="S197" s="113"/>
      <c r="T197" s="175"/>
      <c r="U197" s="123"/>
      <c r="V197" s="149"/>
      <c r="W197" s="80"/>
      <c r="X197" s="45"/>
      <c r="Y197" s="154"/>
      <c r="Z197" s="365"/>
      <c r="AA197" s="366"/>
    </row>
    <row r="198" spans="1:27" ht="12.75">
      <c r="A198" s="322"/>
      <c r="B198" s="354"/>
      <c r="C198" s="315"/>
      <c r="D198" s="67"/>
      <c r="E198" s="324"/>
      <c r="F198" s="352"/>
      <c r="G198" s="59"/>
      <c r="H198" s="275"/>
      <c r="I198" s="38"/>
      <c r="J198" s="86"/>
      <c r="K198" s="62"/>
      <c r="L198" s="221"/>
      <c r="M198" s="62"/>
      <c r="N198" s="65"/>
      <c r="O198" s="67"/>
      <c r="P198" s="67"/>
      <c r="Q198" s="67"/>
      <c r="R198" s="324"/>
      <c r="S198" s="380"/>
      <c r="T198" s="170"/>
      <c r="U198" s="382"/>
      <c r="V198" s="86"/>
      <c r="W198" s="41"/>
      <c r="X198" s="43"/>
      <c r="Y198" s="72"/>
      <c r="Z198" s="43"/>
      <c r="AA198" s="183"/>
    </row>
    <row r="199" spans="1:27" ht="12.75">
      <c r="A199" s="78"/>
      <c r="B199" s="173"/>
      <c r="C199" s="134"/>
      <c r="D199" s="79"/>
      <c r="E199" s="368"/>
      <c r="F199" s="369"/>
      <c r="G199" s="60"/>
      <c r="H199" s="242"/>
      <c r="I199" s="33"/>
      <c r="J199" s="94"/>
      <c r="K199" s="93"/>
      <c r="L199" s="111"/>
      <c r="M199" s="93"/>
      <c r="N199" s="44"/>
      <c r="O199" s="79"/>
      <c r="P199" s="79"/>
      <c r="Q199" s="79"/>
      <c r="R199" s="368"/>
      <c r="S199" s="286"/>
      <c r="T199" s="175"/>
      <c r="U199" s="381"/>
      <c r="V199" s="94"/>
      <c r="W199" s="130"/>
      <c r="X199" s="45"/>
      <c r="Y199" s="81"/>
      <c r="Z199" s="45"/>
      <c r="AA199" s="182"/>
    </row>
    <row r="200" spans="1:27" ht="12.75">
      <c r="A200" s="78"/>
      <c r="B200" s="73"/>
      <c r="C200" s="133"/>
      <c r="D200" s="83"/>
      <c r="E200" s="325"/>
      <c r="F200" s="53"/>
      <c r="G200" s="245"/>
      <c r="H200" s="197"/>
      <c r="I200" s="33"/>
      <c r="J200" s="94"/>
      <c r="K200" s="103"/>
      <c r="L200" s="198"/>
      <c r="M200" s="95"/>
      <c r="N200" s="34"/>
      <c r="O200" s="83"/>
      <c r="P200" s="378"/>
      <c r="Q200" s="378"/>
      <c r="R200" s="193"/>
      <c r="S200" s="113"/>
      <c r="T200" s="175"/>
      <c r="U200" s="123"/>
      <c r="V200" s="149"/>
      <c r="W200" s="80"/>
      <c r="X200" s="45"/>
      <c r="Y200" s="154"/>
      <c r="Z200" s="365"/>
      <c r="AA200" s="366"/>
    </row>
    <row r="201" spans="1:27" ht="12.75">
      <c r="A201" s="78"/>
      <c r="B201" s="354"/>
      <c r="C201" s="315"/>
      <c r="D201" s="67"/>
      <c r="E201" s="324"/>
      <c r="F201" s="352"/>
      <c r="G201" s="59"/>
      <c r="H201" s="275"/>
      <c r="I201" s="38"/>
      <c r="J201" s="86"/>
      <c r="K201" s="62"/>
      <c r="L201" s="221"/>
      <c r="M201" s="62"/>
      <c r="N201" s="65"/>
      <c r="O201" s="67"/>
      <c r="P201" s="67"/>
      <c r="Q201" s="67"/>
      <c r="R201" s="324"/>
      <c r="S201" s="380"/>
      <c r="T201" s="170"/>
      <c r="U201" s="382"/>
      <c r="V201" s="86"/>
      <c r="W201" s="41"/>
      <c r="X201" s="43"/>
      <c r="Y201" s="72"/>
      <c r="Z201" s="43"/>
      <c r="AA201" s="183"/>
    </row>
    <row r="202" spans="1:27" ht="12.75">
      <c r="A202" s="78"/>
      <c r="B202" s="173"/>
      <c r="C202" s="134"/>
      <c r="D202" s="79"/>
      <c r="E202" s="368"/>
      <c r="F202" s="369"/>
      <c r="G202" s="60"/>
      <c r="H202" s="242"/>
      <c r="I202" s="33"/>
      <c r="J202" s="94"/>
      <c r="K202" s="93"/>
      <c r="L202" s="111"/>
      <c r="M202" s="93"/>
      <c r="N202" s="44"/>
      <c r="O202" s="79"/>
      <c r="P202" s="79"/>
      <c r="Q202" s="79"/>
      <c r="R202" s="368"/>
      <c r="S202" s="286"/>
      <c r="T202" s="175"/>
      <c r="U202" s="381"/>
      <c r="V202" s="94"/>
      <c r="W202" s="130"/>
      <c r="X202" s="45"/>
      <c r="Y202" s="81"/>
      <c r="Z202" s="45"/>
      <c r="AA202" s="182"/>
    </row>
    <row r="203" spans="1:27" ht="12.75">
      <c r="A203" s="78"/>
      <c r="B203" s="73"/>
      <c r="C203" s="133"/>
      <c r="D203" s="83"/>
      <c r="E203" s="325"/>
      <c r="F203" s="53"/>
      <c r="G203" s="245"/>
      <c r="H203" s="197"/>
      <c r="I203" s="33"/>
      <c r="J203" s="94"/>
      <c r="K203" s="103"/>
      <c r="L203" s="198"/>
      <c r="M203" s="95"/>
      <c r="N203" s="34"/>
      <c r="O203" s="83"/>
      <c r="P203" s="378"/>
      <c r="Q203" s="378"/>
      <c r="R203" s="193"/>
      <c r="S203" s="113"/>
      <c r="T203" s="175"/>
      <c r="U203" s="123"/>
      <c r="V203" s="149"/>
      <c r="W203" s="80"/>
      <c r="X203" s="45"/>
      <c r="Y203" s="154"/>
      <c r="Z203" s="365"/>
      <c r="AA203" s="366"/>
    </row>
    <row r="204" spans="1:27" ht="13.5" thickBot="1">
      <c r="A204" s="78"/>
      <c r="B204" s="354"/>
      <c r="C204" s="315"/>
      <c r="D204" s="67"/>
      <c r="E204" s="324"/>
      <c r="F204" s="352"/>
      <c r="G204" s="59"/>
      <c r="H204" s="422"/>
      <c r="I204" s="38"/>
      <c r="J204" s="86"/>
      <c r="K204" s="62"/>
      <c r="L204" s="221"/>
      <c r="M204" s="62"/>
      <c r="N204" s="65"/>
      <c r="O204" s="67"/>
      <c r="P204" s="67"/>
      <c r="Q204" s="67"/>
      <c r="R204" s="324"/>
      <c r="S204" s="380"/>
      <c r="T204" s="420"/>
      <c r="U204" s="423"/>
      <c r="V204" s="86"/>
      <c r="W204" s="41"/>
      <c r="X204" s="43"/>
      <c r="Y204" s="72"/>
      <c r="Z204" s="43"/>
      <c r="AA204" s="183"/>
    </row>
    <row r="205" spans="1:27" ht="12.75">
      <c r="A205" s="436" t="s">
        <v>324</v>
      </c>
      <c r="B205" s="437"/>
      <c r="C205" s="437"/>
      <c r="D205" s="438"/>
      <c r="E205" s="46"/>
      <c r="F205" s="13"/>
      <c r="G205" s="196"/>
      <c r="H205" s="219"/>
      <c r="I205" s="13"/>
      <c r="J205" s="155"/>
      <c r="K205" s="46"/>
      <c r="L205" s="46"/>
      <c r="M205" s="46"/>
      <c r="N205" s="46"/>
      <c r="O205" s="290"/>
      <c r="P205" s="32"/>
      <c r="Q205" s="213"/>
      <c r="R205" s="227"/>
      <c r="S205" s="107"/>
      <c r="T205" s="168"/>
      <c r="U205" s="229"/>
      <c r="V205" s="225">
        <f>SUM(V166:V204)</f>
        <v>0</v>
      </c>
      <c r="W205" s="283"/>
      <c r="X205" s="47"/>
      <c r="Y205" s="291"/>
      <c r="Z205" s="47"/>
      <c r="AA205" s="190"/>
    </row>
    <row r="206" spans="1:27" ht="13.5" thickBot="1">
      <c r="A206" s="439"/>
      <c r="B206" s="440"/>
      <c r="C206" s="440"/>
      <c r="D206" s="441"/>
      <c r="E206" s="110">
        <f>SUM(E166:E204)</f>
        <v>23697.90000000001</v>
      </c>
      <c r="F206" s="334">
        <f>SUM(F169:F204)</f>
        <v>23698</v>
      </c>
      <c r="G206" s="223"/>
      <c r="H206" s="224">
        <f>SUM(H165:H204)</f>
        <v>0</v>
      </c>
      <c r="I206" s="69"/>
      <c r="J206" s="69">
        <f>SUM(J166:J205)</f>
        <v>0</v>
      </c>
      <c r="K206" s="69"/>
      <c r="L206" s="69">
        <f>SUM(L166:L205)</f>
        <v>0</v>
      </c>
      <c r="M206" s="69"/>
      <c r="N206" s="69">
        <f>SUM(N166:N205)</f>
        <v>0</v>
      </c>
      <c r="O206" s="69">
        <f>SUM(O166:O205)</f>
        <v>75.59531538000002</v>
      </c>
      <c r="P206" s="48"/>
      <c r="Q206" s="48"/>
      <c r="R206" s="211"/>
      <c r="S206" s="108"/>
      <c r="T206" s="215">
        <f>SUM(T166:T204)</f>
        <v>0</v>
      </c>
      <c r="U206" s="48">
        <f>SUM(U166:U204)</f>
        <v>0</v>
      </c>
      <c r="V206" s="224">
        <f>V205+H206</f>
        <v>0</v>
      </c>
      <c r="W206" s="223">
        <f>V206/E206</f>
        <v>0</v>
      </c>
      <c r="X206" s="320">
        <v>65</v>
      </c>
      <c r="Y206" s="50">
        <f>SUM(Y166:Y205)/12</f>
        <v>8.916666666666666</v>
      </c>
      <c r="Z206" s="50"/>
      <c r="AA206" s="51"/>
    </row>
    <row r="207" spans="6:7" ht="12.75">
      <c r="F207" s="335">
        <f>F206-E206</f>
        <v>0.09999999999126885</v>
      </c>
      <c r="G207" s="98" t="str">
        <f>IF(F207&lt;0,"za mało",IF(F207&gt;0,"za dużo","równo"))</f>
        <v>za dużo</v>
      </c>
    </row>
  </sheetData>
  <sheetProtection/>
  <mergeCells count="82">
    <mergeCell ref="A182:A183"/>
    <mergeCell ref="A184:A185"/>
    <mergeCell ref="A188:A189"/>
    <mergeCell ref="A193:A194"/>
    <mergeCell ref="A195:A196"/>
    <mergeCell ref="A205:D206"/>
    <mergeCell ref="A166:A167"/>
    <mergeCell ref="A168:A169"/>
    <mergeCell ref="A172:A173"/>
    <mergeCell ref="A174:A175"/>
    <mergeCell ref="A176:A177"/>
    <mergeCell ref="A180:A181"/>
    <mergeCell ref="A161:D162"/>
    <mergeCell ref="A138:A139"/>
    <mergeCell ref="A140:A141"/>
    <mergeCell ref="A144:A145"/>
    <mergeCell ref="A149:A150"/>
    <mergeCell ref="A151:A152"/>
    <mergeCell ref="A122:A123"/>
    <mergeCell ref="A124:A125"/>
    <mergeCell ref="A128:A129"/>
    <mergeCell ref="A130:A131"/>
    <mergeCell ref="A132:A133"/>
    <mergeCell ref="A136:A137"/>
    <mergeCell ref="A119:D120"/>
    <mergeCell ref="A89:A90"/>
    <mergeCell ref="A91:A92"/>
    <mergeCell ref="A95:A96"/>
    <mergeCell ref="A100:A101"/>
    <mergeCell ref="A102:A103"/>
    <mergeCell ref="A117:A118"/>
    <mergeCell ref="A73:A74"/>
    <mergeCell ref="A75:A76"/>
    <mergeCell ref="A79:A80"/>
    <mergeCell ref="A81:A82"/>
    <mergeCell ref="A83:A84"/>
    <mergeCell ref="A87:A88"/>
    <mergeCell ref="A6:AC6"/>
    <mergeCell ref="A19:A20"/>
    <mergeCell ref="A31:A32"/>
    <mergeCell ref="A29:A30"/>
    <mergeCell ref="A27:A28"/>
    <mergeCell ref="A25:A26"/>
    <mergeCell ref="A23:A24"/>
    <mergeCell ref="A21:A22"/>
    <mergeCell ref="P10:T10"/>
    <mergeCell ref="E10:H10"/>
    <mergeCell ref="A43:D44"/>
    <mergeCell ref="A41:A42"/>
    <mergeCell ref="A39:A40"/>
    <mergeCell ref="A37:A38"/>
    <mergeCell ref="A35:A36"/>
    <mergeCell ref="A33:A34"/>
    <mergeCell ref="K10:N10"/>
    <mergeCell ref="Y10:Y17"/>
    <mergeCell ref="Z10:Z17"/>
    <mergeCell ref="K11:L14"/>
    <mergeCell ref="M11:N14"/>
    <mergeCell ref="T11:T16"/>
    <mergeCell ref="A5:D5"/>
    <mergeCell ref="A1:I1"/>
    <mergeCell ref="A8:D8"/>
    <mergeCell ref="A7:AA7"/>
    <mergeCell ref="I11:J14"/>
    <mergeCell ref="A4:AC4"/>
    <mergeCell ref="A10:A17"/>
    <mergeCell ref="C10:C17"/>
    <mergeCell ref="AA10:AA17"/>
    <mergeCell ref="I10:J10"/>
    <mergeCell ref="A46:A47"/>
    <mergeCell ref="A48:A49"/>
    <mergeCell ref="A50:A51"/>
    <mergeCell ref="A52:A53"/>
    <mergeCell ref="A54:A55"/>
    <mergeCell ref="A56:A57"/>
    <mergeCell ref="A70:D71"/>
    <mergeCell ref="A58:A59"/>
    <mergeCell ref="A60:A61"/>
    <mergeCell ref="A62:A63"/>
    <mergeCell ref="A64:A65"/>
    <mergeCell ref="A66:A67"/>
    <mergeCell ref="A68:A69"/>
  </mergeCells>
  <printOptions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1" r:id="rId3"/>
  <headerFooter>
    <oddFooter>&amp;L&amp;D</oddFooter>
  </headerFooter>
  <ignoredErrors>
    <ignoredError sqref="I79 O81 I81 I75:I7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0"/>
  <sheetViews>
    <sheetView zoomScale="90" zoomScaleNormal="90" zoomScalePageLayoutView="0" workbookViewId="0" topLeftCell="B289">
      <selection activeCell="X289" sqref="X289"/>
    </sheetView>
  </sheetViews>
  <sheetFormatPr defaultColWidth="9.00390625" defaultRowHeight="12.75"/>
  <cols>
    <col min="1" max="1" width="1.25" style="0" hidden="1" customWidth="1"/>
    <col min="2" max="2" width="23.00390625" style="0" customWidth="1"/>
    <col min="3" max="3" width="8.625" style="0" customWidth="1"/>
    <col min="4" max="4" width="10.375" style="0" customWidth="1"/>
    <col min="5" max="6" width="8.125" style="0" customWidth="1"/>
    <col min="7" max="7" width="7.875" style="0" customWidth="1"/>
    <col min="8" max="8" width="10.125" style="0" customWidth="1"/>
    <col min="9" max="9" width="8.875" style="0" customWidth="1"/>
    <col min="10" max="10" width="10.625" style="0" customWidth="1"/>
    <col min="11" max="11" width="7.875" style="0" customWidth="1"/>
    <col min="12" max="12" width="9.375" style="0" customWidth="1"/>
    <col min="13" max="14" width="7.875" style="0" customWidth="1"/>
    <col min="15" max="15" width="8.875" style="0" customWidth="1"/>
    <col min="16" max="16" width="9.25390625" style="0" customWidth="1"/>
    <col min="17" max="17" width="10.25390625" style="0" customWidth="1"/>
    <col min="18" max="18" width="10.875" style="0" customWidth="1"/>
    <col min="19" max="19" width="9.125" style="0" customWidth="1"/>
    <col min="20" max="20" width="10.875" style="0" customWidth="1"/>
    <col min="21" max="21" width="8.25390625" style="0" customWidth="1"/>
    <col min="22" max="22" width="11.25390625" style="0" customWidth="1"/>
    <col min="23" max="25" width="9.00390625" style="0" customWidth="1"/>
    <col min="26" max="26" width="8.875" style="0" customWidth="1"/>
    <col min="27" max="27" width="10.125" style="0" customWidth="1"/>
    <col min="28" max="28" width="12.75390625" style="0" customWidth="1"/>
    <col min="29" max="29" width="10.875" style="0" customWidth="1"/>
  </cols>
  <sheetData>
    <row r="1" spans="1:9" ht="14.25">
      <c r="A1" s="445" t="s">
        <v>50</v>
      </c>
      <c r="B1" s="445"/>
      <c r="C1" s="445"/>
      <c r="D1" s="445"/>
      <c r="E1" s="445"/>
      <c r="F1" s="445"/>
      <c r="G1" s="445"/>
      <c r="H1" s="445"/>
      <c r="I1" s="445"/>
    </row>
    <row r="2" spans="2:20" ht="20.25">
      <c r="B2" s="208"/>
      <c r="C2" s="251"/>
      <c r="G2" s="252"/>
      <c r="H2" s="251"/>
      <c r="I2" s="2" t="s">
        <v>51</v>
      </c>
      <c r="J2" s="209" t="s">
        <v>312</v>
      </c>
      <c r="L2" s="416">
        <v>-0.03</v>
      </c>
      <c r="M2" s="236" t="s">
        <v>300</v>
      </c>
      <c r="S2" s="208"/>
      <c r="T2" s="253"/>
    </row>
    <row r="3" spans="2:22" ht="15.75">
      <c r="B3" s="204" t="s">
        <v>40</v>
      </c>
      <c r="C3" s="235" t="s">
        <v>234</v>
      </c>
      <c r="D3" s="192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9" ht="15" customHeight="1">
      <c r="A4" s="454" t="s">
        <v>35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454"/>
      <c r="P4" s="454"/>
      <c r="Q4" s="454"/>
      <c r="R4" s="454"/>
      <c r="S4" s="454"/>
      <c r="T4" s="454"/>
      <c r="U4" s="454"/>
      <c r="V4" s="454"/>
      <c r="W4" s="454"/>
      <c r="X4" s="454"/>
      <c r="Y4" s="454"/>
      <c r="Z4" s="454"/>
      <c r="AA4" s="454"/>
      <c r="AB4" s="454"/>
      <c r="AC4" s="454"/>
    </row>
    <row r="5" spans="1:29" s="3" customFormat="1" ht="15" customHeight="1">
      <c r="A5" s="444" t="s">
        <v>305</v>
      </c>
      <c r="B5" s="444"/>
      <c r="C5" s="444"/>
      <c r="D5" s="97"/>
      <c r="E5" s="97"/>
      <c r="F5" s="1"/>
      <c r="G5" s="208"/>
      <c r="H5" s="209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7"/>
      <c r="AB5" s="1"/>
      <c r="AC5" s="2"/>
    </row>
    <row r="6" spans="1:29" s="3" customFormat="1" ht="14.25">
      <c r="A6" s="445" t="s">
        <v>331</v>
      </c>
      <c r="B6" s="445"/>
      <c r="C6" s="445"/>
      <c r="D6" s="445"/>
      <c r="E6" s="445"/>
      <c r="F6" s="445"/>
      <c r="G6" s="445"/>
      <c r="H6" s="445"/>
      <c r="I6" s="445"/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</row>
    <row r="7" spans="1:27" s="3" customFormat="1" ht="14.25">
      <c r="A7" s="447" t="s">
        <v>251</v>
      </c>
      <c r="B7" s="447"/>
      <c r="C7" s="447"/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7"/>
      <c r="Z7" s="447"/>
      <c r="AA7" s="447"/>
    </row>
    <row r="8" spans="2:29" s="3" customFormat="1" ht="18">
      <c r="B8" s="252"/>
      <c r="C8" s="252" t="s">
        <v>229</v>
      </c>
      <c r="D8" s="5"/>
      <c r="E8" s="5"/>
      <c r="F8" s="5"/>
      <c r="I8" s="414" t="s">
        <v>298</v>
      </c>
      <c r="J8" s="415" t="s">
        <v>33</v>
      </c>
      <c r="K8" s="3" t="s">
        <v>318</v>
      </c>
      <c r="L8" s="4"/>
      <c r="M8" s="6"/>
      <c r="O8" s="1"/>
      <c r="P8" s="2"/>
      <c r="R8" s="1"/>
      <c r="S8" s="1"/>
      <c r="T8" s="135" t="s">
        <v>52</v>
      </c>
      <c r="V8" s="1"/>
      <c r="W8" s="1"/>
      <c r="X8" s="1"/>
      <c r="Y8" s="2"/>
      <c r="Z8" s="1"/>
      <c r="AC8" s="1"/>
    </row>
    <row r="9" spans="1:27" s="3" customFormat="1" ht="15" thickBot="1">
      <c r="A9" s="3" t="s">
        <v>1</v>
      </c>
      <c r="B9" s="4"/>
      <c r="C9" s="8"/>
      <c r="D9" s="2"/>
      <c r="G9" s="9"/>
      <c r="H9" s="4"/>
      <c r="I9" s="8"/>
      <c r="J9" s="2"/>
      <c r="N9" s="4"/>
      <c r="O9" s="8"/>
      <c r="P9" s="8"/>
      <c r="Q9" s="8"/>
      <c r="R9" s="2"/>
      <c r="S9" s="2"/>
      <c r="T9" s="2"/>
      <c r="U9" s="10"/>
      <c r="V9" s="11"/>
      <c r="W9" s="11"/>
      <c r="X9" s="11">
        <v>150</v>
      </c>
      <c r="Y9" s="11"/>
      <c r="Z9" s="11"/>
      <c r="AA9" s="12"/>
    </row>
    <row r="10" spans="1:27" ht="12.75" customHeight="1">
      <c r="A10" s="455" t="s">
        <v>2</v>
      </c>
      <c r="B10" s="13"/>
      <c r="C10" s="458" t="s">
        <v>217</v>
      </c>
      <c r="D10" s="13"/>
      <c r="E10" s="472" t="s">
        <v>3</v>
      </c>
      <c r="F10" s="473"/>
      <c r="G10" s="473"/>
      <c r="H10" s="474"/>
      <c r="I10" s="464" t="s">
        <v>218</v>
      </c>
      <c r="J10" s="465"/>
      <c r="K10" s="464" t="s">
        <v>219</v>
      </c>
      <c r="L10" s="466"/>
      <c r="M10" s="466"/>
      <c r="N10" s="465"/>
      <c r="O10" s="13"/>
      <c r="P10" s="472" t="s">
        <v>36</v>
      </c>
      <c r="Q10" s="473"/>
      <c r="R10" s="473"/>
      <c r="S10" s="473"/>
      <c r="T10" s="474"/>
      <c r="U10" s="14" t="s">
        <v>4</v>
      </c>
      <c r="V10" s="15" t="s">
        <v>5</v>
      </c>
      <c r="W10" s="14" t="s">
        <v>9</v>
      </c>
      <c r="X10" s="14" t="s">
        <v>10</v>
      </c>
      <c r="Y10" s="16"/>
      <c r="Z10" s="467" t="s">
        <v>220</v>
      </c>
      <c r="AA10" s="461" t="s">
        <v>41</v>
      </c>
    </row>
    <row r="11" spans="1:27" ht="12.75" customHeight="1">
      <c r="A11" s="456"/>
      <c r="B11" s="18"/>
      <c r="C11" s="459"/>
      <c r="D11" s="18"/>
      <c r="E11" s="20"/>
      <c r="F11" s="20"/>
      <c r="G11" s="20"/>
      <c r="H11" s="20"/>
      <c r="I11" s="448" t="s">
        <v>334</v>
      </c>
      <c r="J11" s="449"/>
      <c r="K11" s="448" t="s">
        <v>221</v>
      </c>
      <c r="L11" s="449"/>
      <c r="M11" s="448" t="s">
        <v>222</v>
      </c>
      <c r="N11" s="449"/>
      <c r="O11" s="163"/>
      <c r="P11" s="21"/>
      <c r="Q11" s="21"/>
      <c r="R11" s="114"/>
      <c r="S11" s="115"/>
      <c r="T11" s="470" t="s">
        <v>223</v>
      </c>
      <c r="U11" s="22" t="s">
        <v>7</v>
      </c>
      <c r="V11" s="22" t="s">
        <v>8</v>
      </c>
      <c r="W11" s="21" t="s">
        <v>13</v>
      </c>
      <c r="X11" s="18" t="s">
        <v>14</v>
      </c>
      <c r="Y11" s="19"/>
      <c r="Z11" s="468"/>
      <c r="AA11" s="462"/>
    </row>
    <row r="12" spans="1:27" ht="12.75" customHeight="1">
      <c r="A12" s="456"/>
      <c r="B12" s="73"/>
      <c r="C12" s="459"/>
      <c r="D12" s="18"/>
      <c r="E12" s="18"/>
      <c r="F12" s="18"/>
      <c r="G12" s="18"/>
      <c r="H12" s="18"/>
      <c r="I12" s="450"/>
      <c r="J12" s="451"/>
      <c r="K12" s="450"/>
      <c r="L12" s="451"/>
      <c r="M12" s="450"/>
      <c r="N12" s="451"/>
      <c r="O12" s="22" t="s">
        <v>224</v>
      </c>
      <c r="P12" s="22" t="s">
        <v>42</v>
      </c>
      <c r="Q12" s="22" t="s">
        <v>42</v>
      </c>
      <c r="R12" s="22" t="s">
        <v>16</v>
      </c>
      <c r="T12" s="471"/>
      <c r="U12" s="23" t="s">
        <v>11</v>
      </c>
      <c r="V12" s="18" t="s">
        <v>12</v>
      </c>
      <c r="W12" s="21" t="s">
        <v>22</v>
      </c>
      <c r="X12" s="17" t="s">
        <v>23</v>
      </c>
      <c r="Y12" s="22" t="s">
        <v>6</v>
      </c>
      <c r="Z12" s="468"/>
      <c r="AA12" s="462"/>
    </row>
    <row r="13" spans="1:27" ht="12.75" customHeight="1">
      <c r="A13" s="456" t="s">
        <v>2</v>
      </c>
      <c r="B13" s="18" t="s">
        <v>225</v>
      </c>
      <c r="C13" s="459"/>
      <c r="D13" s="18" t="s">
        <v>15</v>
      </c>
      <c r="E13" s="22" t="s">
        <v>16</v>
      </c>
      <c r="F13" s="22" t="s">
        <v>16</v>
      </c>
      <c r="G13" s="22" t="s">
        <v>17</v>
      </c>
      <c r="H13" s="22" t="s">
        <v>18</v>
      </c>
      <c r="I13" s="450"/>
      <c r="J13" s="451"/>
      <c r="K13" s="450"/>
      <c r="L13" s="451"/>
      <c r="M13" s="450"/>
      <c r="N13" s="451"/>
      <c r="O13" s="18" t="s">
        <v>19</v>
      </c>
      <c r="P13" s="22" t="s">
        <v>43</v>
      </c>
      <c r="Q13" s="22" t="s">
        <v>44</v>
      </c>
      <c r="R13" s="55" t="s">
        <v>226</v>
      </c>
      <c r="S13" s="163" t="s">
        <v>26</v>
      </c>
      <c r="T13" s="471"/>
      <c r="U13" s="18" t="s">
        <v>20</v>
      </c>
      <c r="V13" s="18" t="s">
        <v>21</v>
      </c>
      <c r="X13" s="19"/>
      <c r="Y13" s="21" t="s">
        <v>227</v>
      </c>
      <c r="Z13" s="468"/>
      <c r="AA13" s="462"/>
    </row>
    <row r="14" spans="1:27" ht="12.75">
      <c r="A14" s="456"/>
      <c r="B14" s="18"/>
      <c r="C14" s="459"/>
      <c r="D14" s="18" t="s">
        <v>24</v>
      </c>
      <c r="E14" s="18" t="s">
        <v>45</v>
      </c>
      <c r="F14" s="18" t="s">
        <v>27</v>
      </c>
      <c r="G14" s="18"/>
      <c r="H14" s="18"/>
      <c r="I14" s="452"/>
      <c r="J14" s="453"/>
      <c r="K14" s="452"/>
      <c r="L14" s="453"/>
      <c r="M14" s="452"/>
      <c r="N14" s="453"/>
      <c r="O14" s="18" t="s">
        <v>228</v>
      </c>
      <c r="P14" s="18"/>
      <c r="Q14" s="18"/>
      <c r="R14" s="22" t="s">
        <v>37</v>
      </c>
      <c r="S14" s="163" t="s">
        <v>65</v>
      </c>
      <c r="T14" s="471"/>
      <c r="U14" s="18" t="s">
        <v>23</v>
      </c>
      <c r="V14" s="24"/>
      <c r="W14" s="21"/>
      <c r="X14" s="17"/>
      <c r="Y14" s="17" t="s">
        <v>34</v>
      </c>
      <c r="Z14" s="468"/>
      <c r="AA14" s="462"/>
    </row>
    <row r="15" spans="1:27" ht="12.75">
      <c r="A15" s="456"/>
      <c r="B15" s="18"/>
      <c r="C15" s="459"/>
      <c r="D15" s="18"/>
      <c r="E15" s="18"/>
      <c r="F15" s="18"/>
      <c r="G15" s="18"/>
      <c r="H15" s="18"/>
      <c r="I15" s="18" t="s">
        <v>25</v>
      </c>
      <c r="J15" s="18" t="s">
        <v>26</v>
      </c>
      <c r="K15" s="18" t="s">
        <v>25</v>
      </c>
      <c r="L15" s="18" t="s">
        <v>26</v>
      </c>
      <c r="M15" s="18" t="s">
        <v>25</v>
      </c>
      <c r="N15" s="18" t="s">
        <v>26</v>
      </c>
      <c r="O15" s="330" t="s">
        <v>256</v>
      </c>
      <c r="P15" s="18"/>
      <c r="Q15" s="18"/>
      <c r="R15" s="22"/>
      <c r="T15" s="471"/>
      <c r="U15" s="18"/>
      <c r="V15" s="24"/>
      <c r="W15" s="21"/>
      <c r="X15" s="25"/>
      <c r="Y15" s="25"/>
      <c r="Z15" s="468"/>
      <c r="AA15" s="462"/>
    </row>
    <row r="16" spans="1:27" ht="15">
      <c r="A16" s="456"/>
      <c r="B16" s="74"/>
      <c r="C16" s="459"/>
      <c r="E16" s="18"/>
      <c r="F16" s="18"/>
      <c r="G16" s="18"/>
      <c r="H16" s="18"/>
      <c r="J16" s="18"/>
      <c r="K16" s="18"/>
      <c r="L16" s="18"/>
      <c r="M16" s="18"/>
      <c r="N16" s="18"/>
      <c r="O16" s="18" t="s">
        <v>333</v>
      </c>
      <c r="P16" s="163"/>
      <c r="Q16" s="163"/>
      <c r="R16" s="22"/>
      <c r="S16" s="281"/>
      <c r="T16" s="471"/>
      <c r="U16" s="26"/>
      <c r="V16" s="319" t="s">
        <v>233</v>
      </c>
      <c r="W16" s="27"/>
      <c r="X16" s="25"/>
      <c r="Y16" s="25"/>
      <c r="Z16" s="468"/>
      <c r="AA16" s="462"/>
    </row>
    <row r="17" spans="1:27" ht="12.75">
      <c r="A17" s="457"/>
      <c r="B17" s="28"/>
      <c r="C17" s="460"/>
      <c r="D17" s="28"/>
      <c r="E17" s="28" t="s">
        <v>29</v>
      </c>
      <c r="F17" s="28" t="s">
        <v>29</v>
      </c>
      <c r="G17" s="28" t="s">
        <v>30</v>
      </c>
      <c r="H17" s="28" t="s">
        <v>31</v>
      </c>
      <c r="I17" s="28" t="s">
        <v>28</v>
      </c>
      <c r="J17" s="28" t="s">
        <v>31</v>
      </c>
      <c r="K17" s="28" t="s">
        <v>30</v>
      </c>
      <c r="L17" s="28" t="s">
        <v>31</v>
      </c>
      <c r="M17" s="28" t="s">
        <v>30</v>
      </c>
      <c r="N17" s="28" t="s">
        <v>31</v>
      </c>
      <c r="O17" s="28" t="s">
        <v>31</v>
      </c>
      <c r="P17" s="164"/>
      <c r="Q17" s="164"/>
      <c r="R17" s="318" t="s">
        <v>64</v>
      </c>
      <c r="S17" s="116"/>
      <c r="T17" s="116" t="s">
        <v>31</v>
      </c>
      <c r="U17" s="28" t="s">
        <v>31</v>
      </c>
      <c r="V17" s="28" t="s">
        <v>31</v>
      </c>
      <c r="W17" s="28" t="s">
        <v>30</v>
      </c>
      <c r="X17" s="29" t="s">
        <v>32</v>
      </c>
      <c r="Y17" s="29" t="s">
        <v>32</v>
      </c>
      <c r="Z17" s="469"/>
      <c r="AA17" s="463"/>
    </row>
    <row r="18" spans="1:27" ht="13.5" thickBot="1">
      <c r="A18" s="30">
        <v>1</v>
      </c>
      <c r="B18" s="31">
        <v>2</v>
      </c>
      <c r="C18" s="31">
        <v>3</v>
      </c>
      <c r="D18" s="31">
        <v>4</v>
      </c>
      <c r="E18" s="31">
        <v>5</v>
      </c>
      <c r="F18" s="31">
        <v>6</v>
      </c>
      <c r="G18" s="31">
        <v>7</v>
      </c>
      <c r="H18" s="31">
        <v>8</v>
      </c>
      <c r="I18" s="31">
        <v>9</v>
      </c>
      <c r="J18" s="31">
        <v>10</v>
      </c>
      <c r="K18" s="31">
        <v>11</v>
      </c>
      <c r="L18" s="31">
        <v>12</v>
      </c>
      <c r="M18" s="31">
        <v>13</v>
      </c>
      <c r="N18" s="31">
        <v>14</v>
      </c>
      <c r="O18" s="31">
        <v>15</v>
      </c>
      <c r="P18" s="31">
        <v>16</v>
      </c>
      <c r="Q18" s="31">
        <v>17</v>
      </c>
      <c r="R18" s="31">
        <v>18</v>
      </c>
      <c r="S18" s="31">
        <v>19</v>
      </c>
      <c r="T18" s="31">
        <v>20</v>
      </c>
      <c r="U18" s="31">
        <v>21</v>
      </c>
      <c r="V18" s="31">
        <v>22</v>
      </c>
      <c r="W18" s="31">
        <v>23</v>
      </c>
      <c r="X18" s="31">
        <v>27</v>
      </c>
      <c r="Y18" s="31">
        <v>28</v>
      </c>
      <c r="Z18" s="31">
        <v>29</v>
      </c>
      <c r="AA18" s="101">
        <v>30</v>
      </c>
    </row>
    <row r="19" spans="1:27" ht="12.75" hidden="1">
      <c r="A19" s="78"/>
      <c r="B19" s="142"/>
      <c r="C19" s="268"/>
      <c r="D19" s="33"/>
      <c r="E19" s="33"/>
      <c r="F19" s="33"/>
      <c r="G19" s="33"/>
      <c r="H19" s="145"/>
      <c r="I19" s="33"/>
      <c r="J19" s="33"/>
      <c r="K19" s="77"/>
      <c r="L19" s="77"/>
      <c r="M19" s="77"/>
      <c r="N19" s="77"/>
      <c r="O19" s="77"/>
      <c r="P19" s="257">
        <v>0.22633</v>
      </c>
      <c r="Q19" s="257">
        <v>0.23074</v>
      </c>
      <c r="R19" s="117">
        <f>(Q19-P19)*150-0.085</f>
        <v>0.5764999999999996</v>
      </c>
      <c r="S19" s="127">
        <f>R19/E21</f>
        <v>0.7021924482338606</v>
      </c>
      <c r="T19" s="141">
        <f>59.67*1.23</f>
        <v>73.3941</v>
      </c>
      <c r="U19" s="44"/>
      <c r="V19" s="94"/>
      <c r="W19" s="104"/>
      <c r="X19" s="45"/>
      <c r="Y19" s="81"/>
      <c r="Z19" s="84"/>
      <c r="AA19" s="186"/>
    </row>
    <row r="20" spans="1:27" ht="12.75" hidden="1">
      <c r="A20" s="78"/>
      <c r="B20" s="102"/>
      <c r="C20" s="33"/>
      <c r="D20" s="33"/>
      <c r="E20" s="33"/>
      <c r="F20" s="33"/>
      <c r="G20" s="265" t="s">
        <v>53</v>
      </c>
      <c r="H20" s="145"/>
      <c r="I20" s="33"/>
      <c r="J20" s="33"/>
      <c r="K20" s="77"/>
      <c r="L20" s="77"/>
      <c r="M20" s="77"/>
      <c r="N20" s="77"/>
      <c r="O20" s="77"/>
      <c r="P20" s="157">
        <v>0.67545</v>
      </c>
      <c r="Q20" s="157">
        <v>0.68342</v>
      </c>
      <c r="R20" s="117">
        <f>(Q20-P20)*150-0.155</f>
        <v>1.0405000000000049</v>
      </c>
      <c r="S20" s="127">
        <f>R20/E22</f>
        <v>0.6904445919044492</v>
      </c>
      <c r="T20" s="141">
        <f>105.17*1.23</f>
        <v>129.3591</v>
      </c>
      <c r="U20" s="44"/>
      <c r="V20" s="94"/>
      <c r="W20" s="104"/>
      <c r="X20" s="45"/>
      <c r="Y20" s="81"/>
      <c r="Z20" s="84"/>
      <c r="AA20" s="186"/>
    </row>
    <row r="21" spans="1:27" ht="12.75" hidden="1">
      <c r="A21" s="442">
        <v>1</v>
      </c>
      <c r="B21" s="73" t="s">
        <v>49</v>
      </c>
      <c r="C21" s="268"/>
      <c r="D21" s="176">
        <v>0.10346</v>
      </c>
      <c r="E21" s="118">
        <v>0.821</v>
      </c>
      <c r="F21" s="278">
        <v>0.821</v>
      </c>
      <c r="G21" s="216">
        <f>0.2153*1.23</f>
        <v>0.26481899999999997</v>
      </c>
      <c r="H21" s="276">
        <f>F21*G21*1000</f>
        <v>217.41639899999996</v>
      </c>
      <c r="I21" s="33">
        <f>0.87*1.23</f>
        <v>1.0701</v>
      </c>
      <c r="J21" s="94"/>
      <c r="K21" s="66">
        <f>0.105*1.23</f>
        <v>0.12915</v>
      </c>
      <c r="L21" s="34">
        <f>E21*K21*1000</f>
        <v>106.03214999999997</v>
      </c>
      <c r="M21" s="66">
        <f>0.0115*1.23</f>
        <v>0.014145</v>
      </c>
      <c r="N21" s="34">
        <f>E21*M21*1000</f>
        <v>11.613045</v>
      </c>
      <c r="O21" s="75">
        <f>8.75*1.23</f>
        <v>10.7625</v>
      </c>
      <c r="P21" s="136">
        <v>0.00138</v>
      </c>
      <c r="Q21" s="136">
        <v>0.00141</v>
      </c>
      <c r="R21" s="117">
        <f>(Q21-P21)*150</f>
        <v>0.004500000000000012</v>
      </c>
      <c r="S21" s="127"/>
      <c r="T21" s="159">
        <f>2.72*1.23</f>
        <v>3.3456</v>
      </c>
      <c r="U21" s="121"/>
      <c r="V21" s="131"/>
      <c r="W21" s="122"/>
      <c r="X21" s="63"/>
      <c r="Y21" s="63"/>
      <c r="Z21" s="54"/>
      <c r="AA21" s="186">
        <f>V22/1.23</f>
        <v>1138.2374000000002</v>
      </c>
    </row>
    <row r="22" spans="1:27" ht="12.75" hidden="1">
      <c r="A22" s="443">
        <v>19</v>
      </c>
      <c r="B22" s="259" t="s">
        <v>47</v>
      </c>
      <c r="C22" s="37" t="s">
        <v>48</v>
      </c>
      <c r="D22" s="58">
        <v>0.29598</v>
      </c>
      <c r="E22" s="87">
        <v>1.507</v>
      </c>
      <c r="F22" s="274">
        <v>1.507</v>
      </c>
      <c r="G22" s="125">
        <f>0.2153*1.23</f>
        <v>0.26481899999999997</v>
      </c>
      <c r="H22" s="277">
        <f>F22*G22*1000</f>
        <v>399.082233</v>
      </c>
      <c r="I22" s="38">
        <f>16.61*1.23</f>
        <v>20.4303</v>
      </c>
      <c r="J22" s="86">
        <f>X22*(I21+I22)</f>
        <v>860.016</v>
      </c>
      <c r="K22" s="59">
        <f>0.0972*1.23</f>
        <v>0.119556</v>
      </c>
      <c r="L22" s="65">
        <f>E22*K22*1000</f>
        <v>180.17089199999998</v>
      </c>
      <c r="M22" s="59">
        <f>0.0115*1.23</f>
        <v>0.014145</v>
      </c>
      <c r="N22" s="65">
        <f>E22*M22*1000</f>
        <v>21.316515</v>
      </c>
      <c r="O22" s="67"/>
      <c r="P22" s="57">
        <v>0.00039</v>
      </c>
      <c r="Q22" s="57">
        <v>0.00043</v>
      </c>
      <c r="R22" s="207">
        <f>(Q22-P22)*150</f>
        <v>0.005999999999999999</v>
      </c>
      <c r="S22" s="161"/>
      <c r="T22" s="254">
        <f>3.27*1.23</f>
        <v>4.0221</v>
      </c>
      <c r="U22" s="71"/>
      <c r="V22" s="86">
        <f>J22+L19+L20+L21+L22+N19+N20+N21+N22+O21+O22+T19+T20+T21+T22+U22</f>
        <v>1400.0320020000001</v>
      </c>
      <c r="W22" s="41">
        <f>(V22+H21+H22)/(E19+E20+E21+E22)/1000</f>
        <v>0.8662073170103095</v>
      </c>
      <c r="X22" s="43">
        <v>40</v>
      </c>
      <c r="Y22" s="72">
        <v>1</v>
      </c>
      <c r="Z22" s="40"/>
      <c r="AA22" s="185"/>
    </row>
    <row r="23" spans="1:27" ht="12.75" hidden="1">
      <c r="A23" s="78"/>
      <c r="B23" s="142"/>
      <c r="C23" s="268"/>
      <c r="D23" s="33"/>
      <c r="E23" s="33"/>
      <c r="F23" s="265"/>
      <c r="G23" s="33"/>
      <c r="H23" s="265"/>
      <c r="I23" s="33"/>
      <c r="J23" s="94"/>
      <c r="K23" s="77"/>
      <c r="L23" s="77"/>
      <c r="M23" s="77"/>
      <c r="N23" s="77"/>
      <c r="O23" s="77"/>
      <c r="P23" s="257">
        <v>0.23074</v>
      </c>
      <c r="Q23" s="257">
        <v>0.23518</v>
      </c>
      <c r="R23" s="117">
        <f>(Q23-P23)*150-0.118</f>
        <v>0.5479999999999999</v>
      </c>
      <c r="S23" s="127">
        <f>R23/E25</f>
        <v>0.4785670932725516</v>
      </c>
      <c r="T23" s="141">
        <f>16.82*1.23</f>
        <v>20.6886</v>
      </c>
      <c r="U23" s="44"/>
      <c r="V23" s="94"/>
      <c r="W23" s="104"/>
      <c r="X23" s="45"/>
      <c r="Y23" s="81"/>
      <c r="Z23" s="84"/>
      <c r="AA23" s="186"/>
    </row>
    <row r="24" spans="1:27" ht="12.75" hidden="1">
      <c r="A24" s="78"/>
      <c r="B24" s="102"/>
      <c r="C24" s="33"/>
      <c r="D24" s="33"/>
      <c r="E24" s="33"/>
      <c r="F24" s="265"/>
      <c r="G24" s="265" t="s">
        <v>62</v>
      </c>
      <c r="H24" s="265"/>
      <c r="I24" s="33"/>
      <c r="J24" s="94"/>
      <c r="K24" s="77"/>
      <c r="L24" s="77"/>
      <c r="M24" s="77"/>
      <c r="N24" s="77"/>
      <c r="O24" s="77"/>
      <c r="P24" s="157">
        <v>0.68342</v>
      </c>
      <c r="Q24" s="157">
        <v>0.69142</v>
      </c>
      <c r="R24" s="117">
        <f>(Q24-P24)*150-0.227</f>
        <v>0.9730000000000011</v>
      </c>
      <c r="S24" s="127">
        <f>R24/E26</f>
        <v>0.44111380101370073</v>
      </c>
      <c r="T24" s="141">
        <f>15.59*1.23</f>
        <v>19.1757</v>
      </c>
      <c r="U24" s="44"/>
      <c r="V24" s="94"/>
      <c r="W24" s="104"/>
      <c r="X24" s="45"/>
      <c r="Y24" s="81"/>
      <c r="Z24" s="84"/>
      <c r="AA24" s="186"/>
    </row>
    <row r="25" spans="1:27" ht="12.75" hidden="1">
      <c r="A25" s="442">
        <v>2</v>
      </c>
      <c r="B25" s="73" t="s">
        <v>54</v>
      </c>
      <c r="C25" s="268"/>
      <c r="D25" s="176">
        <v>0.11133</v>
      </c>
      <c r="E25" s="118">
        <f>(D25-D21)*X$9*0.97</f>
        <v>1.1450850000000004</v>
      </c>
      <c r="F25" s="278">
        <v>1.146</v>
      </c>
      <c r="G25" s="216">
        <f>0.2153*1.23</f>
        <v>0.26481899999999997</v>
      </c>
      <c r="H25" s="276">
        <f>F25*G25*1000</f>
        <v>303.48257399999994</v>
      </c>
      <c r="I25" s="33">
        <f>0.85*1.23</f>
        <v>1.0454999999999999</v>
      </c>
      <c r="J25" s="94"/>
      <c r="K25" s="66">
        <f>0.1261*1.23</f>
        <v>0.155103</v>
      </c>
      <c r="L25" s="34">
        <f>E25*K25*1000</f>
        <v>177.60611875500004</v>
      </c>
      <c r="M25" s="66">
        <f>0.0129*1.23</f>
        <v>0.015867</v>
      </c>
      <c r="N25" s="34">
        <f>E25*M25*1000</f>
        <v>18.169063695000006</v>
      </c>
      <c r="O25" s="75">
        <f>16*1.23</f>
        <v>19.68</v>
      </c>
      <c r="P25" s="136">
        <v>0.00141</v>
      </c>
      <c r="Q25" s="136">
        <v>0.00142</v>
      </c>
      <c r="R25" s="117">
        <f>(Q25-P25)*150</f>
        <v>0.001500000000000004</v>
      </c>
      <c r="S25" s="127"/>
      <c r="T25" s="159">
        <f>0.98*1.23</f>
        <v>1.2054</v>
      </c>
      <c r="U25" s="121"/>
      <c r="V25" s="131"/>
      <c r="W25" s="122"/>
      <c r="X25" s="63"/>
      <c r="Y25" s="63"/>
      <c r="Z25" s="54"/>
      <c r="AA25" s="186">
        <f>V26/1.23</f>
        <v>1701.6031929999997</v>
      </c>
    </row>
    <row r="26" spans="1:27" ht="12.75" hidden="1">
      <c r="A26" s="443">
        <v>19</v>
      </c>
      <c r="B26" s="259" t="s">
        <v>56</v>
      </c>
      <c r="C26" s="37" t="s">
        <v>55</v>
      </c>
      <c r="D26" s="58">
        <v>0.31114</v>
      </c>
      <c r="E26" s="87">
        <f>(D26-D22)*X$9*0.97</f>
        <v>2.2057800000000007</v>
      </c>
      <c r="F26" s="274">
        <v>2.206</v>
      </c>
      <c r="G26" s="125">
        <f>0.2153*1.23</f>
        <v>0.26481899999999997</v>
      </c>
      <c r="H26" s="277">
        <f>F26*G26*1000</f>
        <v>584.1907139999998</v>
      </c>
      <c r="I26" s="38">
        <f>15.78*1.23</f>
        <v>19.409399999999998</v>
      </c>
      <c r="J26" s="86">
        <f>X26*(I25+I26)</f>
        <v>1534.1174999999998</v>
      </c>
      <c r="K26" s="59">
        <f>0.0972*1.23</f>
        <v>0.119556</v>
      </c>
      <c r="L26" s="65">
        <f>E26*K26*1000</f>
        <v>263.71423368000006</v>
      </c>
      <c r="M26" s="59">
        <f>0.0129*1.23</f>
        <v>0.015867</v>
      </c>
      <c r="N26" s="65">
        <f>E26*M26*1000</f>
        <v>34.99911126000001</v>
      </c>
      <c r="O26" s="67"/>
      <c r="P26" s="57">
        <v>0.00043</v>
      </c>
      <c r="Q26" s="57">
        <v>0.00047</v>
      </c>
      <c r="R26" s="207">
        <f>(Q26-P26)*150</f>
        <v>0.005999999999999999</v>
      </c>
      <c r="S26" s="161"/>
      <c r="T26" s="254">
        <f>2.94*1.23</f>
        <v>3.6162</v>
      </c>
      <c r="U26" s="71"/>
      <c r="V26" s="170">
        <f>J26+L23+L24+L25+L26+N23+N24+N25+N26+O25+O26+T23+T24+T25+T26+U26</f>
        <v>2092.9719273899996</v>
      </c>
      <c r="W26" s="41">
        <f>(V26+H25+H26)/(E23+E24+E25+E26)/1000</f>
        <v>0.8895151596348998</v>
      </c>
      <c r="X26" s="147">
        <v>75</v>
      </c>
      <c r="Y26" s="72">
        <v>9</v>
      </c>
      <c r="Z26" s="40"/>
      <c r="AA26" s="185"/>
    </row>
    <row r="27" spans="1:27" ht="12.75" hidden="1">
      <c r="A27" s="442"/>
      <c r="B27" s="73" t="s">
        <v>60</v>
      </c>
      <c r="C27" s="268"/>
      <c r="D27" s="176">
        <v>0.11133</v>
      </c>
      <c r="E27" s="118"/>
      <c r="F27" s="278"/>
      <c r="G27" s="216"/>
      <c r="H27" s="276"/>
      <c r="I27" s="33">
        <f>0.85*1.23</f>
        <v>1.0454999999999999</v>
      </c>
      <c r="J27" s="94"/>
      <c r="K27" s="66"/>
      <c r="L27" s="34"/>
      <c r="M27" s="66"/>
      <c r="N27" s="34"/>
      <c r="O27" s="75"/>
      <c r="P27" s="136"/>
      <c r="Q27" s="136"/>
      <c r="R27" s="117"/>
      <c r="S27" s="127"/>
      <c r="T27" s="127"/>
      <c r="U27" s="121"/>
      <c r="V27" s="131"/>
      <c r="W27" s="122"/>
      <c r="X27" s="63"/>
      <c r="Y27" s="63"/>
      <c r="Z27" s="54"/>
      <c r="AA27" s="188">
        <f>V28/1.23</f>
        <v>-914.6499999999999</v>
      </c>
    </row>
    <row r="28" spans="1:27" ht="12.75" hidden="1">
      <c r="A28" s="443"/>
      <c r="B28" s="270" t="s">
        <v>61</v>
      </c>
      <c r="C28" s="37" t="s">
        <v>55</v>
      </c>
      <c r="D28" s="58">
        <v>0.31114</v>
      </c>
      <c r="E28" s="87"/>
      <c r="F28" s="274"/>
      <c r="G28" s="125"/>
      <c r="H28" s="277"/>
      <c r="I28" s="38">
        <f>15.78*1.23</f>
        <v>19.409399999999998</v>
      </c>
      <c r="J28" s="170">
        <f>X28*(I27+I28)</f>
        <v>-1125.0194999999999</v>
      </c>
      <c r="K28" s="59"/>
      <c r="L28" s="65"/>
      <c r="M28" s="59"/>
      <c r="N28" s="65"/>
      <c r="O28" s="67"/>
      <c r="P28" s="57"/>
      <c r="Q28" s="57"/>
      <c r="R28" s="207"/>
      <c r="S28" s="161"/>
      <c r="T28" s="161"/>
      <c r="U28" s="71"/>
      <c r="V28" s="170">
        <f>J28+L27+L28+N27+N28+O27+O28+T27+T28+U28</f>
        <v>-1125.0194999999999</v>
      </c>
      <c r="W28" s="279">
        <f>(V28+H27+H28)/(E25+E26+E27+E28)/1000</f>
        <v>-0.33574002533674124</v>
      </c>
      <c r="X28" s="147">
        <v>-55</v>
      </c>
      <c r="Y28" s="72"/>
      <c r="Z28" s="40"/>
      <c r="AA28" s="185"/>
    </row>
    <row r="29" spans="1:27" ht="12.75" hidden="1">
      <c r="A29" s="78"/>
      <c r="B29" s="142"/>
      <c r="C29" s="268"/>
      <c r="D29" s="33"/>
      <c r="E29" s="33"/>
      <c r="F29" s="265"/>
      <c r="G29" s="33"/>
      <c r="H29" s="265"/>
      <c r="I29" s="33"/>
      <c r="J29" s="94"/>
      <c r="K29" s="77"/>
      <c r="L29" s="77"/>
      <c r="M29" s="77"/>
      <c r="N29" s="77"/>
      <c r="O29" s="77"/>
      <c r="P29" s="257">
        <v>0.23518</v>
      </c>
      <c r="Q29" s="257">
        <v>0.2394</v>
      </c>
      <c r="R29" s="117">
        <f>(Q29-P29)*150-0.113</f>
        <v>0.5200000000000002</v>
      </c>
      <c r="S29" s="127">
        <f>R29/E31</f>
        <v>0.47525042041383375</v>
      </c>
      <c r="T29" s="141">
        <f>16.05*1.23</f>
        <v>19.741500000000002</v>
      </c>
      <c r="U29" s="44"/>
      <c r="V29" s="94"/>
      <c r="W29" s="104"/>
      <c r="X29" s="45"/>
      <c r="Y29" s="81"/>
      <c r="Z29" s="84"/>
      <c r="AA29" s="186"/>
    </row>
    <row r="30" spans="1:27" ht="12.75" hidden="1">
      <c r="A30" s="78"/>
      <c r="B30" s="102"/>
      <c r="C30" s="33"/>
      <c r="D30" s="33"/>
      <c r="E30" s="33"/>
      <c r="F30" s="265"/>
      <c r="G30" s="265" t="s">
        <v>63</v>
      </c>
      <c r="H30" s="265"/>
      <c r="I30" s="33"/>
      <c r="J30" s="94"/>
      <c r="K30" s="77"/>
      <c r="L30" s="77"/>
      <c r="M30" s="77"/>
      <c r="N30" s="77"/>
      <c r="O30" s="77"/>
      <c r="P30" s="157">
        <v>0.69142</v>
      </c>
      <c r="Q30" s="157">
        <v>0.69899</v>
      </c>
      <c r="R30" s="117">
        <f>(Q30-P30)*150-0.217</f>
        <v>0.9184999999999949</v>
      </c>
      <c r="S30" s="127">
        <f>R30/E32</f>
        <v>0.43716861334018614</v>
      </c>
      <c r="T30" s="141">
        <f>14.85*1.23</f>
        <v>18.2655</v>
      </c>
      <c r="U30" s="44"/>
      <c r="V30" s="94"/>
      <c r="W30" s="104"/>
      <c r="X30" s="45"/>
      <c r="Y30" s="81"/>
      <c r="Z30" s="84"/>
      <c r="AA30" s="186"/>
    </row>
    <row r="31" spans="1:27" ht="12.75" hidden="1">
      <c r="A31" s="442">
        <v>3</v>
      </c>
      <c r="B31" s="73" t="s">
        <v>57</v>
      </c>
      <c r="C31" s="268"/>
      <c r="D31" s="176">
        <v>0.11885</v>
      </c>
      <c r="E31" s="118">
        <f>(D31-D25)*X$9*0.97</f>
        <v>1.0941599999999998</v>
      </c>
      <c r="F31" s="278">
        <v>1.094</v>
      </c>
      <c r="G31" s="216">
        <f>0.2153*1.23</f>
        <v>0.26481899999999997</v>
      </c>
      <c r="H31" s="276">
        <f>F31*G31*1000</f>
        <v>289.71198599999997</v>
      </c>
      <c r="I31" s="33">
        <f>0.85*1.23</f>
        <v>1.0454999999999999</v>
      </c>
      <c r="J31" s="94"/>
      <c r="K31" s="66">
        <f>0.1261*1.23</f>
        <v>0.155103</v>
      </c>
      <c r="L31" s="34">
        <f>E31*K31*1000</f>
        <v>169.70749847999997</v>
      </c>
      <c r="M31" s="66">
        <f>0.0129*1.23</f>
        <v>0.015867</v>
      </c>
      <c r="N31" s="34">
        <f>E31*M31*1000</f>
        <v>17.361036719999998</v>
      </c>
      <c r="O31" s="75">
        <f>16*1.23</f>
        <v>19.68</v>
      </c>
      <c r="P31" s="136">
        <v>0.00142</v>
      </c>
      <c r="Q31" s="136">
        <v>0.00142</v>
      </c>
      <c r="R31" s="117">
        <f>(Q31-P31)*150</f>
        <v>0</v>
      </c>
      <c r="S31" s="159"/>
      <c r="T31" s="127"/>
      <c r="U31" s="121"/>
      <c r="V31" s="131"/>
      <c r="W31" s="122"/>
      <c r="X31" s="63"/>
      <c r="Y31" s="63"/>
      <c r="Z31" s="54"/>
      <c r="AA31" s="186">
        <f>V32/1.23</f>
        <v>762.910541999999</v>
      </c>
    </row>
    <row r="32" spans="1:27" ht="12.75" hidden="1">
      <c r="A32" s="443">
        <v>19</v>
      </c>
      <c r="B32" s="259" t="s">
        <v>58</v>
      </c>
      <c r="C32" s="37" t="s">
        <v>59</v>
      </c>
      <c r="D32" s="58">
        <v>0.32558</v>
      </c>
      <c r="E32" s="87">
        <f>(D32-D26)*X$9*0.97</f>
        <v>2.101019999999993</v>
      </c>
      <c r="F32" s="274">
        <v>2.101</v>
      </c>
      <c r="G32" s="125">
        <f>0.2153*1.23</f>
        <v>0.26481899999999997</v>
      </c>
      <c r="H32" s="277">
        <f>F32*G32*1000</f>
        <v>556.384719</v>
      </c>
      <c r="I32" s="38">
        <f>15.78*1.23</f>
        <v>19.409399999999998</v>
      </c>
      <c r="J32" s="86">
        <f>X32*(I31+I32)</f>
        <v>409.09799999999996</v>
      </c>
      <c r="K32" s="59">
        <f>0.0972*1.23</f>
        <v>0.119556</v>
      </c>
      <c r="L32" s="65">
        <f>E32*K32*1000</f>
        <v>251.18954711999913</v>
      </c>
      <c r="M32" s="59">
        <f>0.0129*1.23</f>
        <v>0.015867</v>
      </c>
      <c r="N32" s="65">
        <f>E32*M32*1000</f>
        <v>33.336884339999884</v>
      </c>
      <c r="O32" s="67"/>
      <c r="P32" s="57">
        <v>0.00047</v>
      </c>
      <c r="Q32" s="57">
        <v>0.00047</v>
      </c>
      <c r="R32" s="207">
        <f>(Q32-P32)*150</f>
        <v>0</v>
      </c>
      <c r="S32" s="254"/>
      <c r="T32" s="161"/>
      <c r="U32" s="71"/>
      <c r="V32" s="86">
        <f>J32+L29+L30+L31+L32+N29+N30+N31+N32+O31+O32+T29+T30+T31+T32+U32</f>
        <v>938.3799666599988</v>
      </c>
      <c r="W32" s="41">
        <f>(V32+H31+H32)/(E29+E30+E31+E32)/1000</f>
        <v>0.5584901857360157</v>
      </c>
      <c r="X32" s="43">
        <v>20</v>
      </c>
      <c r="Y32" s="72">
        <v>8</v>
      </c>
      <c r="Z32" s="40"/>
      <c r="AA32" s="185"/>
    </row>
    <row r="33" spans="1:27" ht="12.75" hidden="1">
      <c r="A33" s="78"/>
      <c r="B33" s="142"/>
      <c r="C33" s="268"/>
      <c r="D33" s="33"/>
      <c r="E33" s="33"/>
      <c r="F33" s="265"/>
      <c r="G33" s="33"/>
      <c r="H33" s="265"/>
      <c r="I33" s="33"/>
      <c r="J33" s="94"/>
      <c r="K33" s="77"/>
      <c r="L33" s="77"/>
      <c r="M33" s="77"/>
      <c r="N33" s="77"/>
      <c r="O33" s="77"/>
      <c r="P33" s="257">
        <v>0.2394</v>
      </c>
      <c r="Q33" s="257">
        <v>0.24266</v>
      </c>
      <c r="R33" s="117">
        <f>(Q33-P33)*150-0.106</f>
        <v>0.3829999999999978</v>
      </c>
      <c r="S33" s="127">
        <f>R33/E35</f>
        <v>0.3712697327924213</v>
      </c>
      <c r="T33" s="141"/>
      <c r="U33" s="44"/>
      <c r="V33" s="94"/>
      <c r="W33" s="104"/>
      <c r="X33" s="45"/>
      <c r="Y33" s="81"/>
      <c r="Z33" s="84"/>
      <c r="AA33" s="186"/>
    </row>
    <row r="34" spans="1:27" ht="12.75" hidden="1">
      <c r="A34" s="78"/>
      <c r="B34" s="102"/>
      <c r="C34" s="33"/>
      <c r="D34" s="33"/>
      <c r="E34" s="33"/>
      <c r="F34" s="265"/>
      <c r="G34" s="265" t="s">
        <v>69</v>
      </c>
      <c r="H34" s="265"/>
      <c r="I34" s="33"/>
      <c r="J34" s="94"/>
      <c r="K34" s="77"/>
      <c r="L34" s="77"/>
      <c r="M34" s="77"/>
      <c r="N34" s="77"/>
      <c r="O34" s="77"/>
      <c r="P34" s="157">
        <v>0.69899</v>
      </c>
      <c r="Q34" s="157">
        <v>0.7082</v>
      </c>
      <c r="R34" s="117">
        <f>(Q34-P34)*150-0.303</f>
        <v>1.0785000000000078</v>
      </c>
      <c r="S34" s="127">
        <f>R34/E36</f>
        <v>0.3673127420228276</v>
      </c>
      <c r="T34" s="141"/>
      <c r="U34" s="44"/>
      <c r="V34" s="94"/>
      <c r="W34" s="104"/>
      <c r="X34" s="45"/>
      <c r="Y34" s="81"/>
      <c r="Z34" s="84"/>
      <c r="AA34" s="186"/>
    </row>
    <row r="35" spans="1:27" ht="12.75" hidden="1">
      <c r="A35" s="442">
        <v>4</v>
      </c>
      <c r="B35" s="73" t="s">
        <v>66</v>
      </c>
      <c r="C35" s="268"/>
      <c r="D35" s="176">
        <v>0.12594</v>
      </c>
      <c r="E35" s="118">
        <f>(D35-D31)*X$9*0.97</f>
        <v>1.0315949999999998</v>
      </c>
      <c r="F35" s="278">
        <v>1.032</v>
      </c>
      <c r="G35" s="216">
        <f>0.2153*1.23</f>
        <v>0.26481899999999997</v>
      </c>
      <c r="H35" s="276">
        <f>F35*G35*1000</f>
        <v>273.29320799999994</v>
      </c>
      <c r="I35" s="33">
        <f>0.85*1.23</f>
        <v>1.0454999999999999</v>
      </c>
      <c r="J35" s="94"/>
      <c r="K35" s="66">
        <f>0.1261*1.23</f>
        <v>0.155103</v>
      </c>
      <c r="L35" s="34">
        <f>E35*K35*1000</f>
        <v>160.00347928499997</v>
      </c>
      <c r="M35" s="66">
        <f>0.0129*1.23</f>
        <v>0.015867</v>
      </c>
      <c r="N35" s="34">
        <f>E35*M35*1000</f>
        <v>16.368317864999995</v>
      </c>
      <c r="O35" s="75">
        <f>16*1.23</f>
        <v>19.68</v>
      </c>
      <c r="P35" s="136">
        <v>0.00142</v>
      </c>
      <c r="Q35" s="136">
        <v>0.00142</v>
      </c>
      <c r="R35" s="117">
        <f aca="true" t="shared" si="0" ref="R35:R40">(Q35-P35)*150</f>
        <v>0</v>
      </c>
      <c r="S35" s="159"/>
      <c r="T35" s="127"/>
      <c r="U35" s="121"/>
      <c r="V35" s="131"/>
      <c r="W35" s="122"/>
      <c r="X35" s="63"/>
      <c r="Y35" s="63"/>
      <c r="Z35" s="54"/>
      <c r="AA35" s="186">
        <f>V36/1.23</f>
        <v>816.7362240000002</v>
      </c>
    </row>
    <row r="36" spans="1:27" ht="12.75" hidden="1">
      <c r="A36" s="443">
        <v>19</v>
      </c>
      <c r="B36" s="259" t="s">
        <v>67</v>
      </c>
      <c r="C36" s="37" t="s">
        <v>68</v>
      </c>
      <c r="D36" s="58">
        <v>0.34576</v>
      </c>
      <c r="E36" s="87">
        <f>(D36-D32)*X$9*0.97</f>
        <v>2.9361900000000043</v>
      </c>
      <c r="F36" s="274">
        <v>2.936</v>
      </c>
      <c r="G36" s="125">
        <f>0.2153*1.23</f>
        <v>0.26481899999999997</v>
      </c>
      <c r="H36" s="277">
        <f>F36*G36*1000</f>
        <v>777.5085839999999</v>
      </c>
      <c r="I36" s="38">
        <f>15.78*1.23</f>
        <v>19.409399999999998</v>
      </c>
      <c r="J36" s="86">
        <f>X36*(I35+I36)</f>
        <v>409.09799999999996</v>
      </c>
      <c r="K36" s="59">
        <f>0.0972*1.23</f>
        <v>0.119556</v>
      </c>
      <c r="L36" s="65">
        <f>E36*K36*1000</f>
        <v>351.0391316400005</v>
      </c>
      <c r="M36" s="59">
        <f>0.0129*1.23</f>
        <v>0.015867</v>
      </c>
      <c r="N36" s="65">
        <f>E36*M36*1000</f>
        <v>46.58852673000006</v>
      </c>
      <c r="O36" s="67"/>
      <c r="P36" s="57">
        <v>0.00047</v>
      </c>
      <c r="Q36" s="57">
        <v>0.00049</v>
      </c>
      <c r="R36" s="207">
        <f t="shared" si="0"/>
        <v>0.0029999999999999996</v>
      </c>
      <c r="S36" s="254"/>
      <c r="T36" s="254">
        <f>1.47*1.23</f>
        <v>1.8081</v>
      </c>
      <c r="U36" s="71"/>
      <c r="V36" s="86">
        <f>J36+L33+L34+L35+L36+N33+N34+N35+N36+O35+O36+T33+T34+T35+T36+U36</f>
        <v>1004.5855555200003</v>
      </c>
      <c r="W36" s="41">
        <f>(V36+H35+H36)/(E33+E34+E35+E36)/1000</f>
        <v>0.5180188310404918</v>
      </c>
      <c r="X36" s="43">
        <v>20</v>
      </c>
      <c r="Y36" s="72">
        <v>12</v>
      </c>
      <c r="Z36" s="40"/>
      <c r="AA36" s="185"/>
    </row>
    <row r="37" spans="1:27" ht="12.75" hidden="1">
      <c r="A37" s="78"/>
      <c r="B37" s="142"/>
      <c r="C37" s="268"/>
      <c r="D37" s="33"/>
      <c r="E37" s="33"/>
      <c r="F37" s="265"/>
      <c r="G37" s="33"/>
      <c r="H37" s="265"/>
      <c r="I37" s="33"/>
      <c r="J37" s="94"/>
      <c r="K37" s="77"/>
      <c r="L37" s="77"/>
      <c r="M37" s="77"/>
      <c r="N37" s="77"/>
      <c r="O37" s="77"/>
      <c r="P37" s="257">
        <v>0.24266</v>
      </c>
      <c r="Q37" s="257">
        <v>0.24533</v>
      </c>
      <c r="R37" s="158">
        <f t="shared" si="0"/>
        <v>0.40050000000000086</v>
      </c>
      <c r="S37" s="127">
        <f>R37/E39</f>
        <v>0.7876106194690272</v>
      </c>
      <c r="T37" s="141">
        <f>45.79*1.23</f>
        <v>56.3217</v>
      </c>
      <c r="U37" s="44"/>
      <c r="V37" s="94"/>
      <c r="W37" s="104"/>
      <c r="X37" s="45"/>
      <c r="Y37" s="81"/>
      <c r="Z37" s="84"/>
      <c r="AA37" s="186"/>
    </row>
    <row r="38" spans="1:27" ht="12.75" hidden="1">
      <c r="A38" s="78"/>
      <c r="B38" s="102"/>
      <c r="C38" s="33"/>
      <c r="D38" s="33"/>
      <c r="E38" s="33"/>
      <c r="F38" s="265"/>
      <c r="G38" s="265" t="s">
        <v>73</v>
      </c>
      <c r="H38" s="265"/>
      <c r="I38" s="33"/>
      <c r="J38" s="94"/>
      <c r="K38" s="77"/>
      <c r="L38" s="77"/>
      <c r="M38" s="77"/>
      <c r="N38" s="77"/>
      <c r="O38" s="77"/>
      <c r="P38" s="157">
        <v>0.7082</v>
      </c>
      <c r="Q38" s="157">
        <v>0.71788</v>
      </c>
      <c r="R38" s="158">
        <f t="shared" si="0"/>
        <v>1.4519999999999866</v>
      </c>
      <c r="S38" s="127">
        <f>R38/E40</f>
        <v>0.9370764762826626</v>
      </c>
      <c r="T38" s="141">
        <f>208.67*1.23</f>
        <v>256.66409999999996</v>
      </c>
      <c r="U38" s="44"/>
      <c r="V38" s="94"/>
      <c r="W38" s="104"/>
      <c r="X38" s="45"/>
      <c r="Y38" s="81"/>
      <c r="Z38" s="84"/>
      <c r="AA38" s="186"/>
    </row>
    <row r="39" spans="1:27" ht="12.75" hidden="1">
      <c r="A39" s="442">
        <v>5</v>
      </c>
      <c r="B39" s="73" t="s">
        <v>70</v>
      </c>
      <c r="C39" s="268"/>
      <c r="D39" s="176">
        <v>0.12933</v>
      </c>
      <c r="E39" s="269">
        <f>(D39-D35)*X$9</f>
        <v>0.5085000000000006</v>
      </c>
      <c r="F39" s="278">
        <v>0.493</v>
      </c>
      <c r="G39" s="216">
        <f>0.2153*1.23</f>
        <v>0.26481899999999997</v>
      </c>
      <c r="H39" s="276">
        <f>F39*G39*1000</f>
        <v>130.555767</v>
      </c>
      <c r="I39" s="33">
        <f>0.85*1.23</f>
        <v>1.0454999999999999</v>
      </c>
      <c r="J39" s="94"/>
      <c r="K39" s="66">
        <f>0.1261*1.23</f>
        <v>0.155103</v>
      </c>
      <c r="L39" s="34">
        <f>E39*K39*1000</f>
        <v>78.86987550000009</v>
      </c>
      <c r="M39" s="66">
        <f>0.0129*1.23</f>
        <v>0.015867</v>
      </c>
      <c r="N39" s="34">
        <f>E39*M39*1000</f>
        <v>8.068369500000008</v>
      </c>
      <c r="O39" s="75">
        <f>16*1.23</f>
        <v>19.68</v>
      </c>
      <c r="P39" s="136">
        <v>0.00142</v>
      </c>
      <c r="Q39" s="136">
        <v>0.00143</v>
      </c>
      <c r="R39" s="117">
        <f t="shared" si="0"/>
        <v>0.001500000000000004</v>
      </c>
      <c r="S39" s="159"/>
      <c r="T39" s="159">
        <f>0.98*1.23</f>
        <v>1.2054</v>
      </c>
      <c r="U39" s="121"/>
      <c r="V39" s="131"/>
      <c r="W39" s="122"/>
      <c r="X39" s="63"/>
      <c r="Y39" s="63"/>
      <c r="Z39" s="54"/>
      <c r="AA39" s="186">
        <f>V40/1.23</f>
        <v>845.3214500000001</v>
      </c>
    </row>
    <row r="40" spans="1:27" ht="12.75" hidden="1">
      <c r="A40" s="443">
        <v>19</v>
      </c>
      <c r="B40" s="259" t="s">
        <v>71</v>
      </c>
      <c r="C40" s="37" t="s">
        <v>72</v>
      </c>
      <c r="D40" s="58">
        <v>0.35609</v>
      </c>
      <c r="E40" s="171">
        <f>(D40-D36)*X$9</f>
        <v>1.549500000000001</v>
      </c>
      <c r="F40" s="274">
        <v>1.503</v>
      </c>
      <c r="G40" s="125">
        <f>0.2153*1.23</f>
        <v>0.26481899999999997</v>
      </c>
      <c r="H40" s="277">
        <f>F40*G40*1000</f>
        <v>398.02295699999996</v>
      </c>
      <c r="I40" s="38">
        <f>15.78*1.23</f>
        <v>19.409399999999998</v>
      </c>
      <c r="J40" s="86">
        <f>X40*(I39+I40)</f>
        <v>409.09799999999996</v>
      </c>
      <c r="K40" s="59">
        <f>0.0972*1.23</f>
        <v>0.119556</v>
      </c>
      <c r="L40" s="65">
        <f>E40*K40*1000</f>
        <v>185.2520220000001</v>
      </c>
      <c r="M40" s="59">
        <f>0.0129*1.23</f>
        <v>0.015867</v>
      </c>
      <c r="N40" s="65">
        <f>E40*M40*1000</f>
        <v>24.585916500000014</v>
      </c>
      <c r="O40" s="67"/>
      <c r="P40" s="57">
        <v>0.00049</v>
      </c>
      <c r="Q40" s="57">
        <v>0.00049</v>
      </c>
      <c r="R40" s="207">
        <f t="shared" si="0"/>
        <v>0</v>
      </c>
      <c r="S40" s="254"/>
      <c r="T40" s="254"/>
      <c r="U40" s="71"/>
      <c r="V40" s="86">
        <f>J40+L37+L38+L39+L40+N37+N38+N39+N40+O39+O40+T37+T38+T39+T40+U40</f>
        <v>1039.7453835000001</v>
      </c>
      <c r="W40" s="41">
        <f>(V40+H39+H40)/(E37+E38+E39+E40)/1000</f>
        <v>0.7620622485422736</v>
      </c>
      <c r="X40" s="43">
        <v>20</v>
      </c>
      <c r="Y40" s="72">
        <v>13</v>
      </c>
      <c r="Z40" s="40"/>
      <c r="AA40" s="185"/>
    </row>
    <row r="41" spans="1:27" ht="12.75" hidden="1">
      <c r="A41" s="78"/>
      <c r="B41" s="142"/>
      <c r="C41" s="268"/>
      <c r="D41" s="33"/>
      <c r="E41" s="33"/>
      <c r="F41" s="287"/>
      <c r="G41" s="266"/>
      <c r="H41" s="267"/>
      <c r="I41" s="33"/>
      <c r="J41" s="94"/>
      <c r="K41" s="77"/>
      <c r="L41" s="77"/>
      <c r="M41" s="77"/>
      <c r="N41" s="77"/>
      <c r="O41" s="77"/>
      <c r="P41" s="257">
        <v>0.24266</v>
      </c>
      <c r="Q41" s="257">
        <v>0.24533</v>
      </c>
      <c r="R41" s="158">
        <f>(Q41-P41)*150</f>
        <v>0.40050000000000086</v>
      </c>
      <c r="S41" s="127">
        <f>R41/E43</f>
        <v>-26.25368731563424</v>
      </c>
      <c r="T41" s="141">
        <f>(33.63*1.23)-T37</f>
        <v>-14.956799999999994</v>
      </c>
      <c r="U41" s="44"/>
      <c r="V41" s="94"/>
      <c r="W41" s="104"/>
      <c r="X41" s="45"/>
      <c r="Y41" s="81"/>
      <c r="Z41" s="84"/>
      <c r="AA41" s="186"/>
    </row>
    <row r="42" spans="1:27" ht="12.75" hidden="1">
      <c r="A42" s="78"/>
      <c r="B42" s="102"/>
      <c r="C42" s="33"/>
      <c r="D42" s="33"/>
      <c r="E42" s="33"/>
      <c r="F42" s="287"/>
      <c r="G42" s="266"/>
      <c r="H42" s="267"/>
      <c r="I42" s="33"/>
      <c r="J42" s="94"/>
      <c r="K42" s="77"/>
      <c r="L42" s="77"/>
      <c r="M42" s="77"/>
      <c r="N42" s="77"/>
      <c r="O42" s="77"/>
      <c r="P42" s="157">
        <v>0.7082</v>
      </c>
      <c r="Q42" s="157">
        <v>0.71788</v>
      </c>
      <c r="R42" s="158">
        <f aca="true" t="shared" si="1" ref="R42:R48">(Q42-P42)*150</f>
        <v>1.4519999999999866</v>
      </c>
      <c r="S42" s="127">
        <f>R42/E44</f>
        <v>-31.235882542755366</v>
      </c>
      <c r="T42" s="141">
        <f>(165.79*1.23)-T38</f>
        <v>-52.742399999999975</v>
      </c>
      <c r="U42" s="44"/>
      <c r="V42" s="94"/>
      <c r="W42" s="104"/>
      <c r="X42" s="45"/>
      <c r="Y42" s="81"/>
      <c r="Z42" s="84"/>
      <c r="AA42" s="186"/>
    </row>
    <row r="43" spans="1:27" ht="12.75" hidden="1">
      <c r="A43" s="78"/>
      <c r="B43" s="73" t="s">
        <v>74</v>
      </c>
      <c r="C43" s="268"/>
      <c r="D43" s="176">
        <v>0.12933</v>
      </c>
      <c r="E43" s="269">
        <f>((D43-D35)*X$9*0.97)-E39</f>
        <v>-0.015255000000000019</v>
      </c>
      <c r="F43" s="287"/>
      <c r="G43" s="266"/>
      <c r="H43" s="267"/>
      <c r="I43" s="33">
        <f>0.85*1.23</f>
        <v>1.0454999999999999</v>
      </c>
      <c r="J43" s="94"/>
      <c r="K43" s="66">
        <f>0.1261*1.23</f>
        <v>0.155103</v>
      </c>
      <c r="L43" s="169">
        <f>E43*K43*1000</f>
        <v>-2.3660962650000026</v>
      </c>
      <c r="M43" s="66">
        <f>0.0129*1.23</f>
        <v>0.015867</v>
      </c>
      <c r="N43" s="169">
        <f>E43*M43*1000</f>
        <v>-0.24205108500000028</v>
      </c>
      <c r="O43" s="75"/>
      <c r="P43" s="136">
        <v>0.00142</v>
      </c>
      <c r="Q43" s="136">
        <v>0.00143</v>
      </c>
      <c r="R43" s="117">
        <f t="shared" si="1"/>
        <v>0.001500000000000004</v>
      </c>
      <c r="S43" s="159"/>
      <c r="T43" s="159"/>
      <c r="U43" s="121"/>
      <c r="V43" s="131"/>
      <c r="W43" s="122"/>
      <c r="X43" s="63"/>
      <c r="Y43" s="63"/>
      <c r="Z43" s="54"/>
      <c r="AA43" s="188">
        <f>V44/1.23</f>
        <v>-62.278443499999995</v>
      </c>
    </row>
    <row r="44" spans="1:27" ht="12.75" hidden="1">
      <c r="A44" s="195"/>
      <c r="B44" s="270" t="s">
        <v>75</v>
      </c>
      <c r="C44" s="37" t="s">
        <v>72</v>
      </c>
      <c r="D44" s="58">
        <v>0.35609</v>
      </c>
      <c r="E44" s="171">
        <f>((D44-D36)*X$9*0.97)-E40</f>
        <v>-0.04648500000000011</v>
      </c>
      <c r="F44" s="274"/>
      <c r="G44" s="288"/>
      <c r="H44" s="289"/>
      <c r="I44" s="38">
        <f>15.78*1.23</f>
        <v>19.409399999999998</v>
      </c>
      <c r="J44" s="86">
        <f>X44*(I43+I44)</f>
        <v>0</v>
      </c>
      <c r="K44" s="59">
        <f>0.0972*1.23</f>
        <v>0.119556</v>
      </c>
      <c r="L44" s="166">
        <f>E44*K44*1000</f>
        <v>-5.5575606600000125</v>
      </c>
      <c r="M44" s="59">
        <f>0.0129*1.23</f>
        <v>0.015867</v>
      </c>
      <c r="N44" s="166">
        <f>E44*M44*1000</f>
        <v>-0.7375774950000017</v>
      </c>
      <c r="O44" s="67"/>
      <c r="P44" s="57">
        <v>0.00049</v>
      </c>
      <c r="Q44" s="57">
        <v>0.00049</v>
      </c>
      <c r="R44" s="207">
        <f t="shared" si="1"/>
        <v>0</v>
      </c>
      <c r="S44" s="254"/>
      <c r="T44" s="254"/>
      <c r="U44" s="71"/>
      <c r="V44" s="170">
        <f>J44+L41+L42+L43+L44+N41+N42+N43+N44+O43+O44+T41+T42+T43+T44+U44</f>
        <v>-76.60248550499999</v>
      </c>
      <c r="W44" s="41">
        <f>(V44+H43+H44)/(E41+E42+E43+E44)/1000</f>
        <v>1.2407270085033986</v>
      </c>
      <c r="X44" s="43"/>
      <c r="Y44" s="72"/>
      <c r="Z44" s="40"/>
      <c r="AA44" s="185"/>
    </row>
    <row r="45" spans="1:27" ht="12.75" hidden="1">
      <c r="A45" s="78"/>
      <c r="B45" s="142"/>
      <c r="C45" s="268"/>
      <c r="D45" s="33"/>
      <c r="E45" s="33"/>
      <c r="F45" s="265"/>
      <c r="G45" s="33"/>
      <c r="H45" s="265"/>
      <c r="I45" s="33"/>
      <c r="J45" s="94"/>
      <c r="K45" s="77"/>
      <c r="L45" s="77"/>
      <c r="M45" s="77"/>
      <c r="N45" s="77"/>
      <c r="O45" s="77"/>
      <c r="P45" s="257">
        <v>0.24533</v>
      </c>
      <c r="Q45" s="257">
        <v>0.24765</v>
      </c>
      <c r="R45" s="117">
        <f>(Q45-P45)*150-0.03</f>
        <v>0.3180000000000025</v>
      </c>
      <c r="S45" s="127">
        <f>R45/E47</f>
        <v>1.0873467712981508</v>
      </c>
      <c r="T45" s="141">
        <f>53.7*1.23</f>
        <v>66.051</v>
      </c>
      <c r="U45" s="44"/>
      <c r="V45" s="94"/>
      <c r="W45" s="104"/>
      <c r="X45" s="45"/>
      <c r="Y45" s="81"/>
      <c r="Z45" s="84"/>
      <c r="AA45" s="186"/>
    </row>
    <row r="46" spans="1:27" ht="12.75" hidden="1">
      <c r="A46" s="78"/>
      <c r="B46" s="102"/>
      <c r="C46" s="33"/>
      <c r="D46" s="33"/>
      <c r="E46" s="33"/>
      <c r="F46" s="265"/>
      <c r="G46" s="265" t="s">
        <v>79</v>
      </c>
      <c r="H46" s="265"/>
      <c r="I46" s="33"/>
      <c r="J46" s="94"/>
      <c r="K46" s="77"/>
      <c r="L46" s="77"/>
      <c r="M46" s="77"/>
      <c r="N46" s="77"/>
      <c r="O46" s="77"/>
      <c r="P46" s="157">
        <v>0.71788</v>
      </c>
      <c r="Q46" s="157">
        <v>0.7293</v>
      </c>
      <c r="R46" s="117">
        <f>(Q46-P46)*150-0.12</f>
        <v>1.5929999999999978</v>
      </c>
      <c r="S46" s="127">
        <f>R46/E48</f>
        <v>1.366848140854864</v>
      </c>
      <c r="T46" s="141">
        <f>328.94*1.23</f>
        <v>404.5962</v>
      </c>
      <c r="U46" s="44"/>
      <c r="V46" s="94"/>
      <c r="W46" s="104"/>
      <c r="X46" s="45"/>
      <c r="Y46" s="81"/>
      <c r="Z46" s="84"/>
      <c r="AA46" s="186"/>
    </row>
    <row r="47" spans="1:27" ht="12.75" hidden="1">
      <c r="A47" s="442">
        <v>6</v>
      </c>
      <c r="B47" s="73" t="s">
        <v>76</v>
      </c>
      <c r="C47" s="268"/>
      <c r="D47" s="176">
        <v>0.13134</v>
      </c>
      <c r="E47" s="118">
        <f>(D47-D39)*X$9*0.97</f>
        <v>0.2924550000000017</v>
      </c>
      <c r="F47" s="278">
        <v>0.292</v>
      </c>
      <c r="G47" s="216">
        <f>0.2153*1.23</f>
        <v>0.26481899999999997</v>
      </c>
      <c r="H47" s="276">
        <f>F47*G47*1000</f>
        <v>77.32714799999998</v>
      </c>
      <c r="I47" s="33">
        <f>0.85*1.23</f>
        <v>1.0454999999999999</v>
      </c>
      <c r="J47" s="94"/>
      <c r="K47" s="66">
        <f>0.1261*1.23</f>
        <v>0.155103</v>
      </c>
      <c r="L47" s="34">
        <f>E47*K47*1000</f>
        <v>45.36064786500025</v>
      </c>
      <c r="M47" s="66">
        <f>0.0129*1.23</f>
        <v>0.015867</v>
      </c>
      <c r="N47" s="34">
        <f>E47*M47*1000</f>
        <v>4.640383485000027</v>
      </c>
      <c r="O47" s="75">
        <f>16*1.23</f>
        <v>19.68</v>
      </c>
      <c r="P47" s="136">
        <v>0.00143</v>
      </c>
      <c r="Q47" s="136">
        <v>0.00143</v>
      </c>
      <c r="R47" s="117">
        <f t="shared" si="1"/>
        <v>0</v>
      </c>
      <c r="S47" s="159"/>
      <c r="T47" s="159"/>
      <c r="U47" s="121"/>
      <c r="V47" s="131"/>
      <c r="W47" s="122"/>
      <c r="X47" s="63"/>
      <c r="Y47" s="63"/>
      <c r="Z47" s="54"/>
      <c r="AA47" s="186">
        <f>V48/1.23</f>
        <v>901.1878404999997</v>
      </c>
    </row>
    <row r="48" spans="1:27" ht="12.75" hidden="1">
      <c r="A48" s="443">
        <v>19</v>
      </c>
      <c r="B48" s="259" t="s">
        <v>77</v>
      </c>
      <c r="C48" s="37" t="s">
        <v>78</v>
      </c>
      <c r="D48" s="58">
        <v>0.3641</v>
      </c>
      <c r="E48" s="87">
        <f>(D48-D40)*X$9*0.97</f>
        <v>1.1654549999999944</v>
      </c>
      <c r="F48" s="274">
        <v>1.165</v>
      </c>
      <c r="G48" s="125">
        <f>0.2153*1.23</f>
        <v>0.26481899999999997</v>
      </c>
      <c r="H48" s="277">
        <f>F48*G48*1000</f>
        <v>308.51413499999995</v>
      </c>
      <c r="I48" s="38">
        <f>15.78*1.23</f>
        <v>19.409399999999998</v>
      </c>
      <c r="J48" s="86">
        <f>X48*(I47+I48)</f>
        <v>409.09799999999996</v>
      </c>
      <c r="K48" s="59">
        <f>0.0972*1.23</f>
        <v>0.119556</v>
      </c>
      <c r="L48" s="65">
        <f>E48*K48*1000</f>
        <v>139.33713797999934</v>
      </c>
      <c r="M48" s="59">
        <f>0.0129*1.23</f>
        <v>0.015867</v>
      </c>
      <c r="N48" s="65">
        <f>E48*M48*1000</f>
        <v>18.492274484999907</v>
      </c>
      <c r="O48" s="67"/>
      <c r="P48" s="57">
        <v>0.00049</v>
      </c>
      <c r="Q48" s="57">
        <v>0.0005</v>
      </c>
      <c r="R48" s="207">
        <f t="shared" si="1"/>
        <v>0.001500000000000004</v>
      </c>
      <c r="S48" s="254"/>
      <c r="T48" s="254">
        <f>0.98*1.23</f>
        <v>1.2054</v>
      </c>
      <c r="U48" s="71"/>
      <c r="V48" s="86">
        <f>J48+L45+L46+L47+L48+N45+N46+N47+N48+O47+O48+T45+T46+T47+T48+U48</f>
        <v>1108.4610438149996</v>
      </c>
      <c r="W48" s="41">
        <f>(V48+H47+H48)/(E45+E46+E47+E48)/1000</f>
        <v>1.0249619844949303</v>
      </c>
      <c r="X48" s="43">
        <v>20</v>
      </c>
      <c r="Y48" s="72">
        <v>9</v>
      </c>
      <c r="Z48" s="40"/>
      <c r="AA48" s="185"/>
    </row>
    <row r="49" spans="1:27" ht="12.75" hidden="1">
      <c r="A49" s="442"/>
      <c r="B49" s="106"/>
      <c r="C49" s="268"/>
      <c r="D49" s="176"/>
      <c r="E49" s="295" t="s">
        <v>104</v>
      </c>
      <c r="F49" s="269">
        <v>-0.001</v>
      </c>
      <c r="G49" s="216">
        <f>0.2153*1.23</f>
        <v>0.26481899999999997</v>
      </c>
      <c r="H49" s="199">
        <f>F49*G49*1000</f>
        <v>-0.26481899999999997</v>
      </c>
      <c r="I49" s="33"/>
      <c r="J49" s="94"/>
      <c r="K49" s="66"/>
      <c r="L49" s="34"/>
      <c r="M49" s="66"/>
      <c r="N49" s="34"/>
      <c r="O49" s="75"/>
      <c r="P49" s="136"/>
      <c r="Q49" s="136"/>
      <c r="R49" s="117"/>
      <c r="S49" s="159"/>
      <c r="T49" s="159"/>
      <c r="U49" s="121"/>
      <c r="V49" s="131"/>
      <c r="W49" s="122"/>
      <c r="X49" s="63"/>
      <c r="Y49" s="63"/>
      <c r="Z49" s="54"/>
      <c r="AA49" s="186"/>
    </row>
    <row r="50" spans="1:27" ht="12.75" hidden="1">
      <c r="A50" s="443"/>
      <c r="B50" s="294" t="s">
        <v>103</v>
      </c>
      <c r="C50" s="37" t="s">
        <v>78</v>
      </c>
      <c r="D50" s="58"/>
      <c r="E50" s="87"/>
      <c r="F50" s="201">
        <v>-0.001</v>
      </c>
      <c r="G50" s="125">
        <f>0.2153*1.23</f>
        <v>0.26481899999999997</v>
      </c>
      <c r="H50" s="172">
        <f>F50*G50*1000</f>
        <v>-0.26481899999999997</v>
      </c>
      <c r="I50" s="38"/>
      <c r="J50" s="86"/>
      <c r="K50" s="59"/>
      <c r="L50" s="65"/>
      <c r="M50" s="59"/>
      <c r="N50" s="65"/>
      <c r="O50" s="67"/>
      <c r="P50" s="57"/>
      <c r="Q50" s="57"/>
      <c r="R50" s="207"/>
      <c r="S50" s="254"/>
      <c r="T50" s="254"/>
      <c r="U50" s="71"/>
      <c r="V50" s="86"/>
      <c r="W50" s="41"/>
      <c r="X50" s="43"/>
      <c r="Y50" s="72"/>
      <c r="Z50" s="40"/>
      <c r="AA50" s="185"/>
    </row>
    <row r="51" spans="1:27" ht="12.75" hidden="1">
      <c r="A51" s="78"/>
      <c r="B51" s="142"/>
      <c r="C51" s="268"/>
      <c r="D51" s="33"/>
      <c r="E51" s="33"/>
      <c r="F51" s="265"/>
      <c r="G51" s="33"/>
      <c r="H51" s="265"/>
      <c r="I51" s="33"/>
      <c r="J51" s="94"/>
      <c r="K51" s="77"/>
      <c r="L51" s="77"/>
      <c r="M51" s="77"/>
      <c r="N51" s="77"/>
      <c r="O51" s="77"/>
      <c r="P51" s="257">
        <v>0.24765</v>
      </c>
      <c r="Q51" s="257">
        <v>0.25043</v>
      </c>
      <c r="R51" s="117">
        <f>(Q51-P51)*150-0.03</f>
        <v>0.38699999999999657</v>
      </c>
      <c r="S51" s="127">
        <f>R51/E53</f>
        <v>1.3298969072165003</v>
      </c>
      <c r="T51" s="141">
        <f>77.84*1.23</f>
        <v>95.7432</v>
      </c>
      <c r="U51" s="44"/>
      <c r="V51" s="94"/>
      <c r="W51" s="104"/>
      <c r="X51" s="45"/>
      <c r="Y51" s="81"/>
      <c r="Z51" s="84"/>
      <c r="AA51" s="186"/>
    </row>
    <row r="52" spans="1:27" ht="12.75" hidden="1">
      <c r="A52" s="78"/>
      <c r="B52" s="102"/>
      <c r="C52" s="33"/>
      <c r="D52" s="33"/>
      <c r="E52" s="33"/>
      <c r="F52" s="265"/>
      <c r="G52" s="265" t="s">
        <v>83</v>
      </c>
      <c r="H52" s="265"/>
      <c r="I52" s="33"/>
      <c r="J52" s="94"/>
      <c r="K52" s="77"/>
      <c r="L52" s="77"/>
      <c r="M52" s="77"/>
      <c r="N52" s="77"/>
      <c r="O52" s="77"/>
      <c r="P52" s="157">
        <v>0.7293</v>
      </c>
      <c r="Q52" s="157">
        <v>0.7415</v>
      </c>
      <c r="R52" s="117">
        <f>(Q52-P52)*150-0.101</f>
        <v>1.729000000000015</v>
      </c>
      <c r="S52" s="127">
        <f>R52/E54</f>
        <v>1.7736061958250038</v>
      </c>
      <c r="T52" s="141">
        <f>424.7*1.23</f>
        <v>522.381</v>
      </c>
      <c r="U52" s="44"/>
      <c r="V52" s="94"/>
      <c r="W52" s="104"/>
      <c r="X52" s="45"/>
      <c r="Y52" s="81"/>
      <c r="Z52" s="84"/>
      <c r="AA52" s="186"/>
    </row>
    <row r="53" spans="1:27" ht="12.75" hidden="1">
      <c r="A53" s="442">
        <v>7</v>
      </c>
      <c r="B53" s="73" t="s">
        <v>81</v>
      </c>
      <c r="C53" s="268"/>
      <c r="D53" s="176">
        <v>0.13334</v>
      </c>
      <c r="E53" s="118">
        <f>(D53-D47)*X$9*0.97</f>
        <v>0.2909999999999962</v>
      </c>
      <c r="F53" s="278">
        <v>0.291</v>
      </c>
      <c r="G53" s="216">
        <f>0.2153*1.23</f>
        <v>0.26481899999999997</v>
      </c>
      <c r="H53" s="276">
        <f>F53*G53*1000</f>
        <v>77.06232899999999</v>
      </c>
      <c r="I53" s="33">
        <f>0.85*1.23</f>
        <v>1.0454999999999999</v>
      </c>
      <c r="J53" s="94"/>
      <c r="K53" s="66">
        <f>0.1261*1.23</f>
        <v>0.155103</v>
      </c>
      <c r="L53" s="34">
        <f>E53*K53*1000</f>
        <v>45.13497299999941</v>
      </c>
      <c r="M53" s="66">
        <f>0.0129*1.23</f>
        <v>0.015867</v>
      </c>
      <c r="N53" s="34">
        <f>E53*M53*1000</f>
        <v>4.617296999999939</v>
      </c>
      <c r="O53" s="75">
        <f>16*1.23</f>
        <v>19.68</v>
      </c>
      <c r="P53" s="136">
        <v>0.00143</v>
      </c>
      <c r="Q53" s="136">
        <v>0.00144</v>
      </c>
      <c r="R53" s="117">
        <f>(Q53-P53)*150</f>
        <v>0.001500000000000004</v>
      </c>
      <c r="S53" s="159"/>
      <c r="T53" s="238">
        <f>0.98*1.23</f>
        <v>1.2054</v>
      </c>
      <c r="U53" s="121"/>
      <c r="V53" s="131"/>
      <c r="W53" s="122"/>
      <c r="X53" s="63"/>
      <c r="Y53" s="63"/>
      <c r="Z53" s="54"/>
      <c r="AA53" s="186">
        <f>V54/1.23</f>
        <v>1000.879985</v>
      </c>
    </row>
    <row r="54" spans="1:27" ht="12.75" hidden="1">
      <c r="A54" s="443">
        <v>19</v>
      </c>
      <c r="B54" s="259" t="s">
        <v>82</v>
      </c>
      <c r="C54" s="37" t="s">
        <v>80</v>
      </c>
      <c r="D54" s="58">
        <v>0.3708</v>
      </c>
      <c r="E54" s="87">
        <f>(D54-D48)*X$9*0.97</f>
        <v>0.9748500000000057</v>
      </c>
      <c r="F54" s="274">
        <v>0.975</v>
      </c>
      <c r="G54" s="125">
        <f>0.2153*1.23</f>
        <v>0.26481899999999997</v>
      </c>
      <c r="H54" s="277">
        <f>F54*G54*1000</f>
        <v>258.19852499999996</v>
      </c>
      <c r="I54" s="38">
        <f>15.78*1.23</f>
        <v>19.409399999999998</v>
      </c>
      <c r="J54" s="86">
        <f>X54*(I53+I54)</f>
        <v>409.09799999999996</v>
      </c>
      <c r="K54" s="59">
        <f>0.0972*1.23</f>
        <v>0.119556</v>
      </c>
      <c r="L54" s="65">
        <f>E54*K54*1000</f>
        <v>116.54916660000067</v>
      </c>
      <c r="M54" s="59">
        <f>0.0129*1.23</f>
        <v>0.015867</v>
      </c>
      <c r="N54" s="65">
        <f>E54*M54*1000</f>
        <v>15.467944950000089</v>
      </c>
      <c r="O54" s="67"/>
      <c r="P54" s="57">
        <v>0.0005</v>
      </c>
      <c r="Q54" s="57">
        <v>0.00051</v>
      </c>
      <c r="R54" s="207">
        <f>(Q54-P54)*150</f>
        <v>0.001500000000000004</v>
      </c>
      <c r="S54" s="254"/>
      <c r="T54" s="243">
        <f>0.98*1.23</f>
        <v>1.2054</v>
      </c>
      <c r="U54" s="71"/>
      <c r="V54" s="86">
        <f>J54+L51+L52+L53+L54+N51+N52+N53+N54+O53+O54+T51+T52+T53+T54+U54</f>
        <v>1231.08238155</v>
      </c>
      <c r="W54" s="41">
        <f>(V54+H53+H54)/(E51+E52+E53+E54)/1000</f>
        <v>1.2373845523166236</v>
      </c>
      <c r="X54" s="43">
        <v>20</v>
      </c>
      <c r="Y54" s="72">
        <v>8</v>
      </c>
      <c r="Z54" s="40"/>
      <c r="AA54" s="185"/>
    </row>
    <row r="55" spans="1:27" ht="12.75" hidden="1">
      <c r="A55" s="442"/>
      <c r="B55" s="106"/>
      <c r="C55" s="268"/>
      <c r="D55" s="176"/>
      <c r="E55" s="295" t="s">
        <v>105</v>
      </c>
      <c r="F55" s="269">
        <v>0.001</v>
      </c>
      <c r="G55" s="216">
        <f>0.2153*1.23</f>
        <v>0.26481899999999997</v>
      </c>
      <c r="H55" s="199">
        <f>F55*G55*1000</f>
        <v>0.26481899999999997</v>
      </c>
      <c r="I55" s="33"/>
      <c r="J55" s="94"/>
      <c r="K55" s="66"/>
      <c r="L55" s="34"/>
      <c r="M55" s="66"/>
      <c r="N55" s="34"/>
      <c r="O55" s="75"/>
      <c r="P55" s="136"/>
      <c r="Q55" s="136"/>
      <c r="R55" s="117"/>
      <c r="S55" s="159"/>
      <c r="T55" s="159"/>
      <c r="U55" s="121"/>
      <c r="V55" s="131"/>
      <c r="W55" s="122"/>
      <c r="X55" s="63"/>
      <c r="Y55" s="63"/>
      <c r="Z55" s="54"/>
      <c r="AA55" s="186"/>
    </row>
    <row r="56" spans="1:27" ht="12.75" hidden="1">
      <c r="A56" s="443"/>
      <c r="B56" s="294" t="s">
        <v>103</v>
      </c>
      <c r="C56" s="37" t="s">
        <v>80</v>
      </c>
      <c r="D56" s="58"/>
      <c r="E56" s="87"/>
      <c r="F56" s="201">
        <v>0</v>
      </c>
      <c r="G56" s="125">
        <f>0.2153*1.23</f>
        <v>0.26481899999999997</v>
      </c>
      <c r="H56" s="172">
        <f>F56*G56*1000</f>
        <v>0</v>
      </c>
      <c r="I56" s="38"/>
      <c r="J56" s="86"/>
      <c r="K56" s="59"/>
      <c r="L56" s="65"/>
      <c r="M56" s="59"/>
      <c r="N56" s="65"/>
      <c r="O56" s="67"/>
      <c r="P56" s="57"/>
      <c r="Q56" s="57"/>
      <c r="R56" s="207"/>
      <c r="S56" s="254"/>
      <c r="T56" s="254"/>
      <c r="U56" s="71"/>
      <c r="V56" s="86"/>
      <c r="W56" s="41"/>
      <c r="X56" s="43"/>
      <c r="Y56" s="72"/>
      <c r="Z56" s="40"/>
      <c r="AA56" s="185"/>
    </row>
    <row r="57" spans="1:27" ht="12.75" hidden="1">
      <c r="A57" s="78"/>
      <c r="B57" s="142"/>
      <c r="C57" s="268"/>
      <c r="D57" s="33"/>
      <c r="E57" s="33"/>
      <c r="F57" s="265"/>
      <c r="G57" s="33"/>
      <c r="H57" s="265"/>
      <c r="I57" s="33"/>
      <c r="J57" s="94"/>
      <c r="K57" s="77"/>
      <c r="L57" s="77"/>
      <c r="M57" s="77"/>
      <c r="N57" s="77"/>
      <c r="O57" s="77"/>
      <c r="P57" s="257">
        <v>0.25043</v>
      </c>
      <c r="Q57" s="257">
        <v>0.25324</v>
      </c>
      <c r="R57" s="117">
        <f>(Q57-P57)*150-0.029</f>
        <v>0.3925000000000052</v>
      </c>
      <c r="S57" s="127">
        <f>R57/E59</f>
        <v>1.3833817957529428</v>
      </c>
      <c r="T57" s="141">
        <f>81.17*1.23</f>
        <v>99.8391</v>
      </c>
      <c r="U57" s="44"/>
      <c r="V57" s="94"/>
      <c r="W57" s="104"/>
      <c r="X57" s="45"/>
      <c r="Y57" s="81"/>
      <c r="Z57" s="84"/>
      <c r="AA57" s="186"/>
    </row>
    <row r="58" spans="1:27" ht="12.75" hidden="1">
      <c r="A58" s="78"/>
      <c r="B58" s="102"/>
      <c r="C58" s="33"/>
      <c r="D58" s="33"/>
      <c r="E58" s="33"/>
      <c r="F58" s="265"/>
      <c r="G58" s="265" t="s">
        <v>87</v>
      </c>
      <c r="H58" s="265"/>
      <c r="I58" s="33"/>
      <c r="J58" s="94"/>
      <c r="K58" s="77"/>
      <c r="L58" s="77"/>
      <c r="M58" s="77"/>
      <c r="N58" s="77"/>
      <c r="O58" s="77"/>
      <c r="P58" s="157">
        <v>0.7415</v>
      </c>
      <c r="Q58" s="157">
        <v>0.75414</v>
      </c>
      <c r="R58" s="117">
        <f>(Q58-P58)*150-0.1</f>
        <v>1.7959999999999976</v>
      </c>
      <c r="S58" s="127">
        <f>R58/E60</f>
        <v>1.8561868588998274</v>
      </c>
      <c r="T58" s="141">
        <f>456.42*1.23</f>
        <v>561.3966</v>
      </c>
      <c r="U58" s="44"/>
      <c r="V58" s="94"/>
      <c r="W58" s="104"/>
      <c r="X58" s="45"/>
      <c r="Y58" s="81"/>
      <c r="Z58" s="84"/>
      <c r="AA58" s="186"/>
    </row>
    <row r="59" spans="1:27" ht="12.75" hidden="1">
      <c r="A59" s="442">
        <v>8</v>
      </c>
      <c r="B59" s="73" t="s">
        <v>85</v>
      </c>
      <c r="C59" s="268"/>
      <c r="D59" s="176">
        <v>0.13529</v>
      </c>
      <c r="E59" s="118">
        <f>(D59-D53)*X$9*0.97</f>
        <v>0.28372500000000106</v>
      </c>
      <c r="F59" s="278">
        <v>0.284</v>
      </c>
      <c r="G59" s="216">
        <f>0.2153*1.23</f>
        <v>0.26481899999999997</v>
      </c>
      <c r="H59" s="276">
        <f>F59*G59*1000</f>
        <v>75.20859599999999</v>
      </c>
      <c r="I59" s="33">
        <f>0.85*1.23</f>
        <v>1.0454999999999999</v>
      </c>
      <c r="J59" s="94"/>
      <c r="K59" s="66">
        <f>0.1261*1.23</f>
        <v>0.155103</v>
      </c>
      <c r="L59" s="34">
        <f>E59*K59*1000</f>
        <v>44.00659867500016</v>
      </c>
      <c r="M59" s="66">
        <f>0.0129*1.23</f>
        <v>0.015867</v>
      </c>
      <c r="N59" s="34">
        <f>E59*M59*1000</f>
        <v>4.501864575000017</v>
      </c>
      <c r="O59" s="75">
        <f>16*1.23</f>
        <v>19.68</v>
      </c>
      <c r="P59" s="136">
        <v>0.00144</v>
      </c>
      <c r="Q59" s="136">
        <v>0.00144</v>
      </c>
      <c r="R59" s="117">
        <f>(Q59-P59)*150</f>
        <v>0</v>
      </c>
      <c r="S59" s="159"/>
      <c r="T59" s="238"/>
      <c r="U59" s="121"/>
      <c r="V59" s="131"/>
      <c r="W59" s="122"/>
      <c r="X59" s="63"/>
      <c r="Y59" s="63"/>
      <c r="Z59" s="54"/>
      <c r="AA59" s="186">
        <f>V60/1.23</f>
        <v>1035.2985454999998</v>
      </c>
    </row>
    <row r="60" spans="1:27" ht="12.75" hidden="1">
      <c r="A60" s="443">
        <v>19</v>
      </c>
      <c r="B60" s="259" t="s">
        <v>86</v>
      </c>
      <c r="C60" s="37" t="s">
        <v>84</v>
      </c>
      <c r="D60" s="58">
        <v>0.37745</v>
      </c>
      <c r="E60" s="87">
        <f>(D60-D54)*X$9*0.97</f>
        <v>0.9675749999999984</v>
      </c>
      <c r="F60" s="274">
        <v>0.968</v>
      </c>
      <c r="G60" s="125">
        <f>0.2153*1.23</f>
        <v>0.26481899999999997</v>
      </c>
      <c r="H60" s="277">
        <f>F60*G60*1000</f>
        <v>256.344792</v>
      </c>
      <c r="I60" s="38">
        <f>15.78*1.23</f>
        <v>19.409399999999998</v>
      </c>
      <c r="J60" s="86">
        <f>X60*(I59+I60)</f>
        <v>409.09799999999996</v>
      </c>
      <c r="K60" s="59">
        <f>0.0972*1.23</f>
        <v>0.119556</v>
      </c>
      <c r="L60" s="65">
        <f>E60*K60*1000</f>
        <v>115.67939669999981</v>
      </c>
      <c r="M60" s="59">
        <f>0.0129*1.23</f>
        <v>0.015867</v>
      </c>
      <c r="N60" s="65">
        <f>E60*M60*1000</f>
        <v>15.352512524999975</v>
      </c>
      <c r="O60" s="146">
        <f>(E59+E60)*2.51*1.23</f>
        <v>3.863138489999998</v>
      </c>
      <c r="P60" s="57">
        <v>0.00051</v>
      </c>
      <c r="Q60" s="57">
        <v>0.00051</v>
      </c>
      <c r="R60" s="207">
        <f>(Q60-P60)*150</f>
        <v>0</v>
      </c>
      <c r="S60" s="254"/>
      <c r="T60" s="243"/>
      <c r="U60" s="71"/>
      <c r="V60" s="86">
        <f>J60+L57+L58+L59+L60+N57+N58+N59+N60+O59+O60+T57+T58+T59+T60+U60</f>
        <v>1273.4172109649999</v>
      </c>
      <c r="W60" s="41">
        <f>(V60+H59+H60)/(E57+E58+E59+E60)/1000</f>
        <v>1.282642530939823</v>
      </c>
      <c r="X60" s="43">
        <v>20</v>
      </c>
      <c r="Y60" s="72">
        <v>7</v>
      </c>
      <c r="Z60" s="40"/>
      <c r="AA60" s="185"/>
    </row>
    <row r="61" spans="1:27" ht="12.75" hidden="1">
      <c r="A61" s="442"/>
      <c r="B61" s="106"/>
      <c r="C61" s="268"/>
      <c r="D61" s="176"/>
      <c r="E61" s="295" t="s">
        <v>106</v>
      </c>
      <c r="F61" s="269">
        <v>0</v>
      </c>
      <c r="G61" s="216">
        <f>0.2153*1.23</f>
        <v>0.26481899999999997</v>
      </c>
      <c r="H61" s="199">
        <f>F61*G61*1000</f>
        <v>0</v>
      </c>
      <c r="I61" s="33"/>
      <c r="J61" s="94"/>
      <c r="K61" s="66"/>
      <c r="L61" s="34"/>
      <c r="M61" s="66"/>
      <c r="N61" s="34"/>
      <c r="O61" s="75"/>
      <c r="P61" s="136"/>
      <c r="Q61" s="136"/>
      <c r="R61" s="117"/>
      <c r="S61" s="159"/>
      <c r="T61" s="159"/>
      <c r="U61" s="121"/>
      <c r="V61" s="131"/>
      <c r="W61" s="122"/>
      <c r="X61" s="63"/>
      <c r="Y61" s="63"/>
      <c r="Z61" s="54"/>
      <c r="AA61" s="186"/>
    </row>
    <row r="62" spans="1:27" ht="12.75" hidden="1">
      <c r="A62" s="443"/>
      <c r="B62" s="294" t="s">
        <v>103</v>
      </c>
      <c r="C62" s="37" t="s">
        <v>84</v>
      </c>
      <c r="D62" s="58"/>
      <c r="E62" s="87"/>
      <c r="F62" s="201">
        <v>0.001</v>
      </c>
      <c r="G62" s="125">
        <f>0.2153*1.23</f>
        <v>0.26481899999999997</v>
      </c>
      <c r="H62" s="172">
        <f>F62*G62*1000</f>
        <v>0.26481899999999997</v>
      </c>
      <c r="I62" s="38"/>
      <c r="J62" s="86"/>
      <c r="K62" s="59"/>
      <c r="L62" s="65"/>
      <c r="M62" s="59"/>
      <c r="N62" s="65"/>
      <c r="O62" s="67"/>
      <c r="P62" s="57"/>
      <c r="Q62" s="57"/>
      <c r="R62" s="207"/>
      <c r="S62" s="254"/>
      <c r="T62" s="254"/>
      <c r="U62" s="71"/>
      <c r="V62" s="86"/>
      <c r="W62" s="41"/>
      <c r="X62" s="43"/>
      <c r="Y62" s="72"/>
      <c r="Z62" s="40"/>
      <c r="AA62" s="185"/>
    </row>
    <row r="63" spans="1:27" ht="12.75" hidden="1">
      <c r="A63" s="78"/>
      <c r="B63" s="142"/>
      <c r="C63" s="268"/>
      <c r="D63" s="33"/>
      <c r="E63" s="33"/>
      <c r="F63" s="265"/>
      <c r="G63" s="33"/>
      <c r="H63" s="265"/>
      <c r="I63" s="33"/>
      <c r="J63" s="94"/>
      <c r="K63" s="77"/>
      <c r="L63" s="77"/>
      <c r="M63" s="77"/>
      <c r="N63" s="77"/>
      <c r="O63" s="77"/>
      <c r="P63" s="257">
        <v>0.25324</v>
      </c>
      <c r="Q63" s="257">
        <v>0.25554</v>
      </c>
      <c r="R63" s="117">
        <f>(Q63-P63)*150-0.024</f>
        <v>0.3209999999999953</v>
      </c>
      <c r="S63" s="127">
        <f>R63/E65</f>
        <v>1.4052137369492068</v>
      </c>
      <c r="T63" s="141">
        <f>67.14*1.23</f>
        <v>82.5822</v>
      </c>
      <c r="U63" s="44"/>
      <c r="V63" s="94"/>
      <c r="W63" s="104"/>
      <c r="X63" s="45"/>
      <c r="Y63" s="81"/>
      <c r="Z63" s="84"/>
      <c r="AA63" s="186"/>
    </row>
    <row r="64" spans="1:27" ht="12.75" hidden="1">
      <c r="A64" s="78"/>
      <c r="B64" s="102"/>
      <c r="C64" s="33"/>
      <c r="D64" s="33"/>
      <c r="E64" s="33"/>
      <c r="F64" s="265"/>
      <c r="G64" s="265" t="s">
        <v>91</v>
      </c>
      <c r="H64" s="265"/>
      <c r="I64" s="33"/>
      <c r="J64" s="94"/>
      <c r="K64" s="77"/>
      <c r="L64" s="77"/>
      <c r="M64" s="77"/>
      <c r="N64" s="77"/>
      <c r="O64" s="77"/>
      <c r="P64" s="157">
        <v>0.75414</v>
      </c>
      <c r="Q64" s="157">
        <v>0.76547</v>
      </c>
      <c r="R64" s="117">
        <f>(Q64-P64)*150-0.086</f>
        <v>1.6134999999999926</v>
      </c>
      <c r="S64" s="127">
        <f>R64/E66</f>
        <v>1.9245656159385232</v>
      </c>
      <c r="T64" s="141">
        <f>418.78*1.23</f>
        <v>515.0994</v>
      </c>
      <c r="U64" s="44"/>
      <c r="V64" s="94"/>
      <c r="W64" s="104"/>
      <c r="X64" s="45"/>
      <c r="Y64" s="81"/>
      <c r="Z64" s="84"/>
      <c r="AA64" s="186"/>
    </row>
    <row r="65" spans="1:27" ht="12.75" hidden="1">
      <c r="A65" s="442">
        <v>9</v>
      </c>
      <c r="B65" s="73" t="s">
        <v>89</v>
      </c>
      <c r="C65" s="268"/>
      <c r="D65" s="176">
        <v>0.13686</v>
      </c>
      <c r="E65" s="118">
        <f>(D65-D59)*X$9*0.97</f>
        <v>0.2284350000000023</v>
      </c>
      <c r="F65" s="278">
        <v>0.228</v>
      </c>
      <c r="G65" s="216">
        <f>0.2153*1.23</f>
        <v>0.26481899999999997</v>
      </c>
      <c r="H65" s="276">
        <f>F65*G65*1000</f>
        <v>60.378732</v>
      </c>
      <c r="I65" s="33">
        <f>0.85*1.23</f>
        <v>1.0454999999999999</v>
      </c>
      <c r="J65" s="94"/>
      <c r="K65" s="66">
        <f>0.1261*1.23</f>
        <v>0.155103</v>
      </c>
      <c r="L65" s="34">
        <f>E65*K65*1000</f>
        <v>35.43095380500035</v>
      </c>
      <c r="M65" s="66">
        <f>0.0129*1.23</f>
        <v>0.015867</v>
      </c>
      <c r="N65" s="34">
        <f>E65*M65*1000</f>
        <v>3.6245781450000365</v>
      </c>
      <c r="O65" s="75">
        <f>16*1.23</f>
        <v>19.68</v>
      </c>
      <c r="P65" s="136">
        <v>0.00144</v>
      </c>
      <c r="Q65" s="136">
        <v>0.00144</v>
      </c>
      <c r="R65" s="117">
        <f>(Q65-P65)*150</f>
        <v>0</v>
      </c>
      <c r="S65" s="159"/>
      <c r="T65" s="238"/>
      <c r="U65" s="121"/>
      <c r="V65" s="131"/>
      <c r="W65" s="122"/>
      <c r="X65" s="63"/>
      <c r="Y65" s="63"/>
      <c r="Z65" s="54"/>
      <c r="AA65" s="186">
        <f>V66/1.23</f>
        <v>961.2547951599998</v>
      </c>
    </row>
    <row r="66" spans="1:27" ht="12.75" hidden="1">
      <c r="A66" s="443">
        <v>19</v>
      </c>
      <c r="B66" s="259" t="s">
        <v>90</v>
      </c>
      <c r="C66" s="37" t="s">
        <v>88</v>
      </c>
      <c r="D66" s="58">
        <v>0.383212</v>
      </c>
      <c r="E66" s="87">
        <f>(D66-D60)*X$9*0.97</f>
        <v>0.8383709999999984</v>
      </c>
      <c r="F66" s="274">
        <v>0.838</v>
      </c>
      <c r="G66" s="125">
        <f>0.2153*1.23</f>
        <v>0.26481899999999997</v>
      </c>
      <c r="H66" s="277">
        <f>F66*G66*1000</f>
        <v>221.91832199999996</v>
      </c>
      <c r="I66" s="38">
        <f>15.78*1.23</f>
        <v>19.409399999999998</v>
      </c>
      <c r="J66" s="86">
        <f>X66*(I65+I66)</f>
        <v>409.09799999999996</v>
      </c>
      <c r="K66" s="59">
        <f>0.0972*1.23</f>
        <v>0.119556</v>
      </c>
      <c r="L66" s="65">
        <f>E66*K66*1000</f>
        <v>100.2322832759998</v>
      </c>
      <c r="M66" s="59">
        <f>0.0129*1.23</f>
        <v>0.015867</v>
      </c>
      <c r="N66" s="65">
        <f>E66*M66*1000</f>
        <v>13.302432656999974</v>
      </c>
      <c r="O66" s="146">
        <f>(E65+E66)*2.51*1.23</f>
        <v>3.293550163800002</v>
      </c>
      <c r="P66" s="57">
        <v>0.00051</v>
      </c>
      <c r="Q66" s="57">
        <v>0.00051</v>
      </c>
      <c r="R66" s="207">
        <f>(Q66-P66)*150</f>
        <v>0</v>
      </c>
      <c r="S66" s="254"/>
      <c r="T66" s="243"/>
      <c r="U66" s="71"/>
      <c r="V66" s="86">
        <f>J66+L63+L64+L65+L66+N63+N64+N65+N66+O65+O66+T63+T64+T65+T66+U66</f>
        <v>1182.3433980467998</v>
      </c>
      <c r="W66" s="41">
        <f>(V66+H65+H66)/(E63+E64+E65+E66)/1000</f>
        <v>1.372921085977018</v>
      </c>
      <c r="X66" s="43">
        <v>20</v>
      </c>
      <c r="Y66" s="72">
        <v>7</v>
      </c>
      <c r="Z66" s="40"/>
      <c r="AA66" s="185"/>
    </row>
    <row r="67" spans="1:27" ht="12.75" hidden="1">
      <c r="A67" s="78"/>
      <c r="B67" s="142"/>
      <c r="C67" s="268"/>
      <c r="D67" s="33"/>
      <c r="E67" s="33"/>
      <c r="F67" s="265"/>
      <c r="G67" s="33"/>
      <c r="H67" s="265"/>
      <c r="I67" s="33"/>
      <c r="J67" s="94"/>
      <c r="K67" s="77"/>
      <c r="L67" s="77"/>
      <c r="M67" s="77"/>
      <c r="N67" s="77"/>
      <c r="O67" s="77"/>
      <c r="P67" s="257">
        <v>0.25554</v>
      </c>
      <c r="Q67" s="257">
        <v>0.25848</v>
      </c>
      <c r="R67" s="117">
        <f>(Q67-P67)*150-0.031</f>
        <v>0.4099999999999997</v>
      </c>
      <c r="S67" s="127">
        <f>R67/E69</f>
        <v>1.3482628783768347</v>
      </c>
      <c r="T67" s="141">
        <f>82.69*1.23</f>
        <v>101.7087</v>
      </c>
      <c r="U67" s="44"/>
      <c r="V67" s="94"/>
      <c r="W67" s="104"/>
      <c r="X67" s="45"/>
      <c r="Y67" s="81"/>
      <c r="Z67" s="84"/>
      <c r="AA67" s="186"/>
    </row>
    <row r="68" spans="1:27" ht="12.75" hidden="1">
      <c r="A68" s="78"/>
      <c r="B68" s="102"/>
      <c r="C68" s="33"/>
      <c r="D68" s="33"/>
      <c r="E68" s="33"/>
      <c r="F68" s="265"/>
      <c r="G68" s="265" t="s">
        <v>95</v>
      </c>
      <c r="H68" s="265"/>
      <c r="I68" s="33"/>
      <c r="J68" s="94"/>
      <c r="K68" s="77"/>
      <c r="L68" s="77"/>
      <c r="M68" s="77"/>
      <c r="N68" s="77"/>
      <c r="O68" s="77"/>
      <c r="P68" s="157">
        <v>0.76547</v>
      </c>
      <c r="Q68" s="157">
        <v>0.77646</v>
      </c>
      <c r="R68" s="117">
        <f>(Q68-P68)*150-0.091</f>
        <v>1.5575000000000083</v>
      </c>
      <c r="S68" s="127">
        <f>R68/E70</f>
        <v>1.7582896442102462</v>
      </c>
      <c r="T68" s="141">
        <f>382.88*1.23</f>
        <v>470.94239999999996</v>
      </c>
      <c r="U68" s="44"/>
      <c r="V68" s="94"/>
      <c r="W68" s="104"/>
      <c r="X68" s="45"/>
      <c r="Y68" s="81"/>
      <c r="Z68" s="84"/>
      <c r="AA68" s="186"/>
    </row>
    <row r="69" spans="1:27" ht="12.75" hidden="1">
      <c r="A69" s="442">
        <v>10</v>
      </c>
      <c r="B69" s="73" t="s">
        <v>92</v>
      </c>
      <c r="C69" s="268"/>
      <c r="D69" s="176">
        <v>0.13895</v>
      </c>
      <c r="E69" s="118">
        <f>(D69-D65)*X$9*0.97</f>
        <v>0.3040949999999972</v>
      </c>
      <c r="F69" s="278">
        <v>0.304</v>
      </c>
      <c r="G69" s="216">
        <f>0.2153*1.23</f>
        <v>0.26481899999999997</v>
      </c>
      <c r="H69" s="276">
        <f>F69*G69*1000</f>
        <v>80.50497599999998</v>
      </c>
      <c r="I69" s="33">
        <f>0.85*1.23</f>
        <v>1.0454999999999999</v>
      </c>
      <c r="J69" s="94"/>
      <c r="K69" s="66">
        <f>0.1261*1.23</f>
        <v>0.155103</v>
      </c>
      <c r="L69" s="34">
        <f>E69*K69*1000</f>
        <v>47.16604678499956</v>
      </c>
      <c r="M69" s="66">
        <f>0.0129*1.23</f>
        <v>0.015867</v>
      </c>
      <c r="N69" s="34">
        <f>E69*M69*1000</f>
        <v>4.825075364999955</v>
      </c>
      <c r="O69" s="75">
        <f>16*1.23</f>
        <v>19.68</v>
      </c>
      <c r="P69" s="136">
        <v>0.00144</v>
      </c>
      <c r="Q69" s="136">
        <v>0.00145</v>
      </c>
      <c r="R69" s="117">
        <f>(Q69-P69)*150</f>
        <v>0.0014999999999999714</v>
      </c>
      <c r="S69" s="159"/>
      <c r="T69" s="238">
        <f>0.98*1.23</f>
        <v>1.2054</v>
      </c>
      <c r="U69" s="121"/>
      <c r="V69" s="131"/>
      <c r="W69" s="122"/>
      <c r="X69" s="63"/>
      <c r="Y69" s="63"/>
      <c r="Z69" s="54"/>
      <c r="AA69" s="186">
        <f>V70/1.23</f>
        <v>957.9328718899993</v>
      </c>
    </row>
    <row r="70" spans="1:27" ht="12.75" hidden="1">
      <c r="A70" s="443">
        <v>19</v>
      </c>
      <c r="B70" s="259" t="s">
        <v>93</v>
      </c>
      <c r="C70" s="37" t="s">
        <v>94</v>
      </c>
      <c r="D70" s="58">
        <v>0.3893</v>
      </c>
      <c r="E70" s="87">
        <f>(D70-D66)*X$9*0.97</f>
        <v>0.8858039999999974</v>
      </c>
      <c r="F70" s="274">
        <v>0.886</v>
      </c>
      <c r="G70" s="125">
        <f>0.2153*1.23</f>
        <v>0.26481899999999997</v>
      </c>
      <c r="H70" s="277">
        <f>F70*G70*1000</f>
        <v>234.62963399999998</v>
      </c>
      <c r="I70" s="38">
        <f>15.78*1.23</f>
        <v>19.409399999999998</v>
      </c>
      <c r="J70" s="86">
        <f>X70*(I69+I70)</f>
        <v>409.09799999999996</v>
      </c>
      <c r="K70" s="59">
        <f>0.0972*1.23</f>
        <v>0.119556</v>
      </c>
      <c r="L70" s="65">
        <f>E70*K70*1000</f>
        <v>105.90318302399967</v>
      </c>
      <c r="M70" s="59">
        <f>0.0129*1.23</f>
        <v>0.015867</v>
      </c>
      <c r="N70" s="65">
        <f>E70*M70*1000</f>
        <v>14.055052067999958</v>
      </c>
      <c r="O70" s="146">
        <f>(E69+E70)*2.51*1.23</f>
        <v>3.6735751826999827</v>
      </c>
      <c r="P70" s="57">
        <v>0.00051</v>
      </c>
      <c r="Q70" s="57">
        <v>0.00051</v>
      </c>
      <c r="R70" s="207">
        <f>(Q70-P70)*150</f>
        <v>0</v>
      </c>
      <c r="S70" s="254"/>
      <c r="T70" s="243"/>
      <c r="U70" s="71"/>
      <c r="V70" s="86">
        <f>J70+L67+L68+L69+L70+N67+N68+N69+N70+O69+O70+T67+T68+T69+T70+U70</f>
        <v>1178.2574324246991</v>
      </c>
      <c r="W70" s="41">
        <f>(V70+H69+H70)/(E67+E68+E69+E70)/1000</f>
        <v>1.2550578178691687</v>
      </c>
      <c r="X70" s="43">
        <v>20</v>
      </c>
      <c r="Y70" s="72">
        <v>8</v>
      </c>
      <c r="Z70" s="40"/>
      <c r="AA70" s="185"/>
    </row>
    <row r="71" spans="1:27" ht="12.75" hidden="1">
      <c r="A71" s="442"/>
      <c r="B71" s="106"/>
      <c r="C71" s="268"/>
      <c r="D71" s="176"/>
      <c r="E71" s="295" t="s">
        <v>107</v>
      </c>
      <c r="F71" s="269">
        <v>0</v>
      </c>
      <c r="G71" s="216">
        <f>0.2153*1.23</f>
        <v>0.26481899999999997</v>
      </c>
      <c r="H71" s="199">
        <f>F71*G71*1000</f>
        <v>0</v>
      </c>
      <c r="I71" s="33"/>
      <c r="J71" s="94"/>
      <c r="K71" s="66"/>
      <c r="L71" s="34"/>
      <c r="M71" s="66"/>
      <c r="N71" s="34"/>
      <c r="O71" s="75"/>
      <c r="P71" s="136"/>
      <c r="Q71" s="136"/>
      <c r="R71" s="117"/>
      <c r="S71" s="159"/>
      <c r="T71" s="159"/>
      <c r="U71" s="121"/>
      <c r="V71" s="131"/>
      <c r="W71" s="122"/>
      <c r="X71" s="63"/>
      <c r="Y71" s="63"/>
      <c r="Z71" s="54"/>
      <c r="AA71" s="186"/>
    </row>
    <row r="72" spans="1:27" ht="12.75" hidden="1">
      <c r="A72" s="443"/>
      <c r="B72" s="294" t="s">
        <v>103</v>
      </c>
      <c r="C72" s="37" t="s">
        <v>94</v>
      </c>
      <c r="D72" s="58"/>
      <c r="E72" s="87"/>
      <c r="F72" s="201">
        <v>-0.001</v>
      </c>
      <c r="G72" s="125">
        <f>0.2153*1.23</f>
        <v>0.26481899999999997</v>
      </c>
      <c r="H72" s="172">
        <f>F72*G72*1000</f>
        <v>-0.26481899999999997</v>
      </c>
      <c r="I72" s="38"/>
      <c r="J72" s="86"/>
      <c r="K72" s="59"/>
      <c r="L72" s="65"/>
      <c r="M72" s="59"/>
      <c r="N72" s="65"/>
      <c r="O72" s="67"/>
      <c r="P72" s="57"/>
      <c r="Q72" s="57"/>
      <c r="R72" s="207"/>
      <c r="S72" s="254"/>
      <c r="T72" s="254"/>
      <c r="U72" s="71"/>
      <c r="V72" s="86"/>
      <c r="W72" s="41"/>
      <c r="X72" s="43"/>
      <c r="Y72" s="72"/>
      <c r="Z72" s="40"/>
      <c r="AA72" s="185"/>
    </row>
    <row r="73" spans="1:27" ht="12.75" hidden="1">
      <c r="A73" s="78"/>
      <c r="B73" s="142"/>
      <c r="C73" s="268"/>
      <c r="D73" s="33"/>
      <c r="E73" s="33"/>
      <c r="F73" s="265"/>
      <c r="G73" s="33"/>
      <c r="H73" s="265"/>
      <c r="I73" s="33"/>
      <c r="J73" s="94"/>
      <c r="K73" s="77"/>
      <c r="L73" s="77"/>
      <c r="M73" s="77"/>
      <c r="N73" s="77"/>
      <c r="O73" s="77"/>
      <c r="P73" s="257">
        <v>0.25848</v>
      </c>
      <c r="Q73" s="257">
        <v>0.26244</v>
      </c>
      <c r="R73" s="117">
        <f>(Q73-P73)*150-0.131</f>
        <v>0.46300000000000285</v>
      </c>
      <c r="S73" s="127">
        <f>R73/E75</f>
        <v>0.3649232321321626</v>
      </c>
      <c r="T73" s="141"/>
      <c r="U73" s="44"/>
      <c r="V73" s="94"/>
      <c r="W73" s="104"/>
      <c r="X73" s="45"/>
      <c r="Y73" s="81"/>
      <c r="Z73" s="84"/>
      <c r="AA73" s="186"/>
    </row>
    <row r="74" spans="1:27" ht="12.75" hidden="1">
      <c r="A74" s="78"/>
      <c r="B74" s="102"/>
      <c r="C74" s="33"/>
      <c r="D74" s="33"/>
      <c r="E74" s="33"/>
      <c r="F74" s="265"/>
      <c r="G74" s="265" t="s">
        <v>99</v>
      </c>
      <c r="H74" s="265"/>
      <c r="I74" s="33"/>
      <c r="J74" s="94"/>
      <c r="K74" s="77"/>
      <c r="L74" s="77"/>
      <c r="M74" s="77"/>
      <c r="N74" s="77"/>
      <c r="O74" s="77"/>
      <c r="P74" s="157">
        <v>0.77646</v>
      </c>
      <c r="Q74" s="157">
        <v>0.78809</v>
      </c>
      <c r="R74" s="117">
        <f>(Q74-P74)*150-0.363</f>
        <v>1.3814999999999877</v>
      </c>
      <c r="S74" s="127">
        <f>R74/E76</f>
        <v>0.3921869211410432</v>
      </c>
      <c r="T74" s="141"/>
      <c r="U74" s="44"/>
      <c r="V74" s="94"/>
      <c r="W74" s="104"/>
      <c r="X74" s="45"/>
      <c r="Y74" s="81"/>
      <c r="Z74" s="84"/>
      <c r="AA74" s="186"/>
    </row>
    <row r="75" spans="1:27" ht="12.75" hidden="1">
      <c r="A75" s="442">
        <v>11</v>
      </c>
      <c r="B75" s="73" t="s">
        <v>96</v>
      </c>
      <c r="C75" s="268"/>
      <c r="D75" s="176">
        <v>0.14767</v>
      </c>
      <c r="E75" s="118">
        <f>(D75-D69)*X$9*0.97</f>
        <v>1.2687600000000006</v>
      </c>
      <c r="F75" s="278">
        <v>1.269</v>
      </c>
      <c r="G75" s="216">
        <f>0.2153*1.23</f>
        <v>0.26481899999999997</v>
      </c>
      <c r="H75" s="276">
        <f>F75*G75*1000</f>
        <v>336.0553109999999</v>
      </c>
      <c r="I75" s="33">
        <f>0.85*1.23</f>
        <v>1.0454999999999999</v>
      </c>
      <c r="J75" s="94"/>
      <c r="K75" s="66">
        <f>0.1261*1.23</f>
        <v>0.155103</v>
      </c>
      <c r="L75" s="34">
        <f>E75*K75*1000</f>
        <v>196.78848228000007</v>
      </c>
      <c r="M75" s="66">
        <f>0.0129*1.23</f>
        <v>0.015867</v>
      </c>
      <c r="N75" s="34">
        <f>E75*M75*1000</f>
        <v>20.131414920000008</v>
      </c>
      <c r="O75" s="75">
        <f>16*1.23</f>
        <v>19.68</v>
      </c>
      <c r="P75" s="136">
        <v>0.00145</v>
      </c>
      <c r="Q75" s="174">
        <v>0.00168</v>
      </c>
      <c r="R75" s="117">
        <f>(Q75-P75)*150</f>
        <v>0.034500000000000024</v>
      </c>
      <c r="S75" s="159"/>
      <c r="T75" s="238">
        <f>17.67*1.23</f>
        <v>21.7341</v>
      </c>
      <c r="U75" s="121"/>
      <c r="V75" s="131"/>
      <c r="W75" s="122"/>
      <c r="X75" s="63"/>
      <c r="Y75" s="63"/>
      <c r="Z75" s="54"/>
      <c r="AA75" s="186">
        <f>V76/1.23</f>
        <v>993.5271461500001</v>
      </c>
    </row>
    <row r="76" spans="1:27" ht="12.75" hidden="1">
      <c r="A76" s="443">
        <v>19</v>
      </c>
      <c r="B76" s="259" t="s">
        <v>97</v>
      </c>
      <c r="C76" s="37" t="s">
        <v>98</v>
      </c>
      <c r="D76" s="58">
        <v>0.41351</v>
      </c>
      <c r="E76" s="171">
        <f>(D76-D70)*X$9*0.97</f>
        <v>3.522555000000001</v>
      </c>
      <c r="F76" s="274">
        <v>3.524</v>
      </c>
      <c r="G76" s="125">
        <f>0.2153*1.23</f>
        <v>0.26481899999999997</v>
      </c>
      <c r="H76" s="277">
        <f>F76*G76*1000</f>
        <v>933.2221559999999</v>
      </c>
      <c r="I76" s="38">
        <f>15.78*1.23</f>
        <v>19.409399999999998</v>
      </c>
      <c r="J76" s="86">
        <f>X76*(I75+I76)</f>
        <v>409.09799999999996</v>
      </c>
      <c r="K76" s="59">
        <f>0.0972*1.23</f>
        <v>0.119556</v>
      </c>
      <c r="L76" s="65">
        <f>E76*K76*1000</f>
        <v>421.1425855800001</v>
      </c>
      <c r="M76" s="59">
        <f>0.0129*1.23</f>
        <v>0.015867</v>
      </c>
      <c r="N76" s="65">
        <f>E76*M76*1000</f>
        <v>55.892380185000015</v>
      </c>
      <c r="O76" s="146">
        <f>(E75+E76)*2.51*1.23</f>
        <v>14.792226799500003</v>
      </c>
      <c r="P76" s="57">
        <v>0.00051</v>
      </c>
      <c r="Q76" s="57">
        <v>0.0012</v>
      </c>
      <c r="R76" s="207">
        <f>(Q76-P76)*150</f>
        <v>0.10349999999999998</v>
      </c>
      <c r="S76" s="254"/>
      <c r="T76" s="243">
        <f>51.04*1.23</f>
        <v>62.779199999999996</v>
      </c>
      <c r="U76" s="71"/>
      <c r="V76" s="86">
        <f>J76+L73+L74+L75+L76+N73+N74+N75+N76+O75+O76+T73+T74+T75+T76+U76</f>
        <v>1222.0383897645002</v>
      </c>
      <c r="W76" s="41">
        <f>(V76+H75+H76)/(E73+E74+E75+E76)/1000</f>
        <v>0.5199649484044566</v>
      </c>
      <c r="X76" s="43">
        <v>20</v>
      </c>
      <c r="Y76" s="72">
        <v>17</v>
      </c>
      <c r="Z76" s="40"/>
      <c r="AA76" s="185"/>
    </row>
    <row r="77" spans="1:27" ht="12.75" hidden="1">
      <c r="A77" s="78"/>
      <c r="B77" s="142"/>
      <c r="C77" s="268"/>
      <c r="D77" s="33"/>
      <c r="E77" s="33"/>
      <c r="F77" s="265"/>
      <c r="G77" s="33"/>
      <c r="H77" s="265"/>
      <c r="I77" s="33"/>
      <c r="J77" s="94"/>
      <c r="K77" s="77"/>
      <c r="L77" s="77"/>
      <c r="M77" s="77"/>
      <c r="N77" s="77"/>
      <c r="O77" s="77"/>
      <c r="P77" s="257">
        <v>0.26244</v>
      </c>
      <c r="Q77" s="257">
        <v>0.26692</v>
      </c>
      <c r="R77" s="117">
        <f>(Q77-P77)*150-0.178</f>
        <v>0.4939999999999976</v>
      </c>
      <c r="S77" s="127">
        <f>R77/E79</f>
        <v>0.2857903201545799</v>
      </c>
      <c r="T77" s="141"/>
      <c r="U77" s="44"/>
      <c r="V77" s="94"/>
      <c r="W77" s="104"/>
      <c r="X77" s="45"/>
      <c r="Y77" s="81"/>
      <c r="Z77" s="84"/>
      <c r="AA77" s="186"/>
    </row>
    <row r="78" spans="1:27" ht="12.75" hidden="1">
      <c r="A78" s="78"/>
      <c r="B78" s="102"/>
      <c r="C78" s="33"/>
      <c r="D78" s="33"/>
      <c r="E78" s="33"/>
      <c r="F78" s="265"/>
      <c r="G78" s="265" t="s">
        <v>108</v>
      </c>
      <c r="H78" s="265"/>
      <c r="I78" s="33"/>
      <c r="J78" s="94"/>
      <c r="K78" s="77"/>
      <c r="L78" s="77"/>
      <c r="M78" s="77"/>
      <c r="N78" s="77"/>
      <c r="O78" s="77"/>
      <c r="P78" s="157">
        <v>0.78809</v>
      </c>
      <c r="Q78" s="157">
        <v>0.79687</v>
      </c>
      <c r="R78" s="117">
        <f>(Q78-P78)*150-0.342</f>
        <v>0.9750000000000014</v>
      </c>
      <c r="S78" s="127">
        <f>R78/E80</f>
        <v>0.2939048652559239</v>
      </c>
      <c r="T78" s="141"/>
      <c r="U78" s="44"/>
      <c r="V78" s="94"/>
      <c r="W78" s="104"/>
      <c r="X78" s="45"/>
      <c r="Y78" s="81"/>
      <c r="Z78" s="84"/>
      <c r="AA78" s="186"/>
    </row>
    <row r="79" spans="1:27" ht="12.75" hidden="1">
      <c r="A79" s="442">
        <v>12</v>
      </c>
      <c r="B79" s="73" t="s">
        <v>100</v>
      </c>
      <c r="C79" s="268"/>
      <c r="D79" s="176">
        <v>0.15955</v>
      </c>
      <c r="E79" s="118">
        <f>(D79-D75)*X$9*0.97</f>
        <v>1.7285400000000002</v>
      </c>
      <c r="F79" s="278">
        <v>1.729</v>
      </c>
      <c r="G79" s="216">
        <f>0.2153*1.23</f>
        <v>0.26481899999999997</v>
      </c>
      <c r="H79" s="276">
        <f>F79*G79*1000</f>
        <v>457.872051</v>
      </c>
      <c r="I79" s="33">
        <f>0.85*1.23</f>
        <v>1.0454999999999999</v>
      </c>
      <c r="J79" s="94"/>
      <c r="K79" s="66">
        <f>0.1261*1.23</f>
        <v>0.155103</v>
      </c>
      <c r="L79" s="34">
        <f>E79*K79*1000</f>
        <v>268.10173962</v>
      </c>
      <c r="M79" s="66">
        <f>0.0129*1.23</f>
        <v>0.015867</v>
      </c>
      <c r="N79" s="34">
        <f>E79*M79*1000</f>
        <v>27.42674418</v>
      </c>
      <c r="O79" s="75">
        <f>16*1.23</f>
        <v>19.68</v>
      </c>
      <c r="P79" s="136">
        <v>0.00168</v>
      </c>
      <c r="Q79" s="136">
        <v>0.00192</v>
      </c>
      <c r="R79" s="117">
        <f>(Q79-P79)*150</f>
        <v>0.036</v>
      </c>
      <c r="S79" s="159"/>
      <c r="T79" s="238">
        <f>17.67*1.23</f>
        <v>21.7341</v>
      </c>
      <c r="U79" s="121"/>
      <c r="V79" s="131"/>
      <c r="W79" s="122"/>
      <c r="X79" s="63"/>
      <c r="Y79" s="63"/>
      <c r="Z79" s="54"/>
      <c r="AA79" s="186">
        <f>V80/1.23</f>
        <v>1013.8981093999997</v>
      </c>
    </row>
    <row r="80" spans="1:27" ht="13.5" hidden="1" thickBot="1">
      <c r="A80" s="442">
        <v>19</v>
      </c>
      <c r="B80" s="259" t="s">
        <v>101</v>
      </c>
      <c r="C80" s="37" t="s">
        <v>102</v>
      </c>
      <c r="D80" s="58">
        <v>0.43631</v>
      </c>
      <c r="E80" s="87">
        <f>(D80-D76)*X$9*0.97</f>
        <v>3.317399999999998</v>
      </c>
      <c r="F80" s="274">
        <v>3.317</v>
      </c>
      <c r="G80" s="125">
        <f>0.2153*1.23</f>
        <v>0.26481899999999997</v>
      </c>
      <c r="H80" s="298">
        <f>F80*G80*1000</f>
        <v>878.404623</v>
      </c>
      <c r="I80" s="38">
        <f>15.78*1.23</f>
        <v>19.409399999999998</v>
      </c>
      <c r="J80" s="86">
        <f>X80*(I79+I80)</f>
        <v>409.09799999999996</v>
      </c>
      <c r="K80" s="59">
        <f>0.0972*1.23</f>
        <v>0.119556</v>
      </c>
      <c r="L80" s="65">
        <f>E80*K80*1000</f>
        <v>396.6150743999997</v>
      </c>
      <c r="M80" s="59">
        <f>0.0129*1.23</f>
        <v>0.015867</v>
      </c>
      <c r="N80" s="65">
        <f>E80*M80*1000</f>
        <v>52.63718579999996</v>
      </c>
      <c r="O80" s="146">
        <f>(E79+E80)*2.51*1.23</f>
        <v>15.578330561999993</v>
      </c>
      <c r="P80" s="57">
        <v>0.0012</v>
      </c>
      <c r="Q80" s="57">
        <v>0.0016</v>
      </c>
      <c r="R80" s="207">
        <f>(Q80-P80)*150</f>
        <v>0.060000000000000026</v>
      </c>
      <c r="S80" s="254"/>
      <c r="T80" s="293">
        <f>29.45*1.23</f>
        <v>36.2235</v>
      </c>
      <c r="U80" s="244"/>
      <c r="V80" s="86">
        <f>J80+L77+L78+L79+L80+N77+N78+N79+N80+O79+O80+T77+T78+T79+T80+U80</f>
        <v>1247.0946745619997</v>
      </c>
      <c r="W80" s="41">
        <f>(V80+H79+H80)/(E77+E78+E79+E80)/1000</f>
        <v>0.5119702867180348</v>
      </c>
      <c r="X80" s="43">
        <v>20</v>
      </c>
      <c r="Y80" s="72">
        <v>15</v>
      </c>
      <c r="Z80" s="40"/>
      <c r="AA80" s="185"/>
    </row>
    <row r="81" spans="1:27" ht="12.75">
      <c r="A81" s="436" t="s">
        <v>297</v>
      </c>
      <c r="B81" s="437"/>
      <c r="C81" s="437"/>
      <c r="D81" s="438"/>
      <c r="E81" s="46"/>
      <c r="F81" s="13"/>
      <c r="G81" s="196"/>
      <c r="H81" s="262"/>
      <c r="I81" s="13"/>
      <c r="J81" s="13"/>
      <c r="K81" s="46"/>
      <c r="L81" s="46"/>
      <c r="M81" s="46"/>
      <c r="N81" s="46"/>
      <c r="O81" s="32"/>
      <c r="P81" s="32"/>
      <c r="Q81" s="212">
        <f>R81/E82</f>
        <v>0.7583368357636798</v>
      </c>
      <c r="R81" s="228">
        <f>SUM(R19:R80)</f>
        <v>23.437999999999985</v>
      </c>
      <c r="S81" s="232"/>
      <c r="T81" s="226"/>
      <c r="U81" s="226"/>
      <c r="V81" s="282"/>
      <c r="W81" s="284"/>
      <c r="X81" s="261"/>
      <c r="Y81" s="292">
        <f>Y82/X82</f>
        <v>0.475</v>
      </c>
      <c r="Z81" s="47"/>
      <c r="AA81" s="190"/>
    </row>
    <row r="82" spans="1:27" ht="15.75" customHeight="1" thickBot="1">
      <c r="A82" s="439"/>
      <c r="B82" s="440"/>
      <c r="C82" s="440"/>
      <c r="D82" s="441"/>
      <c r="E82" s="61">
        <f>SUM(E19:E80)</f>
        <v>30.907109999999996</v>
      </c>
      <c r="F82" s="222">
        <f>SUM(F19:F80)</f>
        <v>30.907999999999998</v>
      </c>
      <c r="G82" s="223"/>
      <c r="H82" s="224"/>
      <c r="I82" s="48"/>
      <c r="J82" s="69"/>
      <c r="K82" s="69"/>
      <c r="L82" s="69">
        <f>SUM(L19:L80)</f>
        <v>3993.1095611249984</v>
      </c>
      <c r="M82" s="69"/>
      <c r="N82" s="69">
        <f>SUM(N19:N80)</f>
        <v>486.39429836999983</v>
      </c>
      <c r="O82" s="69">
        <f>SUM(O19:O80)</f>
        <v>268.4433211980001</v>
      </c>
      <c r="P82" s="48"/>
      <c r="Q82" s="48"/>
      <c r="R82" s="233"/>
      <c r="S82" s="220"/>
      <c r="T82" s="148"/>
      <c r="U82" s="69"/>
      <c r="V82" s="69"/>
      <c r="W82" s="49"/>
      <c r="X82" s="50">
        <f>X32</f>
        <v>20</v>
      </c>
      <c r="Y82" s="50">
        <f>SUM(Y22:Y80)/12</f>
        <v>9.5</v>
      </c>
      <c r="Z82" s="50"/>
      <c r="AA82" s="51"/>
    </row>
    <row r="83" spans="6:7" ht="12.75" hidden="1">
      <c r="F83" s="231">
        <f>F82-E82</f>
        <v>0.0008900000000018338</v>
      </c>
      <c r="G83" s="98"/>
    </row>
    <row r="84" spans="2:27" ht="12.75" hidden="1">
      <c r="B84" s="106" t="s">
        <v>190</v>
      </c>
      <c r="C84" s="19"/>
      <c r="D84" s="176"/>
      <c r="E84" s="143"/>
      <c r="F84" s="92"/>
      <c r="G84" s="250"/>
      <c r="H84" s="249"/>
      <c r="I84" s="33"/>
      <c r="J84" s="167"/>
      <c r="K84" s="66"/>
      <c r="L84" s="169"/>
      <c r="M84" s="66"/>
      <c r="N84" s="169"/>
      <c r="O84" s="127"/>
      <c r="P84" s="257"/>
      <c r="Q84" s="257"/>
      <c r="R84" s="158"/>
      <c r="S84" s="159"/>
      <c r="T84" s="141"/>
      <c r="U84" s="124"/>
      <c r="V84" s="272"/>
      <c r="W84" s="246"/>
      <c r="X84" s="63"/>
      <c r="Y84" s="63"/>
      <c r="Z84" s="152"/>
      <c r="AA84" s="181"/>
    </row>
    <row r="85" spans="1:27" ht="12.75" hidden="1">
      <c r="A85" s="304"/>
      <c r="B85" s="307" t="s">
        <v>191</v>
      </c>
      <c r="C85" s="68" t="s">
        <v>72</v>
      </c>
      <c r="D85" s="310"/>
      <c r="E85" s="165">
        <v>-0.123</v>
      </c>
      <c r="F85" s="240"/>
      <c r="G85" s="59"/>
      <c r="H85" s="275"/>
      <c r="I85" s="38"/>
      <c r="J85" s="170"/>
      <c r="K85" s="59"/>
      <c r="L85" s="166"/>
      <c r="M85" s="59"/>
      <c r="N85" s="166"/>
      <c r="O85" s="160"/>
      <c r="P85" s="128"/>
      <c r="Q85" s="128"/>
      <c r="R85" s="255"/>
      <c r="S85" s="300"/>
      <c r="T85" s="300"/>
      <c r="U85" s="38"/>
      <c r="V85" s="170"/>
      <c r="W85" s="41"/>
      <c r="X85" s="132"/>
      <c r="Y85" s="72"/>
      <c r="Z85" s="43"/>
      <c r="AA85" s="187"/>
    </row>
    <row r="86" spans="2:27" ht="12.75" hidden="1">
      <c r="B86" s="106" t="s">
        <v>138</v>
      </c>
      <c r="C86" s="19"/>
      <c r="D86" s="176">
        <v>0.11133</v>
      </c>
      <c r="E86" s="143">
        <v>0.035</v>
      </c>
      <c r="F86" s="92"/>
      <c r="G86" s="250"/>
      <c r="H86" s="249"/>
      <c r="I86" s="33">
        <f>0.85*1.23</f>
        <v>1.0454999999999999</v>
      </c>
      <c r="J86" s="167"/>
      <c r="K86" s="66"/>
      <c r="L86" s="169">
        <f aca="true" t="shared" si="2" ref="L86:L97">E86*K86*1000</f>
        <v>0</v>
      </c>
      <c r="M86" s="66"/>
      <c r="N86" s="169">
        <f aca="true" t="shared" si="3" ref="N86:N97">E86*M86*1000</f>
        <v>0</v>
      </c>
      <c r="O86" s="127"/>
      <c r="P86" s="257">
        <v>0.23074</v>
      </c>
      <c r="Q86" s="257">
        <v>0.23518</v>
      </c>
      <c r="R86" s="158">
        <f aca="true" t="shared" si="4" ref="R86:R97">(Q86-P86)*150</f>
        <v>0.6659999999999999</v>
      </c>
      <c r="S86" s="159"/>
      <c r="T86" s="141"/>
      <c r="U86" s="124"/>
      <c r="V86" s="272"/>
      <c r="W86" s="246"/>
      <c r="X86" s="63"/>
      <c r="Y86" s="63"/>
      <c r="Z86" s="152"/>
      <c r="AA86" s="181"/>
    </row>
    <row r="87" spans="1:27" ht="12.75" hidden="1">
      <c r="A87" s="304"/>
      <c r="B87" s="307" t="s">
        <v>127</v>
      </c>
      <c r="C87" s="68" t="s">
        <v>55</v>
      </c>
      <c r="D87" s="310">
        <v>0.31114</v>
      </c>
      <c r="E87" s="165">
        <v>0.068</v>
      </c>
      <c r="F87" s="240"/>
      <c r="G87" s="59"/>
      <c r="H87" s="275"/>
      <c r="I87" s="38">
        <f>15.78*1.23</f>
        <v>19.409399999999998</v>
      </c>
      <c r="J87" s="170"/>
      <c r="K87" s="59"/>
      <c r="L87" s="166">
        <f t="shared" si="2"/>
        <v>0</v>
      </c>
      <c r="M87" s="59"/>
      <c r="N87" s="166">
        <f t="shared" si="3"/>
        <v>0</v>
      </c>
      <c r="O87" s="160"/>
      <c r="P87" s="128">
        <v>0.68342</v>
      </c>
      <c r="Q87" s="128">
        <v>0.69142</v>
      </c>
      <c r="R87" s="255">
        <f t="shared" si="4"/>
        <v>1.200000000000001</v>
      </c>
      <c r="S87" s="300"/>
      <c r="T87" s="300"/>
      <c r="U87" s="38"/>
      <c r="V87" s="170"/>
      <c r="W87" s="41"/>
      <c r="X87" s="132">
        <v>6</v>
      </c>
      <c r="Y87" s="72"/>
      <c r="Z87" s="43"/>
      <c r="AA87" s="185"/>
    </row>
    <row r="88" spans="1:27" ht="12.75" hidden="1">
      <c r="A88" s="35"/>
      <c r="B88" s="106" t="s">
        <v>138</v>
      </c>
      <c r="C88" s="19"/>
      <c r="D88" s="176">
        <v>0.11885</v>
      </c>
      <c r="E88" s="143">
        <v>0.034</v>
      </c>
      <c r="F88" s="92"/>
      <c r="G88" s="250"/>
      <c r="H88" s="249"/>
      <c r="I88" s="33">
        <f>0.85*1.23</f>
        <v>1.0454999999999999</v>
      </c>
      <c r="J88" s="167"/>
      <c r="K88" s="66"/>
      <c r="L88" s="169">
        <f t="shared" si="2"/>
        <v>0</v>
      </c>
      <c r="M88" s="66"/>
      <c r="N88" s="169">
        <f t="shared" si="3"/>
        <v>0</v>
      </c>
      <c r="O88" s="127"/>
      <c r="P88" s="257">
        <v>0.23518</v>
      </c>
      <c r="Q88" s="257">
        <v>0.2394</v>
      </c>
      <c r="R88" s="158">
        <f t="shared" si="4"/>
        <v>0.6330000000000002</v>
      </c>
      <c r="S88" s="159"/>
      <c r="T88" s="141"/>
      <c r="U88" s="124"/>
      <c r="V88" s="272"/>
      <c r="W88" s="246"/>
      <c r="X88" s="63"/>
      <c r="Y88" s="63"/>
      <c r="Z88" s="152"/>
      <c r="AA88" s="181"/>
    </row>
    <row r="89" spans="1:27" ht="12.75" hidden="1">
      <c r="A89" s="304"/>
      <c r="B89" s="307" t="s">
        <v>128</v>
      </c>
      <c r="C89" s="68" t="s">
        <v>59</v>
      </c>
      <c r="D89" s="310">
        <v>0.32558</v>
      </c>
      <c r="E89" s="165">
        <v>0.065</v>
      </c>
      <c r="F89" s="240"/>
      <c r="G89" s="59"/>
      <c r="H89" s="275"/>
      <c r="I89" s="38">
        <f>15.78*1.23</f>
        <v>19.409399999999998</v>
      </c>
      <c r="J89" s="170"/>
      <c r="K89" s="59"/>
      <c r="L89" s="166">
        <f t="shared" si="2"/>
        <v>0</v>
      </c>
      <c r="M89" s="59"/>
      <c r="N89" s="166">
        <f t="shared" si="3"/>
        <v>0</v>
      </c>
      <c r="O89" s="160"/>
      <c r="P89" s="128">
        <v>0.69142</v>
      </c>
      <c r="Q89" s="128">
        <v>0.69899</v>
      </c>
      <c r="R89" s="255">
        <f t="shared" si="4"/>
        <v>1.1354999999999948</v>
      </c>
      <c r="S89" s="300"/>
      <c r="T89" s="300"/>
      <c r="U89" s="38"/>
      <c r="V89" s="170"/>
      <c r="W89" s="41"/>
      <c r="X89" s="132">
        <v>6</v>
      </c>
      <c r="Y89" s="72"/>
      <c r="Z89" s="43"/>
      <c r="AA89" s="185"/>
    </row>
    <row r="90" spans="1:27" ht="12.75" hidden="1">
      <c r="A90" s="35"/>
      <c r="B90" s="106" t="s">
        <v>193</v>
      </c>
      <c r="C90" s="19"/>
      <c r="D90" s="176"/>
      <c r="E90" s="143"/>
      <c r="F90" s="92"/>
      <c r="G90" s="250"/>
      <c r="H90" s="249"/>
      <c r="I90" s="33"/>
      <c r="J90" s="167"/>
      <c r="K90" s="66"/>
      <c r="L90" s="169"/>
      <c r="M90" s="66"/>
      <c r="N90" s="169"/>
      <c r="O90" s="127"/>
      <c r="P90" s="257"/>
      <c r="Q90" s="257"/>
      <c r="R90" s="158">
        <v>-0.33</v>
      </c>
      <c r="S90" s="159"/>
      <c r="T90" s="141"/>
      <c r="U90" s="124"/>
      <c r="V90" s="272"/>
      <c r="W90" s="246"/>
      <c r="X90" s="63"/>
      <c r="Y90" s="63"/>
      <c r="Z90" s="152"/>
      <c r="AA90" s="181"/>
    </row>
    <row r="91" spans="1:27" ht="12.75" hidden="1">
      <c r="A91" s="35"/>
      <c r="B91" s="307" t="s">
        <v>194</v>
      </c>
      <c r="C91" s="68" t="s">
        <v>59</v>
      </c>
      <c r="D91" s="310"/>
      <c r="E91" s="165">
        <v>-0.099</v>
      </c>
      <c r="F91" s="240"/>
      <c r="G91" s="59"/>
      <c r="H91" s="275"/>
      <c r="I91" s="38"/>
      <c r="J91" s="170"/>
      <c r="K91" s="59"/>
      <c r="L91" s="166"/>
      <c r="M91" s="59"/>
      <c r="N91" s="166"/>
      <c r="O91" s="160"/>
      <c r="P91" s="128"/>
      <c r="Q91" s="128"/>
      <c r="R91" s="255">
        <v>-0.217</v>
      </c>
      <c r="S91" s="300"/>
      <c r="T91" s="300"/>
      <c r="U91" s="38"/>
      <c r="V91" s="170"/>
      <c r="W91" s="41"/>
      <c r="X91" s="132"/>
      <c r="Y91" s="72"/>
      <c r="Z91" s="43"/>
      <c r="AA91" s="187"/>
    </row>
    <row r="92" spans="1:27" ht="12.75" hidden="1">
      <c r="A92" s="35"/>
      <c r="B92" s="106" t="s">
        <v>138</v>
      </c>
      <c r="C92" s="19"/>
      <c r="D92" s="176">
        <v>0.12594</v>
      </c>
      <c r="E92" s="143">
        <v>0.032</v>
      </c>
      <c r="F92" s="92"/>
      <c r="G92" s="250"/>
      <c r="H92" s="249"/>
      <c r="I92" s="33">
        <f>0.85*1.23</f>
        <v>1.0454999999999999</v>
      </c>
      <c r="J92" s="167"/>
      <c r="K92" s="66"/>
      <c r="L92" s="169">
        <f t="shared" si="2"/>
        <v>0</v>
      </c>
      <c r="M92" s="66"/>
      <c r="N92" s="169">
        <f t="shared" si="3"/>
        <v>0</v>
      </c>
      <c r="O92" s="127"/>
      <c r="P92" s="257">
        <v>0.2394</v>
      </c>
      <c r="Q92" s="257">
        <v>0.24266</v>
      </c>
      <c r="R92" s="158">
        <f t="shared" si="4"/>
        <v>0.48899999999999777</v>
      </c>
      <c r="S92" s="159"/>
      <c r="T92" s="141"/>
      <c r="U92" s="124"/>
      <c r="V92" s="272"/>
      <c r="W92" s="246"/>
      <c r="X92" s="63"/>
      <c r="Y92" s="63"/>
      <c r="Z92" s="152"/>
      <c r="AA92" s="181"/>
    </row>
    <row r="93" spans="1:27" ht="12.75" hidden="1">
      <c r="A93" s="304"/>
      <c r="B93" s="307" t="s">
        <v>129</v>
      </c>
      <c r="C93" s="68" t="s">
        <v>68</v>
      </c>
      <c r="D93" s="310">
        <v>0.34576</v>
      </c>
      <c r="E93" s="165">
        <v>0.091</v>
      </c>
      <c r="F93" s="240"/>
      <c r="G93" s="59"/>
      <c r="H93" s="275"/>
      <c r="I93" s="38">
        <f>15.78*1.23</f>
        <v>19.409399999999998</v>
      </c>
      <c r="J93" s="170"/>
      <c r="K93" s="59"/>
      <c r="L93" s="166">
        <f t="shared" si="2"/>
        <v>0</v>
      </c>
      <c r="M93" s="59"/>
      <c r="N93" s="166">
        <f t="shared" si="3"/>
        <v>0</v>
      </c>
      <c r="O93" s="160"/>
      <c r="P93" s="128">
        <v>0.69899</v>
      </c>
      <c r="Q93" s="128">
        <v>0.7082</v>
      </c>
      <c r="R93" s="255">
        <f t="shared" si="4"/>
        <v>1.3815000000000077</v>
      </c>
      <c r="S93" s="300"/>
      <c r="T93" s="300"/>
      <c r="U93" s="38"/>
      <c r="V93" s="170"/>
      <c r="W93" s="41"/>
      <c r="X93" s="132">
        <v>6</v>
      </c>
      <c r="Y93" s="72"/>
      <c r="Z93" s="43"/>
      <c r="AA93" s="185"/>
    </row>
    <row r="94" spans="1:27" ht="12.75" hidden="1">
      <c r="A94" s="35"/>
      <c r="B94" s="106" t="s">
        <v>193</v>
      </c>
      <c r="C94" s="19"/>
      <c r="D94" s="176">
        <v>0.12594</v>
      </c>
      <c r="E94" s="143">
        <v>-0.032</v>
      </c>
      <c r="F94" s="92"/>
      <c r="G94" s="250"/>
      <c r="H94" s="249"/>
      <c r="I94" s="33"/>
      <c r="J94" s="167"/>
      <c r="K94" s="66"/>
      <c r="L94" s="169"/>
      <c r="M94" s="66"/>
      <c r="N94" s="169"/>
      <c r="O94" s="127"/>
      <c r="P94" s="257"/>
      <c r="Q94" s="257"/>
      <c r="R94" s="158">
        <v>-0.106</v>
      </c>
      <c r="S94" s="159"/>
      <c r="T94" s="141"/>
      <c r="U94" s="124"/>
      <c r="V94" s="272"/>
      <c r="W94" s="246"/>
      <c r="X94" s="63"/>
      <c r="Y94" s="63"/>
      <c r="Z94" s="152"/>
      <c r="AA94" s="181"/>
    </row>
    <row r="95" spans="1:27" ht="12.75" hidden="1">
      <c r="A95" s="35"/>
      <c r="B95" s="307" t="s">
        <v>195</v>
      </c>
      <c r="C95" s="68" t="s">
        <v>68</v>
      </c>
      <c r="D95" s="310">
        <v>0.34576</v>
      </c>
      <c r="E95" s="165">
        <v>-0.091</v>
      </c>
      <c r="F95" s="240"/>
      <c r="G95" s="59"/>
      <c r="H95" s="275"/>
      <c r="I95" s="38"/>
      <c r="J95" s="170"/>
      <c r="K95" s="59"/>
      <c r="L95" s="166"/>
      <c r="M95" s="59"/>
      <c r="N95" s="166"/>
      <c r="O95" s="160"/>
      <c r="P95" s="128"/>
      <c r="Q95" s="128"/>
      <c r="R95" s="255">
        <v>-0.303</v>
      </c>
      <c r="S95" s="300"/>
      <c r="T95" s="300"/>
      <c r="U95" s="38"/>
      <c r="V95" s="170"/>
      <c r="W95" s="41"/>
      <c r="X95" s="132"/>
      <c r="Y95" s="72"/>
      <c r="Z95" s="43"/>
      <c r="AA95" s="187"/>
    </row>
    <row r="96" spans="1:27" ht="12.75" hidden="1">
      <c r="A96" s="35"/>
      <c r="B96" s="106" t="s">
        <v>138</v>
      </c>
      <c r="C96" s="19"/>
      <c r="D96" s="176">
        <v>0.12933</v>
      </c>
      <c r="E96" s="143">
        <f>0.015*2</f>
        <v>0.03</v>
      </c>
      <c r="F96" s="92"/>
      <c r="G96" s="250"/>
      <c r="H96" s="249"/>
      <c r="I96" s="33">
        <f>0.85*1.23</f>
        <v>1.0454999999999999</v>
      </c>
      <c r="J96" s="167"/>
      <c r="K96" s="66"/>
      <c r="L96" s="169">
        <f t="shared" si="2"/>
        <v>0</v>
      </c>
      <c r="M96" s="66"/>
      <c r="N96" s="169">
        <f t="shared" si="3"/>
        <v>0</v>
      </c>
      <c r="O96" s="127"/>
      <c r="P96" s="257">
        <v>0.24266</v>
      </c>
      <c r="Q96" s="257">
        <v>0.24533</v>
      </c>
      <c r="R96" s="158">
        <f>(Q96-P96)*150+0.051</f>
        <v>0.45150000000000085</v>
      </c>
      <c r="S96" s="159"/>
      <c r="T96" s="141"/>
      <c r="U96" s="124"/>
      <c r="V96" s="272"/>
      <c r="W96" s="246"/>
      <c r="X96" s="63"/>
      <c r="Y96" s="63"/>
      <c r="Z96" s="152"/>
      <c r="AA96" s="181"/>
    </row>
    <row r="97" spans="1:27" ht="12.75" hidden="1">
      <c r="A97" s="304"/>
      <c r="B97" s="307" t="s">
        <v>130</v>
      </c>
      <c r="C97" s="68" t="s">
        <v>72</v>
      </c>
      <c r="D97" s="310">
        <v>0.35609</v>
      </c>
      <c r="E97" s="165">
        <f>0.046*2</f>
        <v>0.092</v>
      </c>
      <c r="F97" s="240"/>
      <c r="G97" s="59"/>
      <c r="H97" s="275"/>
      <c r="I97" s="38">
        <f>15.78*1.23</f>
        <v>19.409399999999998</v>
      </c>
      <c r="J97" s="170"/>
      <c r="K97" s="59"/>
      <c r="L97" s="166">
        <f t="shared" si="2"/>
        <v>0</v>
      </c>
      <c r="M97" s="59"/>
      <c r="N97" s="166">
        <f t="shared" si="3"/>
        <v>0</v>
      </c>
      <c r="O97" s="160"/>
      <c r="P97" s="128">
        <v>0.7082</v>
      </c>
      <c r="Q97" s="128">
        <v>0.71788</v>
      </c>
      <c r="R97" s="255">
        <f t="shared" si="4"/>
        <v>1.4519999999999866</v>
      </c>
      <c r="S97" s="300"/>
      <c r="T97" s="300"/>
      <c r="U97" s="38"/>
      <c r="V97" s="170"/>
      <c r="W97" s="41"/>
      <c r="X97" s="132">
        <v>6</v>
      </c>
      <c r="Y97" s="72"/>
      <c r="Z97" s="43"/>
      <c r="AA97" s="185"/>
    </row>
    <row r="98" spans="1:27" ht="12.75" hidden="1">
      <c r="A98" s="35"/>
      <c r="B98" s="106" t="s">
        <v>154</v>
      </c>
      <c r="C98" s="19"/>
      <c r="D98" s="176">
        <v>0.12933</v>
      </c>
      <c r="E98" s="143"/>
      <c r="F98" s="92"/>
      <c r="G98" s="250"/>
      <c r="H98" s="249"/>
      <c r="I98" s="33"/>
      <c r="J98" s="167"/>
      <c r="K98" s="66"/>
      <c r="L98" s="169">
        <f>E98*K98*1000</f>
        <v>0</v>
      </c>
      <c r="M98" s="66"/>
      <c r="N98" s="169">
        <f>E98*M98*1000</f>
        <v>0</v>
      </c>
      <c r="O98" s="127"/>
      <c r="P98" s="257"/>
      <c r="Q98" s="257"/>
      <c r="R98" s="158"/>
      <c r="S98" s="159"/>
      <c r="T98" s="141"/>
      <c r="U98" s="124"/>
      <c r="V98" s="272"/>
      <c r="W98" s="246"/>
      <c r="X98" s="63"/>
      <c r="Y98" s="63"/>
      <c r="Z98" s="152"/>
      <c r="AA98" s="181"/>
    </row>
    <row r="99" spans="1:27" ht="12.75" hidden="1">
      <c r="A99" s="35"/>
      <c r="B99" s="307" t="s">
        <v>130</v>
      </c>
      <c r="C99" s="68" t="s">
        <v>72</v>
      </c>
      <c r="D99" s="310">
        <v>0.35609</v>
      </c>
      <c r="E99" s="165">
        <v>0.001</v>
      </c>
      <c r="F99" s="240"/>
      <c r="G99" s="59"/>
      <c r="H99" s="275"/>
      <c r="I99" s="38"/>
      <c r="J99" s="170"/>
      <c r="K99" s="59"/>
      <c r="L99" s="166">
        <f>E99*K99*1000</f>
        <v>0</v>
      </c>
      <c r="M99" s="59"/>
      <c r="N99" s="166">
        <f>E99*M99*1000</f>
        <v>0</v>
      </c>
      <c r="O99" s="160"/>
      <c r="P99" s="128"/>
      <c r="Q99" s="128"/>
      <c r="R99" s="255"/>
      <c r="S99" s="300"/>
      <c r="T99" s="300"/>
      <c r="U99" s="38"/>
      <c r="V99" s="170"/>
      <c r="W99" s="41"/>
      <c r="X99" s="132"/>
      <c r="Y99" s="72"/>
      <c r="Z99" s="43"/>
      <c r="AA99" s="185"/>
    </row>
    <row r="100" spans="1:27" ht="12.75" hidden="1">
      <c r="A100" s="35"/>
      <c r="B100" s="106" t="s">
        <v>138</v>
      </c>
      <c r="C100" s="19"/>
      <c r="D100" s="176">
        <v>0.13134</v>
      </c>
      <c r="E100" s="143"/>
      <c r="F100" s="92"/>
      <c r="G100" s="250"/>
      <c r="H100" s="249"/>
      <c r="I100" s="33">
        <f>0.85*1.23</f>
        <v>1.0454999999999999</v>
      </c>
      <c r="J100" s="167"/>
      <c r="K100" s="247"/>
      <c r="L100" s="119"/>
      <c r="M100" s="299"/>
      <c r="N100" s="119"/>
      <c r="O100" s="127"/>
      <c r="P100" s="311"/>
      <c r="Q100" s="311"/>
      <c r="R100" s="117"/>
      <c r="S100" s="127"/>
      <c r="T100" s="159"/>
      <c r="U100" s="124"/>
      <c r="V100" s="272"/>
      <c r="W100" s="246"/>
      <c r="X100" s="63"/>
      <c r="Y100" s="63"/>
      <c r="Z100" s="152"/>
      <c r="AA100" s="181"/>
    </row>
    <row r="101" spans="1:27" ht="12.75" hidden="1">
      <c r="A101" s="304"/>
      <c r="B101" s="307" t="s">
        <v>131</v>
      </c>
      <c r="C101" s="68" t="s">
        <v>78</v>
      </c>
      <c r="D101" s="310">
        <v>0.3641</v>
      </c>
      <c r="E101" s="165"/>
      <c r="F101" s="240"/>
      <c r="G101" s="59"/>
      <c r="H101" s="275"/>
      <c r="I101" s="38">
        <f>15.78*1.23</f>
        <v>19.409399999999998</v>
      </c>
      <c r="J101" s="170"/>
      <c r="K101" s="59"/>
      <c r="L101" s="38"/>
      <c r="M101" s="59"/>
      <c r="N101" s="65"/>
      <c r="O101" s="160"/>
      <c r="P101" s="70"/>
      <c r="Q101" s="70"/>
      <c r="R101" s="248"/>
      <c r="S101" s="189"/>
      <c r="T101" s="300"/>
      <c r="U101" s="38"/>
      <c r="V101" s="170"/>
      <c r="W101" s="41"/>
      <c r="X101" s="132">
        <v>6</v>
      </c>
      <c r="Y101" s="72"/>
      <c r="Z101" s="43"/>
      <c r="AA101" s="185"/>
    </row>
    <row r="102" spans="1:27" ht="12.75" hidden="1">
      <c r="A102" s="35"/>
      <c r="B102" s="106" t="s">
        <v>138</v>
      </c>
      <c r="C102" s="19"/>
      <c r="D102" s="176">
        <v>0.13334</v>
      </c>
      <c r="E102" s="143"/>
      <c r="F102" s="92"/>
      <c r="G102" s="250"/>
      <c r="H102" s="249"/>
      <c r="I102" s="33">
        <f>0.85*1.23</f>
        <v>1.0454999999999999</v>
      </c>
      <c r="J102" s="167"/>
      <c r="K102" s="247"/>
      <c r="L102" s="119"/>
      <c r="M102" s="299"/>
      <c r="N102" s="119"/>
      <c r="O102" s="127"/>
      <c r="P102" s="117"/>
      <c r="Q102" s="117"/>
      <c r="R102" s="117"/>
      <c r="S102" s="127"/>
      <c r="T102" s="159"/>
      <c r="U102" s="124"/>
      <c r="V102" s="272"/>
      <c r="W102" s="246"/>
      <c r="X102" s="63"/>
      <c r="Y102" s="63"/>
      <c r="Z102" s="152"/>
      <c r="AA102" s="181"/>
    </row>
    <row r="103" spans="1:27" ht="12.75" hidden="1">
      <c r="A103" s="304"/>
      <c r="B103" s="307" t="s">
        <v>132</v>
      </c>
      <c r="C103" s="68" t="s">
        <v>80</v>
      </c>
      <c r="D103" s="310">
        <v>0.3708</v>
      </c>
      <c r="E103" s="165"/>
      <c r="F103" s="240"/>
      <c r="G103" s="59"/>
      <c r="H103" s="275"/>
      <c r="I103" s="38">
        <f>15.78*1.23</f>
        <v>19.409399999999998</v>
      </c>
      <c r="J103" s="170"/>
      <c r="K103" s="59"/>
      <c r="L103" s="38"/>
      <c r="M103" s="59"/>
      <c r="N103" s="65"/>
      <c r="O103" s="160"/>
      <c r="P103" s="70"/>
      <c r="Q103" s="70"/>
      <c r="R103" s="248"/>
      <c r="S103" s="189"/>
      <c r="T103" s="300"/>
      <c r="U103" s="38"/>
      <c r="V103" s="170"/>
      <c r="W103" s="41"/>
      <c r="X103" s="132">
        <v>6</v>
      </c>
      <c r="Y103" s="72"/>
      <c r="Z103" s="43"/>
      <c r="AA103" s="185"/>
    </row>
    <row r="104" spans="1:27" ht="12.75" hidden="1">
      <c r="A104" s="35"/>
      <c r="B104" s="106" t="s">
        <v>138</v>
      </c>
      <c r="C104" s="19"/>
      <c r="D104" s="176">
        <v>0.13529</v>
      </c>
      <c r="E104" s="143"/>
      <c r="F104" s="92"/>
      <c r="G104" s="250"/>
      <c r="H104" s="249"/>
      <c r="I104" s="33">
        <f>0.85*1.23</f>
        <v>1.0454999999999999</v>
      </c>
      <c r="J104" s="167"/>
      <c r="K104" s="247"/>
      <c r="L104" s="119"/>
      <c r="M104" s="299"/>
      <c r="N104" s="119"/>
      <c r="O104" s="127"/>
      <c r="P104" s="117"/>
      <c r="Q104" s="117"/>
      <c r="R104" s="117"/>
      <c r="S104" s="127"/>
      <c r="T104" s="159"/>
      <c r="U104" s="124"/>
      <c r="V104" s="272"/>
      <c r="W104" s="246"/>
      <c r="X104" s="63"/>
      <c r="Y104" s="63"/>
      <c r="Z104" s="152"/>
      <c r="AA104" s="181"/>
    </row>
    <row r="105" spans="1:27" ht="12.75" hidden="1">
      <c r="A105" s="304"/>
      <c r="B105" s="307" t="s">
        <v>133</v>
      </c>
      <c r="C105" s="68" t="s">
        <v>84</v>
      </c>
      <c r="D105" s="310">
        <v>0.37745</v>
      </c>
      <c r="E105" s="165"/>
      <c r="F105" s="240"/>
      <c r="G105" s="59"/>
      <c r="H105" s="275"/>
      <c r="I105" s="38">
        <f>15.78*1.23</f>
        <v>19.409399999999998</v>
      </c>
      <c r="J105" s="170"/>
      <c r="K105" s="59"/>
      <c r="L105" s="38"/>
      <c r="M105" s="59"/>
      <c r="N105" s="65"/>
      <c r="O105" s="160"/>
      <c r="P105" s="70"/>
      <c r="Q105" s="70"/>
      <c r="R105" s="248"/>
      <c r="S105" s="189"/>
      <c r="T105" s="300"/>
      <c r="U105" s="38"/>
      <c r="V105" s="170"/>
      <c r="W105" s="41"/>
      <c r="X105" s="132">
        <v>6</v>
      </c>
      <c r="Y105" s="72"/>
      <c r="Z105" s="43"/>
      <c r="AA105" s="185"/>
    </row>
    <row r="106" spans="1:27" ht="12.75" hidden="1">
      <c r="A106" s="35"/>
      <c r="B106" s="106" t="s">
        <v>138</v>
      </c>
      <c r="C106" s="19"/>
      <c r="D106" s="176">
        <v>0.13686</v>
      </c>
      <c r="E106" s="143"/>
      <c r="F106" s="92"/>
      <c r="G106" s="250"/>
      <c r="H106" s="249"/>
      <c r="I106" s="33">
        <f>0.85*1.23</f>
        <v>1.0454999999999999</v>
      </c>
      <c r="J106" s="167"/>
      <c r="K106" s="247"/>
      <c r="L106" s="119"/>
      <c r="M106" s="299"/>
      <c r="N106" s="119"/>
      <c r="O106" s="127"/>
      <c r="P106" s="117"/>
      <c r="Q106" s="117"/>
      <c r="R106" s="117"/>
      <c r="S106" s="127"/>
      <c r="T106" s="159"/>
      <c r="U106" s="124"/>
      <c r="V106" s="272"/>
      <c r="W106" s="246"/>
      <c r="X106" s="63"/>
      <c r="Y106" s="63"/>
      <c r="Z106" s="152"/>
      <c r="AA106" s="181"/>
    </row>
    <row r="107" spans="1:27" ht="12.75" hidden="1">
      <c r="A107" s="304"/>
      <c r="B107" s="307" t="s">
        <v>134</v>
      </c>
      <c r="C107" s="68" t="s">
        <v>88</v>
      </c>
      <c r="D107" s="310">
        <v>0.383212</v>
      </c>
      <c r="E107" s="165"/>
      <c r="F107" s="240"/>
      <c r="G107" s="59"/>
      <c r="H107" s="275"/>
      <c r="I107" s="38">
        <f>15.78*1.23</f>
        <v>19.409399999999998</v>
      </c>
      <c r="J107" s="170"/>
      <c r="K107" s="59"/>
      <c r="L107" s="38"/>
      <c r="M107" s="59"/>
      <c r="N107" s="65"/>
      <c r="O107" s="160"/>
      <c r="P107" s="70"/>
      <c r="Q107" s="70"/>
      <c r="R107" s="248"/>
      <c r="S107" s="189"/>
      <c r="T107" s="300"/>
      <c r="U107" s="38"/>
      <c r="V107" s="170"/>
      <c r="W107" s="41"/>
      <c r="X107" s="132">
        <v>6</v>
      </c>
      <c r="Y107" s="72"/>
      <c r="Z107" s="43"/>
      <c r="AA107" s="185"/>
    </row>
    <row r="108" spans="1:27" ht="12.75" hidden="1">
      <c r="A108" s="35"/>
      <c r="B108" s="106" t="s">
        <v>138</v>
      </c>
      <c r="C108" s="96"/>
      <c r="D108" s="176">
        <v>0.13895</v>
      </c>
      <c r="E108" s="143"/>
      <c r="F108" s="92"/>
      <c r="G108" s="250"/>
      <c r="H108" s="249"/>
      <c r="I108" s="33">
        <f>0.85*1.23</f>
        <v>1.0454999999999999</v>
      </c>
      <c r="J108" s="167"/>
      <c r="K108" s="247"/>
      <c r="L108" s="119"/>
      <c r="M108" s="299"/>
      <c r="N108" s="119"/>
      <c r="O108" s="127"/>
      <c r="P108" s="117"/>
      <c r="Q108" s="117"/>
      <c r="R108" s="117"/>
      <c r="S108" s="127"/>
      <c r="T108" s="159"/>
      <c r="U108" s="124"/>
      <c r="V108" s="272"/>
      <c r="W108" s="246"/>
      <c r="X108" s="63"/>
      <c r="Y108" s="63"/>
      <c r="Z108" s="152"/>
      <c r="AA108" s="181"/>
    </row>
    <row r="109" spans="1:27" ht="12.75" hidden="1">
      <c r="A109" s="304"/>
      <c r="B109" s="307" t="s">
        <v>135</v>
      </c>
      <c r="C109" s="68" t="s">
        <v>94</v>
      </c>
      <c r="D109" s="310">
        <v>0.3893</v>
      </c>
      <c r="E109" s="165"/>
      <c r="F109" s="240"/>
      <c r="G109" s="59"/>
      <c r="H109" s="275"/>
      <c r="I109" s="38">
        <f>15.78*1.23</f>
        <v>19.409399999999998</v>
      </c>
      <c r="J109" s="170"/>
      <c r="K109" s="59"/>
      <c r="L109" s="38"/>
      <c r="M109" s="59"/>
      <c r="N109" s="65"/>
      <c r="O109" s="160"/>
      <c r="P109" s="70"/>
      <c r="Q109" s="70"/>
      <c r="R109" s="248"/>
      <c r="S109" s="189"/>
      <c r="T109" s="300"/>
      <c r="U109" s="38"/>
      <c r="V109" s="170"/>
      <c r="W109" s="41"/>
      <c r="X109" s="132">
        <v>6</v>
      </c>
      <c r="Y109" s="72"/>
      <c r="Z109" s="43"/>
      <c r="AA109" s="185"/>
    </row>
    <row r="110" spans="1:27" ht="12.75" hidden="1">
      <c r="A110" s="35"/>
      <c r="B110" s="106" t="s">
        <v>190</v>
      </c>
      <c r="C110" s="96"/>
      <c r="D110" s="176"/>
      <c r="E110" s="143"/>
      <c r="F110" s="92"/>
      <c r="G110" s="250"/>
      <c r="H110" s="249"/>
      <c r="I110" s="33"/>
      <c r="J110" s="167"/>
      <c r="K110" s="247"/>
      <c r="L110" s="119"/>
      <c r="M110" s="299"/>
      <c r="N110" s="119"/>
      <c r="O110" s="127"/>
      <c r="P110" s="117"/>
      <c r="Q110" s="117"/>
      <c r="R110" s="117"/>
      <c r="S110" s="127"/>
      <c r="T110" s="159"/>
      <c r="U110" s="124"/>
      <c r="V110" s="272"/>
      <c r="W110" s="246"/>
      <c r="X110" s="63"/>
      <c r="Y110" s="63"/>
      <c r="Z110" s="152"/>
      <c r="AA110" s="181"/>
    </row>
    <row r="111" spans="1:27" ht="12.75" hidden="1">
      <c r="A111" s="35"/>
      <c r="B111" s="307" t="s">
        <v>192</v>
      </c>
      <c r="C111" s="313" t="s">
        <v>94</v>
      </c>
      <c r="D111" s="310"/>
      <c r="E111" s="165">
        <v>-0.005</v>
      </c>
      <c r="F111" s="240"/>
      <c r="G111" s="59"/>
      <c r="H111" s="275"/>
      <c r="I111" s="38"/>
      <c r="J111" s="170"/>
      <c r="K111" s="59"/>
      <c r="L111" s="38"/>
      <c r="M111" s="59"/>
      <c r="N111" s="65"/>
      <c r="O111" s="160"/>
      <c r="P111" s="70"/>
      <c r="Q111" s="70"/>
      <c r="R111" s="248"/>
      <c r="S111" s="189"/>
      <c r="T111" s="300"/>
      <c r="U111" s="38"/>
      <c r="V111" s="170"/>
      <c r="W111" s="41"/>
      <c r="X111" s="132"/>
      <c r="Y111" s="72"/>
      <c r="Z111" s="43"/>
      <c r="AA111" s="187"/>
    </row>
    <row r="112" spans="1:27" ht="12.75" hidden="1">
      <c r="A112" s="35"/>
      <c r="B112" s="106" t="s">
        <v>138</v>
      </c>
      <c r="C112" s="19"/>
      <c r="D112" s="176">
        <v>0.14767</v>
      </c>
      <c r="E112" s="143"/>
      <c r="F112" s="92"/>
      <c r="G112" s="250"/>
      <c r="H112" s="249"/>
      <c r="I112" s="33">
        <f>0.85*1.23</f>
        <v>1.0454999999999999</v>
      </c>
      <c r="J112" s="167"/>
      <c r="K112" s="247"/>
      <c r="L112" s="119"/>
      <c r="M112" s="299"/>
      <c r="N112" s="119"/>
      <c r="O112" s="127"/>
      <c r="P112" s="117"/>
      <c r="Q112" s="117"/>
      <c r="R112" s="117"/>
      <c r="S112" s="127"/>
      <c r="T112" s="159"/>
      <c r="U112" s="124"/>
      <c r="V112" s="272"/>
      <c r="W112" s="246"/>
      <c r="X112" s="63"/>
      <c r="Y112" s="63"/>
      <c r="Z112" s="152"/>
      <c r="AA112" s="181"/>
    </row>
    <row r="113" spans="1:27" ht="12.75" hidden="1">
      <c r="A113" s="304"/>
      <c r="B113" s="307" t="s">
        <v>136</v>
      </c>
      <c r="C113" s="68" t="s">
        <v>98</v>
      </c>
      <c r="D113" s="310">
        <v>0.41351</v>
      </c>
      <c r="E113" s="165"/>
      <c r="F113" s="240"/>
      <c r="G113" s="59"/>
      <c r="H113" s="275"/>
      <c r="I113" s="38">
        <f>15.78*1.23</f>
        <v>19.409399999999998</v>
      </c>
      <c r="J113" s="170"/>
      <c r="K113" s="59"/>
      <c r="L113" s="38"/>
      <c r="M113" s="59"/>
      <c r="N113" s="65"/>
      <c r="O113" s="160"/>
      <c r="P113" s="70"/>
      <c r="Q113" s="70"/>
      <c r="R113" s="248"/>
      <c r="S113" s="189"/>
      <c r="T113" s="300"/>
      <c r="U113" s="38"/>
      <c r="V113" s="170"/>
      <c r="W113" s="41"/>
      <c r="X113" s="132">
        <v>6</v>
      </c>
      <c r="Y113" s="72"/>
      <c r="Z113" s="43"/>
      <c r="AA113" s="185"/>
    </row>
    <row r="114" spans="1:27" ht="12.75" hidden="1">
      <c r="A114" s="35"/>
      <c r="B114" s="106" t="s">
        <v>138</v>
      </c>
      <c r="C114" s="19"/>
      <c r="D114" s="176">
        <v>0.15955</v>
      </c>
      <c r="E114" s="143"/>
      <c r="F114" s="92"/>
      <c r="G114" s="250"/>
      <c r="H114" s="249"/>
      <c r="I114" s="33">
        <f>0.85*1.23</f>
        <v>1.0454999999999999</v>
      </c>
      <c r="J114" s="167"/>
      <c r="K114" s="247"/>
      <c r="L114" s="119"/>
      <c r="M114" s="299"/>
      <c r="N114" s="119"/>
      <c r="O114" s="127"/>
      <c r="P114" s="117"/>
      <c r="Q114" s="117"/>
      <c r="R114" s="117"/>
      <c r="S114" s="127"/>
      <c r="T114" s="159"/>
      <c r="U114" s="124"/>
      <c r="V114" s="272"/>
      <c r="W114" s="246"/>
      <c r="X114" s="63"/>
      <c r="Y114" s="63"/>
      <c r="Z114" s="152"/>
      <c r="AA114" s="181"/>
    </row>
    <row r="115" spans="1:27" ht="12.75" hidden="1">
      <c r="A115" s="304"/>
      <c r="B115" s="307" t="s">
        <v>137</v>
      </c>
      <c r="C115" s="68" t="s">
        <v>102</v>
      </c>
      <c r="D115" s="310">
        <v>0.43631</v>
      </c>
      <c r="E115" s="165"/>
      <c r="F115" s="240"/>
      <c r="G115" s="59"/>
      <c r="H115" s="275"/>
      <c r="I115" s="38">
        <f>15.78*1.23</f>
        <v>19.409399999999998</v>
      </c>
      <c r="J115" s="170"/>
      <c r="K115" s="59"/>
      <c r="L115" s="38"/>
      <c r="M115" s="59"/>
      <c r="N115" s="65"/>
      <c r="O115" s="160"/>
      <c r="P115" s="70"/>
      <c r="Q115" s="70"/>
      <c r="R115" s="248"/>
      <c r="S115" s="189"/>
      <c r="T115" s="300"/>
      <c r="U115" s="38"/>
      <c r="V115" s="170"/>
      <c r="W115" s="41"/>
      <c r="X115" s="132">
        <v>6</v>
      </c>
      <c r="Y115" s="72"/>
      <c r="Z115" s="43"/>
      <c r="AA115" s="185"/>
    </row>
    <row r="116" spans="1:27" ht="12.75" hidden="1">
      <c r="A116" s="35"/>
      <c r="B116" s="106" t="s">
        <v>138</v>
      </c>
      <c r="C116" s="268"/>
      <c r="D116" s="176">
        <v>0.17184</v>
      </c>
      <c r="E116" s="263"/>
      <c r="F116" s="287"/>
      <c r="G116" s="266"/>
      <c r="H116" s="267"/>
      <c r="I116" s="33">
        <f>0.85*1.23</f>
        <v>1.0454999999999999</v>
      </c>
      <c r="J116" s="167"/>
      <c r="K116" s="264"/>
      <c r="L116" s="33"/>
      <c r="M116" s="264"/>
      <c r="N116" s="33"/>
      <c r="O116" s="179"/>
      <c r="P116" s="180"/>
      <c r="Q116" s="180"/>
      <c r="R116" s="117"/>
      <c r="S116" s="159"/>
      <c r="T116" s="238"/>
      <c r="U116" s="121"/>
      <c r="V116" s="131"/>
      <c r="W116" s="122"/>
      <c r="X116" s="63"/>
      <c r="Y116" s="63"/>
      <c r="Z116" s="54"/>
      <c r="AA116" s="188"/>
    </row>
    <row r="117" spans="1:27" ht="12.75" hidden="1">
      <c r="A117" s="304"/>
      <c r="B117" s="307" t="s">
        <v>139</v>
      </c>
      <c r="C117" s="37" t="s">
        <v>110</v>
      </c>
      <c r="D117" s="58">
        <v>0.45996</v>
      </c>
      <c r="E117" s="89"/>
      <c r="F117" s="308"/>
      <c r="G117" s="288"/>
      <c r="H117" s="289"/>
      <c r="I117" s="38">
        <f>15.78*1.23</f>
        <v>19.409399999999998</v>
      </c>
      <c r="J117" s="170"/>
      <c r="K117" s="309"/>
      <c r="L117" s="217"/>
      <c r="M117" s="309"/>
      <c r="N117" s="217"/>
      <c r="O117" s="296"/>
      <c r="P117" s="191"/>
      <c r="Q117" s="191"/>
      <c r="R117" s="207"/>
      <c r="S117" s="254"/>
      <c r="T117" s="280"/>
      <c r="U117" s="71"/>
      <c r="V117" s="170"/>
      <c r="W117" s="41"/>
      <c r="X117" s="132">
        <v>6</v>
      </c>
      <c r="Y117" s="72"/>
      <c r="Z117" s="40"/>
      <c r="AA117" s="185"/>
    </row>
    <row r="118" spans="1:27" ht="12.75" hidden="1">
      <c r="A118" s="35"/>
      <c r="B118" s="106" t="s">
        <v>163</v>
      </c>
      <c r="C118" s="19"/>
      <c r="D118" s="176"/>
      <c r="E118" s="143">
        <v>-0.103</v>
      </c>
      <c r="F118" s="92"/>
      <c r="G118" s="250"/>
      <c r="H118" s="249"/>
      <c r="I118" s="33"/>
      <c r="J118" s="167"/>
      <c r="K118" s="247"/>
      <c r="L118" s="119"/>
      <c r="M118" s="299"/>
      <c r="N118" s="119"/>
      <c r="O118" s="127"/>
      <c r="P118" s="117"/>
      <c r="Q118" s="117"/>
      <c r="R118" s="117"/>
      <c r="S118" s="159"/>
      <c r="T118" s="159"/>
      <c r="U118" s="124"/>
      <c r="V118" s="272"/>
      <c r="W118" s="246"/>
      <c r="X118" s="63"/>
      <c r="Y118" s="63"/>
      <c r="Z118" s="152"/>
      <c r="AA118" s="181"/>
    </row>
    <row r="119" spans="1:27" ht="12.75" hidden="1">
      <c r="A119" s="35"/>
      <c r="B119" s="307" t="s">
        <v>164</v>
      </c>
      <c r="C119" s="68" t="s">
        <v>55</v>
      </c>
      <c r="D119" s="310"/>
      <c r="E119" s="165"/>
      <c r="F119" s="240"/>
      <c r="G119" s="59"/>
      <c r="H119" s="275"/>
      <c r="I119" s="38"/>
      <c r="J119" s="170"/>
      <c r="K119" s="59"/>
      <c r="L119" s="38"/>
      <c r="M119" s="59"/>
      <c r="N119" s="65"/>
      <c r="O119" s="160"/>
      <c r="P119" s="70"/>
      <c r="Q119" s="70"/>
      <c r="R119" s="248"/>
      <c r="S119" s="300"/>
      <c r="T119" s="300"/>
      <c r="U119" s="38"/>
      <c r="V119" s="170"/>
      <c r="W119" s="41"/>
      <c r="X119" s="132"/>
      <c r="Y119" s="72"/>
      <c r="Z119" s="43"/>
      <c r="AA119" s="185"/>
    </row>
    <row r="120" spans="1:27" ht="12.75" hidden="1">
      <c r="A120" s="78"/>
      <c r="B120" s="142"/>
      <c r="C120" s="268"/>
      <c r="D120" s="33"/>
      <c r="E120" s="33"/>
      <c r="F120" s="265"/>
      <c r="G120" s="33"/>
      <c r="H120" s="265"/>
      <c r="I120" s="33"/>
      <c r="J120" s="94"/>
      <c r="K120" s="77"/>
      <c r="L120" s="77"/>
      <c r="M120" s="77"/>
      <c r="N120" s="77"/>
      <c r="O120" s="77"/>
      <c r="P120" s="257">
        <v>0.26692</v>
      </c>
      <c r="Q120" s="257">
        <v>0.27129</v>
      </c>
      <c r="R120" s="117">
        <f>(Q120-P120)*150-0.184</f>
        <v>0.47149999999999775</v>
      </c>
      <c r="S120" s="127"/>
      <c r="T120" s="141"/>
      <c r="U120" s="44"/>
      <c r="V120" s="94"/>
      <c r="W120" s="104"/>
      <c r="X120" s="45"/>
      <c r="Y120" s="81"/>
      <c r="Z120" s="84"/>
      <c r="AA120" s="186"/>
    </row>
    <row r="121" spans="1:27" ht="12.75" hidden="1">
      <c r="A121" s="78"/>
      <c r="B121" s="102"/>
      <c r="C121" s="33"/>
      <c r="D121" s="33"/>
      <c r="E121" s="33"/>
      <c r="F121" s="265"/>
      <c r="G121" s="265"/>
      <c r="H121" s="265"/>
      <c r="I121" s="33"/>
      <c r="J121" s="94"/>
      <c r="K121" s="77"/>
      <c r="L121" s="77"/>
      <c r="M121" s="77"/>
      <c r="N121" s="77"/>
      <c r="O121" s="77"/>
      <c r="P121" s="157">
        <v>0.79687</v>
      </c>
      <c r="Q121" s="157">
        <v>0.80545</v>
      </c>
      <c r="R121" s="117">
        <f>(Q121-P121)*150-0.355</f>
        <v>0.9320000000000048</v>
      </c>
      <c r="S121" s="127"/>
      <c r="T121" s="141"/>
      <c r="U121" s="44"/>
      <c r="V121" s="94"/>
      <c r="W121" s="104"/>
      <c r="X121" s="45"/>
      <c r="Y121" s="81"/>
      <c r="Z121" s="84"/>
      <c r="AA121" s="186"/>
    </row>
    <row r="122" spans="1:27" ht="12.75" hidden="1">
      <c r="A122" s="442">
        <v>1</v>
      </c>
      <c r="B122" s="73" t="s">
        <v>109</v>
      </c>
      <c r="C122" s="268"/>
      <c r="D122" s="176">
        <v>0.17184</v>
      </c>
      <c r="E122" s="118">
        <v>1.788</v>
      </c>
      <c r="F122" s="278">
        <v>1.788</v>
      </c>
      <c r="G122" s="216"/>
      <c r="H122" s="276"/>
      <c r="I122" s="33">
        <f>0.85*1.23</f>
        <v>1.0454999999999999</v>
      </c>
      <c r="J122" s="94"/>
      <c r="K122" s="66"/>
      <c r="L122" s="34">
        <f>E122*K122*1000</f>
        <v>0</v>
      </c>
      <c r="M122" s="66"/>
      <c r="N122" s="34">
        <f>E122*M122*1000</f>
        <v>0</v>
      </c>
      <c r="O122" s="75">
        <f>16*1.23</f>
        <v>19.68</v>
      </c>
      <c r="P122" s="136">
        <v>0.00192</v>
      </c>
      <c r="Q122" s="136">
        <v>0.00196</v>
      </c>
      <c r="R122" s="117">
        <f>(Q122-P122)*150</f>
        <v>0.005999999999999983</v>
      </c>
      <c r="S122" s="159"/>
      <c r="T122" s="238"/>
      <c r="U122" s="121"/>
      <c r="V122" s="131"/>
      <c r="W122" s="122"/>
      <c r="X122" s="63"/>
      <c r="Y122" s="63"/>
      <c r="Z122" s="54"/>
      <c r="AA122" s="186"/>
    </row>
    <row r="123" spans="1:27" ht="12.75" hidden="1">
      <c r="A123" s="443">
        <v>19</v>
      </c>
      <c r="B123" s="259" t="s">
        <v>118</v>
      </c>
      <c r="C123" s="37" t="s">
        <v>110</v>
      </c>
      <c r="D123" s="58">
        <v>0.45996</v>
      </c>
      <c r="E123" s="87">
        <v>3.441</v>
      </c>
      <c r="F123" s="274">
        <v>3.441</v>
      </c>
      <c r="G123" s="125"/>
      <c r="H123" s="277"/>
      <c r="I123" s="38">
        <f>15.78*1.23</f>
        <v>19.409399999999998</v>
      </c>
      <c r="J123" s="86"/>
      <c r="K123" s="59"/>
      <c r="L123" s="65">
        <f>E123*K123*1000</f>
        <v>0</v>
      </c>
      <c r="M123" s="59"/>
      <c r="N123" s="65">
        <f>E123*M123*1000</f>
        <v>0</v>
      </c>
      <c r="O123" s="146">
        <f>(E122+E123)*2.51*1.23</f>
        <v>16.1434917</v>
      </c>
      <c r="P123" s="57">
        <v>0.0016</v>
      </c>
      <c r="Q123" s="57">
        <v>0.00164</v>
      </c>
      <c r="R123" s="207">
        <f>(Q123-P123)*150</f>
        <v>0.005999999999999983</v>
      </c>
      <c r="S123" s="254"/>
      <c r="T123" s="280"/>
      <c r="U123" s="71"/>
      <c r="V123" s="86"/>
      <c r="W123" s="41"/>
      <c r="X123" s="43">
        <v>20</v>
      </c>
      <c r="Y123" s="72">
        <v>16</v>
      </c>
      <c r="Z123" s="40"/>
      <c r="AA123" s="185"/>
    </row>
    <row r="124" spans="1:27" ht="12.75" hidden="1">
      <c r="A124" s="78"/>
      <c r="B124" s="142"/>
      <c r="C124" s="268"/>
      <c r="D124" s="33"/>
      <c r="E124" s="33"/>
      <c r="F124" s="265"/>
      <c r="G124" s="33"/>
      <c r="H124" s="265"/>
      <c r="I124" s="33"/>
      <c r="J124" s="94"/>
      <c r="K124" s="77"/>
      <c r="L124" s="77"/>
      <c r="M124" s="77"/>
      <c r="N124" s="77"/>
      <c r="O124" s="77"/>
      <c r="P124" s="257">
        <v>0.27129</v>
      </c>
      <c r="Q124" s="257">
        <v>0.27659</v>
      </c>
      <c r="R124" s="117">
        <f>(Q124-P124)*150-0.253</f>
        <v>0.542000000000004</v>
      </c>
      <c r="S124" s="127"/>
      <c r="T124" s="141"/>
      <c r="U124" s="88"/>
      <c r="V124" s="94"/>
      <c r="W124" s="104"/>
      <c r="X124" s="45"/>
      <c r="Y124" s="81"/>
      <c r="Z124" s="84"/>
      <c r="AA124" s="186"/>
    </row>
    <row r="125" spans="1:27" ht="12.75" hidden="1">
      <c r="A125" s="78"/>
      <c r="B125" s="102"/>
      <c r="C125" s="33"/>
      <c r="D125" s="33"/>
      <c r="E125" s="33"/>
      <c r="F125" s="265"/>
      <c r="G125" s="265"/>
      <c r="H125" s="265"/>
      <c r="I125" s="33"/>
      <c r="J125" s="94"/>
      <c r="K125" s="77"/>
      <c r="L125" s="77"/>
      <c r="M125" s="77"/>
      <c r="N125" s="77"/>
      <c r="O125" s="77"/>
      <c r="P125" s="157">
        <v>0.80545</v>
      </c>
      <c r="Q125" s="157">
        <v>0.81576</v>
      </c>
      <c r="R125" s="117">
        <f>(Q125-P125)*150-0.49</f>
        <v>1.0565000000000062</v>
      </c>
      <c r="S125" s="127"/>
      <c r="T125" s="141"/>
      <c r="U125" s="88"/>
      <c r="V125" s="94"/>
      <c r="W125" s="104"/>
      <c r="X125" s="45"/>
      <c r="Y125" s="81"/>
      <c r="Z125" s="84"/>
      <c r="AA125" s="186"/>
    </row>
    <row r="126" spans="1:27" ht="12.75" hidden="1">
      <c r="A126" s="442">
        <v>2</v>
      </c>
      <c r="B126" s="73" t="s">
        <v>112</v>
      </c>
      <c r="C126" s="268"/>
      <c r="D126" s="176">
        <v>0.18873</v>
      </c>
      <c r="E126" s="118">
        <f>(D126-D122)*X$9*0.97</f>
        <v>2.457495000000002</v>
      </c>
      <c r="F126" s="278">
        <v>2.457</v>
      </c>
      <c r="G126" s="216"/>
      <c r="H126" s="276"/>
      <c r="I126" s="33">
        <f>1.65*1.23</f>
        <v>2.0295</v>
      </c>
      <c r="J126" s="94"/>
      <c r="K126" s="66"/>
      <c r="L126" s="34">
        <f>E126*K126*1000</f>
        <v>0</v>
      </c>
      <c r="M126" s="66"/>
      <c r="N126" s="34">
        <f>E126*M126*1000</f>
        <v>0</v>
      </c>
      <c r="O126" s="75">
        <f>15*1.23</f>
        <v>18.45</v>
      </c>
      <c r="P126" s="136">
        <v>0.00196</v>
      </c>
      <c r="Q126" s="136">
        <v>0.00291</v>
      </c>
      <c r="R126" s="117">
        <f>(Q126-P126)*150</f>
        <v>0.1425</v>
      </c>
      <c r="S126" s="159"/>
      <c r="T126" s="238"/>
      <c r="U126" s="121"/>
      <c r="V126" s="131"/>
      <c r="W126" s="122"/>
      <c r="X126" s="63"/>
      <c r="Y126" s="63"/>
      <c r="Z126" s="54"/>
      <c r="AA126" s="186"/>
    </row>
    <row r="127" spans="1:27" ht="12.75" hidden="1">
      <c r="A127" s="443">
        <v>19</v>
      </c>
      <c r="B127" s="259" t="s">
        <v>113</v>
      </c>
      <c r="C127" s="37" t="s">
        <v>114</v>
      </c>
      <c r="D127" s="58">
        <v>0.49261</v>
      </c>
      <c r="E127" s="87">
        <f>(D127-D123)*X$9*0.97</f>
        <v>4.750575000000001</v>
      </c>
      <c r="F127" s="274">
        <v>4.751</v>
      </c>
      <c r="G127" s="125"/>
      <c r="H127" s="277"/>
      <c r="I127" s="38">
        <f>15.78*1.23</f>
        <v>19.409399999999998</v>
      </c>
      <c r="J127" s="86"/>
      <c r="K127" s="59"/>
      <c r="L127" s="65">
        <f>E127*K127*1000</f>
        <v>0</v>
      </c>
      <c r="M127" s="59"/>
      <c r="N127" s="65">
        <f>E127*M127*1000</f>
        <v>0</v>
      </c>
      <c r="O127" s="146">
        <f>(E126+E127)*3.7*1.23</f>
        <v>32.803926570000016</v>
      </c>
      <c r="P127" s="57">
        <v>0.00164</v>
      </c>
      <c r="Q127" s="57">
        <v>0.00333</v>
      </c>
      <c r="R127" s="207">
        <f>(Q127-P127)*150</f>
        <v>0.2535</v>
      </c>
      <c r="S127" s="254"/>
      <c r="T127" s="280"/>
      <c r="U127" s="71"/>
      <c r="V127" s="86"/>
      <c r="W127" s="41"/>
      <c r="X127" s="43">
        <v>20</v>
      </c>
      <c r="Y127" s="72">
        <v>19</v>
      </c>
      <c r="Z127" s="40"/>
      <c r="AA127" s="185"/>
    </row>
    <row r="128" spans="1:27" ht="12.75" hidden="1">
      <c r="A128" s="442"/>
      <c r="B128" s="73" t="s">
        <v>122</v>
      </c>
      <c r="C128" s="268"/>
      <c r="D128" s="176">
        <v>0.18873</v>
      </c>
      <c r="E128" s="118"/>
      <c r="F128" s="278"/>
      <c r="G128" s="216"/>
      <c r="H128" s="276"/>
      <c r="I128" s="33">
        <f>1.65*1.23</f>
        <v>2.0295</v>
      </c>
      <c r="J128" s="94"/>
      <c r="K128" s="66"/>
      <c r="L128" s="34"/>
      <c r="M128" s="66"/>
      <c r="N128" s="34"/>
      <c r="O128" s="75"/>
      <c r="P128" s="136"/>
      <c r="Q128" s="136"/>
      <c r="R128" s="117"/>
      <c r="S128" s="159"/>
      <c r="T128" s="238"/>
      <c r="U128" s="121"/>
      <c r="V128" s="131"/>
      <c r="W128" s="122"/>
      <c r="X128" s="63"/>
      <c r="Y128" s="63"/>
      <c r="Z128" s="54"/>
      <c r="AA128" s="188"/>
    </row>
    <row r="129" spans="1:27" ht="12.75" hidden="1">
      <c r="A129" s="443"/>
      <c r="B129" s="270" t="s">
        <v>124</v>
      </c>
      <c r="C129" s="37" t="s">
        <v>114</v>
      </c>
      <c r="D129" s="58">
        <v>0.49261</v>
      </c>
      <c r="E129" s="87"/>
      <c r="F129" s="274"/>
      <c r="G129" s="125"/>
      <c r="H129" s="277"/>
      <c r="I129" s="38">
        <f>15.78*1.23</f>
        <v>19.409399999999998</v>
      </c>
      <c r="J129" s="170"/>
      <c r="K129" s="59"/>
      <c r="L129" s="65"/>
      <c r="M129" s="59"/>
      <c r="N129" s="65"/>
      <c r="O129" s="146"/>
      <c r="P129" s="57"/>
      <c r="Q129" s="57"/>
      <c r="R129" s="207"/>
      <c r="S129" s="254"/>
      <c r="T129" s="280"/>
      <c r="U129" s="71"/>
      <c r="V129" s="170"/>
      <c r="W129" s="41"/>
      <c r="X129" s="147">
        <v>6</v>
      </c>
      <c r="Y129" s="72"/>
      <c r="Z129" s="40"/>
      <c r="AA129" s="185"/>
    </row>
    <row r="130" spans="1:27" ht="12.75" hidden="1">
      <c r="A130" s="78"/>
      <c r="B130" s="142"/>
      <c r="C130" s="268"/>
      <c r="D130" s="33"/>
      <c r="E130" s="33"/>
      <c r="F130" s="265"/>
      <c r="G130" s="33"/>
      <c r="H130" s="265"/>
      <c r="I130" s="33"/>
      <c r="J130" s="94"/>
      <c r="K130" s="77"/>
      <c r="L130" s="77"/>
      <c r="M130" s="77"/>
      <c r="N130" s="77"/>
      <c r="O130" s="77"/>
      <c r="P130" s="257">
        <v>0.27659</v>
      </c>
      <c r="Q130" s="257">
        <v>0.2824</v>
      </c>
      <c r="R130" s="117">
        <f>(Q130-P130)*150-0.286</f>
        <v>0.5854999999999972</v>
      </c>
      <c r="S130" s="127"/>
      <c r="T130" s="141"/>
      <c r="U130" s="88"/>
      <c r="V130" s="94"/>
      <c r="W130" s="104"/>
      <c r="X130" s="45"/>
      <c r="Y130" s="81"/>
      <c r="Z130" s="84"/>
      <c r="AA130" s="186"/>
    </row>
    <row r="131" spans="1:27" ht="12.75" hidden="1">
      <c r="A131" s="78"/>
      <c r="B131" s="102"/>
      <c r="C131" s="33"/>
      <c r="D131" s="33"/>
      <c r="E131" s="33"/>
      <c r="F131" s="265"/>
      <c r="G131" s="265"/>
      <c r="H131" s="265"/>
      <c r="I131" s="33"/>
      <c r="J131" s="94"/>
      <c r="K131" s="77"/>
      <c r="L131" s="77"/>
      <c r="M131" s="77"/>
      <c r="N131" s="77"/>
      <c r="O131" s="77"/>
      <c r="P131" s="157">
        <v>0.81576</v>
      </c>
      <c r="Q131" s="157">
        <v>0.82713</v>
      </c>
      <c r="R131" s="117">
        <f>(Q131-P131)*150-0.564</f>
        <v>1.1414999999999988</v>
      </c>
      <c r="S131" s="127"/>
      <c r="T131" s="141"/>
      <c r="U131" s="88"/>
      <c r="V131" s="94"/>
      <c r="W131" s="104"/>
      <c r="X131" s="45"/>
      <c r="Y131" s="81"/>
      <c r="Z131" s="84"/>
      <c r="AA131" s="186"/>
    </row>
    <row r="132" spans="1:27" ht="12.75" hidden="1">
      <c r="A132" s="442">
        <v>3</v>
      </c>
      <c r="B132" s="73" t="s">
        <v>119</v>
      </c>
      <c r="C132" s="268"/>
      <c r="D132" s="176">
        <v>0.20778</v>
      </c>
      <c r="E132" s="118">
        <f>(D132-D126)*X$9*0.97</f>
        <v>2.7717749999999977</v>
      </c>
      <c r="F132" s="278">
        <v>2.772</v>
      </c>
      <c r="G132" s="216"/>
      <c r="H132" s="276"/>
      <c r="I132" s="33">
        <f>1.65*1.23</f>
        <v>2.0295</v>
      </c>
      <c r="J132" s="94"/>
      <c r="K132" s="66"/>
      <c r="L132" s="34">
        <f>E132*K132*1000</f>
        <v>0</v>
      </c>
      <c r="M132" s="66"/>
      <c r="N132" s="34">
        <f>E132*M132*1000</f>
        <v>0</v>
      </c>
      <c r="O132" s="75">
        <f>15*1.23</f>
        <v>18.45</v>
      </c>
      <c r="P132" s="136">
        <v>0.00291</v>
      </c>
      <c r="Q132" s="136">
        <v>0.00462</v>
      </c>
      <c r="R132" s="117">
        <f>(Q132-P132)*150</f>
        <v>0.2565</v>
      </c>
      <c r="S132" s="159"/>
      <c r="T132" s="238"/>
      <c r="U132" s="121"/>
      <c r="V132" s="131"/>
      <c r="W132" s="122"/>
      <c r="X132" s="63"/>
      <c r="Y132" s="63"/>
      <c r="Z132" s="54"/>
      <c r="AA132" s="186"/>
    </row>
    <row r="133" spans="1:27" ht="12.75" hidden="1">
      <c r="A133" s="443">
        <v>19</v>
      </c>
      <c r="B133" s="259" t="s">
        <v>120</v>
      </c>
      <c r="C133" s="37" t="s">
        <v>121</v>
      </c>
      <c r="D133" s="58">
        <v>0.53023</v>
      </c>
      <c r="E133" s="87">
        <f>(D133-D127)*X$9*0.97</f>
        <v>5.473709999999998</v>
      </c>
      <c r="F133" s="274">
        <v>5.474</v>
      </c>
      <c r="G133" s="125"/>
      <c r="H133" s="277"/>
      <c r="I133" s="38">
        <f>15.78*1.23</f>
        <v>19.409399999999998</v>
      </c>
      <c r="J133" s="86"/>
      <c r="K133" s="59"/>
      <c r="L133" s="65">
        <f>E133*K133*1000</f>
        <v>0</v>
      </c>
      <c r="M133" s="59"/>
      <c r="N133" s="65">
        <f>E133*M133*1000</f>
        <v>0</v>
      </c>
      <c r="O133" s="146">
        <f>(E132+E133)*3.7*1.23</f>
        <v>37.52520223499998</v>
      </c>
      <c r="P133" s="57">
        <v>0.00333</v>
      </c>
      <c r="Q133" s="57">
        <v>0.00662</v>
      </c>
      <c r="R133" s="207">
        <f>(Q133-P133)*150</f>
        <v>0.4935</v>
      </c>
      <c r="S133" s="254"/>
      <c r="T133" s="280"/>
      <c r="U133" s="71"/>
      <c r="V133" s="86"/>
      <c r="W133" s="41"/>
      <c r="X133" s="43">
        <v>20</v>
      </c>
      <c r="Y133" s="72">
        <v>18</v>
      </c>
      <c r="Z133" s="40"/>
      <c r="AA133" s="185"/>
    </row>
    <row r="134" spans="1:27" ht="12.75" hidden="1">
      <c r="A134" s="442"/>
      <c r="B134" s="73" t="s">
        <v>125</v>
      </c>
      <c r="C134" s="268"/>
      <c r="D134" s="176">
        <v>0.20778</v>
      </c>
      <c r="E134" s="118"/>
      <c r="F134" s="278"/>
      <c r="G134" s="216"/>
      <c r="H134" s="276"/>
      <c r="I134" s="33">
        <f>1.65*1.23</f>
        <v>2.0295</v>
      </c>
      <c r="J134" s="94"/>
      <c r="K134" s="66"/>
      <c r="L134" s="34"/>
      <c r="M134" s="66"/>
      <c r="N134" s="34"/>
      <c r="O134" s="75"/>
      <c r="P134" s="136"/>
      <c r="Q134" s="136"/>
      <c r="R134" s="117"/>
      <c r="S134" s="159"/>
      <c r="T134" s="238"/>
      <c r="U134" s="121"/>
      <c r="V134" s="131"/>
      <c r="W134" s="122"/>
      <c r="X134" s="63"/>
      <c r="Y134" s="63"/>
      <c r="Z134" s="54"/>
      <c r="AA134" s="188"/>
    </row>
    <row r="135" spans="1:27" ht="12.75" hidden="1">
      <c r="A135" s="443"/>
      <c r="B135" s="270" t="s">
        <v>126</v>
      </c>
      <c r="C135" s="37" t="s">
        <v>121</v>
      </c>
      <c r="D135" s="58">
        <v>0.53023</v>
      </c>
      <c r="E135" s="87"/>
      <c r="F135" s="274"/>
      <c r="G135" s="125"/>
      <c r="H135" s="277"/>
      <c r="I135" s="38">
        <f>15.78*1.23</f>
        <v>19.409399999999998</v>
      </c>
      <c r="J135" s="170"/>
      <c r="K135" s="59"/>
      <c r="L135" s="65"/>
      <c r="M135" s="59"/>
      <c r="N135" s="65"/>
      <c r="O135" s="146"/>
      <c r="P135" s="57"/>
      <c r="Q135" s="57"/>
      <c r="R135" s="207"/>
      <c r="S135" s="254"/>
      <c r="T135" s="280"/>
      <c r="U135" s="71"/>
      <c r="V135" s="170"/>
      <c r="W135" s="41"/>
      <c r="X135" s="147">
        <v>6</v>
      </c>
      <c r="Y135" s="132"/>
      <c r="Z135" s="40"/>
      <c r="AA135" s="185"/>
    </row>
    <row r="136" spans="1:27" ht="12.75" hidden="1">
      <c r="A136" s="78"/>
      <c r="B136" s="142"/>
      <c r="C136" s="268"/>
      <c r="D136" s="33"/>
      <c r="E136" s="33"/>
      <c r="F136" s="265"/>
      <c r="G136" s="33"/>
      <c r="H136" s="265"/>
      <c r="I136" s="33"/>
      <c r="J136" s="94"/>
      <c r="K136" s="77"/>
      <c r="L136" s="77"/>
      <c r="M136" s="77"/>
      <c r="N136" s="77"/>
      <c r="O136" s="77"/>
      <c r="P136" s="257">
        <v>0.2824</v>
      </c>
      <c r="Q136" s="257">
        <v>0.28597</v>
      </c>
      <c r="R136" s="117">
        <f>(Q136-P136)*150-0.16</f>
        <v>0.3755000000000026</v>
      </c>
      <c r="S136" s="127"/>
      <c r="T136" s="141"/>
      <c r="U136" s="88"/>
      <c r="V136" s="94"/>
      <c r="W136" s="104"/>
      <c r="X136" s="45"/>
      <c r="Y136" s="81"/>
      <c r="Z136" s="84"/>
      <c r="AA136" s="186"/>
    </row>
    <row r="137" spans="1:27" ht="12.75" hidden="1">
      <c r="A137" s="78"/>
      <c r="B137" s="102"/>
      <c r="C137" s="33"/>
      <c r="D137" s="33"/>
      <c r="E137" s="33"/>
      <c r="F137" s="265"/>
      <c r="G137" s="265"/>
      <c r="H137" s="265"/>
      <c r="I137" s="33"/>
      <c r="J137" s="94"/>
      <c r="K137" s="77"/>
      <c r="L137" s="77"/>
      <c r="M137" s="77"/>
      <c r="N137" s="77"/>
      <c r="O137" s="77"/>
      <c r="P137" s="157">
        <v>0.82713</v>
      </c>
      <c r="Q137" s="157">
        <v>0.83771</v>
      </c>
      <c r="R137" s="117">
        <f>(Q137-P137)*150-0.459</f>
        <v>1.1279999999999883</v>
      </c>
      <c r="S137" s="127"/>
      <c r="T137" s="141"/>
      <c r="U137" s="88"/>
      <c r="V137" s="94"/>
      <c r="W137" s="104"/>
      <c r="X137" s="45"/>
      <c r="Y137" s="81"/>
      <c r="Z137" s="84"/>
      <c r="AA137" s="186"/>
    </row>
    <row r="138" spans="1:27" ht="12.75" hidden="1">
      <c r="A138" s="442">
        <v>4</v>
      </c>
      <c r="B138" s="73" t="s">
        <v>140</v>
      </c>
      <c r="C138" s="268"/>
      <c r="D138" s="176">
        <v>0.21843</v>
      </c>
      <c r="E138" s="118">
        <f>(D138-D132)*X$9*0.97</f>
        <v>1.5495750000000028</v>
      </c>
      <c r="F138" s="278">
        <v>1.55</v>
      </c>
      <c r="G138" s="216"/>
      <c r="H138" s="276"/>
      <c r="I138" s="33">
        <f>1.65*1.23</f>
        <v>2.0295</v>
      </c>
      <c r="J138" s="94"/>
      <c r="K138" s="66"/>
      <c r="L138" s="34">
        <f>E138*K138*1000</f>
        <v>0</v>
      </c>
      <c r="M138" s="66"/>
      <c r="N138" s="34">
        <f>E138*M138*1000</f>
        <v>0</v>
      </c>
      <c r="O138" s="75">
        <f>15*1.23</f>
        <v>18.45</v>
      </c>
      <c r="P138" s="136">
        <v>0.00462</v>
      </c>
      <c r="Q138" s="136">
        <v>0.00487</v>
      </c>
      <c r="R138" s="117">
        <f>(Q138-P138)*150</f>
        <v>0.03750000000000003</v>
      </c>
      <c r="S138" s="159"/>
      <c r="T138" s="238"/>
      <c r="U138" s="121"/>
      <c r="V138" s="131"/>
      <c r="W138" s="122"/>
      <c r="X138" s="63"/>
      <c r="Y138" s="63"/>
      <c r="Z138" s="54"/>
      <c r="AA138" s="186"/>
    </row>
    <row r="139" spans="1:27" ht="12.75" hidden="1">
      <c r="A139" s="443">
        <v>19</v>
      </c>
      <c r="B139" s="259" t="s">
        <v>141</v>
      </c>
      <c r="C139" s="37" t="s">
        <v>142</v>
      </c>
      <c r="D139" s="58">
        <v>0.56083</v>
      </c>
      <c r="E139" s="87">
        <f>(D139-D133)*X$9*0.97</f>
        <v>4.45230000000001</v>
      </c>
      <c r="F139" s="274">
        <v>4.452</v>
      </c>
      <c r="G139" s="125"/>
      <c r="H139" s="277"/>
      <c r="I139" s="38">
        <f>15.78*1.23</f>
        <v>19.409399999999998</v>
      </c>
      <c r="J139" s="86"/>
      <c r="K139" s="59"/>
      <c r="L139" s="65">
        <f>E139*K139*1000</f>
        <v>0</v>
      </c>
      <c r="M139" s="59"/>
      <c r="N139" s="65">
        <f>E139*M139*1000</f>
        <v>0</v>
      </c>
      <c r="O139" s="146">
        <f>(E138+E139)*3.7*1.23</f>
        <v>27.314533125000057</v>
      </c>
      <c r="P139" s="57">
        <v>0.00662</v>
      </c>
      <c r="Q139" s="57">
        <v>0.0073</v>
      </c>
      <c r="R139" s="207">
        <f>(Q139-P139)*150</f>
        <v>0.10200000000000001</v>
      </c>
      <c r="S139" s="254"/>
      <c r="T139" s="280"/>
      <c r="U139" s="71"/>
      <c r="V139" s="86"/>
      <c r="W139" s="41"/>
      <c r="X139" s="147">
        <v>26</v>
      </c>
      <c r="Y139" s="72">
        <v>16</v>
      </c>
      <c r="Z139" s="40"/>
      <c r="AA139" s="185"/>
    </row>
    <row r="140" spans="1:27" ht="12.75" hidden="1">
      <c r="A140" s="78"/>
      <c r="B140" s="142"/>
      <c r="C140" s="268"/>
      <c r="D140" s="33"/>
      <c r="E140" s="33"/>
      <c r="F140" s="265"/>
      <c r="G140" s="33"/>
      <c r="H140" s="265"/>
      <c r="I140" s="33"/>
      <c r="J140" s="94"/>
      <c r="K140" s="77"/>
      <c r="L140" s="77"/>
      <c r="M140" s="77"/>
      <c r="N140" s="77"/>
      <c r="O140" s="77"/>
      <c r="P140" s="257">
        <v>0.28597</v>
      </c>
      <c r="Q140" s="257">
        <v>0.28864</v>
      </c>
      <c r="R140" s="117">
        <f>(Q140-P140)*150-0.073</f>
        <v>0.32750000000000085</v>
      </c>
      <c r="S140" s="127"/>
      <c r="T140" s="141"/>
      <c r="U140" s="88"/>
      <c r="V140" s="94"/>
      <c r="W140" s="104"/>
      <c r="X140" s="45"/>
      <c r="Y140" s="81"/>
      <c r="Z140" s="84"/>
      <c r="AA140" s="186"/>
    </row>
    <row r="141" spans="1:27" ht="12.75" hidden="1">
      <c r="A141" s="78"/>
      <c r="B141" s="102"/>
      <c r="C141" s="33"/>
      <c r="D141" s="33"/>
      <c r="E141" s="33"/>
      <c r="F141" s="265"/>
      <c r="G141" s="265"/>
      <c r="H141" s="265"/>
      <c r="I141" s="33"/>
      <c r="J141" s="94"/>
      <c r="K141" s="77"/>
      <c r="L141" s="77"/>
      <c r="M141" s="77"/>
      <c r="N141" s="77"/>
      <c r="O141" s="77"/>
      <c r="P141" s="157">
        <v>0.83771</v>
      </c>
      <c r="Q141" s="157">
        <v>0.84782</v>
      </c>
      <c r="R141" s="117">
        <f>(Q141-P141)*150-0.263</f>
        <v>1.2535000000000096</v>
      </c>
      <c r="S141" s="127"/>
      <c r="T141" s="141"/>
      <c r="U141" s="88"/>
      <c r="V141" s="94"/>
      <c r="W141" s="104"/>
      <c r="X141" s="45"/>
      <c r="Y141" s="81"/>
      <c r="Z141" s="84"/>
      <c r="AA141" s="186"/>
    </row>
    <row r="142" spans="1:27" ht="12.75" hidden="1">
      <c r="A142" s="442">
        <v>5</v>
      </c>
      <c r="B142" s="73" t="s">
        <v>147</v>
      </c>
      <c r="C142" s="268"/>
      <c r="D142" s="176">
        <v>0.22329</v>
      </c>
      <c r="E142" s="118">
        <f>(D142-D138)*X$9*0.97</f>
        <v>0.7071299999999964</v>
      </c>
      <c r="F142" s="278">
        <v>0.707</v>
      </c>
      <c r="G142" s="216"/>
      <c r="H142" s="276"/>
      <c r="I142" s="33">
        <f>1.65*1.23</f>
        <v>2.0295</v>
      </c>
      <c r="J142" s="94"/>
      <c r="K142" s="66"/>
      <c r="L142" s="34">
        <f>E142*K142*1000</f>
        <v>0</v>
      </c>
      <c r="M142" s="66"/>
      <c r="N142" s="34">
        <f>E142*M142*1000</f>
        <v>0</v>
      </c>
      <c r="O142" s="75">
        <f>15*1.23</f>
        <v>18.45</v>
      </c>
      <c r="P142" s="136">
        <v>0.00487</v>
      </c>
      <c r="Q142" s="136">
        <v>0.00489</v>
      </c>
      <c r="R142" s="117">
        <f>(Q142-P142)*150</f>
        <v>0.003000000000000008</v>
      </c>
      <c r="S142" s="159"/>
      <c r="T142" s="238"/>
      <c r="U142" s="121"/>
      <c r="V142" s="131"/>
      <c r="W142" s="122"/>
      <c r="X142" s="63"/>
      <c r="Y142" s="63"/>
      <c r="Z142" s="54"/>
      <c r="AA142" s="186"/>
    </row>
    <row r="143" spans="1:27" ht="12.75" hidden="1">
      <c r="A143" s="443">
        <v>19</v>
      </c>
      <c r="B143" s="259" t="s">
        <v>146</v>
      </c>
      <c r="C143" s="37" t="s">
        <v>145</v>
      </c>
      <c r="D143" s="58">
        <v>0.57839</v>
      </c>
      <c r="E143" s="87">
        <f>(D143-D139)*X$9*0.97</f>
        <v>2.5549799999999863</v>
      </c>
      <c r="F143" s="274">
        <v>2.555</v>
      </c>
      <c r="G143" s="125"/>
      <c r="H143" s="277"/>
      <c r="I143" s="38">
        <f>15.78*1.23</f>
        <v>19.409399999999998</v>
      </c>
      <c r="J143" s="86"/>
      <c r="K143" s="59"/>
      <c r="L143" s="65">
        <f>E143*K143*1000</f>
        <v>0</v>
      </c>
      <c r="M143" s="59"/>
      <c r="N143" s="65">
        <f>E143*M143*1000</f>
        <v>0</v>
      </c>
      <c r="O143" s="146">
        <f>(E142+E143)*3.7*1.23</f>
        <v>14.84586260999992</v>
      </c>
      <c r="P143" s="57">
        <v>0.0073</v>
      </c>
      <c r="Q143" s="57">
        <v>0.00734</v>
      </c>
      <c r="R143" s="207">
        <f>(Q143-P143)*150</f>
        <v>0.006000000000000016</v>
      </c>
      <c r="S143" s="254"/>
      <c r="T143" s="280"/>
      <c r="U143" s="71"/>
      <c r="V143" s="86"/>
      <c r="W143" s="41"/>
      <c r="X143" s="147">
        <v>26</v>
      </c>
      <c r="Y143" s="72">
        <v>15</v>
      </c>
      <c r="Z143" s="40"/>
      <c r="AA143" s="185"/>
    </row>
    <row r="144" spans="1:27" ht="12.75" hidden="1">
      <c r="A144" s="78"/>
      <c r="B144" s="142"/>
      <c r="C144" s="268"/>
      <c r="D144" s="33"/>
      <c r="E144" s="33"/>
      <c r="F144" s="265"/>
      <c r="G144" s="33"/>
      <c r="H144" s="265"/>
      <c r="I144" s="33"/>
      <c r="J144" s="94"/>
      <c r="K144" s="77"/>
      <c r="L144" s="77"/>
      <c r="M144" s="77"/>
      <c r="N144" s="77"/>
      <c r="O144" s="77"/>
      <c r="P144" s="257">
        <v>0.28864</v>
      </c>
      <c r="Q144" s="257">
        <v>0.29109</v>
      </c>
      <c r="R144" s="117">
        <f>(Q144-P144)*150-0.041</f>
        <v>0.3265000000000012</v>
      </c>
      <c r="S144" s="127"/>
      <c r="T144" s="141"/>
      <c r="U144" s="88"/>
      <c r="V144" s="94"/>
      <c r="W144" s="104"/>
      <c r="X144" s="45"/>
      <c r="Y144" s="81"/>
      <c r="Z144" s="84"/>
      <c r="AA144" s="186"/>
    </row>
    <row r="145" spans="1:27" ht="12.75" hidden="1">
      <c r="A145" s="78"/>
      <c r="B145" s="102"/>
      <c r="C145" s="33"/>
      <c r="D145" s="33"/>
      <c r="E145" s="33"/>
      <c r="F145" s="265"/>
      <c r="G145" s="265"/>
      <c r="H145" s="265"/>
      <c r="I145" s="33"/>
      <c r="J145" s="94"/>
      <c r="K145" s="77"/>
      <c r="L145" s="77"/>
      <c r="M145" s="77"/>
      <c r="N145" s="77"/>
      <c r="O145" s="77"/>
      <c r="P145" s="157">
        <v>0.84782</v>
      </c>
      <c r="Q145" s="157">
        <v>0.85964</v>
      </c>
      <c r="R145" s="117">
        <f>(Q145-P145)*150-0.173</f>
        <v>1.5999999999999912</v>
      </c>
      <c r="S145" s="127"/>
      <c r="T145" s="141"/>
      <c r="U145" s="88"/>
      <c r="V145" s="94"/>
      <c r="W145" s="104"/>
      <c r="X145" s="45"/>
      <c r="Y145" s="81"/>
      <c r="Z145" s="84"/>
      <c r="AA145" s="186"/>
    </row>
    <row r="146" spans="1:27" ht="12.75" hidden="1">
      <c r="A146" s="442">
        <v>6</v>
      </c>
      <c r="B146" s="73" t="s">
        <v>150</v>
      </c>
      <c r="C146" s="268"/>
      <c r="D146" s="176">
        <v>0.22603</v>
      </c>
      <c r="E146" s="118">
        <f>(D146-D142)*X$9*0.97</f>
        <v>0.3986700000000029</v>
      </c>
      <c r="F146" s="278">
        <v>0.399</v>
      </c>
      <c r="G146" s="216"/>
      <c r="H146" s="276"/>
      <c r="I146" s="33">
        <f>1.65*1.23</f>
        <v>2.0295</v>
      </c>
      <c r="J146" s="94"/>
      <c r="K146" s="66"/>
      <c r="L146" s="34">
        <f>E146*K146*1000</f>
        <v>0</v>
      </c>
      <c r="M146" s="66"/>
      <c r="N146" s="34">
        <f>E146*M146*1000</f>
        <v>0</v>
      </c>
      <c r="O146" s="75">
        <f>15*1.23</f>
        <v>18.45</v>
      </c>
      <c r="P146" s="136">
        <v>0.00489</v>
      </c>
      <c r="Q146" s="136">
        <v>0.0049</v>
      </c>
      <c r="R146" s="117">
        <f>(Q146-P146)*150</f>
        <v>0.0014999999999999389</v>
      </c>
      <c r="S146" s="159"/>
      <c r="T146" s="238"/>
      <c r="U146" s="121"/>
      <c r="V146" s="131"/>
      <c r="W146" s="122"/>
      <c r="X146" s="63"/>
      <c r="Y146" s="63"/>
      <c r="Z146" s="54"/>
      <c r="AA146" s="186"/>
    </row>
    <row r="147" spans="1:27" ht="12.75" hidden="1">
      <c r="A147" s="443">
        <v>19</v>
      </c>
      <c r="B147" s="259" t="s">
        <v>151</v>
      </c>
      <c r="C147" s="37" t="s">
        <v>152</v>
      </c>
      <c r="D147" s="58">
        <v>0.58994</v>
      </c>
      <c r="E147" s="87">
        <f>(D147-D143)*X$9*0.97</f>
        <v>1.6805250000000087</v>
      </c>
      <c r="F147" s="274">
        <v>1.681</v>
      </c>
      <c r="G147" s="125"/>
      <c r="H147" s="277"/>
      <c r="I147" s="38">
        <f>15.78*1.23</f>
        <v>19.409399999999998</v>
      </c>
      <c r="J147" s="86"/>
      <c r="K147" s="59"/>
      <c r="L147" s="65">
        <f>E147*K147*1000</f>
        <v>0</v>
      </c>
      <c r="M147" s="59"/>
      <c r="N147" s="65">
        <f>E147*M147*1000</f>
        <v>0</v>
      </c>
      <c r="O147" s="146">
        <f>(E146+E147)*3.7*1.23</f>
        <v>9.462416445000052</v>
      </c>
      <c r="P147" s="57">
        <v>0.00734</v>
      </c>
      <c r="Q147" s="57">
        <v>0.00735</v>
      </c>
      <c r="R147" s="207">
        <f>(Q147-P147)*150</f>
        <v>0.0014999999999999389</v>
      </c>
      <c r="S147" s="254"/>
      <c r="T147" s="280"/>
      <c r="U147" s="71"/>
      <c r="V147" s="86"/>
      <c r="W147" s="41"/>
      <c r="X147" s="147">
        <v>26</v>
      </c>
      <c r="Y147" s="72">
        <v>9</v>
      </c>
      <c r="Z147" s="40"/>
      <c r="AA147" s="185"/>
    </row>
    <row r="148" spans="1:27" ht="12.75" hidden="1">
      <c r="A148" s="78"/>
      <c r="B148" s="142"/>
      <c r="C148" s="268"/>
      <c r="D148" s="33"/>
      <c r="E148" s="33"/>
      <c r="F148" s="265"/>
      <c r="G148" s="33"/>
      <c r="H148" s="265"/>
      <c r="I148" s="33"/>
      <c r="J148" s="94"/>
      <c r="K148" s="77"/>
      <c r="L148" s="77"/>
      <c r="M148" s="77"/>
      <c r="N148" s="77"/>
      <c r="O148" s="77"/>
      <c r="P148" s="257">
        <v>0.29109</v>
      </c>
      <c r="Q148" s="257">
        <v>0.2934</v>
      </c>
      <c r="R148" s="117">
        <f>(Q148-P148)*150-0.025</f>
        <v>0.3214999999999968</v>
      </c>
      <c r="S148" s="127"/>
      <c r="T148" s="141"/>
      <c r="U148" s="88"/>
      <c r="V148" s="94"/>
      <c r="W148" s="104"/>
      <c r="X148" s="45"/>
      <c r="Y148" s="81"/>
      <c r="Z148" s="84"/>
      <c r="AA148" s="186"/>
    </row>
    <row r="149" spans="1:27" ht="12.75" hidden="1">
      <c r="A149" s="78"/>
      <c r="B149" s="102"/>
      <c r="C149" s="33"/>
      <c r="D149" s="33"/>
      <c r="E149" s="33"/>
      <c r="F149" s="265"/>
      <c r="G149" s="265"/>
      <c r="H149" s="265"/>
      <c r="I149" s="33"/>
      <c r="J149" s="94"/>
      <c r="K149" s="77"/>
      <c r="L149" s="77"/>
      <c r="M149" s="77"/>
      <c r="N149" s="77"/>
      <c r="O149" s="77"/>
      <c r="P149" s="157">
        <v>0.85964</v>
      </c>
      <c r="Q149" s="157">
        <v>0.87094</v>
      </c>
      <c r="R149" s="117">
        <f>(Q149-P149)*150-0.104</f>
        <v>1.591000000000013</v>
      </c>
      <c r="S149" s="127"/>
      <c r="T149" s="141"/>
      <c r="U149" s="88"/>
      <c r="V149" s="94"/>
      <c r="W149" s="104"/>
      <c r="X149" s="45"/>
      <c r="Y149" s="81"/>
      <c r="Z149" s="84"/>
      <c r="AA149" s="186"/>
    </row>
    <row r="150" spans="1:27" ht="12.75" hidden="1">
      <c r="A150" s="442">
        <v>7</v>
      </c>
      <c r="B150" s="73" t="s">
        <v>157</v>
      </c>
      <c r="C150" s="268"/>
      <c r="D150" s="176">
        <v>0.2277</v>
      </c>
      <c r="E150" s="118">
        <f>(D150-D146)*X$9*0.97</f>
        <v>0.2429850000000007</v>
      </c>
      <c r="F150" s="278">
        <v>0.251</v>
      </c>
      <c r="G150" s="216"/>
      <c r="H150" s="276"/>
      <c r="I150" s="33">
        <f>1.65*1.23</f>
        <v>2.0295</v>
      </c>
      <c r="J150" s="94"/>
      <c r="K150" s="66"/>
      <c r="L150" s="34">
        <f>E150*K150*1000</f>
        <v>0</v>
      </c>
      <c r="M150" s="66"/>
      <c r="N150" s="34">
        <f>E150*M150*1000</f>
        <v>0</v>
      </c>
      <c r="O150" s="75">
        <f>15*1.23</f>
        <v>18.45</v>
      </c>
      <c r="P150" s="136">
        <v>0.0049</v>
      </c>
      <c r="Q150" s="136">
        <v>0.0049</v>
      </c>
      <c r="R150" s="117">
        <f>(Q150-P150)*150</f>
        <v>0</v>
      </c>
      <c r="S150" s="159"/>
      <c r="T150" s="238"/>
      <c r="U150" s="121"/>
      <c r="V150" s="131"/>
      <c r="W150" s="122"/>
      <c r="X150" s="63"/>
      <c r="Y150" s="63"/>
      <c r="Z150" s="54"/>
      <c r="AA150" s="186"/>
    </row>
    <row r="151" spans="1:27" ht="12.75" hidden="1">
      <c r="A151" s="443">
        <v>19</v>
      </c>
      <c r="B151" s="259" t="s">
        <v>158</v>
      </c>
      <c r="C151" s="37" t="s">
        <v>156</v>
      </c>
      <c r="D151" s="58">
        <v>0.59684</v>
      </c>
      <c r="E151" s="87">
        <f>(D151-D147)*X$9*0.97</f>
        <v>1.0039500000000026</v>
      </c>
      <c r="F151" s="274">
        <v>1.035</v>
      </c>
      <c r="G151" s="125"/>
      <c r="H151" s="277"/>
      <c r="I151" s="38">
        <f>15.78*1.23</f>
        <v>19.409399999999998</v>
      </c>
      <c r="J151" s="86"/>
      <c r="K151" s="59"/>
      <c r="L151" s="65">
        <f>E151*K151*1000</f>
        <v>0</v>
      </c>
      <c r="M151" s="59"/>
      <c r="N151" s="65">
        <f>E151*M151*1000</f>
        <v>0</v>
      </c>
      <c r="O151" s="146">
        <f>(E150+E151)*3.7*1.23</f>
        <v>5.674801185000015</v>
      </c>
      <c r="P151" s="57">
        <v>0.00735</v>
      </c>
      <c r="Q151" s="57">
        <v>0.00736</v>
      </c>
      <c r="R151" s="207">
        <f>(Q151-P151)*150</f>
        <v>0.001500000000000069</v>
      </c>
      <c r="S151" s="254"/>
      <c r="T151" s="280"/>
      <c r="U151" s="71"/>
      <c r="V151" s="86"/>
      <c r="W151" s="41"/>
      <c r="X151" s="147">
        <v>26</v>
      </c>
      <c r="Y151" s="72">
        <v>9</v>
      </c>
      <c r="Z151" s="40"/>
      <c r="AA151" s="185"/>
    </row>
    <row r="152" spans="1:27" ht="12.75" hidden="1">
      <c r="A152" s="78"/>
      <c r="B152" s="142"/>
      <c r="C152" s="268"/>
      <c r="D152" s="33"/>
      <c r="E152" s="33"/>
      <c r="F152" s="265"/>
      <c r="G152" s="33"/>
      <c r="H152" s="265"/>
      <c r="I152" s="33"/>
      <c r="J152" s="94"/>
      <c r="K152" s="77"/>
      <c r="L152" s="77"/>
      <c r="M152" s="77"/>
      <c r="N152" s="77"/>
      <c r="O152" s="77"/>
      <c r="P152" s="257">
        <v>0.2934</v>
      </c>
      <c r="Q152" s="257">
        <v>0.29582</v>
      </c>
      <c r="R152" s="117">
        <f>(Q152-P152)*150-0.026</f>
        <v>0.33700000000000496</v>
      </c>
      <c r="S152" s="127"/>
      <c r="T152" s="141"/>
      <c r="U152" s="88"/>
      <c r="V152" s="94"/>
      <c r="W152" s="104"/>
      <c r="X152" s="45"/>
      <c r="Y152" s="81"/>
      <c r="Z152" s="84"/>
      <c r="AA152" s="186"/>
    </row>
    <row r="153" spans="1:27" ht="12.75" hidden="1">
      <c r="A153" s="78"/>
      <c r="B153" s="102"/>
      <c r="C153" s="33"/>
      <c r="D153" s="33"/>
      <c r="E153" s="33"/>
      <c r="F153" s="265"/>
      <c r="G153" s="265"/>
      <c r="H153" s="265"/>
      <c r="I153" s="33"/>
      <c r="J153" s="94"/>
      <c r="K153" s="77"/>
      <c r="L153" s="77"/>
      <c r="M153" s="77"/>
      <c r="N153" s="77"/>
      <c r="O153" s="77"/>
      <c r="P153" s="157">
        <v>0.87094</v>
      </c>
      <c r="Q153" s="157">
        <v>0.88296</v>
      </c>
      <c r="R153" s="117">
        <f>(Q153-P153)*150-0.117</f>
        <v>1.685999999999988</v>
      </c>
      <c r="S153" s="127"/>
      <c r="T153" s="141"/>
      <c r="U153" s="88"/>
      <c r="V153" s="94"/>
      <c r="W153" s="104"/>
      <c r="X153" s="45"/>
      <c r="Y153" s="81"/>
      <c r="Z153" s="84"/>
      <c r="AA153" s="186"/>
    </row>
    <row r="154" spans="1:27" ht="12.75" hidden="1">
      <c r="A154" s="442">
        <v>8</v>
      </c>
      <c r="B154" s="73" t="s">
        <v>165</v>
      </c>
      <c r="C154" s="268"/>
      <c r="D154" s="176">
        <v>0.22945</v>
      </c>
      <c r="E154" s="118">
        <f>(D154-D150)*X$9*0.97</f>
        <v>0.25462499999999616</v>
      </c>
      <c r="F154" s="278">
        <v>0.263</v>
      </c>
      <c r="G154" s="216"/>
      <c r="H154" s="276"/>
      <c r="I154" s="33">
        <f>1.65*1.23</f>
        <v>2.0295</v>
      </c>
      <c r="J154" s="94"/>
      <c r="K154" s="66"/>
      <c r="L154" s="34">
        <f>E154*K154*1000</f>
        <v>0</v>
      </c>
      <c r="M154" s="66"/>
      <c r="N154" s="34">
        <f>E154*M154*1000</f>
        <v>0</v>
      </c>
      <c r="O154" s="75">
        <f>15*1.23</f>
        <v>18.45</v>
      </c>
      <c r="P154" s="136">
        <v>0.0049</v>
      </c>
      <c r="Q154" s="136">
        <v>0.00491</v>
      </c>
      <c r="R154" s="117">
        <f>(Q154-P154)*150</f>
        <v>0.001500000000000069</v>
      </c>
      <c r="S154" s="159"/>
      <c r="T154" s="238"/>
      <c r="U154" s="121"/>
      <c r="V154" s="131"/>
      <c r="W154" s="122"/>
      <c r="X154" s="63"/>
      <c r="Y154" s="63"/>
      <c r="Z154" s="54"/>
      <c r="AA154" s="186"/>
    </row>
    <row r="155" spans="1:27" ht="12.75" hidden="1">
      <c r="A155" s="443">
        <v>19</v>
      </c>
      <c r="B155" s="259" t="s">
        <v>162</v>
      </c>
      <c r="C155" s="37" t="s">
        <v>161</v>
      </c>
      <c r="D155" s="58">
        <v>0.60467</v>
      </c>
      <c r="E155" s="87">
        <f>(D155-D151)*X$9*0.97</f>
        <v>1.1392650000000004</v>
      </c>
      <c r="F155" s="274">
        <v>1.175</v>
      </c>
      <c r="G155" s="125"/>
      <c r="H155" s="277"/>
      <c r="I155" s="38">
        <f>15.78*1.23</f>
        <v>19.409399999999998</v>
      </c>
      <c r="J155" s="86"/>
      <c r="K155" s="59"/>
      <c r="L155" s="65">
        <f>E155*K155*1000</f>
        <v>0</v>
      </c>
      <c r="M155" s="59"/>
      <c r="N155" s="65">
        <f>E155*M155*1000</f>
        <v>0</v>
      </c>
      <c r="O155" s="146">
        <f>(E154+E155)*3.7*1.23</f>
        <v>6.343593389999985</v>
      </c>
      <c r="P155" s="57">
        <v>0.00736</v>
      </c>
      <c r="Q155" s="57">
        <v>0.00736</v>
      </c>
      <c r="R155" s="207">
        <f>(Q155-P155)*150</f>
        <v>0</v>
      </c>
      <c r="S155" s="254"/>
      <c r="T155" s="280"/>
      <c r="U155" s="71"/>
      <c r="V155" s="86"/>
      <c r="W155" s="41"/>
      <c r="X155" s="147">
        <v>26</v>
      </c>
      <c r="Y155" s="72">
        <v>9</v>
      </c>
      <c r="Z155" s="40"/>
      <c r="AA155" s="185"/>
    </row>
    <row r="156" spans="1:27" ht="12.75" hidden="1">
      <c r="A156" s="78"/>
      <c r="B156" s="102"/>
      <c r="C156" s="33"/>
      <c r="D156" s="33"/>
      <c r="E156" s="33"/>
      <c r="F156" s="265"/>
      <c r="G156" s="265"/>
      <c r="H156" s="265"/>
      <c r="I156" s="33"/>
      <c r="J156" s="94"/>
      <c r="K156" s="77"/>
      <c r="L156" s="77"/>
      <c r="M156" s="77"/>
      <c r="N156" s="77"/>
      <c r="O156" s="77"/>
      <c r="P156" s="157"/>
      <c r="Q156" s="157"/>
      <c r="R156" s="117"/>
      <c r="S156" s="127"/>
      <c r="T156" s="141"/>
      <c r="U156" s="88"/>
      <c r="V156" s="94"/>
      <c r="W156" s="104"/>
      <c r="X156" s="45"/>
      <c r="Y156" s="81"/>
      <c r="Z156" s="84"/>
      <c r="AA156" s="186"/>
    </row>
    <row r="157" spans="1:27" ht="12.75" hidden="1">
      <c r="A157" s="442">
        <v>9</v>
      </c>
      <c r="B157" s="73" t="s">
        <v>175</v>
      </c>
      <c r="C157" s="268"/>
      <c r="D157" s="176"/>
      <c r="E157" s="118"/>
      <c r="F157" s="278">
        <v>0</v>
      </c>
      <c r="G157" s="216"/>
      <c r="H157" s="276"/>
      <c r="I157" s="33"/>
      <c r="J157" s="94"/>
      <c r="K157" s="66"/>
      <c r="L157" s="34"/>
      <c r="M157" s="66"/>
      <c r="N157" s="34"/>
      <c r="O157" s="75"/>
      <c r="P157" s="136"/>
      <c r="Q157" s="136"/>
      <c r="R157" s="117"/>
      <c r="S157" s="159"/>
      <c r="T157" s="238"/>
      <c r="U157" s="121"/>
      <c r="V157" s="131"/>
      <c r="W157" s="122"/>
      <c r="X157" s="63"/>
      <c r="Y157" s="63"/>
      <c r="Z157" s="54"/>
      <c r="AA157" s="186"/>
    </row>
    <row r="158" spans="1:27" ht="12.75" hidden="1">
      <c r="A158" s="443">
        <v>19</v>
      </c>
      <c r="B158" s="259"/>
      <c r="C158" s="214" t="s">
        <v>161</v>
      </c>
      <c r="D158" s="58"/>
      <c r="E158" s="87"/>
      <c r="F158" s="274">
        <v>-0.08299999999999999</v>
      </c>
      <c r="G158" s="125"/>
      <c r="H158" s="277"/>
      <c r="I158" s="38"/>
      <c r="J158" s="86"/>
      <c r="K158" s="59"/>
      <c r="L158" s="65"/>
      <c r="M158" s="59"/>
      <c r="N158" s="65"/>
      <c r="O158" s="146"/>
      <c r="P158" s="57"/>
      <c r="Q158" s="57"/>
      <c r="R158" s="207"/>
      <c r="S158" s="254"/>
      <c r="T158" s="280"/>
      <c r="U158" s="71"/>
      <c r="V158" s="86"/>
      <c r="W158" s="41"/>
      <c r="X158" s="147"/>
      <c r="Y158" s="72"/>
      <c r="Z158" s="40"/>
      <c r="AA158" s="185"/>
    </row>
    <row r="159" spans="1:27" ht="12.75" hidden="1">
      <c r="A159" s="78"/>
      <c r="B159" s="142"/>
      <c r="C159" s="268"/>
      <c r="D159" s="33"/>
      <c r="E159" s="33"/>
      <c r="F159" s="265"/>
      <c r="G159" s="33"/>
      <c r="H159" s="265"/>
      <c r="I159" s="33"/>
      <c r="J159" s="94"/>
      <c r="K159" s="77"/>
      <c r="L159" s="77"/>
      <c r="M159" s="77"/>
      <c r="N159" s="77"/>
      <c r="O159" s="77"/>
      <c r="P159" s="257">
        <v>0.29582</v>
      </c>
      <c r="Q159" s="257">
        <v>0.29826</v>
      </c>
      <c r="R159" s="117">
        <f>(Q159-P159)*150-0.03</f>
        <v>0.33599999999999963</v>
      </c>
      <c r="S159" s="159"/>
      <c r="T159" s="141"/>
      <c r="U159" s="88"/>
      <c r="V159" s="94"/>
      <c r="W159" s="104"/>
      <c r="X159" s="45"/>
      <c r="Y159" s="81"/>
      <c r="Z159" s="84"/>
      <c r="AA159" s="186"/>
    </row>
    <row r="160" spans="1:27" ht="12.75" hidden="1">
      <c r="A160" s="78"/>
      <c r="B160" s="102"/>
      <c r="C160" s="33"/>
      <c r="D160" s="33"/>
      <c r="E160" s="33"/>
      <c r="F160" s="265"/>
      <c r="G160" s="265"/>
      <c r="H160" s="265"/>
      <c r="I160" s="33"/>
      <c r="J160" s="94"/>
      <c r="K160" s="77"/>
      <c r="L160" s="77"/>
      <c r="M160" s="77"/>
      <c r="N160" s="77"/>
      <c r="O160" s="77"/>
      <c r="P160" s="157">
        <v>0.88296</v>
      </c>
      <c r="Q160" s="157">
        <v>0.89487</v>
      </c>
      <c r="R160" s="117">
        <f>(Q160-P160)*150-0.118</f>
        <v>1.6685000000000132</v>
      </c>
      <c r="S160" s="159"/>
      <c r="T160" s="141"/>
      <c r="U160" s="88"/>
      <c r="V160" s="94"/>
      <c r="W160" s="104"/>
      <c r="X160" s="45"/>
      <c r="Y160" s="81"/>
      <c r="Z160" s="84"/>
      <c r="AA160" s="186"/>
    </row>
    <row r="161" spans="1:27" ht="12.75" hidden="1">
      <c r="A161" s="442">
        <v>10</v>
      </c>
      <c r="B161" s="73" t="s">
        <v>176</v>
      </c>
      <c r="C161" s="268"/>
      <c r="D161" s="176">
        <v>0.23143</v>
      </c>
      <c r="E161" s="118">
        <f>(D161-D154)*X$9*0.97</f>
        <v>0.2880900000000014</v>
      </c>
      <c r="F161" s="278">
        <v>0.288</v>
      </c>
      <c r="G161" s="216"/>
      <c r="H161" s="276"/>
      <c r="I161" s="33">
        <f>1.65*1.23</f>
        <v>2.0295</v>
      </c>
      <c r="J161" s="94"/>
      <c r="K161" s="66"/>
      <c r="L161" s="34">
        <f>E161*K161*1000</f>
        <v>0</v>
      </c>
      <c r="M161" s="66"/>
      <c r="N161" s="34">
        <f>E161*M161*1000</f>
        <v>0</v>
      </c>
      <c r="O161" s="75">
        <f>15*1.23</f>
        <v>18.45</v>
      </c>
      <c r="P161" s="136">
        <v>0.00491</v>
      </c>
      <c r="Q161" s="136">
        <v>0.00491</v>
      </c>
      <c r="R161" s="117">
        <f>(Q161-P161)*150</f>
        <v>0</v>
      </c>
      <c r="S161" s="159"/>
      <c r="T161" s="238"/>
      <c r="U161" s="121"/>
      <c r="V161" s="131"/>
      <c r="W161" s="122"/>
      <c r="X161" s="63"/>
      <c r="Y161" s="63"/>
      <c r="Z161" s="54"/>
      <c r="AA161" s="186"/>
    </row>
    <row r="162" spans="1:27" ht="12.75" hidden="1">
      <c r="A162" s="443">
        <v>19</v>
      </c>
      <c r="B162" s="259" t="s">
        <v>168</v>
      </c>
      <c r="C162" s="37" t="s">
        <v>166</v>
      </c>
      <c r="D162" s="58">
        <v>0.61256</v>
      </c>
      <c r="E162" s="87">
        <f>(D162-D155)*X$9*0.97</f>
        <v>1.147994999999993</v>
      </c>
      <c r="F162" s="274">
        <v>1.148</v>
      </c>
      <c r="G162" s="125"/>
      <c r="H162" s="277"/>
      <c r="I162" s="38">
        <f>15.78*1.23</f>
        <v>19.409399999999998</v>
      </c>
      <c r="J162" s="86"/>
      <c r="K162" s="59"/>
      <c r="L162" s="65">
        <f>E162*K162*1000</f>
        <v>0</v>
      </c>
      <c r="M162" s="59"/>
      <c r="N162" s="65">
        <f>E162*M162*1000</f>
        <v>0</v>
      </c>
      <c r="O162" s="146">
        <f>(E161+E162)*3.7*1.23</f>
        <v>6.535622834999975</v>
      </c>
      <c r="P162" s="57">
        <v>0.00736</v>
      </c>
      <c r="Q162" s="57">
        <v>0.00737</v>
      </c>
      <c r="R162" s="207">
        <f>(Q162-P162)*150</f>
        <v>0.0014999999999999389</v>
      </c>
      <c r="S162" s="254"/>
      <c r="T162" s="238"/>
      <c r="U162" s="71"/>
      <c r="V162" s="86"/>
      <c r="W162" s="41"/>
      <c r="X162" s="147">
        <v>26</v>
      </c>
      <c r="Y162" s="72">
        <v>10</v>
      </c>
      <c r="Z162" s="40"/>
      <c r="AA162" s="185"/>
    </row>
    <row r="163" spans="1:27" ht="12.75" hidden="1">
      <c r="A163" s="78"/>
      <c r="B163" s="142"/>
      <c r="C163" s="268"/>
      <c r="D163" s="33"/>
      <c r="E163" s="33"/>
      <c r="F163" s="265"/>
      <c r="G163" s="33"/>
      <c r="H163" s="265"/>
      <c r="I163" s="33"/>
      <c r="J163" s="94"/>
      <c r="K163" s="77"/>
      <c r="L163" s="77"/>
      <c r="M163" s="77"/>
      <c r="N163" s="77"/>
      <c r="O163" s="77"/>
      <c r="P163" s="257">
        <v>0.29826</v>
      </c>
      <c r="Q163" s="257">
        <v>0.30107</v>
      </c>
      <c r="R163" s="117">
        <f>(Q163-P163)*150-0.057</f>
        <v>0.3644999999999969</v>
      </c>
      <c r="S163" s="159"/>
      <c r="T163" s="141"/>
      <c r="U163" s="88"/>
      <c r="V163" s="94"/>
      <c r="W163" s="104"/>
      <c r="X163" s="45"/>
      <c r="Y163" s="81"/>
      <c r="Z163" s="84"/>
      <c r="AA163" s="186"/>
    </row>
    <row r="164" spans="1:27" ht="12.75" hidden="1">
      <c r="A164" s="78"/>
      <c r="B164" s="102"/>
      <c r="C164" s="33"/>
      <c r="D164" s="33"/>
      <c r="E164" s="33"/>
      <c r="F164" s="265"/>
      <c r="G164" s="265"/>
      <c r="H164" s="265"/>
      <c r="I164" s="33"/>
      <c r="J164" s="94"/>
      <c r="K164" s="77"/>
      <c r="L164" s="77"/>
      <c r="M164" s="77"/>
      <c r="N164" s="77"/>
      <c r="O164" s="77"/>
      <c r="P164" s="157">
        <v>0.89487</v>
      </c>
      <c r="Q164" s="157">
        <v>0.90559</v>
      </c>
      <c r="R164" s="117">
        <f>(Q164-P164)*150-0.193</f>
        <v>1.4149999999999927</v>
      </c>
      <c r="S164" s="159"/>
      <c r="T164" s="141"/>
      <c r="U164" s="88"/>
      <c r="V164" s="94"/>
      <c r="W164" s="104"/>
      <c r="X164" s="45"/>
      <c r="Y164" s="81"/>
      <c r="Z164" s="84"/>
      <c r="AA164" s="186"/>
    </row>
    <row r="165" spans="1:27" ht="12.75" hidden="1">
      <c r="A165" s="442">
        <v>11</v>
      </c>
      <c r="B165" s="73" t="s">
        <v>179</v>
      </c>
      <c r="C165" s="268"/>
      <c r="D165" s="176">
        <v>0.23521</v>
      </c>
      <c r="E165" s="118">
        <f>(D165-D161)*X$9*0.97</f>
        <v>0.5499900000000008</v>
      </c>
      <c r="F165" s="278">
        <v>0.55</v>
      </c>
      <c r="G165" s="216"/>
      <c r="H165" s="276"/>
      <c r="I165" s="33">
        <f>1.65*1.23</f>
        <v>2.0295</v>
      </c>
      <c r="J165" s="94"/>
      <c r="K165" s="66"/>
      <c r="L165" s="34">
        <f>E165*K165*1000</f>
        <v>0</v>
      </c>
      <c r="M165" s="66"/>
      <c r="N165" s="34">
        <f>E165*M165*1000</f>
        <v>0</v>
      </c>
      <c r="O165" s="75">
        <f>15*1.23</f>
        <v>18.45</v>
      </c>
      <c r="P165" s="136">
        <v>0.00491</v>
      </c>
      <c r="Q165" s="136">
        <v>0.00494</v>
      </c>
      <c r="R165" s="117">
        <f>(Q165-P165)*150</f>
        <v>0.004499999999999947</v>
      </c>
      <c r="S165" s="159"/>
      <c r="T165" s="238"/>
      <c r="U165" s="121"/>
      <c r="V165" s="131"/>
      <c r="W165" s="122"/>
      <c r="X165" s="63"/>
      <c r="Y165" s="63"/>
      <c r="Z165" s="54"/>
      <c r="AA165" s="186"/>
    </row>
    <row r="166" spans="1:27" ht="12.75" hidden="1">
      <c r="A166" s="443">
        <v>19</v>
      </c>
      <c r="B166" s="259" t="s">
        <v>169</v>
      </c>
      <c r="C166" s="37" t="s">
        <v>170</v>
      </c>
      <c r="D166" s="58">
        <v>0.6254</v>
      </c>
      <c r="E166" s="87">
        <f>(D166-D162)*X$9*0.97</f>
        <v>1.8682199999999944</v>
      </c>
      <c r="F166" s="274">
        <v>1.868</v>
      </c>
      <c r="G166" s="125"/>
      <c r="H166" s="277"/>
      <c r="I166" s="38">
        <f>15.78*1.23</f>
        <v>19.409399999999998</v>
      </c>
      <c r="J166" s="86"/>
      <c r="K166" s="59"/>
      <c r="L166" s="65">
        <f>E166*K166*1000</f>
        <v>0</v>
      </c>
      <c r="M166" s="59"/>
      <c r="N166" s="65">
        <f>E166*M166*1000</f>
        <v>0</v>
      </c>
      <c r="O166" s="146">
        <f>(E165+E166)*3.7*1.23</f>
        <v>11.00527370999998</v>
      </c>
      <c r="P166" s="57">
        <v>0.00737</v>
      </c>
      <c r="Q166" s="57">
        <v>0.00745</v>
      </c>
      <c r="R166" s="207">
        <f>(Q166-P166)*150</f>
        <v>0.012000000000000031</v>
      </c>
      <c r="S166" s="254"/>
      <c r="T166" s="238"/>
      <c r="U166" s="71"/>
      <c r="V166" s="86"/>
      <c r="W166" s="41"/>
      <c r="X166" s="147">
        <v>26</v>
      </c>
      <c r="Y166" s="72">
        <v>13</v>
      </c>
      <c r="Z166" s="40"/>
      <c r="AA166" s="185"/>
    </row>
    <row r="167" spans="1:27" ht="12.75" hidden="1">
      <c r="A167" s="78"/>
      <c r="B167" s="142"/>
      <c r="C167" s="268"/>
      <c r="D167" s="33"/>
      <c r="E167" s="33"/>
      <c r="F167" s="265"/>
      <c r="G167" s="33"/>
      <c r="H167" s="265"/>
      <c r="I167" s="33"/>
      <c r="J167" s="94"/>
      <c r="K167" s="77"/>
      <c r="L167" s="77"/>
      <c r="M167" s="77"/>
      <c r="N167" s="77"/>
      <c r="O167" s="77"/>
      <c r="P167" s="257">
        <v>0.30107</v>
      </c>
      <c r="Q167" s="257">
        <v>0.30471</v>
      </c>
      <c r="R167" s="117">
        <f>(Q167-P167)*150-0.11</f>
        <v>0.4359999999999965</v>
      </c>
      <c r="S167" s="159"/>
      <c r="T167" s="141"/>
      <c r="U167" s="88"/>
      <c r="V167" s="94"/>
      <c r="W167" s="104"/>
      <c r="X167" s="45"/>
      <c r="Y167" s="81"/>
      <c r="Z167" s="84"/>
      <c r="AA167" s="186"/>
    </row>
    <row r="168" spans="1:27" ht="12.75" hidden="1">
      <c r="A168" s="78"/>
      <c r="B168" s="102"/>
      <c r="C168" s="33"/>
      <c r="D168" s="33"/>
      <c r="E168" s="33"/>
      <c r="F168" s="265"/>
      <c r="G168" s="265"/>
      <c r="H168" s="265"/>
      <c r="I168" s="33"/>
      <c r="J168" s="94"/>
      <c r="K168" s="77"/>
      <c r="L168" s="77"/>
      <c r="M168" s="77"/>
      <c r="N168" s="77"/>
      <c r="O168" s="77"/>
      <c r="P168" s="157">
        <v>0.90559</v>
      </c>
      <c r="Q168" s="157">
        <v>0.91621</v>
      </c>
      <c r="R168" s="117">
        <f>(Q168-P168)*150-0.309</f>
        <v>1.2839999999999945</v>
      </c>
      <c r="S168" s="159"/>
      <c r="T168" s="141"/>
      <c r="U168" s="88"/>
      <c r="V168" s="94"/>
      <c r="W168" s="104"/>
      <c r="X168" s="45"/>
      <c r="Y168" s="81"/>
      <c r="Z168" s="84"/>
      <c r="AA168" s="186"/>
    </row>
    <row r="169" spans="1:27" ht="12.75" hidden="1">
      <c r="A169" s="78"/>
      <c r="B169" s="73" t="s">
        <v>183</v>
      </c>
      <c r="C169" s="268"/>
      <c r="D169" s="176">
        <v>0.24252</v>
      </c>
      <c r="E169" s="118">
        <f>(D169-D165)*X$9*0.97</f>
        <v>1.0636050000000015</v>
      </c>
      <c r="F169" s="278">
        <v>1.064</v>
      </c>
      <c r="G169" s="216"/>
      <c r="H169" s="276"/>
      <c r="I169" s="33">
        <f>1.65*1.23</f>
        <v>2.0295</v>
      </c>
      <c r="J169" s="94"/>
      <c r="K169" s="66"/>
      <c r="L169" s="34">
        <f>E169*K169*1000</f>
        <v>0</v>
      </c>
      <c r="M169" s="66"/>
      <c r="N169" s="34">
        <f>E169*M169*1000</f>
        <v>0</v>
      </c>
      <c r="O169" s="75">
        <f>15*1.23</f>
        <v>18.45</v>
      </c>
      <c r="P169" s="136">
        <v>0.00494</v>
      </c>
      <c r="Q169" s="136">
        <v>0.00503</v>
      </c>
      <c r="R169" s="117">
        <f>(Q169-P169)*150</f>
        <v>0.01349999999999997</v>
      </c>
      <c r="S169" s="159"/>
      <c r="T169" s="238"/>
      <c r="U169" s="121"/>
      <c r="V169" s="131"/>
      <c r="W169" s="122"/>
      <c r="X169" s="63"/>
      <c r="Y169" s="63"/>
      <c r="Z169" s="54"/>
      <c r="AA169" s="186"/>
    </row>
    <row r="170" spans="1:27" ht="12.75" hidden="1">
      <c r="A170" s="78"/>
      <c r="B170" s="259" t="s">
        <v>171</v>
      </c>
      <c r="C170" s="37" t="s">
        <v>172</v>
      </c>
      <c r="D170" s="58">
        <v>0.646</v>
      </c>
      <c r="E170" s="87">
        <f>(D170-D166)*X$9*0.97</f>
        <v>2.9973000000000094</v>
      </c>
      <c r="F170" s="274">
        <v>2.997</v>
      </c>
      <c r="G170" s="125"/>
      <c r="H170" s="277"/>
      <c r="I170" s="38">
        <f>15.78*1.23</f>
        <v>19.409399999999998</v>
      </c>
      <c r="J170" s="86"/>
      <c r="K170" s="59"/>
      <c r="L170" s="65">
        <f>E170*K170*1000</f>
        <v>0</v>
      </c>
      <c r="M170" s="59"/>
      <c r="N170" s="65">
        <f>E170*M170*1000</f>
        <v>0</v>
      </c>
      <c r="O170" s="146">
        <f>(E169+E170)*3.7*1.23</f>
        <v>18.48117865500005</v>
      </c>
      <c r="P170" s="57">
        <v>0.00745</v>
      </c>
      <c r="Q170" s="57">
        <v>0.00769</v>
      </c>
      <c r="R170" s="207">
        <f>(Q170-P170)*150</f>
        <v>0.03599999999999996</v>
      </c>
      <c r="S170" s="254"/>
      <c r="T170" s="238"/>
      <c r="U170" s="71"/>
      <c r="V170" s="86"/>
      <c r="W170" s="41"/>
      <c r="X170" s="147">
        <v>26</v>
      </c>
      <c r="Y170" s="72">
        <v>16</v>
      </c>
      <c r="Z170" s="40"/>
      <c r="AA170" s="185"/>
    </row>
    <row r="171" spans="1:27" ht="12.75" hidden="1">
      <c r="A171" s="78"/>
      <c r="B171" s="142"/>
      <c r="C171" s="268"/>
      <c r="D171" s="33"/>
      <c r="E171" s="33"/>
      <c r="F171" s="265"/>
      <c r="G171" s="33"/>
      <c r="H171" s="265"/>
      <c r="I171" s="33"/>
      <c r="J171" s="94"/>
      <c r="K171" s="77"/>
      <c r="L171" s="77"/>
      <c r="M171" s="77"/>
      <c r="N171" s="77"/>
      <c r="O171" s="77"/>
      <c r="P171" s="257">
        <v>0.30471</v>
      </c>
      <c r="Q171" s="257">
        <v>0.30936</v>
      </c>
      <c r="R171" s="117">
        <f>(Q171-P171)*150-0.172</f>
        <v>0.5255000000000065</v>
      </c>
      <c r="S171" s="127"/>
      <c r="T171" s="141"/>
      <c r="U171" s="88"/>
      <c r="V171" s="94"/>
      <c r="W171" s="104"/>
      <c r="X171" s="45"/>
      <c r="Y171" s="81"/>
      <c r="Z171" s="84"/>
      <c r="AA171" s="186"/>
    </row>
    <row r="172" spans="1:27" ht="12.75" hidden="1">
      <c r="A172" s="78"/>
      <c r="B172" s="102"/>
      <c r="C172" s="33"/>
      <c r="D172" s="33"/>
      <c r="E172" s="33"/>
      <c r="F172" s="265"/>
      <c r="G172" s="265"/>
      <c r="H172" s="265"/>
      <c r="I172" s="33"/>
      <c r="J172" s="94"/>
      <c r="K172" s="77"/>
      <c r="L172" s="77"/>
      <c r="M172" s="77"/>
      <c r="N172" s="77"/>
      <c r="O172" s="77"/>
      <c r="P172" s="157">
        <v>0.91621</v>
      </c>
      <c r="Q172" s="157">
        <v>0.925</v>
      </c>
      <c r="R172" s="117">
        <f>(Q172-P172)*150-0.324</f>
        <v>0.9945000000000113</v>
      </c>
      <c r="S172" s="127"/>
      <c r="T172" s="141"/>
      <c r="U172" s="88"/>
      <c r="V172" s="94"/>
      <c r="W172" s="104"/>
      <c r="X172" s="45"/>
      <c r="Y172" s="81"/>
      <c r="Z172" s="84"/>
      <c r="AA172" s="186"/>
    </row>
    <row r="173" spans="1:27" ht="12.75" hidden="1">
      <c r="A173" s="78"/>
      <c r="B173" s="73" t="s">
        <v>187</v>
      </c>
      <c r="C173" s="268"/>
      <c r="D173" s="176">
        <v>0.25399</v>
      </c>
      <c r="E173" s="118">
        <f>(D173-D169)*X$9*0.97</f>
        <v>1.668884999999997</v>
      </c>
      <c r="F173" s="278">
        <v>1.669</v>
      </c>
      <c r="G173" s="216"/>
      <c r="H173" s="276"/>
      <c r="I173" s="33">
        <f>1.65*1.23</f>
        <v>2.0295</v>
      </c>
      <c r="J173" s="94"/>
      <c r="K173" s="66"/>
      <c r="L173" s="34">
        <f>E173*K173*1000</f>
        <v>0</v>
      </c>
      <c r="M173" s="66"/>
      <c r="N173" s="34">
        <f>E173*M173*1000</f>
        <v>0</v>
      </c>
      <c r="O173" s="75">
        <f>15*1.23</f>
        <v>18.45</v>
      </c>
      <c r="P173" s="136">
        <v>0.00503</v>
      </c>
      <c r="Q173" s="136">
        <v>0.00511</v>
      </c>
      <c r="R173" s="117">
        <f>(Q173-P173)*150</f>
        <v>0.012000000000000031</v>
      </c>
      <c r="S173" s="159"/>
      <c r="T173" s="238"/>
      <c r="U173" s="121"/>
      <c r="V173" s="131"/>
      <c r="W173" s="122"/>
      <c r="X173" s="63"/>
      <c r="Y173" s="63"/>
      <c r="Z173" s="54"/>
      <c r="AA173" s="186"/>
    </row>
    <row r="174" spans="1:27" ht="13.5" hidden="1" thickBot="1">
      <c r="A174" s="78"/>
      <c r="B174" s="259" t="s">
        <v>173</v>
      </c>
      <c r="C174" s="37" t="s">
        <v>174</v>
      </c>
      <c r="D174" s="58">
        <v>0.66761</v>
      </c>
      <c r="E174" s="87">
        <f>(D174-D170)*X$9*0.97</f>
        <v>3.144255000000003</v>
      </c>
      <c r="F174" s="274">
        <v>3.144</v>
      </c>
      <c r="G174" s="125"/>
      <c r="H174" s="277"/>
      <c r="I174" s="38">
        <f>15.78*1.23</f>
        <v>19.409399999999998</v>
      </c>
      <c r="J174" s="86"/>
      <c r="K174" s="59"/>
      <c r="L174" s="65">
        <f>E174*K174*1000</f>
        <v>0</v>
      </c>
      <c r="M174" s="59"/>
      <c r="N174" s="65">
        <f>E174*M174*1000</f>
        <v>0</v>
      </c>
      <c r="O174" s="146">
        <f>(E173+E174)*3.7*1.23</f>
        <v>21.90460014</v>
      </c>
      <c r="P174" s="57">
        <v>0.00769</v>
      </c>
      <c r="Q174" s="57">
        <v>0.00783</v>
      </c>
      <c r="R174" s="207">
        <f>(Q174-P174)*150</f>
        <v>0.021000000000000053</v>
      </c>
      <c r="S174" s="254"/>
      <c r="T174" s="238"/>
      <c r="U174" s="71"/>
      <c r="V174" s="86"/>
      <c r="W174" s="41"/>
      <c r="X174" s="147">
        <v>26</v>
      </c>
      <c r="Y174" s="72">
        <v>16</v>
      </c>
      <c r="Z174" s="40"/>
      <c r="AA174" s="185"/>
    </row>
    <row r="175" spans="1:27" ht="13.5" thickBot="1">
      <c r="A175" s="436" t="s">
        <v>280</v>
      </c>
      <c r="B175" s="437"/>
      <c r="C175" s="437"/>
      <c r="D175" s="438"/>
      <c r="E175" s="314">
        <f>SUM(E84:E174)</f>
        <v>47.389900000000004</v>
      </c>
      <c r="F175" s="13"/>
      <c r="G175" s="196"/>
      <c r="H175" s="262"/>
      <c r="I175" s="13"/>
      <c r="J175" s="13"/>
      <c r="K175" s="46"/>
      <c r="L175" s="46"/>
      <c r="M175" s="46"/>
      <c r="N175" s="46"/>
      <c r="O175" s="32"/>
      <c r="P175" s="32"/>
      <c r="Q175" s="212">
        <f>R175/E176</f>
        <v>0.4665586381657102</v>
      </c>
      <c r="R175" s="228">
        <f>SUM(R120:R174)</f>
        <v>22.112500000000022</v>
      </c>
      <c r="S175" s="232"/>
      <c r="T175" s="226"/>
      <c r="U175" s="226"/>
      <c r="V175" s="282"/>
      <c r="W175" s="284"/>
      <c r="X175" s="261"/>
      <c r="Y175" s="292">
        <f>Y176/X176</f>
        <v>0.532051282051282</v>
      </c>
      <c r="Z175" s="47"/>
      <c r="AA175" s="190"/>
    </row>
    <row r="176" spans="1:27" ht="13.5" thickBot="1">
      <c r="A176" s="439"/>
      <c r="B176" s="440"/>
      <c r="C176" s="440"/>
      <c r="D176" s="441"/>
      <c r="E176" s="61">
        <f>SUM(E120:E174)</f>
        <v>47.39490000000001</v>
      </c>
      <c r="F176" s="222">
        <f>SUM(F120:F174)</f>
        <v>47.39599999999999</v>
      </c>
      <c r="G176" s="223"/>
      <c r="H176" s="224"/>
      <c r="I176" s="48"/>
      <c r="J176" s="69"/>
      <c r="K176" s="69"/>
      <c r="L176" s="69">
        <f>SUM(L120:L174)</f>
        <v>0</v>
      </c>
      <c r="M176" s="69"/>
      <c r="N176" s="69">
        <f>SUM(N120:N174)</f>
        <v>0</v>
      </c>
      <c r="O176" s="69">
        <f>SUM(O120:O174)</f>
        <v>430.67050259999996</v>
      </c>
      <c r="P176" s="48"/>
      <c r="Q176" s="48"/>
      <c r="R176" s="233"/>
      <c r="S176" s="220"/>
      <c r="T176" s="148"/>
      <c r="U176" s="69"/>
      <c r="V176" s="69"/>
      <c r="W176" s="49"/>
      <c r="X176" s="50">
        <v>26</v>
      </c>
      <c r="Y176" s="50">
        <f>SUM(Y123:Y174)/12</f>
        <v>13.833333333333334</v>
      </c>
      <c r="Z176" s="50"/>
      <c r="AA176" s="51"/>
    </row>
    <row r="177" spans="6:7" ht="12.75" hidden="1">
      <c r="F177" s="231">
        <f>F176-E176</f>
        <v>0.0010999999999796728</v>
      </c>
      <c r="G177" s="98"/>
    </row>
    <row r="178" spans="1:27" ht="12.75" hidden="1">
      <c r="A178" s="78"/>
      <c r="B178" s="142"/>
      <c r="C178" s="268"/>
      <c r="D178" s="33"/>
      <c r="E178" s="33"/>
      <c r="F178" s="265"/>
      <c r="G178" s="33"/>
      <c r="H178" s="265"/>
      <c r="I178" s="33"/>
      <c r="J178" s="94"/>
      <c r="K178" s="77"/>
      <c r="L178" s="77"/>
      <c r="M178" s="77"/>
      <c r="N178" s="77"/>
      <c r="O178" s="77"/>
      <c r="P178" s="257">
        <v>0.30936</v>
      </c>
      <c r="Q178" s="257">
        <v>0.31433</v>
      </c>
      <c r="R178" s="117">
        <f>(Q178-P178)*150-0.265</f>
        <v>0.48049999999999615</v>
      </c>
      <c r="S178" s="127"/>
      <c r="T178" s="141"/>
      <c r="U178" s="88"/>
      <c r="V178" s="94"/>
      <c r="W178" s="104"/>
      <c r="X178" s="45"/>
      <c r="Y178" s="81"/>
      <c r="Z178" s="84"/>
      <c r="AA178" s="186"/>
    </row>
    <row r="179" spans="1:27" ht="12.75" hidden="1">
      <c r="A179" s="78"/>
      <c r="B179" s="102"/>
      <c r="C179" s="33"/>
      <c r="D179" s="33"/>
      <c r="E179" s="33"/>
      <c r="F179" s="265"/>
      <c r="G179" s="265"/>
      <c r="H179" s="265"/>
      <c r="I179" s="33"/>
      <c r="J179" s="94"/>
      <c r="K179" s="77"/>
      <c r="L179" s="77"/>
      <c r="M179" s="77"/>
      <c r="N179" s="77"/>
      <c r="O179" s="77"/>
      <c r="P179" s="157">
        <v>0.925</v>
      </c>
      <c r="Q179" s="157">
        <v>0.93468</v>
      </c>
      <c r="R179" s="117">
        <f>(Q179-P179)*150-0.521</f>
        <v>0.9309999999999866</v>
      </c>
      <c r="S179" s="127"/>
      <c r="T179" s="141"/>
      <c r="U179" s="88"/>
      <c r="V179" s="94"/>
      <c r="W179" s="104"/>
      <c r="X179" s="45"/>
      <c r="Y179" s="81"/>
      <c r="Z179" s="84"/>
      <c r="AA179" s="186"/>
    </row>
    <row r="180" spans="1:27" ht="12.75" hidden="1">
      <c r="A180" s="442"/>
      <c r="B180" s="73" t="s">
        <v>198</v>
      </c>
      <c r="C180" s="268"/>
      <c r="D180" s="176">
        <v>0.27167</v>
      </c>
      <c r="E180" s="118">
        <f>(D180-D173)*X$9*0.97</f>
        <v>2.5724400000000043</v>
      </c>
      <c r="F180" s="278">
        <v>2.572</v>
      </c>
      <c r="G180" s="216"/>
      <c r="H180" s="276"/>
      <c r="I180" s="33">
        <f>1.65*1.23</f>
        <v>2.0295</v>
      </c>
      <c r="J180" s="94"/>
      <c r="K180" s="66"/>
      <c r="L180" s="34">
        <f>E180*K180*1000</f>
        <v>0</v>
      </c>
      <c r="M180" s="66"/>
      <c r="N180" s="34">
        <f>E180*M180*1000</f>
        <v>0</v>
      </c>
      <c r="O180" s="75">
        <f>15*1.23</f>
        <v>18.45</v>
      </c>
      <c r="P180" s="136">
        <v>0.00511</v>
      </c>
      <c r="Q180" s="136">
        <v>0.00542</v>
      </c>
      <c r="R180" s="117">
        <f>(Q180-P180)*150</f>
        <v>0.046500000000000055</v>
      </c>
      <c r="S180" s="159"/>
      <c r="T180" s="238"/>
      <c r="U180" s="121"/>
      <c r="V180" s="131"/>
      <c r="W180" s="122"/>
      <c r="X180" s="63"/>
      <c r="Y180" s="63"/>
      <c r="Z180" s="54"/>
      <c r="AA180" s="186"/>
    </row>
    <row r="181" spans="1:27" ht="12.75" hidden="1">
      <c r="A181" s="443"/>
      <c r="B181" s="259" t="s">
        <v>196</v>
      </c>
      <c r="C181" s="37" t="s">
        <v>197</v>
      </c>
      <c r="D181" s="58">
        <v>0.70237</v>
      </c>
      <c r="E181" s="87">
        <f>(D181-D174)*X$9*0.97</f>
        <v>5.057580000000002</v>
      </c>
      <c r="F181" s="274">
        <v>5.058</v>
      </c>
      <c r="G181" s="125"/>
      <c r="H181" s="277"/>
      <c r="I181" s="38">
        <f>15.78*1.23</f>
        <v>19.409399999999998</v>
      </c>
      <c r="J181" s="86"/>
      <c r="K181" s="59"/>
      <c r="L181" s="65">
        <f>E181*K181*1000</f>
        <v>0</v>
      </c>
      <c r="M181" s="59"/>
      <c r="N181" s="65">
        <f>E181*M181*1000</f>
        <v>0</v>
      </c>
      <c r="O181" s="146">
        <f>(E180+E181)*3.7*1.23</f>
        <v>34.72422102000004</v>
      </c>
      <c r="P181" s="57">
        <v>0.00783</v>
      </c>
      <c r="Q181" s="57">
        <v>0.00842</v>
      </c>
      <c r="R181" s="207">
        <f>(Q181-P181)*150</f>
        <v>0.08850000000000004</v>
      </c>
      <c r="S181" s="254"/>
      <c r="T181" s="280"/>
      <c r="U181" s="71"/>
      <c r="V181" s="86"/>
      <c r="W181" s="41"/>
      <c r="X181" s="43">
        <v>26</v>
      </c>
      <c r="Y181" s="72">
        <v>17</v>
      </c>
      <c r="Z181" s="40"/>
      <c r="AA181" s="185"/>
    </row>
    <row r="182" spans="1:27" ht="12.75" hidden="1">
      <c r="A182" s="78"/>
      <c r="B182" s="142"/>
      <c r="C182" s="268"/>
      <c r="D182" s="33"/>
      <c r="E182" s="33"/>
      <c r="F182" s="265"/>
      <c r="G182" s="33"/>
      <c r="H182" s="265"/>
      <c r="I182" s="33"/>
      <c r="J182" s="94"/>
      <c r="K182" s="77"/>
      <c r="L182" s="77"/>
      <c r="M182" s="77"/>
      <c r="N182" s="77"/>
      <c r="O182" s="77"/>
      <c r="P182" s="257">
        <v>0.31433</v>
      </c>
      <c r="Q182" s="257">
        <v>0.31996</v>
      </c>
      <c r="R182" s="117">
        <f>(Q182-P182)*150-0.3</f>
        <v>0.5445000000000035</v>
      </c>
      <c r="S182" s="127"/>
      <c r="T182" s="141"/>
      <c r="U182" s="88"/>
      <c r="V182" s="94"/>
      <c r="W182" s="104"/>
      <c r="X182" s="45"/>
      <c r="Y182" s="81"/>
      <c r="Z182" s="84"/>
      <c r="AA182" s="186"/>
    </row>
    <row r="183" spans="1:27" ht="12.75" hidden="1">
      <c r="A183" s="78"/>
      <c r="B183" s="102"/>
      <c r="C183" s="33"/>
      <c r="D183" s="33"/>
      <c r="E183" s="33"/>
      <c r="F183" s="265"/>
      <c r="G183" s="265"/>
      <c r="H183" s="265"/>
      <c r="I183" s="33"/>
      <c r="J183" s="94"/>
      <c r="K183" s="77"/>
      <c r="L183" s="77"/>
      <c r="M183" s="77"/>
      <c r="N183" s="77"/>
      <c r="O183" s="77"/>
      <c r="P183" s="157">
        <v>0.93468</v>
      </c>
      <c r="Q183" s="157">
        <v>0.94566</v>
      </c>
      <c r="R183" s="117">
        <f>(Q183-P183)*150-0.579</f>
        <v>1.0679999999999985</v>
      </c>
      <c r="S183" s="127"/>
      <c r="T183" s="141"/>
      <c r="U183" s="88"/>
      <c r="V183" s="94"/>
      <c r="W183" s="104"/>
      <c r="X183" s="45"/>
      <c r="Y183" s="81"/>
      <c r="Z183" s="84"/>
      <c r="AA183" s="186"/>
    </row>
    <row r="184" spans="1:27" ht="12.75" hidden="1">
      <c r="A184" s="442"/>
      <c r="B184" s="73" t="s">
        <v>199</v>
      </c>
      <c r="C184" s="268"/>
      <c r="D184" s="176">
        <v>0.29167</v>
      </c>
      <c r="E184" s="118">
        <f>(D184-D180)*X$9*0.97</f>
        <v>2.9099999999999944</v>
      </c>
      <c r="F184" s="278">
        <v>2.91</v>
      </c>
      <c r="G184" s="216"/>
      <c r="H184" s="276"/>
      <c r="I184" s="33">
        <f>1.65*1.23</f>
        <v>2.0295</v>
      </c>
      <c r="J184" s="94"/>
      <c r="K184" s="66"/>
      <c r="L184" s="34">
        <f>E184*K184*1000</f>
        <v>0</v>
      </c>
      <c r="M184" s="66"/>
      <c r="N184" s="34">
        <f>E184*M184*1000</f>
        <v>0</v>
      </c>
      <c r="O184" s="75">
        <f>11.5*1.23</f>
        <v>14.145</v>
      </c>
      <c r="P184" s="136">
        <v>0.00542</v>
      </c>
      <c r="Q184" s="136">
        <v>0.00586</v>
      </c>
      <c r="R184" s="117">
        <f>(Q184-P184)*150</f>
        <v>0.06599999999999992</v>
      </c>
      <c r="S184" s="159"/>
      <c r="T184" s="238"/>
      <c r="U184" s="121"/>
      <c r="V184" s="131"/>
      <c r="W184" s="122"/>
      <c r="X184" s="63"/>
      <c r="Y184" s="63"/>
      <c r="Z184" s="54"/>
      <c r="AA184" s="186"/>
    </row>
    <row r="185" spans="1:27" ht="12.75" hidden="1">
      <c r="A185" s="443"/>
      <c r="B185" s="259" t="s">
        <v>201</v>
      </c>
      <c r="C185" s="37" t="s">
        <v>180</v>
      </c>
      <c r="D185" s="58">
        <v>0.74096</v>
      </c>
      <c r="E185" s="87">
        <f>(D185-D181)*X$9*0.97</f>
        <v>5.614844999999985</v>
      </c>
      <c r="F185" s="274">
        <v>5.615</v>
      </c>
      <c r="G185" s="125"/>
      <c r="H185" s="277"/>
      <c r="I185" s="38">
        <f>15.78*1.23</f>
        <v>19.409399999999998</v>
      </c>
      <c r="J185" s="86"/>
      <c r="K185" s="59"/>
      <c r="L185" s="65">
        <f>E185*K185*1000</f>
        <v>0</v>
      </c>
      <c r="M185" s="59"/>
      <c r="N185" s="65">
        <f>E185*M185*1000</f>
        <v>0</v>
      </c>
      <c r="O185" s="146"/>
      <c r="P185" s="57">
        <v>0.00842</v>
      </c>
      <c r="Q185" s="57">
        <v>0.00929</v>
      </c>
      <c r="R185" s="207">
        <f>(Q185-P185)*150</f>
        <v>0.1304999999999999</v>
      </c>
      <c r="S185" s="254"/>
      <c r="T185" s="280"/>
      <c r="U185" s="71"/>
      <c r="V185" s="86"/>
      <c r="W185" s="41"/>
      <c r="X185" s="43">
        <v>26</v>
      </c>
      <c r="Y185" s="72">
        <v>22</v>
      </c>
      <c r="Z185" s="40"/>
      <c r="AA185" s="185"/>
    </row>
    <row r="186" spans="1:27" ht="12.75" hidden="1">
      <c r="A186" s="442"/>
      <c r="B186" s="142"/>
      <c r="C186" s="268"/>
      <c r="D186" s="33"/>
      <c r="E186" s="33"/>
      <c r="F186" s="265"/>
      <c r="G186" s="33"/>
      <c r="H186" s="265"/>
      <c r="I186" s="33"/>
      <c r="J186" s="94"/>
      <c r="K186" s="77"/>
      <c r="L186" s="77"/>
      <c r="M186" s="77"/>
      <c r="N186" s="77"/>
      <c r="O186" s="77"/>
      <c r="P186" s="257">
        <v>0.31996</v>
      </c>
      <c r="Q186" s="257">
        <v>0.3267</v>
      </c>
      <c r="R186" s="117">
        <f>(Q186-P186)*150-0.309</f>
        <v>0.7019999999999953</v>
      </c>
      <c r="S186" s="127"/>
      <c r="T186" s="141"/>
      <c r="U186" s="88"/>
      <c r="V186" s="94"/>
      <c r="W186" s="104"/>
      <c r="X186" s="45"/>
      <c r="Y186" s="81"/>
      <c r="Z186" s="84"/>
      <c r="AA186" s="186"/>
    </row>
    <row r="187" spans="1:27" ht="12.75" hidden="1">
      <c r="A187" s="443"/>
      <c r="B187" s="102"/>
      <c r="C187" s="33"/>
      <c r="D187" s="33"/>
      <c r="E187" s="33"/>
      <c r="F187" s="265"/>
      <c r="G187" s="265"/>
      <c r="H187" s="265"/>
      <c r="I187" s="33"/>
      <c r="J187" s="94"/>
      <c r="K187" s="77"/>
      <c r="L187" s="77"/>
      <c r="M187" s="77"/>
      <c r="N187" s="77"/>
      <c r="O187" s="77"/>
      <c r="P187" s="157">
        <v>0.94566</v>
      </c>
      <c r="Q187" s="157">
        <v>0.95848</v>
      </c>
      <c r="R187" s="117">
        <f>(Q187-P187)*150-0.597</f>
        <v>1.326000000000008</v>
      </c>
      <c r="S187" s="127"/>
      <c r="T187" s="141"/>
      <c r="U187" s="88"/>
      <c r="V187" s="94"/>
      <c r="W187" s="104"/>
      <c r="X187" s="45"/>
      <c r="Y187" s="81"/>
      <c r="Z187" s="84"/>
      <c r="AA187" s="186"/>
    </row>
    <row r="188" spans="1:27" ht="12.75" hidden="1">
      <c r="A188" s="78"/>
      <c r="B188" s="73" t="s">
        <v>202</v>
      </c>
      <c r="C188" s="268"/>
      <c r="D188" s="176">
        <v>0.31227</v>
      </c>
      <c r="E188" s="118">
        <f>(D188-D184)*X$9*0.97</f>
        <v>2.997300000000001</v>
      </c>
      <c r="F188" s="278">
        <v>2.997</v>
      </c>
      <c r="G188" s="216"/>
      <c r="H188" s="276"/>
      <c r="I188" s="33">
        <f>1.65*1.23</f>
        <v>2.0295</v>
      </c>
      <c r="J188" s="94"/>
      <c r="K188" s="66"/>
      <c r="L188" s="34">
        <f>E188*K188*1000</f>
        <v>0</v>
      </c>
      <c r="M188" s="66"/>
      <c r="N188" s="34">
        <f>E188*M188*1000</f>
        <v>0</v>
      </c>
      <c r="O188" s="75">
        <f>11.5*1.23</f>
        <v>14.145</v>
      </c>
      <c r="P188" s="136">
        <v>0.00586</v>
      </c>
      <c r="Q188" s="136">
        <v>0.00745</v>
      </c>
      <c r="R188" s="117">
        <f>(Q188-P188)*150</f>
        <v>0.23850000000000005</v>
      </c>
      <c r="S188" s="159"/>
      <c r="T188" s="238"/>
      <c r="U188" s="121"/>
      <c r="V188" s="131"/>
      <c r="W188" s="122"/>
      <c r="X188" s="63"/>
      <c r="Y188" s="63"/>
      <c r="Z188" s="54"/>
      <c r="AA188" s="186"/>
    </row>
    <row r="189" spans="1:27" ht="12.75" hidden="1">
      <c r="A189" s="78"/>
      <c r="B189" s="259" t="s">
        <v>203</v>
      </c>
      <c r="C189" s="37" t="s">
        <v>190</v>
      </c>
      <c r="D189" s="58">
        <v>0.78079</v>
      </c>
      <c r="E189" s="87">
        <f>(D189-D185)*X$9*0.97</f>
        <v>5.795265000000004</v>
      </c>
      <c r="F189" s="274">
        <v>5.795</v>
      </c>
      <c r="G189" s="125"/>
      <c r="H189" s="277"/>
      <c r="I189" s="38">
        <f>15.78*1.23</f>
        <v>19.409399999999998</v>
      </c>
      <c r="J189" s="86"/>
      <c r="K189" s="59"/>
      <c r="L189" s="65">
        <f>E189*K189*1000</f>
        <v>0</v>
      </c>
      <c r="M189" s="59"/>
      <c r="N189" s="65">
        <f>E189*M189*1000</f>
        <v>0</v>
      </c>
      <c r="O189" s="146"/>
      <c r="P189" s="57">
        <v>0.00929</v>
      </c>
      <c r="Q189" s="57">
        <v>0.01271</v>
      </c>
      <c r="R189" s="207">
        <f>(Q189-P189)*150</f>
        <v>0.5130000000000001</v>
      </c>
      <c r="S189" s="254"/>
      <c r="T189" s="280"/>
      <c r="U189" s="71"/>
      <c r="V189" s="86"/>
      <c r="W189" s="41"/>
      <c r="X189" s="43">
        <v>26</v>
      </c>
      <c r="Y189" s="72">
        <v>23</v>
      </c>
      <c r="Z189" s="40"/>
      <c r="AA189" s="185"/>
    </row>
    <row r="190" spans="1:27" ht="12.75" hidden="1">
      <c r="A190" s="442"/>
      <c r="B190" s="142"/>
      <c r="C190" s="268"/>
      <c r="D190" s="33"/>
      <c r="E190" s="33"/>
      <c r="F190" s="265"/>
      <c r="G190" s="33"/>
      <c r="H190" s="265"/>
      <c r="I190" s="33"/>
      <c r="J190" s="94"/>
      <c r="K190" s="77"/>
      <c r="L190" s="77"/>
      <c r="M190" s="77"/>
      <c r="N190" s="77"/>
      <c r="O190" s="77"/>
      <c r="P190" s="257">
        <v>0.3267</v>
      </c>
      <c r="Q190" s="257">
        <v>0.33132</v>
      </c>
      <c r="R190" s="117">
        <f>(Q190-P190)*150-0.241</f>
        <v>0.45200000000000196</v>
      </c>
      <c r="S190" s="127"/>
      <c r="T190" s="141"/>
      <c r="U190" s="88"/>
      <c r="V190" s="94"/>
      <c r="W190" s="104"/>
      <c r="X190" s="45"/>
      <c r="Y190" s="81"/>
      <c r="Z190" s="84"/>
      <c r="AA190" s="186"/>
    </row>
    <row r="191" spans="1:27" ht="12.75" hidden="1">
      <c r="A191" s="443"/>
      <c r="B191" s="102"/>
      <c r="C191" s="33"/>
      <c r="D191" s="33"/>
      <c r="E191" s="33"/>
      <c r="F191" s="265"/>
      <c r="G191" s="265"/>
      <c r="H191" s="265"/>
      <c r="I191" s="33"/>
      <c r="J191" s="94"/>
      <c r="K191" s="77"/>
      <c r="L191" s="77"/>
      <c r="M191" s="77"/>
      <c r="N191" s="77"/>
      <c r="O191" s="77"/>
      <c r="P191" s="157">
        <v>0.95848</v>
      </c>
      <c r="Q191" s="157">
        <v>0.97217</v>
      </c>
      <c r="R191" s="117">
        <f>(Q191-P191)*150-0.715</f>
        <v>1.3384999999999971</v>
      </c>
      <c r="S191" s="127"/>
      <c r="T191" s="141"/>
      <c r="U191" s="88"/>
      <c r="V191" s="94"/>
      <c r="W191" s="104"/>
      <c r="X191" s="45"/>
      <c r="Y191" s="81"/>
      <c r="Z191" s="84"/>
      <c r="AA191" s="186"/>
    </row>
    <row r="192" spans="1:27" ht="12.75" hidden="1">
      <c r="A192" s="442"/>
      <c r="B192" s="73" t="s">
        <v>207</v>
      </c>
      <c r="C192" s="268"/>
      <c r="D192" s="176">
        <v>0.32833</v>
      </c>
      <c r="E192" s="118">
        <f>(D192-D188)*X$9*0.97</f>
        <v>2.336730000000003</v>
      </c>
      <c r="F192" s="278">
        <v>2.337</v>
      </c>
      <c r="G192" s="216"/>
      <c r="H192" s="276"/>
      <c r="I192" s="33">
        <f>1.65*1.23</f>
        <v>2.0295</v>
      </c>
      <c r="J192" s="94"/>
      <c r="K192" s="66"/>
      <c r="L192" s="34">
        <f>E192*K192*1000</f>
        <v>0</v>
      </c>
      <c r="M192" s="66"/>
      <c r="N192" s="34">
        <f>E192*M192*1000</f>
        <v>0</v>
      </c>
      <c r="O192" s="75">
        <f>11.5*1.23</f>
        <v>14.145</v>
      </c>
      <c r="P192" s="136">
        <v>0.00745</v>
      </c>
      <c r="Q192" s="136">
        <v>0.00826</v>
      </c>
      <c r="R192" s="117">
        <f>(Q192-P192)*150</f>
        <v>0.1215</v>
      </c>
      <c r="S192" s="159"/>
      <c r="T192" s="238"/>
      <c r="U192" s="121"/>
      <c r="V192" s="131"/>
      <c r="W192" s="122"/>
      <c r="X192" s="63"/>
      <c r="Y192" s="63"/>
      <c r="Z192" s="54"/>
      <c r="AA192" s="186"/>
    </row>
    <row r="193" spans="1:27" ht="12.75" hidden="1">
      <c r="A193" s="443"/>
      <c r="B193" s="259" t="s">
        <v>208</v>
      </c>
      <c r="C193" s="37" t="s">
        <v>204</v>
      </c>
      <c r="D193" s="58">
        <v>0.82843</v>
      </c>
      <c r="E193" s="87">
        <f>(D193-D189)*X$9*0.97</f>
        <v>6.931620000000002</v>
      </c>
      <c r="F193" s="274">
        <v>6.932</v>
      </c>
      <c r="G193" s="125"/>
      <c r="H193" s="277"/>
      <c r="I193" s="38">
        <f>15.78*1.23</f>
        <v>19.409399999999998</v>
      </c>
      <c r="J193" s="86"/>
      <c r="K193" s="59"/>
      <c r="L193" s="65">
        <f>E193*K193*1000</f>
        <v>0</v>
      </c>
      <c r="M193" s="59"/>
      <c r="N193" s="65">
        <f>E193*M193*1000</f>
        <v>0</v>
      </c>
      <c r="O193" s="146"/>
      <c r="P193" s="57">
        <v>0.01271</v>
      </c>
      <c r="Q193" s="57">
        <v>0.01515</v>
      </c>
      <c r="R193" s="207">
        <f>(Q193-P193)*150</f>
        <v>0.36599999999999994</v>
      </c>
      <c r="S193" s="254"/>
      <c r="T193" s="280"/>
      <c r="U193" s="71"/>
      <c r="V193" s="86"/>
      <c r="W193" s="41"/>
      <c r="X193" s="43">
        <v>26</v>
      </c>
      <c r="Y193" s="72">
        <v>22</v>
      </c>
      <c r="Z193" s="40"/>
      <c r="AA193" s="185"/>
    </row>
    <row r="194" spans="1:27" ht="12.75" hidden="1">
      <c r="A194" s="78"/>
      <c r="B194" s="142"/>
      <c r="C194" s="268"/>
      <c r="D194" s="33"/>
      <c r="E194" s="33"/>
      <c r="F194" s="265"/>
      <c r="G194" s="33"/>
      <c r="H194" s="265"/>
      <c r="I194" s="33"/>
      <c r="J194" s="94"/>
      <c r="K194" s="77"/>
      <c r="L194" s="77"/>
      <c r="M194" s="77"/>
      <c r="N194" s="77"/>
      <c r="O194" s="77"/>
      <c r="P194" s="257">
        <v>0.33132</v>
      </c>
      <c r="Q194" s="257">
        <v>0.33452</v>
      </c>
      <c r="R194" s="117">
        <f>(Q194-P194)*150-0.06</f>
        <v>0.4199999999999971</v>
      </c>
      <c r="S194" s="159"/>
      <c r="T194" s="238"/>
      <c r="U194" s="88"/>
      <c r="V194" s="94"/>
      <c r="W194" s="104"/>
      <c r="X194" s="45"/>
      <c r="Y194" s="81"/>
      <c r="Z194" s="84"/>
      <c r="AA194" s="186"/>
    </row>
    <row r="195" spans="1:27" ht="12.75" hidden="1">
      <c r="A195" s="78"/>
      <c r="B195" s="102"/>
      <c r="C195" s="33"/>
      <c r="D195" s="33"/>
      <c r="E195" s="33"/>
      <c r="F195" s="265"/>
      <c r="G195" s="265"/>
      <c r="H195" s="265"/>
      <c r="I195" s="33"/>
      <c r="J195" s="94"/>
      <c r="K195" s="77"/>
      <c r="L195" s="77"/>
      <c r="M195" s="77"/>
      <c r="N195" s="77"/>
      <c r="O195" s="77"/>
      <c r="P195" s="157">
        <v>0.97217</v>
      </c>
      <c r="Q195" s="157">
        <v>0.98393</v>
      </c>
      <c r="R195" s="117">
        <f>(Q195-P195)*150-0.198</f>
        <v>1.565999999999999</v>
      </c>
      <c r="S195" s="159"/>
      <c r="T195" s="238"/>
      <c r="U195" s="88"/>
      <c r="V195" s="94"/>
      <c r="W195" s="104"/>
      <c r="X195" s="45"/>
      <c r="Y195" s="81"/>
      <c r="Z195" s="84"/>
      <c r="AA195" s="186"/>
    </row>
    <row r="196" spans="1:27" ht="12.75" hidden="1">
      <c r="A196" s="442"/>
      <c r="B196" s="73" t="s">
        <v>209</v>
      </c>
      <c r="C196" s="268"/>
      <c r="D196" s="176">
        <v>0.33232</v>
      </c>
      <c r="E196" s="118">
        <f>(D196-D192)*X$9*0.97</f>
        <v>0.5805449999999991</v>
      </c>
      <c r="F196" s="278">
        <v>0.581</v>
      </c>
      <c r="G196" s="216"/>
      <c r="H196" s="276"/>
      <c r="I196" s="33">
        <f>1.65*1.23</f>
        <v>2.0295</v>
      </c>
      <c r="J196" s="94"/>
      <c r="K196" s="66"/>
      <c r="L196" s="34">
        <f>E196*K196*1000</f>
        <v>0</v>
      </c>
      <c r="M196" s="66"/>
      <c r="N196" s="34">
        <f>E196*M196*1000</f>
        <v>0</v>
      </c>
      <c r="O196" s="75">
        <f>11.5*1.23</f>
        <v>14.145</v>
      </c>
      <c r="P196" s="136">
        <v>0.00826</v>
      </c>
      <c r="Q196" s="136">
        <v>0.00833</v>
      </c>
      <c r="R196" s="117">
        <f>(Q196-P196)*150</f>
        <v>0.010500000000000093</v>
      </c>
      <c r="S196" s="159"/>
      <c r="T196" s="238"/>
      <c r="U196" s="121"/>
      <c r="V196" s="131"/>
      <c r="W196" s="122"/>
      <c r="X196" s="63"/>
      <c r="Y196" s="63"/>
      <c r="Z196" s="54"/>
      <c r="AA196" s="186"/>
    </row>
    <row r="197" spans="1:27" ht="12.75" hidden="1">
      <c r="A197" s="443"/>
      <c r="B197" s="259" t="s">
        <v>210</v>
      </c>
      <c r="C197" s="37" t="s">
        <v>206</v>
      </c>
      <c r="D197" s="58">
        <v>0.84162</v>
      </c>
      <c r="E197" s="87">
        <f>(D197-D193)*X$9*0.97</f>
        <v>1.919145000000005</v>
      </c>
      <c r="F197" s="274">
        <v>1.919</v>
      </c>
      <c r="G197" s="125"/>
      <c r="H197" s="277"/>
      <c r="I197" s="38">
        <f>15.78*1.23</f>
        <v>19.409399999999998</v>
      </c>
      <c r="J197" s="86"/>
      <c r="K197" s="59"/>
      <c r="L197" s="65">
        <f>E197*K197*1000</f>
        <v>0</v>
      </c>
      <c r="M197" s="59"/>
      <c r="N197" s="65">
        <f>E197*M197*1000</f>
        <v>0</v>
      </c>
      <c r="O197" s="146"/>
      <c r="P197" s="57">
        <v>0.01515</v>
      </c>
      <c r="Q197" s="57">
        <v>0.01541</v>
      </c>
      <c r="R197" s="207">
        <f>(Q197-P197)*150</f>
        <v>0.03899999999999997</v>
      </c>
      <c r="S197" s="254"/>
      <c r="T197" s="280"/>
      <c r="U197" s="71"/>
      <c r="V197" s="86"/>
      <c r="W197" s="41"/>
      <c r="X197" s="43">
        <v>26</v>
      </c>
      <c r="Y197" s="72">
        <v>14</v>
      </c>
      <c r="Z197" s="40"/>
      <c r="AA197" s="185"/>
    </row>
    <row r="198" spans="1:27" ht="12.75" hidden="1">
      <c r="A198" s="78"/>
      <c r="B198" s="142"/>
      <c r="C198" s="268"/>
      <c r="D198" s="33"/>
      <c r="E198" s="33"/>
      <c r="F198" s="265"/>
      <c r="G198" s="33"/>
      <c r="H198" s="265"/>
      <c r="I198" s="33"/>
      <c r="J198" s="94"/>
      <c r="K198" s="77"/>
      <c r="L198" s="77"/>
      <c r="M198" s="77"/>
      <c r="N198" s="77"/>
      <c r="O198" s="77"/>
      <c r="P198" s="257">
        <v>0.33452</v>
      </c>
      <c r="Q198" s="257">
        <v>0.3369</v>
      </c>
      <c r="R198" s="117">
        <f>(Q198-P198)*150-0.031</f>
        <v>0.32599999999999896</v>
      </c>
      <c r="S198" s="159"/>
      <c r="T198" s="238"/>
      <c r="U198" s="88"/>
      <c r="V198" s="94"/>
      <c r="W198" s="104"/>
      <c r="X198" s="45"/>
      <c r="Y198" s="81"/>
      <c r="Z198" s="84"/>
      <c r="AA198" s="186"/>
    </row>
    <row r="199" spans="1:27" ht="12.75" hidden="1">
      <c r="A199" s="78"/>
      <c r="B199" s="102"/>
      <c r="C199" s="33"/>
      <c r="D199" s="33"/>
      <c r="E199" s="33"/>
      <c r="F199" s="265"/>
      <c r="G199" s="265"/>
      <c r="H199" s="265"/>
      <c r="I199" s="33"/>
      <c r="J199" s="94"/>
      <c r="K199" s="77"/>
      <c r="L199" s="77"/>
      <c r="M199" s="77"/>
      <c r="N199" s="77"/>
      <c r="O199" s="77"/>
      <c r="P199" s="157">
        <v>0.98393</v>
      </c>
      <c r="Q199" s="157">
        <v>0.99551</v>
      </c>
      <c r="R199" s="117">
        <f>(Q199-P199)*150-0.124</f>
        <v>1.6130000000000053</v>
      </c>
      <c r="S199" s="159"/>
      <c r="T199" s="238"/>
      <c r="U199" s="88"/>
      <c r="V199" s="94"/>
      <c r="W199" s="104"/>
      <c r="X199" s="45"/>
      <c r="Y199" s="81"/>
      <c r="Z199" s="84"/>
      <c r="AA199" s="186"/>
    </row>
    <row r="200" spans="1:27" ht="12.75" hidden="1">
      <c r="A200" s="442"/>
      <c r="B200" s="73" t="s">
        <v>213</v>
      </c>
      <c r="C200" s="268"/>
      <c r="D200" s="176">
        <v>0.33437</v>
      </c>
      <c r="E200" s="118">
        <f>(D200-D196)*X$9*0.97</f>
        <v>0.29827499999999946</v>
      </c>
      <c r="F200" s="278">
        <v>0.298</v>
      </c>
      <c r="G200" s="216"/>
      <c r="H200" s="276"/>
      <c r="I200" s="33">
        <f>1.65*1.23</f>
        <v>2.0295</v>
      </c>
      <c r="J200" s="94"/>
      <c r="K200" s="66"/>
      <c r="L200" s="34">
        <f>E200*K200*1000</f>
        <v>0</v>
      </c>
      <c r="M200" s="66"/>
      <c r="N200" s="34">
        <f>E200*M200*1000</f>
        <v>0</v>
      </c>
      <c r="O200" s="75">
        <f>11.5*1.23</f>
        <v>14.145</v>
      </c>
      <c r="P200" s="136">
        <v>0.00833</v>
      </c>
      <c r="Q200" s="136">
        <v>0.00834</v>
      </c>
      <c r="R200" s="117">
        <f>(Q200-P200)*150</f>
        <v>0.0014999999999999389</v>
      </c>
      <c r="S200" s="159"/>
      <c r="T200" s="238"/>
      <c r="U200" s="121"/>
      <c r="V200" s="131"/>
      <c r="W200" s="122"/>
      <c r="X200" s="63"/>
      <c r="Y200" s="63"/>
      <c r="Z200" s="54"/>
      <c r="AA200" s="186"/>
    </row>
    <row r="201" spans="1:27" ht="12.75" hidden="1">
      <c r="A201" s="443"/>
      <c r="B201" s="259" t="s">
        <v>212</v>
      </c>
      <c r="C201" s="37" t="s">
        <v>211</v>
      </c>
      <c r="D201" s="58">
        <v>0.8499</v>
      </c>
      <c r="E201" s="87">
        <f>(D201-D197)*X$9*0.97</f>
        <v>1.2047399999999933</v>
      </c>
      <c r="F201" s="274">
        <v>1.205</v>
      </c>
      <c r="G201" s="125"/>
      <c r="H201" s="277"/>
      <c r="I201" s="38">
        <f>15.78*1.23</f>
        <v>19.409399999999998</v>
      </c>
      <c r="J201" s="86"/>
      <c r="K201" s="59"/>
      <c r="L201" s="65">
        <f>E201*K201*1000</f>
        <v>0</v>
      </c>
      <c r="M201" s="59"/>
      <c r="N201" s="65">
        <f>E201*M201*1000</f>
        <v>0</v>
      </c>
      <c r="O201" s="146"/>
      <c r="P201" s="57">
        <v>0.01541</v>
      </c>
      <c r="Q201" s="57">
        <v>0.01546</v>
      </c>
      <c r="R201" s="207">
        <f>(Q201-P201)*150</f>
        <v>0.007499999999999955</v>
      </c>
      <c r="S201" s="254"/>
      <c r="T201" s="280"/>
      <c r="U201" s="71"/>
      <c r="V201" s="86"/>
      <c r="W201" s="41"/>
      <c r="X201" s="43">
        <v>26</v>
      </c>
      <c r="Y201" s="72">
        <v>11</v>
      </c>
      <c r="Z201" s="40"/>
      <c r="AA201" s="185"/>
    </row>
    <row r="202" spans="1:27" ht="12.75" hidden="1">
      <c r="A202" s="78"/>
      <c r="B202" s="142"/>
      <c r="C202" s="268"/>
      <c r="D202" s="33"/>
      <c r="E202" s="33"/>
      <c r="F202" s="265"/>
      <c r="G202" s="33"/>
      <c r="H202" s="265"/>
      <c r="I202" s="33"/>
      <c r="J202" s="94"/>
      <c r="K202" s="77"/>
      <c r="L202" s="77"/>
      <c r="M202" s="77"/>
      <c r="N202" s="77"/>
      <c r="O202" s="77"/>
      <c r="P202" s="257">
        <v>0.3369</v>
      </c>
      <c r="Q202" s="257">
        <v>0.33915</v>
      </c>
      <c r="R202" s="117">
        <f>(Q202-P202)*150-0.023</f>
        <v>0.31450000000000444</v>
      </c>
      <c r="S202" s="159"/>
      <c r="T202" s="238"/>
      <c r="U202" s="88"/>
      <c r="V202" s="94"/>
      <c r="W202" s="104"/>
      <c r="X202" s="45"/>
      <c r="Y202" s="81"/>
      <c r="Z202" s="84"/>
      <c r="AA202" s="186"/>
    </row>
    <row r="203" spans="1:27" ht="12.75" hidden="1">
      <c r="A203" s="78"/>
      <c r="B203" s="102"/>
      <c r="C203" s="33"/>
      <c r="D203" s="33"/>
      <c r="E203" s="33"/>
      <c r="F203" s="265"/>
      <c r="G203" s="265"/>
      <c r="H203" s="265"/>
      <c r="I203" s="33"/>
      <c r="J203" s="94"/>
      <c r="K203" s="77"/>
      <c r="L203" s="77"/>
      <c r="M203" s="77"/>
      <c r="N203" s="77"/>
      <c r="O203" s="77"/>
      <c r="P203" s="157">
        <v>0.99551</v>
      </c>
      <c r="Q203" s="157">
        <v>1.00654</v>
      </c>
      <c r="R203" s="117">
        <f>(Q203-P203)*150-0.092</f>
        <v>1.5624999999999976</v>
      </c>
      <c r="S203" s="159"/>
      <c r="T203" s="238"/>
      <c r="U203" s="88"/>
      <c r="V203" s="94"/>
      <c r="W203" s="104"/>
      <c r="X203" s="45"/>
      <c r="Y203" s="81"/>
      <c r="Z203" s="84"/>
      <c r="AA203" s="186"/>
    </row>
    <row r="204" spans="1:27" ht="12.75" hidden="1">
      <c r="A204" s="442"/>
      <c r="B204" s="73" t="s">
        <v>216</v>
      </c>
      <c r="C204" s="268"/>
      <c r="D204" s="176">
        <v>0.33588</v>
      </c>
      <c r="E204" s="118">
        <f>(D204-D200)*X$9*0.97</f>
        <v>0.21970500000000165</v>
      </c>
      <c r="F204" s="278">
        <v>0.22</v>
      </c>
      <c r="G204" s="216"/>
      <c r="H204" s="276"/>
      <c r="I204" s="33">
        <f>1.65*1.23</f>
        <v>2.0295</v>
      </c>
      <c r="J204" s="94"/>
      <c r="K204" s="66"/>
      <c r="L204" s="34">
        <f>E204*K204*1000</f>
        <v>0</v>
      </c>
      <c r="M204" s="66"/>
      <c r="N204" s="34">
        <f>E204*M204*1000</f>
        <v>0</v>
      </c>
      <c r="O204" s="75">
        <f>11.5*1.23</f>
        <v>14.145</v>
      </c>
      <c r="P204" s="136">
        <v>0.00834</v>
      </c>
      <c r="Q204" s="136">
        <v>0.00834</v>
      </c>
      <c r="R204" s="117">
        <f>(Q204-P204)*150</f>
        <v>0</v>
      </c>
      <c r="S204" s="159"/>
      <c r="T204" s="237"/>
      <c r="U204" s="121"/>
      <c r="V204" s="131"/>
      <c r="W204" s="122"/>
      <c r="X204" s="63"/>
      <c r="Y204" s="63"/>
      <c r="Z204" s="54"/>
      <c r="AA204" s="186"/>
    </row>
    <row r="205" spans="1:27" ht="12.75" hidden="1">
      <c r="A205" s="443"/>
      <c r="B205" s="259" t="s">
        <v>215</v>
      </c>
      <c r="C205" s="37" t="s">
        <v>214</v>
      </c>
      <c r="D205" s="58">
        <v>0.85603</v>
      </c>
      <c r="E205" s="87">
        <f>(D205-D201)*X$9*0.97</f>
        <v>0.8919149999999955</v>
      </c>
      <c r="F205" s="274">
        <v>0.892</v>
      </c>
      <c r="G205" s="125"/>
      <c r="H205" s="277"/>
      <c r="I205" s="38">
        <f>15.78*1.23</f>
        <v>19.409399999999998</v>
      </c>
      <c r="J205" s="86"/>
      <c r="K205" s="59"/>
      <c r="L205" s="65">
        <f>E205*K205*1000</f>
        <v>0</v>
      </c>
      <c r="M205" s="59"/>
      <c r="N205" s="65">
        <f>E205*M205*1000</f>
        <v>0</v>
      </c>
      <c r="O205" s="146"/>
      <c r="P205" s="57">
        <v>0.01546</v>
      </c>
      <c r="Q205" s="57">
        <v>0.01547</v>
      </c>
      <c r="R205" s="207">
        <f>(Q205-P205)*150</f>
        <v>0.0014999999999999389</v>
      </c>
      <c r="S205" s="254"/>
      <c r="T205" s="280"/>
      <c r="U205" s="71"/>
      <c r="V205" s="86"/>
      <c r="W205" s="41"/>
      <c r="X205" s="43">
        <v>26</v>
      </c>
      <c r="Y205" s="72">
        <v>9</v>
      </c>
      <c r="Z205" s="40"/>
      <c r="AA205" s="185"/>
    </row>
    <row r="206" spans="1:27" ht="12.75" hidden="1">
      <c r="A206" s="78"/>
      <c r="B206" s="142"/>
      <c r="C206" s="268"/>
      <c r="D206" s="33"/>
      <c r="E206" s="33"/>
      <c r="F206" s="265"/>
      <c r="G206" s="33"/>
      <c r="H206" s="265"/>
      <c r="I206" s="33"/>
      <c r="J206" s="94"/>
      <c r="K206" s="77"/>
      <c r="L206" s="77"/>
      <c r="M206" s="77"/>
      <c r="N206" s="77"/>
      <c r="O206" s="77"/>
      <c r="P206" s="257">
        <v>0.33915</v>
      </c>
      <c r="Q206" s="257">
        <v>0.34132</v>
      </c>
      <c r="R206" s="117">
        <f>(Q206-P206)*150-0.028</f>
        <v>0.29750000000000076</v>
      </c>
      <c r="S206" s="159"/>
      <c r="T206" s="238"/>
      <c r="U206" s="88"/>
      <c r="V206" s="94"/>
      <c r="W206" s="104"/>
      <c r="X206" s="45"/>
      <c r="Y206" s="81"/>
      <c r="Z206" s="84"/>
      <c r="AA206" s="186"/>
    </row>
    <row r="207" spans="1:27" ht="12.75" hidden="1">
      <c r="A207" s="78"/>
      <c r="B207" s="102"/>
      <c r="C207" s="33"/>
      <c r="D207" s="33"/>
      <c r="E207" s="33"/>
      <c r="F207" s="265"/>
      <c r="G207" s="265"/>
      <c r="H207" s="265"/>
      <c r="I207" s="33"/>
      <c r="J207" s="94"/>
      <c r="K207" s="77"/>
      <c r="L207" s="77"/>
      <c r="M207" s="77"/>
      <c r="N207" s="77"/>
      <c r="O207" s="77"/>
      <c r="P207" s="157">
        <v>1.00654</v>
      </c>
      <c r="Q207" s="157">
        <v>1.01793</v>
      </c>
      <c r="R207" s="117">
        <f>(Q207-P207)*150-0.158</f>
        <v>1.5505000000000018</v>
      </c>
      <c r="S207" s="159"/>
      <c r="T207" s="238"/>
      <c r="U207" s="88"/>
      <c r="V207" s="94"/>
      <c r="W207" s="104"/>
      <c r="X207" s="45"/>
      <c r="Y207" s="81"/>
      <c r="Z207" s="84"/>
      <c r="AA207" s="186"/>
    </row>
    <row r="208" spans="1:27" ht="12.75" hidden="1">
      <c r="A208" s="442"/>
      <c r="B208" s="73" t="s">
        <v>232</v>
      </c>
      <c r="C208" s="268"/>
      <c r="D208" s="176">
        <v>0.33772</v>
      </c>
      <c r="E208" s="118">
        <f>(D208-D204)*X$9*0.97</f>
        <v>0.2677200000000012</v>
      </c>
      <c r="F208" s="278">
        <v>0.268</v>
      </c>
      <c r="G208" s="216"/>
      <c r="H208" s="276"/>
      <c r="I208" s="33">
        <f>1.65*1.23</f>
        <v>2.0295</v>
      </c>
      <c r="J208" s="94"/>
      <c r="K208" s="66"/>
      <c r="L208" s="34">
        <f>E208*K208*1000</f>
        <v>0</v>
      </c>
      <c r="M208" s="66"/>
      <c r="N208" s="34">
        <f>E208*M208*1000</f>
        <v>0</v>
      </c>
      <c r="O208" s="75">
        <f>11.5*1.23</f>
        <v>14.145</v>
      </c>
      <c r="P208" s="136">
        <v>0.00834</v>
      </c>
      <c r="Q208" s="136">
        <v>0.00836</v>
      </c>
      <c r="R208" s="117">
        <f>(Q208-P208)*150</f>
        <v>0.0029999999999998778</v>
      </c>
      <c r="S208" s="159"/>
      <c r="T208" s="238"/>
      <c r="U208" s="121"/>
      <c r="V208" s="131"/>
      <c r="W208" s="122"/>
      <c r="X208" s="63"/>
      <c r="Y208" s="63"/>
      <c r="Z208" s="54"/>
      <c r="AA208" s="186"/>
    </row>
    <row r="209" spans="1:27" ht="12.75" hidden="1">
      <c r="A209" s="443"/>
      <c r="B209" s="259" t="s">
        <v>231</v>
      </c>
      <c r="C209" s="37" t="s">
        <v>216</v>
      </c>
      <c r="D209" s="58">
        <v>0.86659</v>
      </c>
      <c r="E209" s="87">
        <f>(D209-D205)*X$9*0.97</f>
        <v>1.536480000000002</v>
      </c>
      <c r="F209" s="274">
        <v>1.536</v>
      </c>
      <c r="G209" s="125"/>
      <c r="H209" s="277"/>
      <c r="I209" s="38">
        <f>15.78*1.23</f>
        <v>19.409399999999998</v>
      </c>
      <c r="J209" s="86"/>
      <c r="K209" s="59"/>
      <c r="L209" s="65">
        <f>E209*K209*1000</f>
        <v>0</v>
      </c>
      <c r="M209" s="59"/>
      <c r="N209" s="65">
        <f>E209*M209*1000</f>
        <v>0</v>
      </c>
      <c r="O209" s="146"/>
      <c r="P209" s="57">
        <v>0.01547</v>
      </c>
      <c r="Q209" s="57">
        <v>0.0156</v>
      </c>
      <c r="R209" s="207">
        <f>(Q209-P209)*150</f>
        <v>0.019499999999999986</v>
      </c>
      <c r="S209" s="254"/>
      <c r="T209" s="280"/>
      <c r="U209" s="71"/>
      <c r="V209" s="86"/>
      <c r="W209" s="41"/>
      <c r="X209" s="43">
        <v>26</v>
      </c>
      <c r="Y209" s="72">
        <v>9</v>
      </c>
      <c r="Z209" s="40"/>
      <c r="AA209" s="185"/>
    </row>
    <row r="210" spans="1:27" ht="12.75" hidden="1">
      <c r="A210" s="78"/>
      <c r="B210" s="142"/>
      <c r="C210" s="268"/>
      <c r="D210" s="33"/>
      <c r="E210" s="33"/>
      <c r="F210" s="265"/>
      <c r="G210" s="33"/>
      <c r="H210" s="265"/>
      <c r="I210" s="33"/>
      <c r="J210" s="94"/>
      <c r="K210" s="77"/>
      <c r="L210" s="77"/>
      <c r="M210" s="77"/>
      <c r="N210" s="77"/>
      <c r="O210" s="77"/>
      <c r="P210" s="257">
        <v>0.34132</v>
      </c>
      <c r="Q210" s="257">
        <v>0.34349</v>
      </c>
      <c r="R210" s="117">
        <f>(Q210-P210)*150-0.017</f>
        <v>0.3085000000000008</v>
      </c>
      <c r="S210" s="159"/>
      <c r="T210" s="238"/>
      <c r="U210" s="88"/>
      <c r="V210" s="94"/>
      <c r="W210" s="104"/>
      <c r="X210" s="45"/>
      <c r="Y210" s="81"/>
      <c r="Z210" s="84"/>
      <c r="AA210" s="186"/>
    </row>
    <row r="211" spans="1:27" ht="12.75" hidden="1">
      <c r="A211" s="78"/>
      <c r="B211" s="102"/>
      <c r="C211" s="33"/>
      <c r="D211" s="33"/>
      <c r="E211" s="33"/>
      <c r="F211" s="265"/>
      <c r="G211" s="265"/>
      <c r="H211" s="265"/>
      <c r="I211" s="33"/>
      <c r="J211" s="94"/>
      <c r="K211" s="77"/>
      <c r="L211" s="77"/>
      <c r="M211" s="77"/>
      <c r="N211" s="77"/>
      <c r="O211" s="77"/>
      <c r="P211" s="157">
        <v>1.01793</v>
      </c>
      <c r="Q211" s="157">
        <v>1.02955</v>
      </c>
      <c r="R211" s="117">
        <f>(Q211-P211)*150-0.111</f>
        <v>1.6319999999999946</v>
      </c>
      <c r="S211" s="159"/>
      <c r="T211" s="238"/>
      <c r="U211" s="88"/>
      <c r="V211" s="94"/>
      <c r="W211" s="104"/>
      <c r="X211" s="45"/>
      <c r="Y211" s="81"/>
      <c r="Z211" s="84"/>
      <c r="AA211" s="186"/>
    </row>
    <row r="212" spans="1:27" ht="12.75" hidden="1">
      <c r="A212" s="442"/>
      <c r="B212" s="73" t="s">
        <v>237</v>
      </c>
      <c r="C212" s="268"/>
      <c r="D212" s="176">
        <v>0.33888</v>
      </c>
      <c r="E212" s="118">
        <f>(D212-D208)*X$9*0.97</f>
        <v>0.16877999999999918</v>
      </c>
      <c r="F212" s="278">
        <v>0.169</v>
      </c>
      <c r="G212" s="216"/>
      <c r="H212" s="276"/>
      <c r="I212" s="33">
        <f>1.65*1.23</f>
        <v>2.0295</v>
      </c>
      <c r="J212" s="94"/>
      <c r="K212" s="66"/>
      <c r="L212" s="34">
        <f>E212*K212*1000</f>
        <v>0</v>
      </c>
      <c r="M212" s="66"/>
      <c r="N212" s="34">
        <f>E212*M212*1000</f>
        <v>0</v>
      </c>
      <c r="O212" s="75">
        <f>11.5*1.23</f>
        <v>14.145</v>
      </c>
      <c r="P212" s="136">
        <v>0.00836</v>
      </c>
      <c r="Q212" s="136">
        <v>0.00836</v>
      </c>
      <c r="R212" s="117">
        <f>(Q212-P212)*150</f>
        <v>0</v>
      </c>
      <c r="S212" s="159"/>
      <c r="T212" s="237"/>
      <c r="U212" s="121"/>
      <c r="V212" s="131"/>
      <c r="W212" s="122"/>
      <c r="X212" s="63"/>
      <c r="Y212" s="63"/>
      <c r="Z212" s="54"/>
      <c r="AA212" s="186"/>
    </row>
    <row r="213" spans="1:27" ht="12.75" hidden="1">
      <c r="A213" s="443"/>
      <c r="B213" s="259" t="s">
        <v>236</v>
      </c>
      <c r="C213" s="37" t="s">
        <v>235</v>
      </c>
      <c r="D213" s="58">
        <v>0.87398</v>
      </c>
      <c r="E213" s="87">
        <f>(D213-D209)*X$9*0.97</f>
        <v>1.0752450000000011</v>
      </c>
      <c r="F213" s="274">
        <v>1.075</v>
      </c>
      <c r="G213" s="125"/>
      <c r="H213" s="277"/>
      <c r="I213" s="38">
        <f>15.78*1.23</f>
        <v>19.409399999999998</v>
      </c>
      <c r="J213" s="86"/>
      <c r="K213" s="59"/>
      <c r="L213" s="65">
        <f>E213*K213*1000</f>
        <v>0</v>
      </c>
      <c r="M213" s="59"/>
      <c r="N213" s="65">
        <f>E213*M213*1000</f>
        <v>0</v>
      </c>
      <c r="O213" s="146"/>
      <c r="P213" s="57">
        <v>0.0156</v>
      </c>
      <c r="Q213" s="57">
        <v>0.0156</v>
      </c>
      <c r="R213" s="207">
        <f>(Q213-P213)*150</f>
        <v>0</v>
      </c>
      <c r="S213" s="254"/>
      <c r="T213" s="239"/>
      <c r="U213" s="71"/>
      <c r="V213" s="86"/>
      <c r="W213" s="41"/>
      <c r="X213" s="43">
        <v>26</v>
      </c>
      <c r="Y213" s="72">
        <v>4</v>
      </c>
      <c r="Z213" s="40"/>
      <c r="AA213" s="185"/>
    </row>
    <row r="214" spans="1:27" ht="12.75" hidden="1">
      <c r="A214" s="78"/>
      <c r="B214" s="142"/>
      <c r="C214" s="268"/>
      <c r="D214" s="33"/>
      <c r="E214" s="33"/>
      <c r="F214" s="265"/>
      <c r="G214" s="33"/>
      <c r="H214" s="265"/>
      <c r="I214" s="33"/>
      <c r="J214" s="94"/>
      <c r="K214" s="77"/>
      <c r="L214" s="77"/>
      <c r="M214" s="77"/>
      <c r="N214" s="77"/>
      <c r="O214" s="77"/>
      <c r="P214" s="257">
        <v>0.34349</v>
      </c>
      <c r="Q214" s="257">
        <v>0.34621</v>
      </c>
      <c r="R214" s="117">
        <f>(Q214-P214)*150-0.022</f>
        <v>0.386</v>
      </c>
      <c r="S214" s="159"/>
      <c r="T214" s="238"/>
      <c r="U214" s="88"/>
      <c r="V214" s="94"/>
      <c r="W214" s="104"/>
      <c r="X214" s="45"/>
      <c r="Y214" s="81"/>
      <c r="Z214" s="84"/>
      <c r="AA214" s="186"/>
    </row>
    <row r="215" spans="1:27" ht="12.75" hidden="1">
      <c r="A215" s="78"/>
      <c r="B215" s="102"/>
      <c r="C215" s="33"/>
      <c r="D215" s="33"/>
      <c r="E215" s="33"/>
      <c r="F215" s="265"/>
      <c r="G215" s="265"/>
      <c r="H215" s="265"/>
      <c r="I215" s="33"/>
      <c r="J215" s="94"/>
      <c r="K215" s="77"/>
      <c r="L215" s="77"/>
      <c r="M215" s="77"/>
      <c r="N215" s="77"/>
      <c r="O215" s="77"/>
      <c r="P215" s="157">
        <v>1.02955</v>
      </c>
      <c r="Q215" s="157">
        <v>1.04017</v>
      </c>
      <c r="R215" s="117">
        <f>(Q215-P215)*150-0.093</f>
        <v>1.500000000000011</v>
      </c>
      <c r="S215" s="159"/>
      <c r="T215" s="238"/>
      <c r="U215" s="88"/>
      <c r="V215" s="94"/>
      <c r="W215" s="104"/>
      <c r="X215" s="45"/>
      <c r="Y215" s="81"/>
      <c r="Z215" s="84"/>
      <c r="AA215" s="186"/>
    </row>
    <row r="216" spans="1:27" ht="12.75" hidden="1">
      <c r="A216" s="442"/>
      <c r="B216" s="73" t="s">
        <v>241</v>
      </c>
      <c r="C216" s="268"/>
      <c r="D216" s="176">
        <v>0.34032</v>
      </c>
      <c r="E216" s="118">
        <f>(D216-D212)*X$9*0.97</f>
        <v>0.20951999999999954</v>
      </c>
      <c r="F216" s="278">
        <v>0.21</v>
      </c>
      <c r="G216" s="216"/>
      <c r="H216" s="276"/>
      <c r="I216" s="33">
        <f>1.65*1.23</f>
        <v>2.0295</v>
      </c>
      <c r="J216" s="94"/>
      <c r="K216" s="66"/>
      <c r="L216" s="34">
        <f>E216*K216*1000</f>
        <v>0</v>
      </c>
      <c r="M216" s="66"/>
      <c r="N216" s="34">
        <f>E216*M216*1000</f>
        <v>0</v>
      </c>
      <c r="O216" s="75">
        <f>11.5*1.23</f>
        <v>14.145</v>
      </c>
      <c r="P216" s="136">
        <v>0.00836</v>
      </c>
      <c r="Q216" s="136">
        <v>0.00836</v>
      </c>
      <c r="R216" s="117">
        <f>(Q216-P216)*150</f>
        <v>0</v>
      </c>
      <c r="S216" s="159"/>
      <c r="T216" s="237"/>
      <c r="U216" s="121"/>
      <c r="V216" s="131"/>
      <c r="W216" s="122"/>
      <c r="X216" s="63"/>
      <c r="Y216" s="63"/>
      <c r="Z216" s="54"/>
      <c r="AA216" s="186"/>
    </row>
    <row r="217" spans="1:27" ht="12.75" hidden="1">
      <c r="A217" s="443"/>
      <c r="B217" s="259" t="s">
        <v>239</v>
      </c>
      <c r="C217" s="37" t="s">
        <v>238</v>
      </c>
      <c r="D217" s="58">
        <v>0.88015</v>
      </c>
      <c r="E217" s="87">
        <f>(D217-D213)*X$9*0.97</f>
        <v>0.8977350000000013</v>
      </c>
      <c r="F217" s="274">
        <v>0.898</v>
      </c>
      <c r="G217" s="125"/>
      <c r="H217" s="277"/>
      <c r="I217" s="38">
        <f>15.78*1.23</f>
        <v>19.409399999999998</v>
      </c>
      <c r="J217" s="86"/>
      <c r="K217" s="59"/>
      <c r="L217" s="65">
        <f>E217*K217*1000</f>
        <v>0</v>
      </c>
      <c r="M217" s="59"/>
      <c r="N217" s="65">
        <f>E217*M217*1000</f>
        <v>0</v>
      </c>
      <c r="O217" s="146"/>
      <c r="P217" s="57">
        <v>0.0156</v>
      </c>
      <c r="Q217" s="57">
        <v>0.0156</v>
      </c>
      <c r="R217" s="207">
        <f>(Q217-P217)*150</f>
        <v>0</v>
      </c>
      <c r="S217" s="254"/>
      <c r="T217" s="239"/>
      <c r="U217" s="71"/>
      <c r="V217" s="86"/>
      <c r="W217" s="41"/>
      <c r="X217" s="43">
        <v>26</v>
      </c>
      <c r="Y217" s="72">
        <v>3</v>
      </c>
      <c r="Z217" s="40"/>
      <c r="AA217" s="185"/>
    </row>
    <row r="218" spans="1:27" ht="12.75" hidden="1">
      <c r="A218" s="78"/>
      <c r="B218" s="142"/>
      <c r="C218" s="268"/>
      <c r="D218" s="33"/>
      <c r="E218" s="33"/>
      <c r="F218" s="265"/>
      <c r="G218" s="33"/>
      <c r="H218" s="265"/>
      <c r="I218" s="33"/>
      <c r="J218" s="94"/>
      <c r="K218" s="77"/>
      <c r="L218" s="77"/>
      <c r="M218" s="77"/>
      <c r="N218" s="77"/>
      <c r="O218" s="77"/>
      <c r="P218" s="257">
        <v>0.34621</v>
      </c>
      <c r="Q218" s="257">
        <v>0.34957</v>
      </c>
      <c r="R218" s="117">
        <f>(Q218-P218)*150-0.053</f>
        <v>0.4509999999999961</v>
      </c>
      <c r="S218" s="159"/>
      <c r="T218" s="238"/>
      <c r="U218" s="88"/>
      <c r="V218" s="94"/>
      <c r="W218" s="104"/>
      <c r="X218" s="45"/>
      <c r="Y218" s="81"/>
      <c r="Z218" s="84"/>
      <c r="AA218" s="186"/>
    </row>
    <row r="219" spans="1:27" ht="12.75" hidden="1">
      <c r="A219" s="442"/>
      <c r="B219" s="102"/>
      <c r="C219" s="33"/>
      <c r="D219" s="33"/>
      <c r="E219" s="33"/>
      <c r="F219" s="265"/>
      <c r="G219" s="265"/>
      <c r="H219" s="265"/>
      <c r="I219" s="33"/>
      <c r="J219" s="94"/>
      <c r="K219" s="77"/>
      <c r="L219" s="77"/>
      <c r="M219" s="77"/>
      <c r="N219" s="77"/>
      <c r="O219" s="77"/>
      <c r="P219" s="157">
        <v>1.04017</v>
      </c>
      <c r="Q219" s="157">
        <v>1.05047</v>
      </c>
      <c r="R219" s="117">
        <f>(Q219-P219)*150-0.156</f>
        <v>1.3889999999999965</v>
      </c>
      <c r="S219" s="159"/>
      <c r="T219" s="238"/>
      <c r="U219" s="88"/>
      <c r="V219" s="94"/>
      <c r="W219" s="104"/>
      <c r="X219" s="45"/>
      <c r="Y219" s="81"/>
      <c r="Z219" s="84"/>
      <c r="AA219" s="186"/>
    </row>
    <row r="220" spans="1:27" ht="12.75" hidden="1">
      <c r="A220" s="443"/>
      <c r="B220" s="73" t="s">
        <v>243</v>
      </c>
      <c r="C220" s="268"/>
      <c r="D220" s="176">
        <v>0.34385</v>
      </c>
      <c r="E220" s="118">
        <f>(D220-D216)*X$9*0.97</f>
        <v>0.5136149999999967</v>
      </c>
      <c r="F220" s="278">
        <v>0.514</v>
      </c>
      <c r="G220" s="216"/>
      <c r="H220" s="276"/>
      <c r="I220" s="33">
        <f>1.65*1.23</f>
        <v>2.0295</v>
      </c>
      <c r="J220" s="94"/>
      <c r="K220" s="66"/>
      <c r="L220" s="34">
        <f>E220*K220*1000</f>
        <v>0</v>
      </c>
      <c r="M220" s="66"/>
      <c r="N220" s="34">
        <f>E220*M220*1000</f>
        <v>0</v>
      </c>
      <c r="O220" s="75">
        <f>11.5*1.23</f>
        <v>14.145</v>
      </c>
      <c r="P220" s="136">
        <v>0.00836</v>
      </c>
      <c r="Q220" s="136">
        <v>0.00841</v>
      </c>
      <c r="R220" s="117">
        <f>(Q220-P220)*150</f>
        <v>0.007500000000000215</v>
      </c>
      <c r="S220" s="159"/>
      <c r="T220" s="238"/>
      <c r="U220" s="121"/>
      <c r="V220" s="131"/>
      <c r="W220" s="122"/>
      <c r="X220" s="63"/>
      <c r="Y220" s="63"/>
      <c r="Z220" s="54"/>
      <c r="AA220" s="186"/>
    </row>
    <row r="221" spans="1:27" ht="12.75" hidden="1">
      <c r="A221" s="78"/>
      <c r="B221" s="259" t="s">
        <v>242</v>
      </c>
      <c r="C221" s="37" t="s">
        <v>240</v>
      </c>
      <c r="D221" s="58">
        <v>0.89058</v>
      </c>
      <c r="E221" s="87">
        <f>(D221-D217)*X$9*0.97</f>
        <v>1.5175650000000074</v>
      </c>
      <c r="F221" s="274">
        <v>1.518</v>
      </c>
      <c r="G221" s="125"/>
      <c r="H221" s="277"/>
      <c r="I221" s="38">
        <f>15.78*1.23</f>
        <v>19.409399999999998</v>
      </c>
      <c r="J221" s="86"/>
      <c r="K221" s="59"/>
      <c r="L221" s="65">
        <f>E221*K221*1000</f>
        <v>0</v>
      </c>
      <c r="M221" s="59"/>
      <c r="N221" s="65">
        <f>E221*M221*1000</f>
        <v>0</v>
      </c>
      <c r="O221" s="146"/>
      <c r="P221" s="57">
        <v>0.0156</v>
      </c>
      <c r="Q221" s="57">
        <v>0.0157</v>
      </c>
      <c r="R221" s="207">
        <f>(Q221-P221)*150</f>
        <v>0.01499999999999991</v>
      </c>
      <c r="S221" s="254"/>
      <c r="T221" s="280"/>
      <c r="U221" s="71"/>
      <c r="V221" s="86"/>
      <c r="W221" s="41"/>
      <c r="X221" s="43">
        <v>26</v>
      </c>
      <c r="Y221" s="72">
        <v>7</v>
      </c>
      <c r="Z221" s="40"/>
      <c r="AA221" s="185"/>
    </row>
    <row r="222" spans="1:27" ht="12.75" hidden="1">
      <c r="A222" s="78"/>
      <c r="B222" s="142"/>
      <c r="C222" s="268"/>
      <c r="D222" s="33"/>
      <c r="E222" s="33"/>
      <c r="F222" s="265"/>
      <c r="G222" s="33"/>
      <c r="H222" s="265"/>
      <c r="I222" s="33"/>
      <c r="J222" s="94"/>
      <c r="K222" s="77"/>
      <c r="L222" s="77"/>
      <c r="M222" s="77"/>
      <c r="N222" s="77"/>
      <c r="O222" s="77"/>
      <c r="P222" s="257">
        <v>0.34957</v>
      </c>
      <c r="Q222" s="257">
        <v>0.35411</v>
      </c>
      <c r="R222" s="117">
        <f>(Q222-P222)*150-0.093</f>
        <v>0.5879999999999983</v>
      </c>
      <c r="S222" s="159"/>
      <c r="T222" s="238"/>
      <c r="U222" s="88"/>
      <c r="V222" s="94"/>
      <c r="W222" s="104"/>
      <c r="X222" s="45"/>
      <c r="Y222" s="81"/>
      <c r="Z222" s="84"/>
      <c r="AA222" s="186"/>
    </row>
    <row r="223" spans="1:27" ht="12.75" hidden="1">
      <c r="A223" s="442"/>
      <c r="B223" s="102"/>
      <c r="C223" s="33"/>
      <c r="D223" s="33"/>
      <c r="E223" s="33"/>
      <c r="F223" s="265"/>
      <c r="G223" s="265"/>
      <c r="H223" s="265"/>
      <c r="I223" s="33"/>
      <c r="J223" s="94"/>
      <c r="K223" s="77"/>
      <c r="L223" s="77"/>
      <c r="M223" s="77"/>
      <c r="N223" s="77"/>
      <c r="O223" s="77"/>
      <c r="P223" s="157">
        <v>1.05047</v>
      </c>
      <c r="Q223" s="157">
        <v>1.05949</v>
      </c>
      <c r="R223" s="117">
        <f>(Q223-P223)*150-0.182</f>
        <v>1.1710000000000043</v>
      </c>
      <c r="S223" s="159"/>
      <c r="T223" s="238"/>
      <c r="U223" s="88"/>
      <c r="V223" s="94"/>
      <c r="W223" s="104"/>
      <c r="X223" s="45"/>
      <c r="Y223" s="81"/>
      <c r="Z223" s="84"/>
      <c r="AA223" s="186"/>
    </row>
    <row r="224" spans="1:27" ht="12.75" hidden="1">
      <c r="A224" s="442"/>
      <c r="B224" s="73" t="s">
        <v>246</v>
      </c>
      <c r="C224" s="268"/>
      <c r="D224" s="176">
        <v>0.35005</v>
      </c>
      <c r="E224" s="118">
        <f>(D224-D220)*X$9*0.97</f>
        <v>0.9020999999999976</v>
      </c>
      <c r="F224" s="278">
        <v>0.902</v>
      </c>
      <c r="G224" s="216"/>
      <c r="H224" s="276"/>
      <c r="I224" s="33">
        <f>1.65*1.23</f>
        <v>2.0295</v>
      </c>
      <c r="J224" s="94"/>
      <c r="K224" s="66"/>
      <c r="L224" s="34">
        <f>E224*K224*1000</f>
        <v>0</v>
      </c>
      <c r="M224" s="66"/>
      <c r="N224" s="34">
        <f>E224*M224*1000</f>
        <v>0</v>
      </c>
      <c r="O224" s="75">
        <f>11.5*1.23</f>
        <v>14.145</v>
      </c>
      <c r="P224" s="136">
        <v>0.00841</v>
      </c>
      <c r="Q224" s="136">
        <v>0.00856</v>
      </c>
      <c r="R224" s="117">
        <f>(Q224-P224)*150</f>
        <v>0.022499999999999864</v>
      </c>
      <c r="S224" s="159"/>
      <c r="T224" s="238"/>
      <c r="U224" s="121"/>
      <c r="V224" s="131"/>
      <c r="W224" s="122"/>
      <c r="X224" s="63"/>
      <c r="Y224" s="63"/>
      <c r="Z224" s="54"/>
      <c r="AA224" s="186"/>
    </row>
    <row r="225" spans="1:27" ht="13.5" hidden="1" thickBot="1">
      <c r="A225" s="443"/>
      <c r="B225" s="259" t="s">
        <v>244</v>
      </c>
      <c r="C225" s="37" t="s">
        <v>245</v>
      </c>
      <c r="D225" s="58">
        <v>0.90274</v>
      </c>
      <c r="E225" s="87">
        <f>(D225-D221)*X$9*0.97</f>
        <v>1.7692799999999924</v>
      </c>
      <c r="F225" s="274">
        <v>1.769</v>
      </c>
      <c r="G225" s="125"/>
      <c r="H225" s="277"/>
      <c r="I225" s="38">
        <f>15.78*1.23</f>
        <v>19.409399999999998</v>
      </c>
      <c r="J225" s="86"/>
      <c r="K225" s="59"/>
      <c r="L225" s="65">
        <f>E225*K225*1000</f>
        <v>0</v>
      </c>
      <c r="M225" s="59"/>
      <c r="N225" s="65">
        <f>E225*M225*1000</f>
        <v>0</v>
      </c>
      <c r="O225" s="146"/>
      <c r="P225" s="57">
        <v>0.0157</v>
      </c>
      <c r="Q225" s="57">
        <v>0.01598</v>
      </c>
      <c r="R225" s="207">
        <f>(Q225-P225)*150</f>
        <v>0.04200000000000037</v>
      </c>
      <c r="S225" s="254"/>
      <c r="T225" s="280"/>
      <c r="U225" s="71"/>
      <c r="V225" s="86"/>
      <c r="W225" s="41"/>
      <c r="X225" s="43">
        <v>26</v>
      </c>
      <c r="Y225" s="72">
        <v>9</v>
      </c>
      <c r="Z225" s="40"/>
      <c r="AA225" s="185"/>
    </row>
    <row r="226" spans="1:27" ht="13.5" thickBot="1">
      <c r="A226" s="436" t="s">
        <v>285</v>
      </c>
      <c r="B226" s="437"/>
      <c r="C226" s="437"/>
      <c r="D226" s="438"/>
      <c r="E226" s="314"/>
      <c r="F226" s="13"/>
      <c r="G226" s="196"/>
      <c r="H226" s="262"/>
      <c r="I226" s="13"/>
      <c r="J226" s="13"/>
      <c r="K226" s="46"/>
      <c r="L226" s="46"/>
      <c r="M226" s="46"/>
      <c r="N226" s="46"/>
      <c r="O226" s="32"/>
      <c r="P226" s="32" t="s">
        <v>254</v>
      </c>
      <c r="Q226" s="212"/>
      <c r="R226" s="228"/>
      <c r="S226" s="232"/>
      <c r="T226" s="232"/>
      <c r="U226" s="226"/>
      <c r="V226" s="225"/>
      <c r="W226" s="284"/>
      <c r="X226" s="261"/>
      <c r="Y226" s="292"/>
      <c r="Z226" s="47"/>
      <c r="AA226" s="190"/>
    </row>
    <row r="227" spans="1:27" ht="13.5" thickBot="1">
      <c r="A227" s="439"/>
      <c r="B227" s="440"/>
      <c r="C227" s="440"/>
      <c r="D227" s="441"/>
      <c r="E227" s="61">
        <f>SUM(E178:E225)</f>
        <v>48.188145</v>
      </c>
      <c r="F227" s="222">
        <f>SUM(F178:F225)</f>
        <v>48.19000000000001</v>
      </c>
      <c r="G227" s="223"/>
      <c r="H227" s="224"/>
      <c r="I227" s="69"/>
      <c r="J227" s="69"/>
      <c r="K227" s="69"/>
      <c r="L227" s="69">
        <f>SUM(L180:L226)</f>
        <v>0</v>
      </c>
      <c r="M227" s="69"/>
      <c r="N227" s="69">
        <f>SUM(N180:N226)</f>
        <v>0</v>
      </c>
      <c r="O227" s="69">
        <f>SUM(O180:O226)</f>
        <v>208.76922102000006</v>
      </c>
      <c r="P227" s="48">
        <f>SUM(J227:O227)</f>
        <v>208.76922102000006</v>
      </c>
      <c r="Q227" s="48"/>
      <c r="R227" s="233"/>
      <c r="S227" s="220"/>
      <c r="T227" s="148"/>
      <c r="U227" s="234"/>
      <c r="V227" s="224"/>
      <c r="W227" s="223"/>
      <c r="X227" s="50">
        <v>26</v>
      </c>
      <c r="Y227" s="337">
        <f>SUM(Y181:Y225)/12</f>
        <v>12.5</v>
      </c>
      <c r="Z227" s="50"/>
      <c r="AA227" s="51"/>
    </row>
    <row r="228" spans="2:7" ht="15" hidden="1">
      <c r="B228" s="323" t="s">
        <v>247</v>
      </c>
      <c r="F228" s="231">
        <f>F227-E227</f>
        <v>0.0018550000000132627</v>
      </c>
      <c r="G228" s="98"/>
    </row>
    <row r="229" spans="1:27" ht="12.75" hidden="1">
      <c r="A229" s="78"/>
      <c r="B229" s="142"/>
      <c r="C229" s="268"/>
      <c r="D229" s="33">
        <v>350.05</v>
      </c>
      <c r="E229" s="33"/>
      <c r="F229" s="265"/>
      <c r="G229" s="33"/>
      <c r="H229" s="265"/>
      <c r="I229" s="33"/>
      <c r="J229" s="94"/>
      <c r="K229" s="77"/>
      <c r="L229" s="77"/>
      <c r="M229" s="77"/>
      <c r="N229" s="77"/>
      <c r="O229" s="77"/>
      <c r="P229" s="137">
        <v>354.11</v>
      </c>
      <c r="Q229" s="137">
        <v>359.2</v>
      </c>
      <c r="R229" s="162">
        <f>(Q229-P229)*150-120</f>
        <v>643.4999999999962</v>
      </c>
      <c r="S229" s="159"/>
      <c r="T229" s="238"/>
      <c r="U229" s="88"/>
      <c r="V229" s="94"/>
      <c r="W229" s="104"/>
      <c r="X229" s="45"/>
      <c r="Y229" s="81"/>
      <c r="Z229" s="84"/>
      <c r="AA229" s="186"/>
    </row>
    <row r="230" spans="1:27" ht="12.75" hidden="1">
      <c r="A230" s="78"/>
      <c r="B230" s="102"/>
      <c r="C230" s="33"/>
      <c r="D230" s="33">
        <v>902.74</v>
      </c>
      <c r="E230" s="33"/>
      <c r="F230" s="265"/>
      <c r="G230" s="265"/>
      <c r="H230" s="265"/>
      <c r="I230" s="33"/>
      <c r="J230" s="94"/>
      <c r="K230" s="77"/>
      <c r="L230" s="77"/>
      <c r="M230" s="77"/>
      <c r="N230" s="77"/>
      <c r="O230" s="77"/>
      <c r="P230" s="120">
        <v>1059.49</v>
      </c>
      <c r="Q230" s="120">
        <v>1069.74</v>
      </c>
      <c r="R230" s="162">
        <f>(Q230-P230)*150-246</f>
        <v>1291.5</v>
      </c>
      <c r="S230" s="159"/>
      <c r="T230" s="238"/>
      <c r="U230" s="88"/>
      <c r="V230" s="94"/>
      <c r="W230" s="104"/>
      <c r="X230" s="45"/>
      <c r="Y230" s="81"/>
      <c r="Z230" s="84"/>
      <c r="AA230" s="186"/>
    </row>
    <row r="231" spans="1:27" ht="12.75" hidden="1">
      <c r="A231" s="442"/>
      <c r="B231" s="73"/>
      <c r="C231" s="268"/>
      <c r="D231" s="33">
        <v>358.07</v>
      </c>
      <c r="E231" s="326">
        <f>(D231-D229)*X$9*0.97</f>
        <v>1166.9099999999974</v>
      </c>
      <c r="F231" s="353">
        <v>1167</v>
      </c>
      <c r="G231" s="216"/>
      <c r="H231" s="276"/>
      <c r="I231" s="33">
        <f>1.65*1.23</f>
        <v>2.0295</v>
      </c>
      <c r="J231" s="94"/>
      <c r="K231" s="66"/>
      <c r="L231" s="34">
        <f>E231*K231</f>
        <v>0</v>
      </c>
      <c r="M231" s="66"/>
      <c r="N231" s="34">
        <f>E231*M231</f>
        <v>0</v>
      </c>
      <c r="O231" s="75">
        <f>11.5*1.23</f>
        <v>14.145</v>
      </c>
      <c r="P231" s="75">
        <v>8.56</v>
      </c>
      <c r="Q231" s="75">
        <v>8.68</v>
      </c>
      <c r="R231" s="162">
        <f>(Q231-P231)*150</f>
        <v>17.999999999999883</v>
      </c>
      <c r="S231" s="159"/>
      <c r="T231" s="238"/>
      <c r="U231" s="121"/>
      <c r="V231" s="131"/>
      <c r="W231" s="122"/>
      <c r="X231" s="63"/>
      <c r="Y231" s="63"/>
      <c r="Z231" s="54"/>
      <c r="AA231" s="186"/>
    </row>
    <row r="232" spans="1:27" ht="12.75" hidden="1">
      <c r="A232" s="443"/>
      <c r="B232" s="259" t="s">
        <v>248</v>
      </c>
      <c r="C232" s="37" t="s">
        <v>249</v>
      </c>
      <c r="D232" s="38">
        <v>919.15</v>
      </c>
      <c r="E232" s="327">
        <f>(D232-D230)*X$9*0.97</f>
        <v>2387.6549999999957</v>
      </c>
      <c r="F232" s="338">
        <v>2388</v>
      </c>
      <c r="G232" s="125"/>
      <c r="H232" s="277"/>
      <c r="I232" s="38">
        <f>15.78*1.23</f>
        <v>19.409399999999998</v>
      </c>
      <c r="J232" s="86"/>
      <c r="K232" s="59"/>
      <c r="L232" s="65">
        <f>E232*K232</f>
        <v>0</v>
      </c>
      <c r="M232" s="59"/>
      <c r="N232" s="65">
        <f>E232*M232</f>
        <v>0</v>
      </c>
      <c r="O232" s="146"/>
      <c r="P232" s="67">
        <v>15.98</v>
      </c>
      <c r="Q232" s="67">
        <v>16.23</v>
      </c>
      <c r="R232" s="260">
        <f>(Q232-P232)*150</f>
        <v>37.5</v>
      </c>
      <c r="S232" s="254"/>
      <c r="T232" s="280"/>
      <c r="U232" s="71"/>
      <c r="V232" s="86"/>
      <c r="W232" s="41"/>
      <c r="X232" s="43">
        <v>26</v>
      </c>
      <c r="Y232" s="72">
        <v>12</v>
      </c>
      <c r="Z232" s="40"/>
      <c r="AA232" s="185"/>
    </row>
    <row r="233" spans="1:27" ht="12.75" hidden="1">
      <c r="A233" s="78"/>
      <c r="B233" s="142"/>
      <c r="C233" s="268"/>
      <c r="D233" s="33"/>
      <c r="E233" s="33"/>
      <c r="F233" s="265"/>
      <c r="G233" s="33"/>
      <c r="H233" s="265"/>
      <c r="I233" s="33"/>
      <c r="J233" s="94"/>
      <c r="K233" s="77"/>
      <c r="L233" s="77"/>
      <c r="M233" s="77"/>
      <c r="N233" s="77"/>
      <c r="O233" s="77"/>
      <c r="P233" s="137">
        <v>359.2</v>
      </c>
      <c r="Q233" s="137">
        <v>364.07</v>
      </c>
      <c r="R233" s="162">
        <f>(Q233-P233)*150-126</f>
        <v>604.5000000000007</v>
      </c>
      <c r="S233" s="159"/>
      <c r="T233" s="238"/>
      <c r="U233" s="88"/>
      <c r="V233" s="94"/>
      <c r="W233" s="104"/>
      <c r="X233" s="45"/>
      <c r="Y233" s="81"/>
      <c r="Z233" s="84"/>
      <c r="AA233" s="186"/>
    </row>
    <row r="234" spans="1:27" ht="12.75" hidden="1">
      <c r="A234" s="78"/>
      <c r="B234" s="102"/>
      <c r="C234" s="33"/>
      <c r="D234" s="33"/>
      <c r="E234" s="33"/>
      <c r="F234" s="265"/>
      <c r="G234" s="265"/>
      <c r="H234" s="265"/>
      <c r="I234" s="33"/>
      <c r="J234" s="94"/>
      <c r="K234" s="77"/>
      <c r="L234" s="77"/>
      <c r="M234" s="77"/>
      <c r="N234" s="77"/>
      <c r="O234" s="77"/>
      <c r="P234" s="120">
        <v>1069.74</v>
      </c>
      <c r="Q234" s="120">
        <v>1079.69</v>
      </c>
      <c r="R234" s="162">
        <f>(Q234-P234)*150-255</f>
        <v>1237.5000000000068</v>
      </c>
      <c r="S234" s="159"/>
      <c r="T234" s="238"/>
      <c r="U234" s="88"/>
      <c r="V234" s="94"/>
      <c r="W234" s="104"/>
      <c r="X234" s="45"/>
      <c r="Y234" s="81"/>
      <c r="Z234" s="84"/>
      <c r="AA234" s="186"/>
    </row>
    <row r="235" spans="1:27" ht="12.75" hidden="1">
      <c r="A235" s="442"/>
      <c r="B235" s="73"/>
      <c r="C235" s="268"/>
      <c r="D235" s="33">
        <v>366.47</v>
      </c>
      <c r="E235" s="326">
        <f>(D235-D231)*X$9*0.97</f>
        <v>1222.2000000000048</v>
      </c>
      <c r="F235" s="353">
        <v>1222</v>
      </c>
      <c r="G235" s="216"/>
      <c r="H235" s="276"/>
      <c r="I235" s="33">
        <f>0.08*1.23</f>
        <v>0.0984</v>
      </c>
      <c r="J235" s="94"/>
      <c r="K235" s="66"/>
      <c r="L235" s="34">
        <f>E235*K235</f>
        <v>0</v>
      </c>
      <c r="M235" s="66"/>
      <c r="N235" s="34">
        <f>E235*M235</f>
        <v>0</v>
      </c>
      <c r="O235" s="75">
        <f>11.5*1.23</f>
        <v>14.145</v>
      </c>
      <c r="P235" s="75">
        <v>8.68</v>
      </c>
      <c r="Q235" s="75">
        <v>8.72</v>
      </c>
      <c r="R235" s="162">
        <f>(Q235-P235)*150</f>
        <v>6.0000000000001386</v>
      </c>
      <c r="S235" s="159"/>
      <c r="T235" s="238"/>
      <c r="U235" s="121"/>
      <c r="V235" s="131"/>
      <c r="W235" s="122"/>
      <c r="X235" s="63"/>
      <c r="Y235" s="63"/>
      <c r="Z235" s="54"/>
      <c r="AA235" s="186"/>
    </row>
    <row r="236" spans="1:27" ht="12.75" hidden="1">
      <c r="A236" s="443"/>
      <c r="B236" s="259" t="s">
        <v>259</v>
      </c>
      <c r="C236" s="37" t="s">
        <v>253</v>
      </c>
      <c r="D236" s="38">
        <v>936.13</v>
      </c>
      <c r="E236" s="327">
        <f>(D236-D232)*X$9*0.97</f>
        <v>2470.5900000000024</v>
      </c>
      <c r="F236" s="338">
        <v>2471</v>
      </c>
      <c r="G236" s="125"/>
      <c r="H236" s="277"/>
      <c r="I236" s="38">
        <f>15.78*1.23</f>
        <v>19.409399999999998</v>
      </c>
      <c r="J236" s="86"/>
      <c r="K236" s="59"/>
      <c r="L236" s="65">
        <f>E236*K236</f>
        <v>0</v>
      </c>
      <c r="M236" s="59"/>
      <c r="N236" s="65">
        <f>E236*M236</f>
        <v>0</v>
      </c>
      <c r="O236" s="67">
        <f>0.00158*648*1.23</f>
        <v>1.2593232</v>
      </c>
      <c r="P236" s="67">
        <v>16.23</v>
      </c>
      <c r="Q236" s="67">
        <v>16.32</v>
      </c>
      <c r="R236" s="260">
        <f>(Q236-P236)*150</f>
        <v>13.499999999999979</v>
      </c>
      <c r="S236" s="254"/>
      <c r="T236" s="280"/>
      <c r="U236" s="71"/>
      <c r="V236" s="86"/>
      <c r="W236" s="41"/>
      <c r="X236" s="43">
        <v>26</v>
      </c>
      <c r="Y236" s="72">
        <v>16</v>
      </c>
      <c r="Z236" s="40"/>
      <c r="AA236" s="185"/>
    </row>
    <row r="237" spans="1:27" ht="12.75" hidden="1">
      <c r="A237" s="78"/>
      <c r="B237" s="356"/>
      <c r="C237" s="268"/>
      <c r="D237" s="33"/>
      <c r="E237" s="326"/>
      <c r="F237" s="353"/>
      <c r="G237" s="265"/>
      <c r="H237" s="276"/>
      <c r="I237" s="33"/>
      <c r="J237" s="94"/>
      <c r="K237" s="264"/>
      <c r="L237" s="33"/>
      <c r="M237" s="264"/>
      <c r="N237" s="33"/>
      <c r="O237" s="77"/>
      <c r="P237" s="77"/>
      <c r="Q237" s="77"/>
      <c r="R237" s="162"/>
      <c r="S237" s="159"/>
      <c r="T237" s="238"/>
      <c r="U237" s="88"/>
      <c r="V237" s="94"/>
      <c r="W237" s="104"/>
      <c r="X237" s="45"/>
      <c r="Y237" s="81"/>
      <c r="Z237" s="84"/>
      <c r="AA237" s="186"/>
    </row>
    <row r="238" spans="1:27" ht="12.75" hidden="1">
      <c r="A238" s="78"/>
      <c r="B238" s="387" t="s">
        <v>200</v>
      </c>
      <c r="C238" s="37" t="s">
        <v>253</v>
      </c>
      <c r="D238" s="38"/>
      <c r="E238" s="327"/>
      <c r="F238" s="338"/>
      <c r="G238" s="125"/>
      <c r="H238" s="277"/>
      <c r="I238" s="38"/>
      <c r="J238" s="297"/>
      <c r="K238" s="309"/>
      <c r="L238" s="217"/>
      <c r="M238" s="309"/>
      <c r="N238" s="217"/>
      <c r="O238" s="339"/>
      <c r="P238" s="339"/>
      <c r="Q238" s="339"/>
      <c r="R238" s="260"/>
      <c r="S238" s="254"/>
      <c r="T238" s="280"/>
      <c r="U238" s="71"/>
      <c r="V238" s="297"/>
      <c r="W238" s="218"/>
      <c r="X238" s="43"/>
      <c r="Y238" s="72"/>
      <c r="Z238" s="40"/>
      <c r="AA238" s="185"/>
    </row>
    <row r="239" spans="1:27" ht="12.75" hidden="1">
      <c r="A239" s="442"/>
      <c r="B239" s="142"/>
      <c r="C239" s="268"/>
      <c r="D239" s="33"/>
      <c r="E239" s="33"/>
      <c r="F239" s="265"/>
      <c r="G239" s="33"/>
      <c r="H239" s="265"/>
      <c r="I239" s="33"/>
      <c r="J239" s="94"/>
      <c r="K239" s="77"/>
      <c r="L239" s="77"/>
      <c r="M239" s="77"/>
      <c r="N239" s="77"/>
      <c r="O239" s="77"/>
      <c r="P239" s="137">
        <v>364.07</v>
      </c>
      <c r="Q239" s="137">
        <v>368.3</v>
      </c>
      <c r="R239" s="162">
        <f>(Q239-P239)*150-66</f>
        <v>568.5000000000027</v>
      </c>
      <c r="S239" s="159"/>
      <c r="T239" s="238"/>
      <c r="U239" s="88"/>
      <c r="V239" s="94"/>
      <c r="W239" s="104"/>
      <c r="X239" s="45"/>
      <c r="Y239" s="81"/>
      <c r="Z239" s="84"/>
      <c r="AA239" s="186"/>
    </row>
    <row r="240" spans="1:27" ht="12.75" hidden="1">
      <c r="A240" s="443"/>
      <c r="B240" s="102"/>
      <c r="C240" s="33"/>
      <c r="D240" s="33"/>
      <c r="E240" s="33"/>
      <c r="F240" s="265"/>
      <c r="G240" s="265"/>
      <c r="H240" s="265"/>
      <c r="I240" s="33"/>
      <c r="J240" s="94"/>
      <c r="K240" s="77"/>
      <c r="L240" s="77"/>
      <c r="M240" s="77"/>
      <c r="N240" s="77"/>
      <c r="O240" s="77"/>
      <c r="P240" s="120">
        <v>1079.69</v>
      </c>
      <c r="Q240" s="120">
        <v>1088.4</v>
      </c>
      <c r="R240" s="162">
        <f>(Q240-P240)*150-132</f>
        <v>1174.5000000000055</v>
      </c>
      <c r="S240" s="159"/>
      <c r="T240" s="238"/>
      <c r="U240" s="88"/>
      <c r="V240" s="94"/>
      <c r="W240" s="104"/>
      <c r="X240" s="45"/>
      <c r="Y240" s="81"/>
      <c r="Z240" s="84"/>
      <c r="AA240" s="186"/>
    </row>
    <row r="241" spans="1:27" ht="12.75" hidden="1">
      <c r="A241" s="78"/>
      <c r="B241" s="73"/>
      <c r="C241" s="268"/>
      <c r="D241" s="33">
        <v>370.84</v>
      </c>
      <c r="E241" s="326">
        <f>(D241-D235)*X$9*0.97</f>
        <v>635.8349999999924</v>
      </c>
      <c r="F241" s="353">
        <v>636</v>
      </c>
      <c r="G241" s="216"/>
      <c r="H241" s="276"/>
      <c r="I241" s="33">
        <f>0.08*1.23</f>
        <v>0.0984</v>
      </c>
      <c r="J241" s="94"/>
      <c r="K241" s="66"/>
      <c r="L241" s="34">
        <f>E241*K241</f>
        <v>0</v>
      </c>
      <c r="M241" s="66"/>
      <c r="N241" s="34">
        <f>E241*M241</f>
        <v>0</v>
      </c>
      <c r="O241" s="75">
        <f>11.5*1.23</f>
        <v>14.145</v>
      </c>
      <c r="P241" s="75">
        <v>8.72</v>
      </c>
      <c r="Q241" s="75">
        <v>8.72</v>
      </c>
      <c r="R241" s="162">
        <f>(Q241-P241)*150</f>
        <v>0</v>
      </c>
      <c r="S241" s="159"/>
      <c r="T241" s="238"/>
      <c r="U241" s="121"/>
      <c r="V241" s="131"/>
      <c r="W241" s="122"/>
      <c r="X241" s="63"/>
      <c r="Y241" s="63"/>
      <c r="Z241" s="54"/>
      <c r="AA241" s="186"/>
    </row>
    <row r="242" spans="1:27" ht="12.75" hidden="1">
      <c r="A242" s="78"/>
      <c r="B242" s="259" t="s">
        <v>258</v>
      </c>
      <c r="C242" s="37" t="s">
        <v>255</v>
      </c>
      <c r="D242" s="38">
        <v>944.9</v>
      </c>
      <c r="E242" s="327">
        <f>(D242-D236)*X$9*0.97</f>
        <v>1276.0349999999974</v>
      </c>
      <c r="F242" s="338">
        <v>1276</v>
      </c>
      <c r="G242" s="125"/>
      <c r="H242" s="277"/>
      <c r="I242" s="38">
        <f>15.78*1.23</f>
        <v>19.409399999999998</v>
      </c>
      <c r="J242" s="86"/>
      <c r="K242" s="59"/>
      <c r="L242" s="65">
        <f>E242*K242</f>
        <v>0</v>
      </c>
      <c r="M242" s="59"/>
      <c r="N242" s="65">
        <f>E242*M242</f>
        <v>0</v>
      </c>
      <c r="O242" s="67">
        <f>0.00158*(E241+E242)*1.23</f>
        <v>3.71552815799998</v>
      </c>
      <c r="P242" s="67">
        <v>16.32</v>
      </c>
      <c r="Q242" s="67">
        <v>16.32</v>
      </c>
      <c r="R242" s="260">
        <f>(Q242-P242)*150</f>
        <v>0</v>
      </c>
      <c r="S242" s="254"/>
      <c r="T242" s="280"/>
      <c r="U242" s="71"/>
      <c r="V242" s="86"/>
      <c r="W242" s="41"/>
      <c r="X242" s="43">
        <v>26</v>
      </c>
      <c r="Y242" s="72">
        <v>8</v>
      </c>
      <c r="Z242" s="40"/>
      <c r="AA242" s="185"/>
    </row>
    <row r="243" spans="1:27" ht="12.75" hidden="1">
      <c r="A243" s="442"/>
      <c r="B243" s="142"/>
      <c r="C243" s="268"/>
      <c r="D243" s="33"/>
      <c r="E243" s="33"/>
      <c r="F243" s="265"/>
      <c r="G243" s="33"/>
      <c r="H243" s="265"/>
      <c r="I243" s="33"/>
      <c r="J243" s="94"/>
      <c r="K243" s="77"/>
      <c r="L243" s="77"/>
      <c r="M243" s="77"/>
      <c r="N243" s="77"/>
      <c r="O243" s="77"/>
      <c r="P243" s="137">
        <v>368.3</v>
      </c>
      <c r="Q243" s="137">
        <v>371.88</v>
      </c>
      <c r="R243" s="162">
        <f>(Q243-P243)*150-53</f>
        <v>483.9999999999976</v>
      </c>
      <c r="S243" s="159"/>
      <c r="T243" s="238"/>
      <c r="U243" s="88"/>
      <c r="V243" s="94"/>
      <c r="W243" s="104"/>
      <c r="X243" s="45"/>
      <c r="Y243" s="81"/>
      <c r="Z243" s="84"/>
      <c r="AA243" s="186"/>
    </row>
    <row r="244" spans="1:27" ht="12.75" hidden="1">
      <c r="A244" s="443"/>
      <c r="B244" s="102"/>
      <c r="C244" s="33"/>
      <c r="D244" s="33"/>
      <c r="E244" s="33"/>
      <c r="F244" s="265"/>
      <c r="G244" s="265"/>
      <c r="H244" s="265"/>
      <c r="I244" s="33"/>
      <c r="J244" s="94"/>
      <c r="K244" s="77"/>
      <c r="L244" s="77"/>
      <c r="M244" s="77"/>
      <c r="N244" s="77"/>
      <c r="O244" s="77"/>
      <c r="P244" s="120">
        <v>1088.4</v>
      </c>
      <c r="Q244" s="120">
        <v>1099.38</v>
      </c>
      <c r="R244" s="162">
        <f>(Q244-P244)*150-159</f>
        <v>1488.0000000000027</v>
      </c>
      <c r="S244" s="159"/>
      <c r="T244" s="238"/>
      <c r="U244" s="88"/>
      <c r="V244" s="94"/>
      <c r="W244" s="104"/>
      <c r="X244" s="45"/>
      <c r="Y244" s="81"/>
      <c r="Z244" s="84"/>
      <c r="AA244" s="186"/>
    </row>
    <row r="245" spans="1:27" ht="12.75" hidden="1">
      <c r="A245" s="442"/>
      <c r="B245" s="73"/>
      <c r="C245" s="268"/>
      <c r="D245" s="33">
        <v>374.37</v>
      </c>
      <c r="E245" s="326">
        <f>(D245-D241)*X$9*0.97</f>
        <v>513.6150000000043</v>
      </c>
      <c r="F245" s="353">
        <v>514</v>
      </c>
      <c r="G245" s="216"/>
      <c r="H245" s="276"/>
      <c r="I245" s="33">
        <f>0.08*1.23</f>
        <v>0.0984</v>
      </c>
      <c r="J245" s="94"/>
      <c r="K245" s="66"/>
      <c r="L245" s="34">
        <f>E245*K245</f>
        <v>0</v>
      </c>
      <c r="M245" s="66"/>
      <c r="N245" s="34">
        <f>E245*M245</f>
        <v>0</v>
      </c>
      <c r="O245" s="75">
        <f>11.5*1.23</f>
        <v>14.145</v>
      </c>
      <c r="P245" s="75">
        <v>8.72</v>
      </c>
      <c r="Q245" s="75">
        <v>8.72</v>
      </c>
      <c r="R245" s="162">
        <f>(Q245-P245)*150</f>
        <v>0</v>
      </c>
      <c r="S245" s="159"/>
      <c r="T245" s="238"/>
      <c r="U245" s="121"/>
      <c r="V245" s="131"/>
      <c r="W245" s="122"/>
      <c r="X245" s="63"/>
      <c r="Y245" s="63"/>
      <c r="Z245" s="54"/>
      <c r="AA245" s="186"/>
    </row>
    <row r="246" spans="1:27" ht="12.75" hidden="1">
      <c r="A246" s="443"/>
      <c r="B246" s="391" t="s">
        <v>261</v>
      </c>
      <c r="C246" s="37" t="s">
        <v>262</v>
      </c>
      <c r="D246" s="38">
        <v>955.47</v>
      </c>
      <c r="E246" s="327">
        <f>(D246-D242)*X$9*0.97</f>
        <v>1537.9350000000072</v>
      </c>
      <c r="F246" s="338">
        <v>1538</v>
      </c>
      <c r="G246" s="125"/>
      <c r="H246" s="277"/>
      <c r="I246" s="38">
        <f>15.78*1.23</f>
        <v>19.409399999999998</v>
      </c>
      <c r="J246" s="86"/>
      <c r="K246" s="59"/>
      <c r="L246" s="65">
        <f>E246*K246</f>
        <v>0</v>
      </c>
      <c r="M246" s="59"/>
      <c r="N246" s="65">
        <f>E246*M246</f>
        <v>0</v>
      </c>
      <c r="O246" s="67">
        <f>0.00158*(E245+E246)*1.23</f>
        <v>3.9869822700000226</v>
      </c>
      <c r="P246" s="67">
        <v>16.32</v>
      </c>
      <c r="Q246" s="67">
        <v>16.32</v>
      </c>
      <c r="R246" s="260">
        <f>(Q246-P246)*150</f>
        <v>0</v>
      </c>
      <c r="S246" s="254"/>
      <c r="T246" s="280"/>
      <c r="U246" s="71"/>
      <c r="V246" s="86"/>
      <c r="W246" s="41"/>
      <c r="X246" s="43">
        <v>26</v>
      </c>
      <c r="Y246" s="72">
        <v>6</v>
      </c>
      <c r="Z246" s="40"/>
      <c r="AA246" s="185"/>
    </row>
    <row r="247" spans="1:27" ht="12.75" hidden="1">
      <c r="A247" s="322"/>
      <c r="B247" s="390"/>
      <c r="C247" s="268"/>
      <c r="D247" s="33"/>
      <c r="E247" s="326"/>
      <c r="F247" s="353"/>
      <c r="G247" s="216"/>
      <c r="H247" s="276"/>
      <c r="I247" s="139"/>
      <c r="J247" s="151"/>
      <c r="K247" s="392"/>
      <c r="L247" s="150"/>
      <c r="M247" s="392"/>
      <c r="N247" s="150"/>
      <c r="O247" s="389"/>
      <c r="P247" s="389"/>
      <c r="Q247" s="389"/>
      <c r="R247" s="385"/>
      <c r="S247" s="210"/>
      <c r="T247" s="393"/>
      <c r="U247" s="256"/>
      <c r="V247" s="151"/>
      <c r="W247" s="384"/>
      <c r="X247" s="36"/>
      <c r="Y247" s="64"/>
      <c r="Z247" s="394"/>
      <c r="AA247" s="386"/>
    </row>
    <row r="248" spans="1:27" ht="13.5" hidden="1" thickBot="1">
      <c r="A248" s="322"/>
      <c r="B248" s="387" t="s">
        <v>200</v>
      </c>
      <c r="C248" s="37" t="s">
        <v>262</v>
      </c>
      <c r="D248" s="38"/>
      <c r="E248" s="327"/>
      <c r="F248" s="338"/>
      <c r="G248" s="125"/>
      <c r="H248" s="277"/>
      <c r="I248" s="38"/>
      <c r="J248" s="297"/>
      <c r="K248" s="309"/>
      <c r="L248" s="217"/>
      <c r="M248" s="309"/>
      <c r="N248" s="217"/>
      <c r="O248" s="339"/>
      <c r="P248" s="339"/>
      <c r="Q248" s="339"/>
      <c r="R248" s="260"/>
      <c r="S248" s="254"/>
      <c r="T248" s="280"/>
      <c r="U248" s="71"/>
      <c r="V248" s="297"/>
      <c r="W248" s="218"/>
      <c r="X248" s="43"/>
      <c r="Y248" s="72"/>
      <c r="Z248" s="40"/>
      <c r="AA248" s="185"/>
    </row>
    <row r="249" spans="1:27" ht="12.75" hidden="1">
      <c r="A249" s="322"/>
      <c r="B249" s="361"/>
      <c r="C249" s="364"/>
      <c r="D249" s="33"/>
      <c r="E249" s="33"/>
      <c r="F249" s="265"/>
      <c r="G249" s="33"/>
      <c r="H249" s="265"/>
      <c r="I249" s="33"/>
      <c r="J249" s="94"/>
      <c r="K249" s="77"/>
      <c r="L249" s="77"/>
      <c r="M249" s="77"/>
      <c r="N249" s="77"/>
      <c r="O249" s="77"/>
      <c r="P249" s="137">
        <v>371.88</v>
      </c>
      <c r="Q249" s="137">
        <v>372.33</v>
      </c>
      <c r="R249" s="162">
        <f>(Q249-P249)*150-8</f>
        <v>59.499999999998295</v>
      </c>
      <c r="S249" s="159"/>
      <c r="T249" s="238"/>
      <c r="U249" s="88"/>
      <c r="V249" s="94"/>
      <c r="W249" s="104"/>
      <c r="X249" s="45"/>
      <c r="Y249" s="81"/>
      <c r="Z249" s="84"/>
      <c r="AA249" s="186"/>
    </row>
    <row r="250" spans="1:27" ht="12.75" hidden="1">
      <c r="A250" s="322"/>
      <c r="B250" s="358"/>
      <c r="C250" s="33"/>
      <c r="D250" s="33"/>
      <c r="E250" s="33"/>
      <c r="F250" s="265"/>
      <c r="G250" s="265"/>
      <c r="H250" s="265"/>
      <c r="I250" s="33"/>
      <c r="J250" s="94"/>
      <c r="K250" s="77"/>
      <c r="L250" s="77"/>
      <c r="M250" s="77"/>
      <c r="N250" s="77"/>
      <c r="O250" s="77"/>
      <c r="P250" s="120">
        <v>1099.38</v>
      </c>
      <c r="Q250" s="120">
        <v>1101.19</v>
      </c>
      <c r="R250" s="162">
        <f>(Q250-P250)*150-28</f>
        <v>243.49999999999181</v>
      </c>
      <c r="S250" s="159"/>
      <c r="T250" s="238"/>
      <c r="U250" s="88"/>
      <c r="V250" s="94"/>
      <c r="W250" s="104"/>
      <c r="X250" s="45"/>
      <c r="Y250" s="81"/>
      <c r="Z250" s="84"/>
      <c r="AA250" s="186"/>
    </row>
    <row r="251" spans="1:27" ht="12.75" hidden="1">
      <c r="A251" s="475"/>
      <c r="B251" s="317"/>
      <c r="C251" s="364"/>
      <c r="D251" s="33">
        <v>374.87</v>
      </c>
      <c r="E251" s="326">
        <f>(D251-D245)*X$9*0.97</f>
        <v>72.75</v>
      </c>
      <c r="F251" s="353"/>
      <c r="G251" s="216"/>
      <c r="H251" s="276"/>
      <c r="I251" s="33">
        <f>0.08*1.23*0.17</f>
        <v>0.016728</v>
      </c>
      <c r="J251" s="94"/>
      <c r="K251" s="66"/>
      <c r="L251" s="34">
        <f>E251*K251</f>
        <v>0</v>
      </c>
      <c r="M251" s="66"/>
      <c r="N251" s="34">
        <f>E251*M251</f>
        <v>0</v>
      </c>
      <c r="O251" s="75">
        <f>11.5*1.23*0.17</f>
        <v>2.40465</v>
      </c>
      <c r="P251" s="75">
        <v>8.72</v>
      </c>
      <c r="Q251" s="75">
        <v>8.72</v>
      </c>
      <c r="R251" s="162">
        <f>(Q251-P251)*150</f>
        <v>0</v>
      </c>
      <c r="S251" s="159"/>
      <c r="T251" s="238"/>
      <c r="U251" s="121"/>
      <c r="V251" s="131"/>
      <c r="W251" s="122"/>
      <c r="X251" s="63"/>
      <c r="Y251" s="63"/>
      <c r="Z251" s="54"/>
      <c r="AA251" s="186"/>
    </row>
    <row r="252" spans="1:27" ht="12.75" hidden="1">
      <c r="A252" s="476"/>
      <c r="B252" s="357" t="s">
        <v>265</v>
      </c>
      <c r="C252" s="355" t="s">
        <v>264</v>
      </c>
      <c r="D252" s="38">
        <v>957.34</v>
      </c>
      <c r="E252" s="327">
        <f>(D252-D246)*X$9*0.97</f>
        <v>272.08500000000066</v>
      </c>
      <c r="F252" s="338"/>
      <c r="G252" s="125"/>
      <c r="H252" s="277"/>
      <c r="I252" s="38">
        <f>15.78*1.23*0.17</f>
        <v>3.299598</v>
      </c>
      <c r="J252" s="86"/>
      <c r="K252" s="59"/>
      <c r="L252" s="65">
        <f>E252*K252</f>
        <v>0</v>
      </c>
      <c r="M252" s="59"/>
      <c r="N252" s="65">
        <f>E252*M252</f>
        <v>0</v>
      </c>
      <c r="O252" s="67">
        <f>0.00158*(E251+E252)*1.23</f>
        <v>0.6701523390000013</v>
      </c>
      <c r="P252" s="67">
        <v>16.32</v>
      </c>
      <c r="Q252" s="67">
        <v>16.32</v>
      </c>
      <c r="R252" s="260">
        <f>(Q252-P252)*150</f>
        <v>0</v>
      </c>
      <c r="S252" s="254"/>
      <c r="T252" s="280"/>
      <c r="U252" s="71"/>
      <c r="V252" s="86"/>
      <c r="W252" s="41"/>
      <c r="X252" s="43">
        <v>26</v>
      </c>
      <c r="Y252" s="72">
        <v>12</v>
      </c>
      <c r="Z252" s="40"/>
      <c r="AA252" s="185"/>
    </row>
    <row r="253" spans="1:27" ht="12.75" hidden="1">
      <c r="A253" s="322"/>
      <c r="B253" s="362"/>
      <c r="C253" s="364"/>
      <c r="D253" s="33"/>
      <c r="E253" s="33"/>
      <c r="F253" s="265"/>
      <c r="G253" s="33"/>
      <c r="H253" s="265"/>
      <c r="I253" s="33"/>
      <c r="J253" s="94"/>
      <c r="K253" s="77"/>
      <c r="L253" s="77"/>
      <c r="M253" s="77"/>
      <c r="N253" s="77"/>
      <c r="O253" s="77"/>
      <c r="P253" s="137">
        <v>372.33</v>
      </c>
      <c r="Q253" s="137">
        <v>374.54</v>
      </c>
      <c r="R253" s="162">
        <f>(Q253-P253)*150-30</f>
        <v>301.50000000000546</v>
      </c>
      <c r="S253" s="159"/>
      <c r="T253" s="238"/>
      <c r="U253" s="88"/>
      <c r="V253" s="94"/>
      <c r="W253" s="104"/>
      <c r="X253" s="45"/>
      <c r="Y253" s="81"/>
      <c r="Z253" s="84"/>
      <c r="AA253" s="186"/>
    </row>
    <row r="254" spans="1:27" ht="12.75" hidden="1">
      <c r="A254" s="322"/>
      <c r="B254" s="358"/>
      <c r="C254" s="33"/>
      <c r="D254" s="33"/>
      <c r="E254" s="33"/>
      <c r="F254" s="265"/>
      <c r="G254" s="265"/>
      <c r="H254" s="265"/>
      <c r="I254" s="33"/>
      <c r="J254" s="94"/>
      <c r="K254" s="77"/>
      <c r="L254" s="77"/>
      <c r="M254" s="77"/>
      <c r="N254" s="77"/>
      <c r="O254" s="77"/>
      <c r="P254" s="120">
        <v>1101.19</v>
      </c>
      <c r="Q254" s="120">
        <v>1110.22</v>
      </c>
      <c r="R254" s="162">
        <f>(Q254-P254)*150-130</f>
        <v>1224.499999999996</v>
      </c>
      <c r="S254" s="159"/>
      <c r="T254" s="238"/>
      <c r="U254" s="88"/>
      <c r="V254" s="94"/>
      <c r="W254" s="104"/>
      <c r="X254" s="45"/>
      <c r="Y254" s="81"/>
      <c r="Z254" s="84"/>
      <c r="AA254" s="186"/>
    </row>
    <row r="255" spans="1:27" ht="12.75" hidden="1">
      <c r="A255" s="475"/>
      <c r="B255" s="317"/>
      <c r="C255" s="364"/>
      <c r="D255" s="33">
        <v>376.9</v>
      </c>
      <c r="E255" s="326">
        <f>(D255-D251)*X$9*0.97</f>
        <v>295.36499999999603</v>
      </c>
      <c r="F255" s="353">
        <v>368</v>
      </c>
      <c r="G255" s="216"/>
      <c r="H255" s="276"/>
      <c r="I255" s="33">
        <f>0.08*1.23*0.83</f>
        <v>0.081672</v>
      </c>
      <c r="J255" s="94"/>
      <c r="K255" s="66"/>
      <c r="L255" s="34">
        <f>E255*K255</f>
        <v>0</v>
      </c>
      <c r="M255" s="66"/>
      <c r="N255" s="34">
        <f>E255*M255</f>
        <v>0</v>
      </c>
      <c r="O255" s="75">
        <f>9.5*1.23*0.83</f>
        <v>9.69855</v>
      </c>
      <c r="P255" s="75">
        <v>8.72</v>
      </c>
      <c r="Q255" s="75">
        <v>8.72</v>
      </c>
      <c r="R255" s="162">
        <f>(Q255-P255)*150</f>
        <v>0</v>
      </c>
      <c r="S255" s="159"/>
      <c r="T255" s="238"/>
      <c r="U255" s="121"/>
      <c r="V255" s="131"/>
      <c r="W255" s="122"/>
      <c r="X255" s="63"/>
      <c r="Y255" s="63"/>
      <c r="Z255" s="54"/>
      <c r="AA255" s="186"/>
    </row>
    <row r="256" spans="1:27" ht="13.5" hidden="1" thickBot="1">
      <c r="A256" s="476"/>
      <c r="B256" s="359" t="s">
        <v>205</v>
      </c>
      <c r="C256" s="355" t="s">
        <v>263</v>
      </c>
      <c r="D256" s="38">
        <v>966.01</v>
      </c>
      <c r="E256" s="327">
        <f>(D256-D252)*X$9*0.97</f>
        <v>1261.484999999994</v>
      </c>
      <c r="F256" s="338">
        <v>1534</v>
      </c>
      <c r="G256" s="125"/>
      <c r="H256" s="277"/>
      <c r="I256" s="38">
        <f>16.34*1.23*0.83</f>
        <v>16.681506</v>
      </c>
      <c r="J256" s="86"/>
      <c r="K256" s="59"/>
      <c r="L256" s="65">
        <f>E256*K256</f>
        <v>0</v>
      </c>
      <c r="M256" s="59"/>
      <c r="N256" s="65">
        <f>E256*M256</f>
        <v>0</v>
      </c>
      <c r="O256" s="67">
        <f>0.00158*(E255+E256)*1.23</f>
        <v>3.0255822899999805</v>
      </c>
      <c r="P256" s="67">
        <v>16.32</v>
      </c>
      <c r="Q256" s="67">
        <v>16.32</v>
      </c>
      <c r="R256" s="260">
        <f>(Q256-P256)*150</f>
        <v>0</v>
      </c>
      <c r="S256" s="254"/>
      <c r="T256" s="280"/>
      <c r="U256" s="71"/>
      <c r="V256" s="86"/>
      <c r="W256" s="41"/>
      <c r="X256" s="43">
        <v>26</v>
      </c>
      <c r="Y256" s="72">
        <v>12</v>
      </c>
      <c r="Z256" s="360"/>
      <c r="AA256" s="363"/>
    </row>
    <row r="257" spans="1:27" ht="12.75" hidden="1">
      <c r="A257" s="322"/>
      <c r="B257" s="370"/>
      <c r="C257" s="364"/>
      <c r="D257" s="33"/>
      <c r="E257" s="33"/>
      <c r="F257" s="265"/>
      <c r="G257" s="33"/>
      <c r="H257" s="265"/>
      <c r="I257" s="33"/>
      <c r="J257" s="94"/>
      <c r="K257" s="77"/>
      <c r="L257" s="77"/>
      <c r="M257" s="77"/>
      <c r="N257" s="77"/>
      <c r="O257" s="77"/>
      <c r="P257" s="137">
        <v>374.54</v>
      </c>
      <c r="Q257" s="137">
        <v>376.6</v>
      </c>
      <c r="R257" s="162">
        <f>(Q257-P257)*150-32</f>
        <v>277.00000000000034</v>
      </c>
      <c r="S257" s="159"/>
      <c r="T257" s="238"/>
      <c r="U257" s="88"/>
      <c r="V257" s="94"/>
      <c r="W257" s="104"/>
      <c r="X257" s="45"/>
      <c r="Y257" s="81"/>
      <c r="Z257" s="84"/>
      <c r="AA257" s="186"/>
    </row>
    <row r="258" spans="1:27" ht="12.75" hidden="1">
      <c r="A258" s="322"/>
      <c r="B258" s="18"/>
      <c r="C258" s="33"/>
      <c r="D258" s="33"/>
      <c r="E258" s="33"/>
      <c r="F258" s="265"/>
      <c r="G258" s="265"/>
      <c r="H258" s="265"/>
      <c r="I258" s="33"/>
      <c r="J258" s="94"/>
      <c r="K258" s="77"/>
      <c r="L258" s="77"/>
      <c r="M258" s="77"/>
      <c r="N258" s="77"/>
      <c r="O258" s="77"/>
      <c r="P258" s="120">
        <v>1110.22</v>
      </c>
      <c r="Q258" s="120">
        <v>1121.75</v>
      </c>
      <c r="R258" s="162">
        <f>(Q258-P258)*150-185</f>
        <v>1544.499999999996</v>
      </c>
      <c r="S258" s="159"/>
      <c r="T258" s="238"/>
      <c r="U258" s="88"/>
      <c r="V258" s="94"/>
      <c r="W258" s="104"/>
      <c r="X258" s="45"/>
      <c r="Y258" s="81"/>
      <c r="Z258" s="84"/>
      <c r="AA258" s="186"/>
    </row>
    <row r="259" spans="1:27" ht="12.75" hidden="1">
      <c r="A259" s="475"/>
      <c r="B259" s="73"/>
      <c r="C259" s="364"/>
      <c r="D259" s="33">
        <v>379.03</v>
      </c>
      <c r="E259" s="326">
        <f>(D259-D255)*X$9*0.97</f>
        <v>309.91499999999934</v>
      </c>
      <c r="F259" s="353">
        <v>310</v>
      </c>
      <c r="G259" s="216"/>
      <c r="H259" s="276"/>
      <c r="I259" s="33">
        <f>0.08*1.23</f>
        <v>0.0984</v>
      </c>
      <c r="J259" s="94"/>
      <c r="K259" s="66"/>
      <c r="L259" s="34">
        <f>E259*K259</f>
        <v>0</v>
      </c>
      <c r="M259" s="66"/>
      <c r="N259" s="34">
        <f>E259*M259</f>
        <v>0</v>
      </c>
      <c r="O259" s="75">
        <f>9.5*1.23</f>
        <v>11.685</v>
      </c>
      <c r="P259" s="75">
        <v>8.72</v>
      </c>
      <c r="Q259" s="75">
        <v>8.72</v>
      </c>
      <c r="R259" s="162">
        <f>(Q259-P259)*150</f>
        <v>0</v>
      </c>
      <c r="S259" s="159"/>
      <c r="T259" s="238"/>
      <c r="U259" s="121"/>
      <c r="V259" s="131"/>
      <c r="W259" s="122"/>
      <c r="X259" s="63"/>
      <c r="Y259" s="63"/>
      <c r="Z259" s="54"/>
      <c r="AA259" s="186"/>
    </row>
    <row r="260" spans="1:27" ht="12.75" hidden="1">
      <c r="A260" s="476"/>
      <c r="B260" s="391" t="s">
        <v>267</v>
      </c>
      <c r="C260" s="355" t="s">
        <v>266</v>
      </c>
      <c r="D260" s="38">
        <v>978.35</v>
      </c>
      <c r="E260" s="327">
        <f>(D260-D256)*X$9*0.97</f>
        <v>1795.4700000000046</v>
      </c>
      <c r="F260" s="338">
        <v>1795</v>
      </c>
      <c r="G260" s="125"/>
      <c r="H260" s="277"/>
      <c r="I260" s="38">
        <f>16.34*1.23</f>
        <v>20.0982</v>
      </c>
      <c r="J260" s="86"/>
      <c r="K260" s="59"/>
      <c r="L260" s="65">
        <f>E260*K260</f>
        <v>0</v>
      </c>
      <c r="M260" s="59"/>
      <c r="N260" s="65">
        <f>E260*M260</f>
        <v>0</v>
      </c>
      <c r="O260" s="67">
        <f>0.00158*(E259+E260)*1.23</f>
        <v>4.091605209000008</v>
      </c>
      <c r="P260" s="67">
        <v>16.32</v>
      </c>
      <c r="Q260" s="67">
        <v>16.33</v>
      </c>
      <c r="R260" s="260">
        <f>(Q260-P260)*150</f>
        <v>1.4999999999997016</v>
      </c>
      <c r="S260" s="254"/>
      <c r="T260" s="280"/>
      <c r="U260" s="71"/>
      <c r="V260" s="86"/>
      <c r="W260" s="41"/>
      <c r="X260" s="43">
        <v>26</v>
      </c>
      <c r="Y260" s="72">
        <v>9</v>
      </c>
      <c r="Z260" s="360"/>
      <c r="AA260" s="363"/>
    </row>
    <row r="261" spans="1:27" ht="12.75" hidden="1">
      <c r="A261" s="322"/>
      <c r="B261" s="372"/>
      <c r="C261" s="364"/>
      <c r="D261" s="33"/>
      <c r="E261" s="326"/>
      <c r="F261" s="353"/>
      <c r="G261" s="265"/>
      <c r="H261" s="276"/>
      <c r="I261" s="33"/>
      <c r="J261" s="94"/>
      <c r="K261" s="264"/>
      <c r="L261" s="33"/>
      <c r="M261" s="264"/>
      <c r="N261" s="33"/>
      <c r="O261" s="77"/>
      <c r="P261" s="77"/>
      <c r="Q261" s="77"/>
      <c r="R261" s="162"/>
      <c r="S261" s="159"/>
      <c r="T261" s="238"/>
      <c r="U261" s="88"/>
      <c r="V261" s="94"/>
      <c r="W261" s="104"/>
      <c r="X261" s="45"/>
      <c r="Y261" s="81"/>
      <c r="Z261" s="395"/>
      <c r="AA261" s="396"/>
    </row>
    <row r="262" spans="1:27" ht="12.75" hidden="1">
      <c r="A262" s="322"/>
      <c r="B262" s="387" t="s">
        <v>200</v>
      </c>
      <c r="C262" s="355" t="s">
        <v>266</v>
      </c>
      <c r="D262" s="38"/>
      <c r="E262" s="327"/>
      <c r="F262" s="338"/>
      <c r="G262" s="125"/>
      <c r="H262" s="277"/>
      <c r="I262" s="38"/>
      <c r="J262" s="297"/>
      <c r="K262" s="309"/>
      <c r="L262" s="217"/>
      <c r="M262" s="309"/>
      <c r="N262" s="217"/>
      <c r="O262" s="339"/>
      <c r="P262" s="339"/>
      <c r="Q262" s="339"/>
      <c r="R262" s="260"/>
      <c r="S262" s="254"/>
      <c r="T262" s="280"/>
      <c r="U262" s="71"/>
      <c r="V262" s="297"/>
      <c r="W262" s="218"/>
      <c r="X262" s="43"/>
      <c r="Y262" s="72"/>
      <c r="Z262" s="360"/>
      <c r="AA262" s="363"/>
    </row>
    <row r="263" spans="1:27" ht="12.75" hidden="1">
      <c r="A263" s="78"/>
      <c r="B263" s="373"/>
      <c r="C263" s="364"/>
      <c r="D263" s="33"/>
      <c r="E263" s="33"/>
      <c r="F263" s="265"/>
      <c r="G263" s="33"/>
      <c r="H263" s="265"/>
      <c r="I263" s="33"/>
      <c r="J263" s="94"/>
      <c r="K263" s="77"/>
      <c r="L263" s="77"/>
      <c r="M263" s="77"/>
      <c r="N263" s="77"/>
      <c r="O263" s="77"/>
      <c r="P263" s="137">
        <v>376.6</v>
      </c>
      <c r="Q263" s="137">
        <v>378.58</v>
      </c>
      <c r="R263" s="162">
        <f>(Q263-P263)*150-27</f>
        <v>269.9999999999942</v>
      </c>
      <c r="S263" s="159"/>
      <c r="T263" s="238"/>
      <c r="U263" s="88"/>
      <c r="V263" s="94"/>
      <c r="W263" s="104"/>
      <c r="X263" s="45"/>
      <c r="Y263" s="81"/>
      <c r="Z263" s="84"/>
      <c r="AA263" s="186"/>
    </row>
    <row r="264" spans="1:27" ht="12.75" hidden="1">
      <c r="A264" s="78"/>
      <c r="B264" s="18"/>
      <c r="C264" s="33"/>
      <c r="D264" s="33"/>
      <c r="E264" s="33"/>
      <c r="F264" s="265"/>
      <c r="G264" s="265"/>
      <c r="H264" s="265"/>
      <c r="I264" s="33"/>
      <c r="J264" s="94"/>
      <c r="K264" s="77"/>
      <c r="L264" s="77"/>
      <c r="M264" s="77"/>
      <c r="N264" s="77"/>
      <c r="O264" s="77"/>
      <c r="P264" s="120">
        <v>1121.75</v>
      </c>
      <c r="Q264" s="120">
        <v>1133.17</v>
      </c>
      <c r="R264" s="162">
        <f>(Q264-P264)*150-173</f>
        <v>1540.000000000011</v>
      </c>
      <c r="S264" s="159"/>
      <c r="T264" s="238"/>
      <c r="U264" s="88"/>
      <c r="V264" s="94"/>
      <c r="W264" s="104"/>
      <c r="X264" s="45"/>
      <c r="Y264" s="81"/>
      <c r="Z264" s="84"/>
      <c r="AA264" s="186"/>
    </row>
    <row r="265" spans="1:27" ht="12.75" hidden="1">
      <c r="A265" s="442"/>
      <c r="B265" s="73"/>
      <c r="C265" s="364"/>
      <c r="D265" s="33">
        <v>380.8</v>
      </c>
      <c r="E265" s="326">
        <f>(D265-D259)*X$9*0.97</f>
        <v>257.5350000000056</v>
      </c>
      <c r="F265" s="353">
        <v>258</v>
      </c>
      <c r="G265" s="216"/>
      <c r="H265" s="276"/>
      <c r="I265" s="33">
        <f>0.08*1.23</f>
        <v>0.0984</v>
      </c>
      <c r="J265" s="94"/>
      <c r="K265" s="66"/>
      <c r="L265" s="34">
        <f>E265*K265</f>
        <v>0</v>
      </c>
      <c r="M265" s="66"/>
      <c r="N265" s="34">
        <f>E265*M265</f>
        <v>0</v>
      </c>
      <c r="O265" s="75">
        <f>9.5*1.23</f>
        <v>11.685</v>
      </c>
      <c r="P265" s="75">
        <v>8.72</v>
      </c>
      <c r="Q265" s="75">
        <v>8.72</v>
      </c>
      <c r="R265" s="162">
        <f>(Q265-P265)*150</f>
        <v>0</v>
      </c>
      <c r="S265" s="159"/>
      <c r="T265" s="238"/>
      <c r="U265" s="121"/>
      <c r="V265" s="131"/>
      <c r="W265" s="122"/>
      <c r="X265" s="63"/>
      <c r="Y265" s="63"/>
      <c r="Z265" s="54"/>
      <c r="AA265" s="186"/>
    </row>
    <row r="266" spans="1:27" ht="12.75" hidden="1">
      <c r="A266" s="443"/>
      <c r="B266" s="371" t="s">
        <v>269</v>
      </c>
      <c r="C266" s="355" t="s">
        <v>268</v>
      </c>
      <c r="D266" s="38">
        <v>989.91</v>
      </c>
      <c r="E266" s="327">
        <f>(D266-D260)*X$9*0.97</f>
        <v>1681.979999999992</v>
      </c>
      <c r="F266" s="338">
        <v>1682</v>
      </c>
      <c r="G266" s="125"/>
      <c r="H266" s="277"/>
      <c r="I266" s="38">
        <f>16.34*1.23</f>
        <v>20.0982</v>
      </c>
      <c r="J266" s="86"/>
      <c r="K266" s="59"/>
      <c r="L266" s="65">
        <f>E266*K266</f>
        <v>0</v>
      </c>
      <c r="M266" s="59"/>
      <c r="N266" s="65">
        <f>E266*M266</f>
        <v>0</v>
      </c>
      <c r="O266" s="67">
        <f>0.00158*(E265+E266)*1.23</f>
        <v>3.7692534509999955</v>
      </c>
      <c r="P266" s="67">
        <v>16.33</v>
      </c>
      <c r="Q266" s="67">
        <v>16.33</v>
      </c>
      <c r="R266" s="260">
        <f>(Q266-P266)*150</f>
        <v>0</v>
      </c>
      <c r="S266" s="254"/>
      <c r="T266" s="280"/>
      <c r="U266" s="71"/>
      <c r="V266" s="86"/>
      <c r="W266" s="41"/>
      <c r="X266" s="43">
        <v>26</v>
      </c>
      <c r="Y266" s="72">
        <v>8</v>
      </c>
      <c r="Z266" s="360"/>
      <c r="AA266" s="363"/>
    </row>
    <row r="267" spans="1:27" ht="12.75" hidden="1">
      <c r="A267" s="78"/>
      <c r="B267" s="373"/>
      <c r="C267" s="364"/>
      <c r="D267" s="33"/>
      <c r="E267" s="33"/>
      <c r="F267" s="265"/>
      <c r="G267" s="33"/>
      <c r="H267" s="265"/>
      <c r="I267" s="33"/>
      <c r="J267" s="94"/>
      <c r="K267" s="77"/>
      <c r="L267" s="77"/>
      <c r="M267" s="77"/>
      <c r="N267" s="77"/>
      <c r="O267" s="77"/>
      <c r="P267" s="137">
        <v>378.58</v>
      </c>
      <c r="Q267" s="137">
        <v>380.64</v>
      </c>
      <c r="R267" s="162">
        <f>(Q267-P267)*150-17</f>
        <v>292.00000000000034</v>
      </c>
      <c r="S267" s="159"/>
      <c r="T267" s="238"/>
      <c r="U267" s="88"/>
      <c r="V267" s="94"/>
      <c r="W267" s="104"/>
      <c r="X267" s="45"/>
      <c r="Y267" s="81"/>
      <c r="Z267" s="84"/>
      <c r="AA267" s="186"/>
    </row>
    <row r="268" spans="1:27" ht="12.75" hidden="1">
      <c r="A268" s="78"/>
      <c r="B268" s="18"/>
      <c r="C268" s="33"/>
      <c r="D268" s="33"/>
      <c r="E268" s="33"/>
      <c r="F268" s="265"/>
      <c r="G268" s="265"/>
      <c r="H268" s="265"/>
      <c r="I268" s="33"/>
      <c r="J268" s="94"/>
      <c r="K268" s="77"/>
      <c r="L268" s="77"/>
      <c r="M268" s="77"/>
      <c r="N268" s="77"/>
      <c r="O268" s="77"/>
      <c r="P268" s="120">
        <v>1133.17</v>
      </c>
      <c r="Q268" s="120">
        <v>1145</v>
      </c>
      <c r="R268" s="162">
        <f>(Q268-P268)*150-114</f>
        <v>1660.499999999989</v>
      </c>
      <c r="S268" s="159"/>
      <c r="T268" s="238"/>
      <c r="U268" s="88"/>
      <c r="V268" s="94"/>
      <c r="W268" s="104"/>
      <c r="X268" s="45"/>
      <c r="Y268" s="81"/>
      <c r="Z268" s="84"/>
      <c r="AA268" s="186"/>
    </row>
    <row r="269" spans="1:27" ht="12.75" hidden="1">
      <c r="A269" s="442"/>
      <c r="B269" s="73"/>
      <c r="C269" s="364"/>
      <c r="D269" s="33">
        <v>381.92</v>
      </c>
      <c r="E269" s="326">
        <f>(D269-D265)*X$9*0.97</f>
        <v>162.96000000000066</v>
      </c>
      <c r="F269" s="353">
        <v>163</v>
      </c>
      <c r="G269" s="216"/>
      <c r="H269" s="276"/>
      <c r="I269" s="33">
        <f>0.08*1.23</f>
        <v>0.0984</v>
      </c>
      <c r="J269" s="94"/>
      <c r="K269" s="66"/>
      <c r="L269" s="34">
        <f>E269*K269</f>
        <v>0</v>
      </c>
      <c r="M269" s="66"/>
      <c r="N269" s="34">
        <f>E269*M269</f>
        <v>0</v>
      </c>
      <c r="O269" s="75">
        <f>9.5*1.23</f>
        <v>11.685</v>
      </c>
      <c r="P269" s="75">
        <v>8.72</v>
      </c>
      <c r="Q269" s="75">
        <v>8.72</v>
      </c>
      <c r="R269" s="162">
        <f>(Q269-P269)*150</f>
        <v>0</v>
      </c>
      <c r="S269" s="159"/>
      <c r="T269" s="238"/>
      <c r="U269" s="121"/>
      <c r="V269" s="131"/>
      <c r="W269" s="122"/>
      <c r="X269" s="63"/>
      <c r="Y269" s="63"/>
      <c r="Z269" s="54"/>
      <c r="AA269" s="186"/>
    </row>
    <row r="270" spans="1:27" ht="12.75" hidden="1">
      <c r="A270" s="443"/>
      <c r="B270" s="371" t="s">
        <v>271</v>
      </c>
      <c r="C270" s="355" t="s">
        <v>272</v>
      </c>
      <c r="D270" s="38">
        <v>997.51</v>
      </c>
      <c r="E270" s="327">
        <f>(D270-D266)*X$9*0.97</f>
        <v>1105.8000000000034</v>
      </c>
      <c r="F270" s="338">
        <v>1106</v>
      </c>
      <c r="G270" s="125"/>
      <c r="H270" s="277"/>
      <c r="I270" s="38">
        <f>16.34*1.23</f>
        <v>20.0982</v>
      </c>
      <c r="J270" s="86"/>
      <c r="K270" s="59"/>
      <c r="L270" s="65">
        <f>E270*K270</f>
        <v>0</v>
      </c>
      <c r="M270" s="59"/>
      <c r="N270" s="65">
        <f>E270*M270</f>
        <v>0</v>
      </c>
      <c r="O270" s="67">
        <f>0.00158*(E269+E270)*1.23</f>
        <v>2.465708184000008</v>
      </c>
      <c r="P270" s="67">
        <v>16.33</v>
      </c>
      <c r="Q270" s="67">
        <v>16.33</v>
      </c>
      <c r="R270" s="260">
        <f>(Q270-P270)*150</f>
        <v>0</v>
      </c>
      <c r="S270" s="254"/>
      <c r="T270" s="280"/>
      <c r="U270" s="71"/>
      <c r="V270" s="86"/>
      <c r="W270" s="41"/>
      <c r="X270" s="43">
        <v>26</v>
      </c>
      <c r="Y270" s="72">
        <v>8</v>
      </c>
      <c r="Z270" s="360"/>
      <c r="AA270" s="363"/>
    </row>
    <row r="271" spans="1:27" ht="12.75" hidden="1">
      <c r="A271" s="78"/>
      <c r="B271" s="73"/>
      <c r="C271" s="364"/>
      <c r="D271" s="33"/>
      <c r="E271" s="326"/>
      <c r="F271" s="353"/>
      <c r="G271" s="265"/>
      <c r="H271" s="276"/>
      <c r="I271" s="33"/>
      <c r="J271" s="94"/>
      <c r="K271" s="264"/>
      <c r="L271" s="33"/>
      <c r="M271" s="264"/>
      <c r="N271" s="33"/>
      <c r="O271" s="77"/>
      <c r="P271" s="77"/>
      <c r="Q271" s="77"/>
      <c r="R271" s="162"/>
      <c r="S271" s="159"/>
      <c r="T271" s="238"/>
      <c r="U271" s="88"/>
      <c r="V271" s="94"/>
      <c r="W271" s="104"/>
      <c r="X271" s="45"/>
      <c r="Y271" s="81"/>
      <c r="Z271" s="395"/>
      <c r="AA271" s="396"/>
    </row>
    <row r="272" spans="1:27" ht="12.75" hidden="1">
      <c r="A272" s="78"/>
      <c r="B272" s="387" t="s">
        <v>200</v>
      </c>
      <c r="C272" s="355" t="s">
        <v>272</v>
      </c>
      <c r="D272" s="38"/>
      <c r="E272" s="327"/>
      <c r="F272" s="338"/>
      <c r="G272" s="125"/>
      <c r="H272" s="277"/>
      <c r="I272" s="38"/>
      <c r="J272" s="297"/>
      <c r="K272" s="309"/>
      <c r="L272" s="217"/>
      <c r="M272" s="309"/>
      <c r="N272" s="217"/>
      <c r="O272" s="339"/>
      <c r="P272" s="339"/>
      <c r="Q272" s="339"/>
      <c r="R272" s="260"/>
      <c r="S272" s="254"/>
      <c r="T272" s="280"/>
      <c r="U272" s="71"/>
      <c r="V272" s="297"/>
      <c r="W272" s="218"/>
      <c r="X272" s="43"/>
      <c r="Y272" s="72"/>
      <c r="Z272" s="360"/>
      <c r="AA272" s="363"/>
    </row>
    <row r="273" spans="1:27" ht="12.75" hidden="1">
      <c r="A273" s="78"/>
      <c r="B273" s="373"/>
      <c r="C273" s="364"/>
      <c r="D273" s="33"/>
      <c r="E273" s="33"/>
      <c r="F273" s="265"/>
      <c r="G273" s="33"/>
      <c r="H273" s="265"/>
      <c r="I273" s="33"/>
      <c r="J273" s="94"/>
      <c r="K273" s="77"/>
      <c r="L273" s="77"/>
      <c r="M273" s="77"/>
      <c r="N273" s="77"/>
      <c r="O273" s="77"/>
      <c r="P273" s="137">
        <v>380.64</v>
      </c>
      <c r="Q273" s="137">
        <v>382.83</v>
      </c>
      <c r="R273" s="162">
        <f>(Q273-P273)*150-17</f>
        <v>311.49999999999966</v>
      </c>
      <c r="S273" s="159"/>
      <c r="T273" s="238"/>
      <c r="U273" s="88"/>
      <c r="V273" s="94"/>
      <c r="W273" s="104"/>
      <c r="X273" s="45"/>
      <c r="Y273" s="81"/>
      <c r="Z273" s="84"/>
      <c r="AA273" s="186"/>
    </row>
    <row r="274" spans="1:27" ht="12.75" hidden="1">
      <c r="A274" s="78"/>
      <c r="B274" s="18"/>
      <c r="C274" s="33"/>
      <c r="D274" s="33"/>
      <c r="E274" s="33"/>
      <c r="F274" s="265"/>
      <c r="G274" s="265"/>
      <c r="H274" s="265"/>
      <c r="I274" s="33"/>
      <c r="J274" s="94"/>
      <c r="K274" s="77"/>
      <c r="L274" s="77"/>
      <c r="M274" s="77"/>
      <c r="N274" s="77"/>
      <c r="O274" s="77"/>
      <c r="P274" s="120">
        <v>1145</v>
      </c>
      <c r="Q274" s="120">
        <v>1156.97</v>
      </c>
      <c r="R274" s="162">
        <f>(Q274-P274)*150-107</f>
        <v>1688.500000000004</v>
      </c>
      <c r="S274" s="159"/>
      <c r="T274" s="238"/>
      <c r="U274" s="88"/>
      <c r="V274" s="94"/>
      <c r="W274" s="104"/>
      <c r="X274" s="45"/>
      <c r="Y274" s="81"/>
      <c r="Z274" s="84"/>
      <c r="AA274" s="186"/>
    </row>
    <row r="275" spans="1:27" ht="12.75" hidden="1">
      <c r="A275" s="442"/>
      <c r="B275" s="73"/>
      <c r="C275" s="364"/>
      <c r="D275" s="33">
        <v>383.03</v>
      </c>
      <c r="E275" s="326">
        <f>(D275-D269)*X$9*0.97</f>
        <v>161.50499999999371</v>
      </c>
      <c r="F275" s="353">
        <v>162</v>
      </c>
      <c r="G275" s="216"/>
      <c r="H275" s="276"/>
      <c r="I275" s="33">
        <f>0.08*1.23</f>
        <v>0.0984</v>
      </c>
      <c r="J275" s="94"/>
      <c r="K275" s="66"/>
      <c r="L275" s="34">
        <f>E275*K275</f>
        <v>0</v>
      </c>
      <c r="M275" s="66"/>
      <c r="N275" s="34">
        <f>E275*M275</f>
        <v>0</v>
      </c>
      <c r="O275" s="75">
        <f>9.5*1.23</f>
        <v>11.685</v>
      </c>
      <c r="P275" s="75">
        <v>8.72</v>
      </c>
      <c r="Q275" s="75">
        <v>8.72</v>
      </c>
      <c r="R275" s="162">
        <f>(Q275-P275)*150</f>
        <v>0</v>
      </c>
      <c r="S275" s="159"/>
      <c r="T275" s="238"/>
      <c r="U275" s="121"/>
      <c r="V275" s="131"/>
      <c r="W275" s="122"/>
      <c r="X275" s="63"/>
      <c r="Y275" s="63"/>
      <c r="Z275" s="54"/>
      <c r="AA275" s="186"/>
    </row>
    <row r="276" spans="1:27" ht="12.75" hidden="1">
      <c r="A276" s="443"/>
      <c r="B276" s="371" t="s">
        <v>276</v>
      </c>
      <c r="C276" s="355" t="s">
        <v>275</v>
      </c>
      <c r="D276" s="38">
        <v>1004.62</v>
      </c>
      <c r="E276" s="327">
        <f>(D276-D270)*X$9*0.97</f>
        <v>1034.505000000002</v>
      </c>
      <c r="F276" s="338">
        <v>1035</v>
      </c>
      <c r="G276" s="125"/>
      <c r="H276" s="277"/>
      <c r="I276" s="38">
        <f>16.34*1.23</f>
        <v>20.0982</v>
      </c>
      <c r="J276" s="86"/>
      <c r="K276" s="59"/>
      <c r="L276" s="65">
        <f>E276*K276</f>
        <v>0</v>
      </c>
      <c r="M276" s="59"/>
      <c r="N276" s="65">
        <f>E276*M276</f>
        <v>0</v>
      </c>
      <c r="O276" s="67">
        <f>0.00158*(E275+E276)*1.23</f>
        <v>2.3243258339999917</v>
      </c>
      <c r="P276" s="67">
        <v>16.33</v>
      </c>
      <c r="Q276" s="67">
        <v>16.33</v>
      </c>
      <c r="R276" s="260">
        <f>(Q276-P276)*150</f>
        <v>0</v>
      </c>
      <c r="S276" s="254"/>
      <c r="T276" s="280"/>
      <c r="U276" s="71"/>
      <c r="V276" s="86"/>
      <c r="W276" s="41"/>
      <c r="X276" s="43">
        <v>26</v>
      </c>
      <c r="Y276" s="72">
        <v>6</v>
      </c>
      <c r="Z276" s="360"/>
      <c r="AA276" s="363"/>
    </row>
    <row r="277" spans="1:27" ht="12.75" hidden="1">
      <c r="A277" s="78"/>
      <c r="B277" s="373"/>
      <c r="C277" s="364"/>
      <c r="D277" s="33"/>
      <c r="E277" s="33"/>
      <c r="F277" s="265"/>
      <c r="G277" s="33"/>
      <c r="H277" s="265"/>
      <c r="I277" s="33"/>
      <c r="J277" s="94"/>
      <c r="K277" s="77"/>
      <c r="L277" s="77"/>
      <c r="M277" s="77"/>
      <c r="N277" s="77"/>
      <c r="O277" s="77"/>
      <c r="P277" s="137">
        <v>382.83</v>
      </c>
      <c r="Q277" s="137">
        <v>385.56</v>
      </c>
      <c r="R277" s="162">
        <f>(Q277-P277)*150-25</f>
        <v>384.50000000000273</v>
      </c>
      <c r="S277" s="159"/>
      <c r="T277" s="238"/>
      <c r="U277" s="88"/>
      <c r="V277" s="94"/>
      <c r="W277" s="104"/>
      <c r="X277" s="45"/>
      <c r="Y277" s="81"/>
      <c r="Z277" s="84"/>
      <c r="AA277" s="186"/>
    </row>
    <row r="278" spans="1:27" ht="12.75" hidden="1">
      <c r="A278" s="442"/>
      <c r="B278" s="18"/>
      <c r="C278" s="33"/>
      <c r="D278" s="33"/>
      <c r="E278" s="33"/>
      <c r="F278" s="265"/>
      <c r="G278" s="265"/>
      <c r="H278" s="265"/>
      <c r="I278" s="33"/>
      <c r="J278" s="94"/>
      <c r="K278" s="77"/>
      <c r="L278" s="77"/>
      <c r="M278" s="77"/>
      <c r="N278" s="77"/>
      <c r="O278" s="77"/>
      <c r="P278" s="120">
        <v>1156.97</v>
      </c>
      <c r="Q278" s="120">
        <v>1167.93</v>
      </c>
      <c r="R278" s="162">
        <f>(Q278-P278)*150-107</f>
        <v>1537.0000000000055</v>
      </c>
      <c r="S278" s="159"/>
      <c r="T278" s="238"/>
      <c r="U278" s="88"/>
      <c r="V278" s="94"/>
      <c r="W278" s="104"/>
      <c r="X278" s="45"/>
      <c r="Y278" s="81"/>
      <c r="Z278" s="84"/>
      <c r="AA278" s="186"/>
    </row>
    <row r="279" spans="1:27" ht="12.75" hidden="1">
      <c r="A279" s="443"/>
      <c r="B279" s="73"/>
      <c r="C279" s="364"/>
      <c r="D279" s="33">
        <v>384.67</v>
      </c>
      <c r="E279" s="326">
        <f>(D279-D275)*X$9*0.97</f>
        <v>238.62000000000629</v>
      </c>
      <c r="F279" s="353">
        <v>239</v>
      </c>
      <c r="G279" s="216"/>
      <c r="H279" s="276"/>
      <c r="I279" s="33">
        <f>0.08*1.23</f>
        <v>0.0984</v>
      </c>
      <c r="J279" s="94"/>
      <c r="K279" s="66"/>
      <c r="L279" s="34">
        <f>E279*K279</f>
        <v>0</v>
      </c>
      <c r="M279" s="66"/>
      <c r="N279" s="34">
        <f>E279*M279</f>
        <v>0</v>
      </c>
      <c r="O279" s="75">
        <f>9.5*1.23</f>
        <v>11.685</v>
      </c>
      <c r="P279" s="75">
        <v>8.72</v>
      </c>
      <c r="Q279" s="75">
        <v>8.72</v>
      </c>
      <c r="R279" s="162">
        <f>(Q279-P279)*150</f>
        <v>0</v>
      </c>
      <c r="S279" s="159"/>
      <c r="T279" s="238"/>
      <c r="U279" s="121"/>
      <c r="V279" s="131"/>
      <c r="W279" s="122"/>
      <c r="X279" s="63"/>
      <c r="Y279" s="63"/>
      <c r="Z279" s="54"/>
      <c r="AA279" s="186"/>
    </row>
    <row r="280" spans="1:27" ht="12.75" hidden="1">
      <c r="A280" s="78"/>
      <c r="B280" s="371" t="s">
        <v>278</v>
      </c>
      <c r="C280" s="355" t="s">
        <v>277</v>
      </c>
      <c r="D280" s="38">
        <v>1011.72</v>
      </c>
      <c r="E280" s="327">
        <f>(D280-D276)*X$9*0.97</f>
        <v>1033.0500000000034</v>
      </c>
      <c r="F280" s="338">
        <v>1033</v>
      </c>
      <c r="G280" s="125"/>
      <c r="H280" s="277"/>
      <c r="I280" s="38">
        <f>16.34*1.23</f>
        <v>20.0982</v>
      </c>
      <c r="J280" s="86"/>
      <c r="K280" s="59"/>
      <c r="L280" s="65">
        <f>E280*K280</f>
        <v>0</v>
      </c>
      <c r="M280" s="59"/>
      <c r="N280" s="65">
        <f>E280*M280</f>
        <v>0</v>
      </c>
      <c r="O280" s="67">
        <f>0.00158*(E279+E280)*1.23</f>
        <v>2.471363478000019</v>
      </c>
      <c r="P280" s="67">
        <v>16.33</v>
      </c>
      <c r="Q280" s="67">
        <v>16.33</v>
      </c>
      <c r="R280" s="260">
        <f>(Q280-P280)*150</f>
        <v>0</v>
      </c>
      <c r="S280" s="254"/>
      <c r="T280" s="280"/>
      <c r="U280" s="71"/>
      <c r="V280" s="86"/>
      <c r="W280" s="41"/>
      <c r="X280" s="43">
        <v>26</v>
      </c>
      <c r="Y280" s="72">
        <v>7</v>
      </c>
      <c r="Z280" s="360"/>
      <c r="AA280" s="363"/>
    </row>
    <row r="281" spans="1:27" ht="12.75" hidden="1">
      <c r="A281" s="78"/>
      <c r="B281" s="373"/>
      <c r="C281" s="364"/>
      <c r="D281" s="33"/>
      <c r="E281" s="33"/>
      <c r="F281" s="265"/>
      <c r="G281" s="33"/>
      <c r="H281" s="265"/>
      <c r="I281" s="33"/>
      <c r="J281" s="94"/>
      <c r="K281" s="77"/>
      <c r="L281" s="77"/>
      <c r="M281" s="77"/>
      <c r="N281" s="77"/>
      <c r="O281" s="77"/>
      <c r="P281" s="137">
        <v>385.56</v>
      </c>
      <c r="Q281" s="137">
        <v>389.1</v>
      </c>
      <c r="R281" s="162">
        <f>(Q281-P281)*150-32</f>
        <v>499.00000000000307</v>
      </c>
      <c r="S281" s="159"/>
      <c r="T281" s="238"/>
      <c r="U281" s="88"/>
      <c r="V281" s="94"/>
      <c r="W281" s="104"/>
      <c r="X281" s="45"/>
      <c r="Y281" s="81"/>
      <c r="Z281" s="84"/>
      <c r="AA281" s="186"/>
    </row>
    <row r="282" spans="1:27" ht="12.75" hidden="1">
      <c r="A282" s="78"/>
      <c r="B282" s="18"/>
      <c r="C282" s="33"/>
      <c r="D282" s="33"/>
      <c r="E282" s="33"/>
      <c r="F282" s="265"/>
      <c r="G282" s="265"/>
      <c r="H282" s="265"/>
      <c r="I282" s="33"/>
      <c r="J282" s="94"/>
      <c r="K282" s="77"/>
      <c r="L282" s="77"/>
      <c r="M282" s="77"/>
      <c r="N282" s="77"/>
      <c r="O282" s="77"/>
      <c r="P282" s="120">
        <v>1167.93</v>
      </c>
      <c r="Q282" s="120">
        <v>1179.02</v>
      </c>
      <c r="R282" s="162">
        <f>(Q282-P282)*150-111</f>
        <v>1552.4999999999877</v>
      </c>
      <c r="S282" s="159"/>
      <c r="T282" s="238"/>
      <c r="U282" s="88"/>
      <c r="V282" s="94"/>
      <c r="W282" s="104"/>
      <c r="X282" s="45"/>
      <c r="Y282" s="81"/>
      <c r="Z282" s="84"/>
      <c r="AA282" s="186"/>
    </row>
    <row r="283" spans="1:27" ht="12.75" hidden="1">
      <c r="A283" s="78"/>
      <c r="B283" s="73"/>
      <c r="C283" s="364"/>
      <c r="D283" s="33">
        <v>386.82</v>
      </c>
      <c r="E283" s="326">
        <f>(D283-D279)*X$9*0.97</f>
        <v>312.8249999999967</v>
      </c>
      <c r="F283" s="353"/>
      <c r="G283" s="216"/>
      <c r="H283" s="276"/>
      <c r="I283" s="33">
        <f>0.08*1.23</f>
        <v>0.0984</v>
      </c>
      <c r="J283" s="94"/>
      <c r="K283" s="66"/>
      <c r="L283" s="34">
        <f>E283*K283</f>
        <v>0</v>
      </c>
      <c r="M283" s="66"/>
      <c r="N283" s="34">
        <f>E283*M283</f>
        <v>0</v>
      </c>
      <c r="O283" s="75">
        <f>9.5*1.23</f>
        <v>11.685</v>
      </c>
      <c r="P283" s="75">
        <v>8.72</v>
      </c>
      <c r="Q283" s="75">
        <v>8.72</v>
      </c>
      <c r="R283" s="162">
        <f>(Q283-P283)*150</f>
        <v>0</v>
      </c>
      <c r="S283" s="159"/>
      <c r="T283" s="238"/>
      <c r="U283" s="121"/>
      <c r="V283" s="131"/>
      <c r="W283" s="122"/>
      <c r="X283" s="63"/>
      <c r="Y283" s="63"/>
      <c r="Z283" s="54"/>
      <c r="AA283" s="186"/>
    </row>
    <row r="284" spans="1:27" ht="12.75" hidden="1">
      <c r="A284" s="78"/>
      <c r="B284" s="371" t="s">
        <v>281</v>
      </c>
      <c r="C284" s="355" t="s">
        <v>282</v>
      </c>
      <c r="D284" s="38">
        <v>1019.15</v>
      </c>
      <c r="E284" s="327">
        <f>(D284-D280)*X$9*0.97</f>
        <v>1081.0649999999928</v>
      </c>
      <c r="F284" s="338"/>
      <c r="G284" s="125"/>
      <c r="H284" s="277"/>
      <c r="I284" s="38">
        <f>16.34*1.23</f>
        <v>20.0982</v>
      </c>
      <c r="J284" s="86"/>
      <c r="K284" s="59"/>
      <c r="L284" s="65">
        <f>E284*K284</f>
        <v>0</v>
      </c>
      <c r="M284" s="59"/>
      <c r="N284" s="65">
        <f>E284*M284</f>
        <v>0</v>
      </c>
      <c r="O284" s="67">
        <f>0.00158*(E283+E284)*1.23</f>
        <v>2.708885825999979</v>
      </c>
      <c r="P284" s="67">
        <v>16.33</v>
      </c>
      <c r="Q284" s="67">
        <v>16.33</v>
      </c>
      <c r="R284" s="260">
        <f>(Q284-P284)*150</f>
        <v>0</v>
      </c>
      <c r="S284" s="254"/>
      <c r="T284" s="280"/>
      <c r="U284" s="71"/>
      <c r="V284" s="86"/>
      <c r="W284" s="41"/>
      <c r="X284" s="43">
        <v>26</v>
      </c>
      <c r="Y284" s="72">
        <v>4</v>
      </c>
      <c r="Z284" s="360"/>
      <c r="AA284" s="363"/>
    </row>
    <row r="285" spans="1:27" ht="12.75" hidden="1">
      <c r="A285" s="78"/>
      <c r="B285" s="373"/>
      <c r="C285" s="364"/>
      <c r="D285" s="33"/>
      <c r="E285" s="33"/>
      <c r="F285" s="265"/>
      <c r="G285" s="33"/>
      <c r="H285" s="265"/>
      <c r="I285" s="33"/>
      <c r="J285" s="94"/>
      <c r="K285" s="77"/>
      <c r="L285" s="77"/>
      <c r="M285" s="77"/>
      <c r="N285" s="77"/>
      <c r="O285" s="77"/>
      <c r="P285" s="137">
        <v>389.1</v>
      </c>
      <c r="Q285" s="137">
        <v>393.9</v>
      </c>
      <c r="R285" s="162">
        <f>(Q285-P285)*150-48</f>
        <v>671.9999999999932</v>
      </c>
      <c r="S285" s="159"/>
      <c r="T285" s="238"/>
      <c r="U285" s="88"/>
      <c r="V285" s="94"/>
      <c r="W285" s="104"/>
      <c r="X285" s="45"/>
      <c r="Y285" s="81"/>
      <c r="Z285" s="84"/>
      <c r="AA285" s="186"/>
    </row>
    <row r="286" spans="1:27" ht="12.75" hidden="1">
      <c r="A286" s="442"/>
      <c r="B286" s="18"/>
      <c r="C286" s="33"/>
      <c r="D286" s="33"/>
      <c r="E286" s="33"/>
      <c r="F286" s="265"/>
      <c r="G286" s="265"/>
      <c r="H286" s="265"/>
      <c r="I286" s="33"/>
      <c r="J286" s="94"/>
      <c r="K286" s="77"/>
      <c r="L286" s="77"/>
      <c r="M286" s="77"/>
      <c r="N286" s="77"/>
      <c r="O286" s="77"/>
      <c r="P286" s="120">
        <v>1179.02</v>
      </c>
      <c r="Q286" s="120">
        <v>1188.81</v>
      </c>
      <c r="R286" s="162">
        <f>(Q286-P286)*150-104</f>
        <v>1364.4999999999945</v>
      </c>
      <c r="S286" s="159"/>
      <c r="T286" s="238"/>
      <c r="U286" s="88"/>
      <c r="V286" s="94"/>
      <c r="W286" s="104"/>
      <c r="X286" s="45"/>
      <c r="Y286" s="81"/>
      <c r="Z286" s="84"/>
      <c r="AA286" s="186"/>
    </row>
    <row r="287" spans="1:27" ht="12.75" hidden="1">
      <c r="A287" s="442"/>
      <c r="B287" s="73"/>
      <c r="C287" s="364"/>
      <c r="D287" s="33">
        <v>390</v>
      </c>
      <c r="E287" s="326">
        <f>(D287-D283)*X$9*0.97</f>
        <v>462.69000000000096</v>
      </c>
      <c r="F287" s="353"/>
      <c r="G287" s="216"/>
      <c r="H287" s="276"/>
      <c r="I287" s="33">
        <f>0.08*1.23</f>
        <v>0.0984</v>
      </c>
      <c r="J287" s="94"/>
      <c r="K287" s="66"/>
      <c r="L287" s="34">
        <f>E287*K287</f>
        <v>0</v>
      </c>
      <c r="M287" s="66"/>
      <c r="N287" s="34">
        <f>E287*M287</f>
        <v>0</v>
      </c>
      <c r="O287" s="75">
        <f>9.5*1.23</f>
        <v>11.685</v>
      </c>
      <c r="P287" s="75">
        <v>8.72</v>
      </c>
      <c r="Q287" s="75">
        <v>8.72</v>
      </c>
      <c r="R287" s="162">
        <f>(Q287-P287)*150</f>
        <v>0</v>
      </c>
      <c r="S287" s="159"/>
      <c r="T287" s="238"/>
      <c r="U287" s="121"/>
      <c r="V287" s="131"/>
      <c r="W287" s="122"/>
      <c r="X287" s="63"/>
      <c r="Y287" s="63"/>
      <c r="Z287" s="54"/>
      <c r="AA287" s="186"/>
    </row>
    <row r="288" spans="1:27" ht="13.5" hidden="1" thickBot="1">
      <c r="A288" s="443"/>
      <c r="B288" s="371" t="s">
        <v>284</v>
      </c>
      <c r="C288" s="355" t="s">
        <v>283</v>
      </c>
      <c r="D288" s="38">
        <v>1026.08</v>
      </c>
      <c r="E288" s="327">
        <f>(D288-D284)*X$9*0.97</f>
        <v>1008.3149999999927</v>
      </c>
      <c r="F288" s="338"/>
      <c r="G288" s="125"/>
      <c r="H288" s="277"/>
      <c r="I288" s="38">
        <f>16.34*1.23</f>
        <v>20.0982</v>
      </c>
      <c r="J288" s="86"/>
      <c r="K288" s="59"/>
      <c r="L288" s="65">
        <f>E288*K288</f>
        <v>0</v>
      </c>
      <c r="M288" s="59"/>
      <c r="N288" s="65">
        <f>E288*M288</f>
        <v>0</v>
      </c>
      <c r="O288" s="67">
        <f>0.00158*(E287+E288)*1.23</f>
        <v>2.858751116999988</v>
      </c>
      <c r="P288" s="67">
        <v>16.33</v>
      </c>
      <c r="Q288" s="67">
        <v>16.33</v>
      </c>
      <c r="R288" s="260">
        <f>(Q288-P288)*150</f>
        <v>0</v>
      </c>
      <c r="S288" s="254"/>
      <c r="T288" s="280"/>
      <c r="U288" s="71"/>
      <c r="V288" s="86"/>
      <c r="W288" s="41"/>
      <c r="X288" s="43">
        <v>26</v>
      </c>
      <c r="Y288" s="72">
        <v>7</v>
      </c>
      <c r="Z288" s="360"/>
      <c r="AA288" s="363"/>
    </row>
    <row r="289" spans="1:27" ht="13.5" thickBot="1">
      <c r="A289" s="436" t="s">
        <v>250</v>
      </c>
      <c r="B289" s="437"/>
      <c r="C289" s="437"/>
      <c r="D289" s="438"/>
      <c r="E289" s="314"/>
      <c r="F289" s="13"/>
      <c r="G289" s="196"/>
      <c r="H289" s="262"/>
      <c r="I289" s="13"/>
      <c r="J289" s="13"/>
      <c r="K289" s="46"/>
      <c r="L289" s="46"/>
      <c r="M289" s="46"/>
      <c r="N289" s="46"/>
      <c r="O289" s="32"/>
      <c r="P289" s="32"/>
      <c r="Q289" s="212"/>
      <c r="R289" s="228"/>
      <c r="S289" s="232"/>
      <c r="T289" s="232"/>
      <c r="U289" s="226"/>
      <c r="V289" s="225"/>
      <c r="W289" s="284"/>
      <c r="X289" s="261"/>
      <c r="Y289" s="292"/>
      <c r="Z289" s="47"/>
      <c r="AA289" s="190"/>
    </row>
    <row r="290" spans="1:27" ht="13.5" thickBot="1">
      <c r="A290" s="439"/>
      <c r="B290" s="440"/>
      <c r="C290" s="440"/>
      <c r="D290" s="441"/>
      <c r="E290" s="110">
        <f>SUM(E229:E288)</f>
        <v>23758.694999999978</v>
      </c>
      <c r="F290" s="334">
        <f>SUM(F229:F288)+F293+F294+F296+F297</f>
        <v>23762</v>
      </c>
      <c r="G290" s="223"/>
      <c r="H290" s="224"/>
      <c r="I290" s="48"/>
      <c r="J290" s="69"/>
      <c r="K290" s="69"/>
      <c r="L290" s="69">
        <f>SUM(L229:L289)</f>
        <v>0</v>
      </c>
      <c r="M290" s="69"/>
      <c r="N290" s="69">
        <f>SUM(N229:N289)</f>
        <v>0</v>
      </c>
      <c r="O290" s="69">
        <f>SUM(O229:O289)</f>
        <v>183.82566135599998</v>
      </c>
      <c r="P290" s="48"/>
      <c r="Q290" s="48"/>
      <c r="R290" s="233"/>
      <c r="S290" s="220"/>
      <c r="T290" s="148"/>
      <c r="U290" s="234"/>
      <c r="V290" s="224"/>
      <c r="W290" s="223"/>
      <c r="X290" s="50">
        <v>26</v>
      </c>
      <c r="Y290" s="50">
        <f>SUM(Y229:Y289)/12</f>
        <v>9.583333333333334</v>
      </c>
      <c r="Z290" s="50"/>
      <c r="AA290" s="51"/>
    </row>
    <row r="291" spans="6:7" ht="12.75">
      <c r="F291" s="335">
        <f>F290-E290</f>
        <v>3.305000000022119</v>
      </c>
      <c r="G291" s="98"/>
    </row>
    <row r="292" spans="1:27" ht="12.75">
      <c r="A292" s="78"/>
      <c r="B292" s="142"/>
      <c r="C292" s="268"/>
      <c r="D292" s="33"/>
      <c r="E292" s="33"/>
      <c r="F292" s="265"/>
      <c r="G292" s="265"/>
      <c r="H292" s="265"/>
      <c r="I292" s="33"/>
      <c r="J292" s="94"/>
      <c r="K292" s="77"/>
      <c r="L292" s="77"/>
      <c r="M292" s="77"/>
      <c r="N292" s="77"/>
      <c r="O292" s="77"/>
      <c r="P292" s="137"/>
      <c r="Q292" s="137"/>
      <c r="R292" s="162"/>
      <c r="S292" s="159"/>
      <c r="T292" s="238"/>
      <c r="U292" s="88"/>
      <c r="V292" s="94"/>
      <c r="W292" s="104"/>
      <c r="X292" s="45"/>
      <c r="Y292" s="81"/>
      <c r="Z292" s="84"/>
      <c r="AA292" s="186"/>
    </row>
    <row r="293" spans="1:27" ht="12.75">
      <c r="A293" s="78"/>
      <c r="B293" s="102"/>
      <c r="C293" s="33"/>
      <c r="D293" s="33"/>
      <c r="E293" s="33"/>
      <c r="F293" s="353">
        <v>313</v>
      </c>
      <c r="G293" s="216"/>
      <c r="H293" s="276"/>
      <c r="I293" s="33"/>
      <c r="J293" s="94"/>
      <c r="K293" s="77"/>
      <c r="L293" s="77"/>
      <c r="M293" s="77"/>
      <c r="N293" s="77"/>
      <c r="O293" s="77"/>
      <c r="P293" s="120"/>
      <c r="Q293" s="120"/>
      <c r="R293" s="162"/>
      <c r="S293" s="159"/>
      <c r="T293" s="238"/>
      <c r="U293" s="88"/>
      <c r="V293" s="94"/>
      <c r="W293" s="104"/>
      <c r="X293" s="45"/>
      <c r="Y293" s="81"/>
      <c r="Z293" s="84"/>
      <c r="AA293" s="186"/>
    </row>
    <row r="294" spans="1:27" ht="12.75">
      <c r="A294" s="442"/>
      <c r="B294" s="73"/>
      <c r="C294" s="268"/>
      <c r="D294" s="33"/>
      <c r="E294" s="326"/>
      <c r="F294" s="338">
        <v>1081</v>
      </c>
      <c r="G294" s="125"/>
      <c r="H294" s="277"/>
      <c r="I294" s="33"/>
      <c r="J294" s="94"/>
      <c r="K294" s="66"/>
      <c r="L294" s="34"/>
      <c r="M294" s="66"/>
      <c r="N294" s="34"/>
      <c r="O294" s="75"/>
      <c r="P294" s="75"/>
      <c r="Q294" s="75"/>
      <c r="R294" s="162"/>
      <c r="S294" s="159"/>
      <c r="T294" s="238"/>
      <c r="U294" s="121"/>
      <c r="V294" s="131"/>
      <c r="W294" s="122"/>
      <c r="X294" s="63"/>
      <c r="Y294" s="63"/>
      <c r="Z294" s="54"/>
      <c r="AA294" s="186"/>
    </row>
    <row r="295" spans="1:27" ht="12.75">
      <c r="A295" s="443"/>
      <c r="B295" s="259"/>
      <c r="C295" s="37"/>
      <c r="D295" s="38"/>
      <c r="E295" s="327"/>
      <c r="F295" s="265"/>
      <c r="G295" s="265"/>
      <c r="H295" s="265"/>
      <c r="I295" s="38"/>
      <c r="J295" s="86"/>
      <c r="K295" s="59"/>
      <c r="L295" s="65"/>
      <c r="M295" s="59"/>
      <c r="N295" s="65"/>
      <c r="O295" s="146"/>
      <c r="P295" s="67"/>
      <c r="Q295" s="67"/>
      <c r="R295" s="260"/>
      <c r="S295" s="254"/>
      <c r="T295" s="280"/>
      <c r="U295" s="71"/>
      <c r="V295" s="86"/>
      <c r="W295" s="41"/>
      <c r="X295" s="43"/>
      <c r="Y295" s="72"/>
      <c r="Z295" s="40"/>
      <c r="AA295" s="185"/>
    </row>
    <row r="296" spans="1:27" ht="12.75">
      <c r="A296" s="78"/>
      <c r="B296" s="142"/>
      <c r="C296" s="268"/>
      <c r="D296" s="33"/>
      <c r="E296" s="33"/>
      <c r="F296" s="353">
        <v>463</v>
      </c>
      <c r="G296" s="216"/>
      <c r="H296" s="276"/>
      <c r="I296" s="33"/>
      <c r="J296" s="94"/>
      <c r="K296" s="77"/>
      <c r="L296" s="77"/>
      <c r="M296" s="77"/>
      <c r="N296" s="77"/>
      <c r="O296" s="77"/>
      <c r="P296" s="137"/>
      <c r="Q296" s="137"/>
      <c r="R296" s="162"/>
      <c r="S296" s="159"/>
      <c r="T296" s="238"/>
      <c r="U296" s="88"/>
      <c r="V296" s="94"/>
      <c r="W296" s="104"/>
      <c r="X296" s="45"/>
      <c r="Y296" s="81"/>
      <c r="Z296" s="84"/>
      <c r="AA296" s="186"/>
    </row>
    <row r="297" spans="1:27" ht="12.75">
      <c r="A297" s="78"/>
      <c r="B297" s="102"/>
      <c r="C297" s="38"/>
      <c r="D297" s="217"/>
      <c r="E297" s="217"/>
      <c r="F297" s="338">
        <v>1008</v>
      </c>
      <c r="G297" s="125"/>
      <c r="H297" s="277"/>
      <c r="I297" s="38"/>
      <c r="J297" s="297"/>
      <c r="K297" s="339"/>
      <c r="L297" s="339"/>
      <c r="M297" s="339"/>
      <c r="N297" s="339"/>
      <c r="O297" s="339"/>
      <c r="P297" s="126"/>
      <c r="Q297" s="126"/>
      <c r="R297" s="260"/>
      <c r="S297" s="254"/>
      <c r="T297" s="280"/>
      <c r="U297" s="71"/>
      <c r="V297" s="297"/>
      <c r="W297" s="218"/>
      <c r="X297" s="43"/>
      <c r="Y297" s="72"/>
      <c r="Z297" s="40"/>
      <c r="AA297" s="185"/>
    </row>
    <row r="298" spans="1:27" ht="12.75">
      <c r="A298" s="442"/>
      <c r="B298" s="373"/>
      <c r="C298" s="364"/>
      <c r="D298" s="33"/>
      <c r="E298" s="33"/>
      <c r="F298" s="265"/>
      <c r="G298" s="33"/>
      <c r="H298" s="265"/>
      <c r="I298" s="33"/>
      <c r="J298" s="94"/>
      <c r="K298" s="77"/>
      <c r="L298" s="77"/>
      <c r="M298" s="77"/>
      <c r="N298" s="77"/>
      <c r="O298" s="77"/>
      <c r="P298" s="137">
        <v>393.9</v>
      </c>
      <c r="Q298" s="137">
        <v>398.88</v>
      </c>
      <c r="R298" s="162">
        <f>(Q298-P298)*150-64</f>
        <v>683.0000000000027</v>
      </c>
      <c r="S298" s="159"/>
      <c r="T298" s="238"/>
      <c r="U298" s="88"/>
      <c r="V298" s="94"/>
      <c r="W298" s="104"/>
      <c r="X298" s="45"/>
      <c r="Y298" s="81"/>
      <c r="Z298" s="84"/>
      <c r="AA298" s="186"/>
    </row>
    <row r="299" spans="1:27" ht="12.75">
      <c r="A299" s="443"/>
      <c r="B299" s="18"/>
      <c r="C299" s="33"/>
      <c r="D299" s="33"/>
      <c r="E299" s="33"/>
      <c r="F299" s="265"/>
      <c r="G299" s="265"/>
      <c r="H299" s="265"/>
      <c r="I299" s="33"/>
      <c r="J299" s="94"/>
      <c r="K299" s="77"/>
      <c r="L299" s="77"/>
      <c r="M299" s="77"/>
      <c r="N299" s="77"/>
      <c r="O299" s="77"/>
      <c r="P299" s="120">
        <v>1188.81</v>
      </c>
      <c r="Q299" s="120">
        <v>1198.98</v>
      </c>
      <c r="R299" s="162">
        <f>(Q299-P299)*150-129</f>
        <v>1396.500000000011</v>
      </c>
      <c r="S299" s="159"/>
      <c r="T299" s="238"/>
      <c r="U299" s="88"/>
      <c r="V299" s="94"/>
      <c r="W299" s="104"/>
      <c r="X299" s="45"/>
      <c r="Y299" s="81"/>
      <c r="Z299" s="84"/>
      <c r="AA299" s="186"/>
    </row>
    <row r="300" spans="1:27" ht="12.75">
      <c r="A300" s="78"/>
      <c r="B300" s="73"/>
      <c r="C300" s="364"/>
      <c r="D300" s="33">
        <v>394.25</v>
      </c>
      <c r="E300" s="326">
        <v>619</v>
      </c>
      <c r="F300" s="353">
        <v>618</v>
      </c>
      <c r="G300" s="216"/>
      <c r="H300" s="276"/>
      <c r="I300" s="33">
        <f>0.08*1.23</f>
        <v>0.0984</v>
      </c>
      <c r="J300" s="94"/>
      <c r="K300" s="66"/>
      <c r="L300" s="34">
        <f>E300*K300</f>
        <v>0</v>
      </c>
      <c r="M300" s="66"/>
      <c r="N300" s="34">
        <f>E300*M300</f>
        <v>0</v>
      </c>
      <c r="O300" s="75">
        <f>9.5*1.23</f>
        <v>11.685</v>
      </c>
      <c r="P300" s="75">
        <v>8.72</v>
      </c>
      <c r="Q300" s="75">
        <v>8.72</v>
      </c>
      <c r="R300" s="162">
        <f>(Q300-P300)*150</f>
        <v>0</v>
      </c>
      <c r="S300" s="159"/>
      <c r="T300" s="238"/>
      <c r="U300" s="121"/>
      <c r="V300" s="131"/>
      <c r="W300" s="122"/>
      <c r="X300" s="63"/>
      <c r="Y300" s="63"/>
      <c r="Z300" s="54"/>
      <c r="AA300" s="186"/>
    </row>
    <row r="301" spans="1:27" ht="12.75">
      <c r="A301" s="78"/>
      <c r="B301" s="371" t="s">
        <v>287</v>
      </c>
      <c r="C301" s="355" t="s">
        <v>288</v>
      </c>
      <c r="D301" s="38">
        <v>1034.7</v>
      </c>
      <c r="E301" s="327">
        <v>1254</v>
      </c>
      <c r="F301" s="338">
        <v>1254</v>
      </c>
      <c r="G301" s="125"/>
      <c r="H301" s="277"/>
      <c r="I301" s="38">
        <f>16.34*1.23</f>
        <v>20.0982</v>
      </c>
      <c r="J301" s="86"/>
      <c r="K301" s="59"/>
      <c r="L301" s="65">
        <f>E301*K301</f>
        <v>0</v>
      </c>
      <c r="M301" s="59"/>
      <c r="N301" s="65">
        <f>E301*M301</f>
        <v>0</v>
      </c>
      <c r="O301" s="67">
        <f>0.00158*(E300+E301)*1.23</f>
        <v>3.6399882</v>
      </c>
      <c r="P301" s="67">
        <v>16.33</v>
      </c>
      <c r="Q301" s="67">
        <v>16.34</v>
      </c>
      <c r="R301" s="260">
        <f>(Q301-P301)*150</f>
        <v>1.5000000000002345</v>
      </c>
      <c r="S301" s="254"/>
      <c r="T301" s="280"/>
      <c r="U301" s="71"/>
      <c r="V301" s="86"/>
      <c r="W301" s="41"/>
      <c r="X301" s="43">
        <v>26</v>
      </c>
      <c r="Y301" s="72">
        <v>7</v>
      </c>
      <c r="Z301" s="360"/>
      <c r="AA301" s="363"/>
    </row>
    <row r="302" spans="1:27" ht="12.75">
      <c r="A302" s="442"/>
      <c r="B302" s="373"/>
      <c r="C302" s="364"/>
      <c r="D302" s="33"/>
      <c r="E302" s="33"/>
      <c r="F302" s="265"/>
      <c r="G302" s="33"/>
      <c r="H302" s="265"/>
      <c r="I302" s="33"/>
      <c r="J302" s="94"/>
      <c r="K302" s="77"/>
      <c r="L302" s="77"/>
      <c r="M302" s="77"/>
      <c r="N302" s="77"/>
      <c r="O302" s="77"/>
      <c r="P302" s="137">
        <v>398.88</v>
      </c>
      <c r="Q302" s="137">
        <v>403.91</v>
      </c>
      <c r="R302" s="162">
        <f>(Q302-P302)*150-75</f>
        <v>679.5000000000044</v>
      </c>
      <c r="S302" s="159"/>
      <c r="T302" s="238"/>
      <c r="U302" s="88"/>
      <c r="V302" s="94"/>
      <c r="W302" s="104"/>
      <c r="X302" s="45"/>
      <c r="Y302" s="81"/>
      <c r="Z302" s="84"/>
      <c r="AA302" s="186"/>
    </row>
    <row r="303" spans="1:27" ht="12.75">
      <c r="A303" s="443"/>
      <c r="B303" s="18"/>
      <c r="C303" s="33"/>
      <c r="D303" s="33"/>
      <c r="E303" s="33"/>
      <c r="F303" s="265"/>
      <c r="G303" s="265"/>
      <c r="H303" s="265"/>
      <c r="I303" s="33"/>
      <c r="J303" s="94"/>
      <c r="K303" s="77"/>
      <c r="L303" s="77"/>
      <c r="M303" s="77"/>
      <c r="N303" s="77"/>
      <c r="O303" s="77"/>
      <c r="P303" s="120">
        <v>1198.98</v>
      </c>
      <c r="Q303" s="120">
        <v>1209.23</v>
      </c>
      <c r="R303" s="162">
        <f>(Q303-P303)*150-149</f>
        <v>1388.5</v>
      </c>
      <c r="S303" s="159"/>
      <c r="T303" s="238"/>
      <c r="U303" s="88"/>
      <c r="V303" s="94"/>
      <c r="W303" s="104"/>
      <c r="X303" s="45"/>
      <c r="Y303" s="81"/>
      <c r="Z303" s="84"/>
      <c r="AA303" s="186"/>
    </row>
    <row r="304" spans="1:27" ht="12.75">
      <c r="A304" s="78"/>
      <c r="B304" s="73"/>
      <c r="C304" s="364"/>
      <c r="D304" s="33">
        <v>399.22</v>
      </c>
      <c r="E304" s="326">
        <f>(D304-D300)*X$9*0.97</f>
        <v>723.135000000004</v>
      </c>
      <c r="F304" s="353">
        <v>723</v>
      </c>
      <c r="G304" s="216"/>
      <c r="H304" s="276"/>
      <c r="I304" s="33">
        <f>0.08*1.23</f>
        <v>0.0984</v>
      </c>
      <c r="J304" s="94"/>
      <c r="K304" s="66"/>
      <c r="L304" s="34">
        <f>E304*K304</f>
        <v>0</v>
      </c>
      <c r="M304" s="66"/>
      <c r="N304" s="34"/>
      <c r="O304" s="75">
        <f>9.5*1.23</f>
        <v>11.685</v>
      </c>
      <c r="P304" s="75">
        <v>8.72</v>
      </c>
      <c r="Q304" s="75">
        <v>8.72</v>
      </c>
      <c r="R304" s="162">
        <f>(Q304-P304)*150</f>
        <v>0</v>
      </c>
      <c r="S304" s="159"/>
      <c r="T304" s="238"/>
      <c r="U304" s="121"/>
      <c r="V304" s="131"/>
      <c r="W304" s="122"/>
      <c r="X304" s="63"/>
      <c r="Y304" s="63"/>
      <c r="Z304" s="54"/>
      <c r="AA304" s="186"/>
    </row>
    <row r="305" spans="1:27" ht="12.75">
      <c r="A305" s="78"/>
      <c r="B305" s="371" t="s">
        <v>291</v>
      </c>
      <c r="C305" s="355" t="s">
        <v>289</v>
      </c>
      <c r="D305" s="38">
        <v>1044.64</v>
      </c>
      <c r="E305" s="327">
        <f>(D305-D301)*X$9*0.97</f>
        <v>1446.270000000008</v>
      </c>
      <c r="F305" s="338">
        <v>1446</v>
      </c>
      <c r="G305" s="125"/>
      <c r="H305" s="277"/>
      <c r="I305" s="38">
        <f>16.3*1.23</f>
        <v>20.049</v>
      </c>
      <c r="J305" s="86"/>
      <c r="K305" s="59"/>
      <c r="L305" s="65">
        <f>E305*K305</f>
        <v>0</v>
      </c>
      <c r="M305" s="59"/>
      <c r="N305" s="65">
        <f>(E304*M305)+(E305*M305)</f>
        <v>0</v>
      </c>
      <c r="O305" s="67">
        <f>0.00139*(E304+E305)*1.23</f>
        <v>3.7090317285000207</v>
      </c>
      <c r="P305" s="67">
        <v>16.34</v>
      </c>
      <c r="Q305" s="67">
        <v>16.34</v>
      </c>
      <c r="R305" s="260">
        <f>(Q305-P305)*150</f>
        <v>0</v>
      </c>
      <c r="S305" s="254"/>
      <c r="T305" s="280"/>
      <c r="U305" s="71"/>
      <c r="V305" s="86"/>
      <c r="W305" s="41"/>
      <c r="X305" s="43">
        <v>26</v>
      </c>
      <c r="Y305" s="72">
        <v>8</v>
      </c>
      <c r="Z305" s="360"/>
      <c r="AA305" s="363"/>
    </row>
    <row r="306" spans="1:27" ht="12.75">
      <c r="A306" s="442"/>
      <c r="B306" s="373"/>
      <c r="C306" s="364"/>
      <c r="D306" s="33"/>
      <c r="E306" s="33"/>
      <c r="F306" s="265"/>
      <c r="G306" s="33"/>
      <c r="H306" s="265"/>
      <c r="I306" s="33"/>
      <c r="J306" s="94"/>
      <c r="K306" s="77"/>
      <c r="L306" s="77"/>
      <c r="M306" s="77"/>
      <c r="N306" s="77"/>
      <c r="O306" s="77"/>
      <c r="P306" s="137">
        <v>403.91</v>
      </c>
      <c r="Q306" s="137">
        <v>408.49</v>
      </c>
      <c r="R306" s="162">
        <f>(Q306-P306)*150-70</f>
        <v>616.9999999999976</v>
      </c>
      <c r="S306" s="159"/>
      <c r="T306" s="238"/>
      <c r="U306" s="88"/>
      <c r="V306" s="94"/>
      <c r="W306" s="104"/>
      <c r="X306" s="45"/>
      <c r="Y306" s="81"/>
      <c r="Z306" s="84"/>
      <c r="AA306" s="186"/>
    </row>
    <row r="307" spans="1:27" ht="12.75">
      <c r="A307" s="443"/>
      <c r="B307" s="18"/>
      <c r="C307" s="33"/>
      <c r="D307" s="33"/>
      <c r="E307" s="33"/>
      <c r="F307" s="265"/>
      <c r="G307" s="265"/>
      <c r="H307" s="265"/>
      <c r="I307" s="33"/>
      <c r="J307" s="94"/>
      <c r="K307" s="77"/>
      <c r="L307" s="77"/>
      <c r="M307" s="77"/>
      <c r="N307" s="77"/>
      <c r="O307" s="77"/>
      <c r="P307" s="120">
        <v>1209.23</v>
      </c>
      <c r="Q307" s="120">
        <v>1218.82</v>
      </c>
      <c r="R307" s="162">
        <f>(Q307-P307)*150-140</f>
        <v>1298.4999999999877</v>
      </c>
      <c r="S307" s="159"/>
      <c r="T307" s="238"/>
      <c r="U307" s="88"/>
      <c r="V307" s="94"/>
      <c r="W307" s="104"/>
      <c r="X307" s="45"/>
      <c r="Y307" s="81"/>
      <c r="Z307" s="84"/>
      <c r="AA307" s="186"/>
    </row>
    <row r="308" spans="1:27" ht="12.75">
      <c r="A308" s="442"/>
      <c r="B308" s="73"/>
      <c r="C308" s="364"/>
      <c r="D308" s="33">
        <v>403.86</v>
      </c>
      <c r="E308" s="326">
        <f>(D308-D304)*X$9*0.97</f>
        <v>675.119999999998</v>
      </c>
      <c r="F308" s="353">
        <v>675</v>
      </c>
      <c r="G308" s="216"/>
      <c r="H308" s="276"/>
      <c r="I308" s="33">
        <f>0.08*1.23</f>
        <v>0.0984</v>
      </c>
      <c r="J308" s="94"/>
      <c r="K308" s="66"/>
      <c r="L308" s="34">
        <f>E308*K308</f>
        <v>0</v>
      </c>
      <c r="M308" s="66"/>
      <c r="N308" s="34"/>
      <c r="O308" s="75">
        <f>9.5*1.23</f>
        <v>11.685</v>
      </c>
      <c r="P308" s="75">
        <v>8.72</v>
      </c>
      <c r="Q308" s="75">
        <v>8.73</v>
      </c>
      <c r="R308" s="162">
        <f>(Q308-P308)*150</f>
        <v>1.499999999999968</v>
      </c>
      <c r="S308" s="159"/>
      <c r="T308" s="238"/>
      <c r="U308" s="121"/>
      <c r="V308" s="131"/>
      <c r="W308" s="122"/>
      <c r="X308" s="63"/>
      <c r="Y308" s="63"/>
      <c r="Z308" s="54"/>
      <c r="AA308" s="186"/>
    </row>
    <row r="309" spans="1:27" ht="12.75">
      <c r="A309" s="443"/>
      <c r="B309" s="371" t="s">
        <v>292</v>
      </c>
      <c r="C309" s="355" t="s">
        <v>290</v>
      </c>
      <c r="D309" s="38">
        <v>1053.98</v>
      </c>
      <c r="E309" s="327">
        <f>(D309-D305)*X$9*0.97</f>
        <v>1358.969999999988</v>
      </c>
      <c r="F309" s="338">
        <v>1359</v>
      </c>
      <c r="G309" s="125"/>
      <c r="H309" s="277"/>
      <c r="I309" s="38">
        <f>16.3*1.23</f>
        <v>20.049</v>
      </c>
      <c r="J309" s="86"/>
      <c r="K309" s="59"/>
      <c r="L309" s="65">
        <f>E309*K309</f>
        <v>0</v>
      </c>
      <c r="M309" s="59"/>
      <c r="N309" s="65">
        <f>(E308*M309)+(E309*M309)</f>
        <v>0</v>
      </c>
      <c r="O309" s="67">
        <f>0.00139*(E308+E309)*1.23</f>
        <v>3.4776836729999756</v>
      </c>
      <c r="P309" s="67">
        <v>16.34</v>
      </c>
      <c r="Q309" s="67">
        <v>16.34</v>
      </c>
      <c r="R309" s="260">
        <f>(Q309-P309)*150</f>
        <v>0</v>
      </c>
      <c r="S309" s="254"/>
      <c r="T309" s="280"/>
      <c r="U309" s="71"/>
      <c r="V309" s="86"/>
      <c r="W309" s="41"/>
      <c r="X309" s="43">
        <v>26</v>
      </c>
      <c r="Y309" s="72">
        <v>13</v>
      </c>
      <c r="Z309" s="360"/>
      <c r="AA309" s="363"/>
    </row>
    <row r="310" spans="1:27" ht="12.75">
      <c r="A310" s="322"/>
      <c r="B310" s="373"/>
      <c r="C310" s="364"/>
      <c r="D310" s="33"/>
      <c r="E310" s="33"/>
      <c r="F310" s="265"/>
      <c r="G310" s="33"/>
      <c r="H310" s="265"/>
      <c r="I310" s="33"/>
      <c r="J310" s="94"/>
      <c r="K310" s="77"/>
      <c r="L310" s="77"/>
      <c r="M310" s="77"/>
      <c r="N310" s="77"/>
      <c r="O310" s="77"/>
      <c r="P310" s="137">
        <v>408.49</v>
      </c>
      <c r="Q310" s="137">
        <v>412.16</v>
      </c>
      <c r="R310" s="162">
        <f>(Q310-P310)*150-50</f>
        <v>500.5000000000024</v>
      </c>
      <c r="S310" s="159"/>
      <c r="T310" s="238"/>
      <c r="U310" s="88"/>
      <c r="V310" s="94"/>
      <c r="W310" s="104"/>
      <c r="X310" s="45"/>
      <c r="Y310" s="81"/>
      <c r="Z310" s="84"/>
      <c r="AA310" s="186"/>
    </row>
    <row r="311" spans="1:27" ht="12.75">
      <c r="A311" s="322"/>
      <c r="B311" s="18"/>
      <c r="C311" s="33"/>
      <c r="D311" s="33"/>
      <c r="E311" s="33"/>
      <c r="F311" s="265"/>
      <c r="G311" s="265"/>
      <c r="H311" s="265"/>
      <c r="I311" s="33"/>
      <c r="J311" s="94"/>
      <c r="K311" s="77"/>
      <c r="L311" s="77"/>
      <c r="M311" s="77"/>
      <c r="N311" s="77"/>
      <c r="O311" s="77"/>
      <c r="P311" s="120">
        <v>1218.82</v>
      </c>
      <c r="Q311" s="120">
        <v>1230</v>
      </c>
      <c r="R311" s="162">
        <f>(Q311-P311)*150-156</f>
        <v>1521.0000000000095</v>
      </c>
      <c r="S311" s="159"/>
      <c r="T311" s="238"/>
      <c r="U311" s="88"/>
      <c r="V311" s="94"/>
      <c r="W311" s="104"/>
      <c r="X311" s="45"/>
      <c r="Y311" s="81"/>
      <c r="Z311" s="84"/>
      <c r="AA311" s="186"/>
    </row>
    <row r="312" spans="1:27" ht="12.75">
      <c r="A312" s="322"/>
      <c r="B312" s="73"/>
      <c r="C312" s="364"/>
      <c r="D312" s="33">
        <v>407.22</v>
      </c>
      <c r="E312" s="326">
        <f>(D312-D308)*X$9*0.97</f>
        <v>488.880000000002</v>
      </c>
      <c r="F312" s="353">
        <v>489</v>
      </c>
      <c r="G312" s="216"/>
      <c r="H312" s="276"/>
      <c r="I312" s="33">
        <f>0.08*1.23</f>
        <v>0.0984</v>
      </c>
      <c r="J312" s="94"/>
      <c r="K312" s="66"/>
      <c r="L312" s="34">
        <f>E312*K312</f>
        <v>0</v>
      </c>
      <c r="M312" s="66"/>
      <c r="N312" s="34"/>
      <c r="O312" s="75">
        <f>9.5*1.23</f>
        <v>11.685</v>
      </c>
      <c r="P312" s="75">
        <v>8.73</v>
      </c>
      <c r="Q312" s="75">
        <v>8.73</v>
      </c>
      <c r="R312" s="162">
        <f>(Q312-P312)*150</f>
        <v>0</v>
      </c>
      <c r="S312" s="159"/>
      <c r="T312" s="238"/>
      <c r="U312" s="121"/>
      <c r="V312" s="131"/>
      <c r="W312" s="122"/>
      <c r="X312" s="63"/>
      <c r="Y312" s="63"/>
      <c r="Z312" s="54"/>
      <c r="AA312" s="186"/>
    </row>
    <row r="313" spans="1:27" ht="12.75">
      <c r="A313" s="322"/>
      <c r="B313" s="371" t="s">
        <v>294</v>
      </c>
      <c r="C313" s="355" t="s">
        <v>293</v>
      </c>
      <c r="D313" s="38">
        <v>1064.35</v>
      </c>
      <c r="E313" s="327">
        <f>(D313-D309)*X$9*0.97</f>
        <v>1508.8349999999841</v>
      </c>
      <c r="F313" s="338">
        <v>1509</v>
      </c>
      <c r="G313" s="125"/>
      <c r="H313" s="277"/>
      <c r="I313" s="38">
        <f>16.3*1.23</f>
        <v>20.049</v>
      </c>
      <c r="J313" s="86"/>
      <c r="K313" s="59"/>
      <c r="L313" s="65">
        <f>E313*K313</f>
        <v>0</v>
      </c>
      <c r="M313" s="59"/>
      <c r="N313" s="65">
        <f>(E312*M313)+(E313*M313)</f>
        <v>0</v>
      </c>
      <c r="O313" s="67">
        <f>0.00139*(E312+E313)*1.23</f>
        <v>3.415493335499976</v>
      </c>
      <c r="P313" s="67">
        <v>16.34</v>
      </c>
      <c r="Q313" s="67">
        <v>16.34</v>
      </c>
      <c r="R313" s="260">
        <f>(Q313-P313)*150</f>
        <v>0</v>
      </c>
      <c r="S313" s="254"/>
      <c r="T313" s="280"/>
      <c r="U313" s="71"/>
      <c r="V313" s="86"/>
      <c r="W313" s="41"/>
      <c r="X313" s="43">
        <v>26</v>
      </c>
      <c r="Y313" s="72">
        <v>8</v>
      </c>
      <c r="Z313" s="360"/>
      <c r="AA313" s="363"/>
    </row>
    <row r="314" spans="1:27" ht="12.75">
      <c r="A314" s="475"/>
      <c r="B314" s="373"/>
      <c r="C314" s="364"/>
      <c r="D314" s="33"/>
      <c r="E314" s="33"/>
      <c r="F314" s="265"/>
      <c r="G314" s="33"/>
      <c r="H314" s="265"/>
      <c r="I314" s="33"/>
      <c r="J314" s="94"/>
      <c r="K314" s="77"/>
      <c r="L314" s="77"/>
      <c r="M314" s="77"/>
      <c r="N314" s="77"/>
      <c r="O314" s="77"/>
      <c r="P314" s="137">
        <v>412.16</v>
      </c>
      <c r="Q314" s="137">
        <v>414.84</v>
      </c>
      <c r="R314" s="162">
        <f>(Q314-P314)*150-33</f>
        <v>368.9999999999925</v>
      </c>
      <c r="S314" s="159"/>
      <c r="T314" s="238"/>
      <c r="U314" s="88"/>
      <c r="V314" s="94"/>
      <c r="W314" s="104"/>
      <c r="X314" s="45"/>
      <c r="Y314" s="81"/>
      <c r="Z314" s="84"/>
      <c r="AA314" s="186"/>
    </row>
    <row r="315" spans="1:27" ht="12.75">
      <c r="A315" s="476"/>
      <c r="B315" s="18"/>
      <c r="C315" s="33"/>
      <c r="D315" s="33"/>
      <c r="E315" s="33"/>
      <c r="F315" s="265"/>
      <c r="G315" s="265"/>
      <c r="H315" s="265"/>
      <c r="I315" s="33"/>
      <c r="J315" s="94"/>
      <c r="K315" s="77"/>
      <c r="L315" s="77"/>
      <c r="M315" s="77"/>
      <c r="N315" s="77"/>
      <c r="O315" s="77"/>
      <c r="P315" s="120">
        <v>1230</v>
      </c>
      <c r="Q315" s="120">
        <v>1241.35</v>
      </c>
      <c r="R315" s="162">
        <f>(Q315-P315)*150-150</f>
        <v>1552.4999999999864</v>
      </c>
      <c r="S315" s="159"/>
      <c r="T315" s="238"/>
      <c r="U315" s="88"/>
      <c r="V315" s="94"/>
      <c r="W315" s="104"/>
      <c r="X315" s="45"/>
      <c r="Y315" s="81"/>
      <c r="Z315" s="84"/>
      <c r="AA315" s="186"/>
    </row>
    <row r="316" spans="1:27" ht="12.75">
      <c r="A316" s="322"/>
      <c r="B316" s="73"/>
      <c r="C316" s="364"/>
      <c r="D316" s="33">
        <v>409.39</v>
      </c>
      <c r="E316" s="326">
        <f>(D316-D312)*X$9*0.97</f>
        <v>315.73499999999405</v>
      </c>
      <c r="F316" s="353">
        <v>316</v>
      </c>
      <c r="G316" s="216"/>
      <c r="H316" s="276"/>
      <c r="I316" s="33">
        <f>0.08*1.23</f>
        <v>0.0984</v>
      </c>
      <c r="J316" s="94"/>
      <c r="K316" s="66"/>
      <c r="L316" s="34">
        <f>E316*K316</f>
        <v>0</v>
      </c>
      <c r="M316" s="66"/>
      <c r="N316" s="34"/>
      <c r="O316" s="75">
        <f>9.5*1.23</f>
        <v>11.685</v>
      </c>
      <c r="P316" s="75">
        <v>8.73</v>
      </c>
      <c r="Q316" s="75">
        <v>8.73</v>
      </c>
      <c r="R316" s="162">
        <f>(Q316-P316)*150</f>
        <v>0</v>
      </c>
      <c r="S316" s="159"/>
      <c r="T316" s="238"/>
      <c r="U316" s="121"/>
      <c r="V316" s="131"/>
      <c r="W316" s="122"/>
      <c r="X316" s="63"/>
      <c r="Y316" s="63"/>
      <c r="Z316" s="54"/>
      <c r="AA316" s="186"/>
    </row>
    <row r="317" spans="1:27" ht="12.75">
      <c r="A317" s="322"/>
      <c r="B317" s="371" t="s">
        <v>296</v>
      </c>
      <c r="C317" s="355" t="s">
        <v>295</v>
      </c>
      <c r="D317" s="38">
        <v>1074.35</v>
      </c>
      <c r="E317" s="327">
        <f>(D317-D313)*X$9*0.97</f>
        <v>1455</v>
      </c>
      <c r="F317" s="338">
        <v>1455</v>
      </c>
      <c r="G317" s="125"/>
      <c r="H317" s="277"/>
      <c r="I317" s="38">
        <f>16.3*1.23</f>
        <v>20.049</v>
      </c>
      <c r="J317" s="86"/>
      <c r="K317" s="59"/>
      <c r="L317" s="65">
        <f>E317*K317</f>
        <v>0</v>
      </c>
      <c r="M317" s="59"/>
      <c r="N317" s="65">
        <f>(E316*M317)+(E317*M317)</f>
        <v>0</v>
      </c>
      <c r="O317" s="67">
        <f>0.00139*(E316+E317)*1.23</f>
        <v>3.0274256294999895</v>
      </c>
      <c r="P317" s="67">
        <v>16.34</v>
      </c>
      <c r="Q317" s="67">
        <v>16.34</v>
      </c>
      <c r="R317" s="260">
        <f>(Q317-P317)*150</f>
        <v>0</v>
      </c>
      <c r="S317" s="254"/>
      <c r="T317" s="280"/>
      <c r="U317" s="71"/>
      <c r="V317" s="86"/>
      <c r="W317" s="41"/>
      <c r="X317" s="43">
        <v>26</v>
      </c>
      <c r="Y317" s="72">
        <v>4</v>
      </c>
      <c r="Z317" s="360"/>
      <c r="AA317" s="363"/>
    </row>
    <row r="318" spans="1:27" ht="12.75">
      <c r="A318" s="475"/>
      <c r="B318" s="373"/>
      <c r="C318" s="364"/>
      <c r="D318" s="33"/>
      <c r="E318" s="33"/>
      <c r="F318" s="265"/>
      <c r="G318" s="33"/>
      <c r="H318" s="265"/>
      <c r="I318" s="33"/>
      <c r="J318" s="94"/>
      <c r="K318" s="77"/>
      <c r="L318" s="77"/>
      <c r="M318" s="77"/>
      <c r="N318" s="77"/>
      <c r="O318" s="77"/>
      <c r="P318" s="137">
        <v>414.84</v>
      </c>
      <c r="Q318" s="137">
        <v>416.91</v>
      </c>
      <c r="R318" s="162">
        <f>(Q318-P318)*150-25</f>
        <v>285.5000000000075</v>
      </c>
      <c r="S318" s="159"/>
      <c r="T318" s="238"/>
      <c r="U318" s="88"/>
      <c r="V318" s="94"/>
      <c r="W318" s="104"/>
      <c r="X318" s="45"/>
      <c r="Y318" s="81"/>
      <c r="Z318" s="84"/>
      <c r="AA318" s="186"/>
    </row>
    <row r="319" spans="1:27" ht="12.75">
      <c r="A319" s="476"/>
      <c r="B319" s="18"/>
      <c r="C319" s="33"/>
      <c r="D319" s="33"/>
      <c r="E319" s="33"/>
      <c r="F319" s="265"/>
      <c r="G319" s="265"/>
      <c r="H319" s="265"/>
      <c r="I319" s="33"/>
      <c r="J319" s="94"/>
      <c r="K319" s="77"/>
      <c r="L319" s="77"/>
      <c r="M319" s="77"/>
      <c r="N319" s="77"/>
      <c r="O319" s="77"/>
      <c r="P319" s="120">
        <v>1241.35</v>
      </c>
      <c r="Q319" s="120">
        <v>1253.44</v>
      </c>
      <c r="R319" s="162">
        <f>(Q319-P319)*150-155</f>
        <v>1658.5000000000218</v>
      </c>
      <c r="S319" s="159"/>
      <c r="T319" s="238"/>
      <c r="U319" s="88"/>
      <c r="V319" s="94"/>
      <c r="W319" s="104"/>
      <c r="X319" s="45"/>
      <c r="Y319" s="81"/>
      <c r="Z319" s="84"/>
      <c r="AA319" s="186"/>
    </row>
    <row r="320" spans="1:27" ht="12.75">
      <c r="A320" s="322"/>
      <c r="B320" s="73"/>
      <c r="C320" s="364"/>
      <c r="D320" s="33">
        <v>411.04</v>
      </c>
      <c r="E320" s="326">
        <f>(D320-D316)*X$9*0.97</f>
        <v>240.07500000000496</v>
      </c>
      <c r="F320" s="353">
        <v>240</v>
      </c>
      <c r="G320" s="216"/>
      <c r="H320" s="276"/>
      <c r="I320" s="33">
        <f>0.08*1.23</f>
        <v>0.0984</v>
      </c>
      <c r="J320" s="94"/>
      <c r="K320" s="66"/>
      <c r="L320" s="34">
        <f>E320*K320</f>
        <v>0</v>
      </c>
      <c r="M320" s="66"/>
      <c r="N320" s="34"/>
      <c r="O320" s="75">
        <f>9.5*1.23</f>
        <v>11.685</v>
      </c>
      <c r="P320" s="75">
        <v>8.73</v>
      </c>
      <c r="Q320" s="75">
        <v>8.73</v>
      </c>
      <c r="R320" s="162">
        <f>(Q320-P320)*150</f>
        <v>0</v>
      </c>
      <c r="S320" s="159"/>
      <c r="T320" s="238"/>
      <c r="U320" s="121"/>
      <c r="V320" s="131"/>
      <c r="W320" s="122"/>
      <c r="X320" s="63"/>
      <c r="Y320" s="63"/>
      <c r="Z320" s="54"/>
      <c r="AA320" s="186"/>
    </row>
    <row r="321" spans="1:27" ht="12.75">
      <c r="A321" s="322"/>
      <c r="B321" s="371" t="s">
        <v>307</v>
      </c>
      <c r="C321" s="355" t="s">
        <v>306</v>
      </c>
      <c r="D321" s="38">
        <v>1084.68</v>
      </c>
      <c r="E321" s="327">
        <f>(D321-D317)*X$9*0.97</f>
        <v>1503.0150000000224</v>
      </c>
      <c r="F321" s="338">
        <v>1503</v>
      </c>
      <c r="G321" s="125"/>
      <c r="H321" s="277"/>
      <c r="I321" s="38">
        <f>16.3*1.23</f>
        <v>20.049</v>
      </c>
      <c r="J321" s="86"/>
      <c r="K321" s="59"/>
      <c r="L321" s="65">
        <f>E321*K321</f>
        <v>0</v>
      </c>
      <c r="M321" s="59"/>
      <c r="N321" s="65">
        <f>(E320*M321)+(E321*M321)</f>
        <v>0</v>
      </c>
      <c r="O321" s="67">
        <f>0.00139*(E320+E321)*1.23</f>
        <v>2.980160973000047</v>
      </c>
      <c r="P321" s="67">
        <v>16.34</v>
      </c>
      <c r="Q321" s="67">
        <v>16.34</v>
      </c>
      <c r="R321" s="260">
        <f>(Q321-P321)*150</f>
        <v>0</v>
      </c>
      <c r="S321" s="254"/>
      <c r="T321" s="280"/>
      <c r="U321" s="71"/>
      <c r="V321" s="86"/>
      <c r="W321" s="41"/>
      <c r="X321" s="43">
        <v>26</v>
      </c>
      <c r="Y321" s="72">
        <v>5</v>
      </c>
      <c r="Z321" s="360"/>
      <c r="AA321" s="363"/>
    </row>
    <row r="322" spans="1:27" ht="12.75">
      <c r="A322" s="475"/>
      <c r="B322" s="373"/>
      <c r="C322" s="364"/>
      <c r="D322" s="33"/>
      <c r="E322" s="33"/>
      <c r="F322" s="265"/>
      <c r="G322" s="33"/>
      <c r="H322" s="265"/>
      <c r="I322" s="33"/>
      <c r="J322" s="94"/>
      <c r="K322" s="77"/>
      <c r="L322" s="77"/>
      <c r="M322" s="77"/>
      <c r="N322" s="77"/>
      <c r="O322" s="77"/>
      <c r="P322" s="137">
        <v>416.91</v>
      </c>
      <c r="Q322" s="137">
        <v>418.91</v>
      </c>
      <c r="R322" s="162">
        <f>(Q322-P322)*150-15</f>
        <v>285</v>
      </c>
      <c r="S322" s="159"/>
      <c r="T322" s="238"/>
      <c r="U322" s="88"/>
      <c r="V322" s="94"/>
      <c r="W322" s="104"/>
      <c r="X322" s="45"/>
      <c r="Y322" s="81"/>
      <c r="Z322" s="84"/>
      <c r="AA322" s="186"/>
    </row>
    <row r="323" spans="1:27" ht="12.75">
      <c r="A323" s="476"/>
      <c r="B323" s="18"/>
      <c r="C323" s="33"/>
      <c r="D323" s="33"/>
      <c r="E323" s="33"/>
      <c r="F323" s="265"/>
      <c r="G323" s="265"/>
      <c r="H323" s="265"/>
      <c r="I323" s="33"/>
      <c r="J323" s="94"/>
      <c r="K323" s="77"/>
      <c r="L323" s="77"/>
      <c r="M323" s="77"/>
      <c r="N323" s="77"/>
      <c r="O323" s="77"/>
      <c r="P323" s="120">
        <v>1253.44</v>
      </c>
      <c r="Q323" s="120">
        <v>1265.48</v>
      </c>
      <c r="R323" s="162">
        <f>(Q323-P323)*150-112</f>
        <v>1693.9999999999945</v>
      </c>
      <c r="S323" s="159"/>
      <c r="T323" s="238"/>
      <c r="U323" s="88"/>
      <c r="V323" s="94"/>
      <c r="W323" s="104"/>
      <c r="X323" s="45"/>
      <c r="Y323" s="81"/>
      <c r="Z323" s="84"/>
      <c r="AA323" s="186"/>
    </row>
    <row r="324" spans="1:27" ht="12.75">
      <c r="A324" s="322"/>
      <c r="B324" s="73"/>
      <c r="C324" s="364"/>
      <c r="D324" s="33">
        <v>412.07</v>
      </c>
      <c r="E324" s="326">
        <f>(D324-D320)*X$9*0.97</f>
        <v>149.86499999999603</v>
      </c>
      <c r="F324" s="353">
        <v>150</v>
      </c>
      <c r="G324" s="216"/>
      <c r="H324" s="276"/>
      <c r="I324" s="33">
        <f>0.08*1.23</f>
        <v>0.0984</v>
      </c>
      <c r="J324" s="94"/>
      <c r="K324" s="66"/>
      <c r="L324" s="34">
        <f>E324*K324</f>
        <v>0</v>
      </c>
      <c r="M324" s="66"/>
      <c r="N324" s="34"/>
      <c r="O324" s="75">
        <f>9.5*1.23</f>
        <v>11.685</v>
      </c>
      <c r="P324" s="75">
        <v>8.73</v>
      </c>
      <c r="Q324" s="75">
        <v>8.73</v>
      </c>
      <c r="R324" s="162">
        <f>(Q324-P324)*150</f>
        <v>0</v>
      </c>
      <c r="S324" s="159"/>
      <c r="T324" s="238"/>
      <c r="U324" s="121"/>
      <c r="V324" s="131"/>
      <c r="W324" s="122"/>
      <c r="X324" s="63"/>
      <c r="Y324" s="63"/>
      <c r="Z324" s="54"/>
      <c r="AA324" s="186"/>
    </row>
    <row r="325" spans="1:27" ht="12.75">
      <c r="A325" s="322"/>
      <c r="B325" s="371" t="s">
        <v>309</v>
      </c>
      <c r="C325" s="355" t="s">
        <v>306</v>
      </c>
      <c r="D325" s="38">
        <v>1092.16</v>
      </c>
      <c r="E325" s="327">
        <f>(D325-D321)*X$9*0.97</f>
        <v>1088.3400000000026</v>
      </c>
      <c r="F325" s="338">
        <v>1088</v>
      </c>
      <c r="G325" s="125"/>
      <c r="H325" s="277"/>
      <c r="I325" s="38">
        <f>16.3*1.23</f>
        <v>20.049</v>
      </c>
      <c r="J325" s="86"/>
      <c r="K325" s="59"/>
      <c r="L325" s="65">
        <f>E325*K325</f>
        <v>0</v>
      </c>
      <c r="M325" s="59"/>
      <c r="N325" s="65">
        <f>(E324*M325)+(E325*M325)</f>
        <v>0</v>
      </c>
      <c r="O325" s="67">
        <f>0.00139*(E324+E325)*1.23</f>
        <v>2.1169590884999976</v>
      </c>
      <c r="P325" s="67">
        <v>16.34</v>
      </c>
      <c r="Q325" s="67">
        <v>16.34</v>
      </c>
      <c r="R325" s="260">
        <f>(Q325-P325)*150</f>
        <v>0</v>
      </c>
      <c r="S325" s="254"/>
      <c r="T325" s="280"/>
      <c r="U325" s="71"/>
      <c r="V325" s="86"/>
      <c r="W325" s="41"/>
      <c r="X325" s="43">
        <v>26</v>
      </c>
      <c r="Y325" s="72">
        <v>10</v>
      </c>
      <c r="Z325" s="360"/>
      <c r="AA325" s="363"/>
    </row>
    <row r="326" spans="1:27" ht="12.75">
      <c r="A326" s="78"/>
      <c r="B326" s="373"/>
      <c r="C326" s="364"/>
      <c r="D326" s="33"/>
      <c r="E326" s="33"/>
      <c r="F326" s="265"/>
      <c r="G326" s="33"/>
      <c r="H326" s="265"/>
      <c r="I326" s="33"/>
      <c r="J326" s="94"/>
      <c r="K326" s="77"/>
      <c r="L326" s="77"/>
      <c r="M326" s="77"/>
      <c r="N326" s="77"/>
      <c r="O326" s="77"/>
      <c r="P326" s="137">
        <v>418.91</v>
      </c>
      <c r="Q326" s="137">
        <v>420.9</v>
      </c>
      <c r="R326" s="162">
        <f>(Q326-P326)*150-27</f>
        <v>271.49999999999284</v>
      </c>
      <c r="S326" s="159"/>
      <c r="T326" s="238"/>
      <c r="U326" s="88"/>
      <c r="V326" s="94"/>
      <c r="W326" s="104"/>
      <c r="X326" s="45"/>
      <c r="Y326" s="81"/>
      <c r="Z326" s="84"/>
      <c r="AA326" s="186"/>
    </row>
    <row r="327" spans="1:27" ht="12.75">
      <c r="A327" s="78"/>
      <c r="B327" s="18"/>
      <c r="C327" s="33"/>
      <c r="D327" s="33"/>
      <c r="E327" s="33"/>
      <c r="F327" s="265"/>
      <c r="G327" s="265"/>
      <c r="H327" s="265"/>
      <c r="I327" s="33"/>
      <c r="J327" s="94"/>
      <c r="K327" s="77"/>
      <c r="L327" s="77"/>
      <c r="M327" s="77"/>
      <c r="N327" s="77"/>
      <c r="O327" s="77"/>
      <c r="P327" s="120">
        <v>1265.48</v>
      </c>
      <c r="Q327" s="120">
        <v>1276.69</v>
      </c>
      <c r="R327" s="162">
        <f>(Q327-P327)*150-158</f>
        <v>1523.5000000000055</v>
      </c>
      <c r="S327" s="159"/>
      <c r="T327" s="238"/>
      <c r="U327" s="88"/>
      <c r="V327" s="94"/>
      <c r="W327" s="104"/>
      <c r="X327" s="45"/>
      <c r="Y327" s="81"/>
      <c r="Z327" s="84"/>
      <c r="AA327" s="186"/>
    </row>
    <row r="328" spans="1:27" ht="12.75">
      <c r="A328" s="442"/>
      <c r="B328" s="73"/>
      <c r="C328" s="364"/>
      <c r="D328" s="33">
        <v>413.9</v>
      </c>
      <c r="E328" s="326">
        <f>(D328-D324)*X$9*0.97</f>
        <v>266.26499999999766</v>
      </c>
      <c r="F328" s="353">
        <v>266</v>
      </c>
      <c r="G328" s="216"/>
      <c r="H328" s="276"/>
      <c r="I328" s="33">
        <f>0.08*1.23</f>
        <v>0.0984</v>
      </c>
      <c r="J328" s="94"/>
      <c r="K328" s="66"/>
      <c r="L328" s="34">
        <f>E328*K328</f>
        <v>0</v>
      </c>
      <c r="M328" s="66"/>
      <c r="N328" s="34"/>
      <c r="O328" s="75">
        <f>9.5*1.23</f>
        <v>11.685</v>
      </c>
      <c r="P328" s="75">
        <v>8.73</v>
      </c>
      <c r="Q328" s="75">
        <v>8.73</v>
      </c>
      <c r="R328" s="162">
        <f>(Q328-P328)*150</f>
        <v>0</v>
      </c>
      <c r="S328" s="159"/>
      <c r="T328" s="238"/>
      <c r="U328" s="121"/>
      <c r="V328" s="131"/>
      <c r="W328" s="122"/>
      <c r="X328" s="63"/>
      <c r="Y328" s="63"/>
      <c r="Z328" s="54"/>
      <c r="AA328" s="186"/>
    </row>
    <row r="329" spans="1:27" ht="12.75">
      <c r="A329" s="443"/>
      <c r="B329" s="371" t="s">
        <v>311</v>
      </c>
      <c r="C329" s="355" t="s">
        <v>310</v>
      </c>
      <c r="D329" s="38">
        <v>1102.69</v>
      </c>
      <c r="E329" s="327">
        <f>(D329-D325)*X$9*0.97</f>
        <v>1532.114999999996</v>
      </c>
      <c r="F329" s="338">
        <v>1532</v>
      </c>
      <c r="G329" s="125"/>
      <c r="H329" s="277"/>
      <c r="I329" s="38">
        <f>16.3*1.23</f>
        <v>20.049</v>
      </c>
      <c r="J329" s="86"/>
      <c r="K329" s="59"/>
      <c r="L329" s="65">
        <f>E329*K329</f>
        <v>0</v>
      </c>
      <c r="M329" s="59"/>
      <c r="N329" s="65">
        <f>(E328*M329)+(E329*M329)</f>
        <v>0</v>
      </c>
      <c r="O329" s="67">
        <f>0.00139*(E328+E329)*1.23</f>
        <v>3.074690285999989</v>
      </c>
      <c r="P329" s="67">
        <v>16.34</v>
      </c>
      <c r="Q329" s="67">
        <v>16.34</v>
      </c>
      <c r="R329" s="260">
        <f>(Q329-P329)*150</f>
        <v>0</v>
      </c>
      <c r="S329" s="254"/>
      <c r="T329" s="280"/>
      <c r="U329" s="71"/>
      <c r="V329" s="86"/>
      <c r="W329" s="41"/>
      <c r="X329" s="43">
        <v>26</v>
      </c>
      <c r="Y329" s="72">
        <v>9</v>
      </c>
      <c r="Z329" s="360"/>
      <c r="AA329" s="363"/>
    </row>
    <row r="330" spans="1:27" ht="12.75">
      <c r="A330" s="78"/>
      <c r="B330" s="373"/>
      <c r="C330" s="364"/>
      <c r="D330" s="33"/>
      <c r="E330" s="33"/>
      <c r="F330" s="265"/>
      <c r="G330" s="33"/>
      <c r="H330" s="265"/>
      <c r="I330" s="33"/>
      <c r="J330" s="94"/>
      <c r="K330" s="77"/>
      <c r="L330" s="77"/>
      <c r="M330" s="77"/>
      <c r="N330" s="77"/>
      <c r="O330" s="77"/>
      <c r="P330" s="137">
        <v>420.9</v>
      </c>
      <c r="Q330" s="137">
        <v>423.07</v>
      </c>
      <c r="R330" s="162">
        <f>(Q330-P330)*150-26</f>
        <v>299.5000000000024</v>
      </c>
      <c r="S330" s="159"/>
      <c r="T330" s="238"/>
      <c r="U330" s="88"/>
      <c r="V330" s="94"/>
      <c r="W330" s="104"/>
      <c r="X330" s="45"/>
      <c r="Y330" s="81"/>
      <c r="Z330" s="84"/>
      <c r="AA330" s="186"/>
    </row>
    <row r="331" spans="1:27" ht="12.75">
      <c r="A331" s="78"/>
      <c r="B331" s="18"/>
      <c r="C331" s="33"/>
      <c r="D331" s="33"/>
      <c r="E331" s="33"/>
      <c r="F331" s="265"/>
      <c r="G331" s="265"/>
      <c r="H331" s="265"/>
      <c r="I331" s="33"/>
      <c r="J331" s="94"/>
      <c r="K331" s="77"/>
      <c r="L331" s="77"/>
      <c r="M331" s="77"/>
      <c r="N331" s="77"/>
      <c r="O331" s="77"/>
      <c r="P331" s="120">
        <v>1276.69</v>
      </c>
      <c r="Q331" s="120">
        <v>1288.32</v>
      </c>
      <c r="R331" s="162">
        <f>(Q331-P331)*150-154</f>
        <v>1590.4999999999823</v>
      </c>
      <c r="S331" s="159"/>
      <c r="T331" s="238"/>
      <c r="U331" s="88"/>
      <c r="V331" s="94"/>
      <c r="W331" s="104"/>
      <c r="X331" s="45"/>
      <c r="Y331" s="81"/>
      <c r="Z331" s="84"/>
      <c r="AA331" s="186"/>
    </row>
    <row r="332" spans="1:27" ht="12.75">
      <c r="A332" s="442"/>
      <c r="B332" s="73"/>
      <c r="C332" s="364"/>
      <c r="D332" s="33">
        <v>415.65</v>
      </c>
      <c r="E332" s="326">
        <f>(D332-D328)*X$9*0.97</f>
        <v>254.625</v>
      </c>
      <c r="F332" s="353">
        <v>255</v>
      </c>
      <c r="G332" s="216"/>
      <c r="H332" s="276"/>
      <c r="I332" s="33">
        <f>0.08*1.23</f>
        <v>0.0984</v>
      </c>
      <c r="J332" s="94"/>
      <c r="K332" s="66"/>
      <c r="L332" s="34">
        <f>E332*K332</f>
        <v>0</v>
      </c>
      <c r="M332" s="66"/>
      <c r="N332" s="34"/>
      <c r="O332" s="75">
        <f>9.5*1.23</f>
        <v>11.685</v>
      </c>
      <c r="P332" s="75">
        <v>8.73</v>
      </c>
      <c r="Q332" s="75">
        <v>8.73</v>
      </c>
      <c r="R332" s="162">
        <f>(Q332-P332)*150</f>
        <v>0</v>
      </c>
      <c r="S332" s="159"/>
      <c r="T332" s="238"/>
      <c r="U332" s="121"/>
      <c r="V332" s="131"/>
      <c r="W332" s="122"/>
      <c r="X332" s="63"/>
      <c r="Y332" s="63"/>
      <c r="Z332" s="54"/>
      <c r="AA332" s="186"/>
    </row>
    <row r="333" spans="1:27" ht="12.75">
      <c r="A333" s="443"/>
      <c r="B333" s="371" t="s">
        <v>315</v>
      </c>
      <c r="C333" s="355" t="s">
        <v>314</v>
      </c>
      <c r="D333" s="38">
        <v>1112.96</v>
      </c>
      <c r="E333" s="327">
        <f>(D333-D329)*X$9*0.97</f>
        <v>1494.2849999999974</v>
      </c>
      <c r="F333" s="338">
        <v>1494</v>
      </c>
      <c r="G333" s="125"/>
      <c r="H333" s="277"/>
      <c r="I333" s="38">
        <f>16.3*1.23</f>
        <v>20.049</v>
      </c>
      <c r="J333" s="86"/>
      <c r="K333" s="59"/>
      <c r="L333" s="65">
        <f>E333*K333</f>
        <v>0</v>
      </c>
      <c r="M333" s="59"/>
      <c r="N333" s="65">
        <f>(E332*M333)+(E333*M333)</f>
        <v>0</v>
      </c>
      <c r="O333" s="67">
        <f>0.00139*(E332+E333)*1.23</f>
        <v>2.9901114269999955</v>
      </c>
      <c r="P333" s="67">
        <v>16.34</v>
      </c>
      <c r="Q333" s="67">
        <v>16.34</v>
      </c>
      <c r="R333" s="260">
        <f>(Q333-P333)*150</f>
        <v>0</v>
      </c>
      <c r="S333" s="254"/>
      <c r="T333" s="280"/>
      <c r="U333" s="71"/>
      <c r="V333" s="86"/>
      <c r="W333" s="41"/>
      <c r="X333" s="43">
        <v>26</v>
      </c>
      <c r="Y333" s="72">
        <v>8</v>
      </c>
      <c r="Z333" s="360"/>
      <c r="AA333" s="363"/>
    </row>
    <row r="334" spans="1:27" ht="12.75">
      <c r="A334" s="78"/>
      <c r="B334" s="373"/>
      <c r="C334" s="364"/>
      <c r="D334" s="33"/>
      <c r="E334" s="33"/>
      <c r="F334" s="265"/>
      <c r="G334" s="33"/>
      <c r="H334" s="265"/>
      <c r="I334" s="33"/>
      <c r="J334" s="94"/>
      <c r="K334" s="77"/>
      <c r="L334" s="77"/>
      <c r="M334" s="77"/>
      <c r="N334" s="77"/>
      <c r="O334" s="77"/>
      <c r="P334" s="137">
        <v>423.07</v>
      </c>
      <c r="Q334" s="137">
        <v>425.75</v>
      </c>
      <c r="R334" s="162">
        <f>(Q334-P334)*150-39</f>
        <v>363.000000000001</v>
      </c>
      <c r="S334" s="159"/>
      <c r="T334" s="238"/>
      <c r="U334" s="88"/>
      <c r="V334" s="94"/>
      <c r="W334" s="104"/>
      <c r="X334" s="45"/>
      <c r="Y334" s="81"/>
      <c r="Z334" s="84"/>
      <c r="AA334" s="186"/>
    </row>
    <row r="335" spans="1:27" ht="12.75">
      <c r="A335" s="78"/>
      <c r="B335" s="18"/>
      <c r="C335" s="33"/>
      <c r="D335" s="33"/>
      <c r="E335" s="33"/>
      <c r="F335" s="265"/>
      <c r="G335" s="265"/>
      <c r="H335" s="265"/>
      <c r="I335" s="33"/>
      <c r="J335" s="94"/>
      <c r="K335" s="77"/>
      <c r="L335" s="77"/>
      <c r="M335" s="77"/>
      <c r="N335" s="77"/>
      <c r="O335" s="77"/>
      <c r="P335" s="120">
        <v>1288.32</v>
      </c>
      <c r="Q335" s="120">
        <v>1299.06</v>
      </c>
      <c r="R335" s="162">
        <f>(Q335-P335)*150-164</f>
        <v>1447.0000000000014</v>
      </c>
      <c r="S335" s="159"/>
      <c r="T335" s="238"/>
      <c r="U335" s="88"/>
      <c r="V335" s="94"/>
      <c r="W335" s="104"/>
      <c r="X335" s="45"/>
      <c r="Y335" s="81"/>
      <c r="Z335" s="84"/>
      <c r="AA335" s="186"/>
    </row>
    <row r="336" spans="1:27" ht="12.75">
      <c r="A336" s="78"/>
      <c r="B336" s="73"/>
      <c r="C336" s="364"/>
      <c r="D336" s="33">
        <v>418.26</v>
      </c>
      <c r="E336" s="326">
        <f>(D336-D332)*X$9*0.97</f>
        <v>379.755000000002</v>
      </c>
      <c r="F336" s="353"/>
      <c r="G336" s="216"/>
      <c r="H336" s="276"/>
      <c r="I336" s="33">
        <f>0.08*1.23</f>
        <v>0.0984</v>
      </c>
      <c r="J336" s="94"/>
      <c r="K336" s="66"/>
      <c r="L336" s="34">
        <f>E336*K336</f>
        <v>0</v>
      </c>
      <c r="M336" s="66"/>
      <c r="N336" s="34"/>
      <c r="O336" s="75">
        <f>9.5*1.23</f>
        <v>11.685</v>
      </c>
      <c r="P336" s="75">
        <v>8.73</v>
      </c>
      <c r="Q336" s="75">
        <v>8.73</v>
      </c>
      <c r="R336" s="162">
        <f>(Q336-P336)*150</f>
        <v>0</v>
      </c>
      <c r="S336" s="159"/>
      <c r="T336" s="238"/>
      <c r="U336" s="121"/>
      <c r="V336" s="131"/>
      <c r="W336" s="122"/>
      <c r="X336" s="63"/>
      <c r="Y336" s="63"/>
      <c r="Z336" s="54"/>
      <c r="AA336" s="186"/>
    </row>
    <row r="337" spans="1:27" ht="12.75">
      <c r="A337" s="78"/>
      <c r="B337" s="371" t="s">
        <v>317</v>
      </c>
      <c r="C337" s="355" t="s">
        <v>316</v>
      </c>
      <c r="D337" s="38">
        <v>1123.87</v>
      </c>
      <c r="E337" s="327">
        <f>(D337-D333)*X$9*0.97</f>
        <v>1587.4049999999788</v>
      </c>
      <c r="F337" s="338"/>
      <c r="G337" s="125"/>
      <c r="H337" s="277"/>
      <c r="I337" s="38">
        <f>16.3*1.23</f>
        <v>20.049</v>
      </c>
      <c r="J337" s="86"/>
      <c r="K337" s="59"/>
      <c r="L337" s="65">
        <f>E337*K337</f>
        <v>0</v>
      </c>
      <c r="M337" s="59"/>
      <c r="N337" s="65">
        <f>(E336*M337)+(E337*M337)</f>
        <v>0</v>
      </c>
      <c r="O337" s="67">
        <f>0.00139*(E336+E337)*1.23</f>
        <v>3.3632534519999666</v>
      </c>
      <c r="P337" s="67">
        <v>16.34</v>
      </c>
      <c r="Q337" s="67">
        <v>16.34</v>
      </c>
      <c r="R337" s="260">
        <f>(Q337-P337)*150</f>
        <v>0</v>
      </c>
      <c r="S337" s="254"/>
      <c r="T337" s="280"/>
      <c r="U337" s="71"/>
      <c r="V337" s="86"/>
      <c r="W337" s="41"/>
      <c r="X337" s="43">
        <v>26</v>
      </c>
      <c r="Y337" s="72">
        <v>10</v>
      </c>
      <c r="Z337" s="360"/>
      <c r="AA337" s="363"/>
    </row>
    <row r="338" spans="1:27" ht="12.75">
      <c r="A338" s="442"/>
      <c r="B338" s="373"/>
      <c r="C338" s="364"/>
      <c r="D338" s="33"/>
      <c r="E338" s="33"/>
      <c r="F338" s="265"/>
      <c r="G338" s="33"/>
      <c r="H338" s="265"/>
      <c r="I338" s="33"/>
      <c r="J338" s="94"/>
      <c r="K338" s="77"/>
      <c r="L338" s="77"/>
      <c r="M338" s="77"/>
      <c r="N338" s="77"/>
      <c r="O338" s="77"/>
      <c r="P338" s="137">
        <v>425.75</v>
      </c>
      <c r="Q338" s="137">
        <v>429.16</v>
      </c>
      <c r="R338" s="162">
        <f>(Q338-P338)*150-48</f>
        <v>463.50000000000375</v>
      </c>
      <c r="S338" s="159"/>
      <c r="T338" s="238"/>
      <c r="U338" s="88"/>
      <c r="V338" s="94"/>
      <c r="W338" s="104"/>
      <c r="X338" s="45"/>
      <c r="Y338" s="81"/>
      <c r="Z338" s="84"/>
      <c r="AA338" s="186"/>
    </row>
    <row r="339" spans="1:27" ht="12.75">
      <c r="A339" s="443"/>
      <c r="B339" s="18"/>
      <c r="C339" s="33"/>
      <c r="D339" s="33"/>
      <c r="E339" s="33"/>
      <c r="F339" s="265"/>
      <c r="G339" s="265"/>
      <c r="H339" s="265"/>
      <c r="I339" s="33"/>
      <c r="J339" s="94"/>
      <c r="K339" s="77"/>
      <c r="L339" s="77"/>
      <c r="M339" s="77"/>
      <c r="N339" s="77"/>
      <c r="O339" s="77"/>
      <c r="P339" s="120">
        <v>1299.06</v>
      </c>
      <c r="Q339" s="120">
        <v>1309.78</v>
      </c>
      <c r="R339" s="162">
        <f>(Q339-P339)*150-157</f>
        <v>1451.000000000004</v>
      </c>
      <c r="S339" s="159"/>
      <c r="T339" s="238"/>
      <c r="U339" s="88"/>
      <c r="V339" s="94"/>
      <c r="W339" s="104"/>
      <c r="X339" s="45"/>
      <c r="Y339" s="81"/>
      <c r="Z339" s="84"/>
      <c r="AA339" s="186"/>
    </row>
    <row r="340" spans="1:27" ht="12.75">
      <c r="A340" s="78"/>
      <c r="B340" s="73"/>
      <c r="C340" s="364"/>
      <c r="D340" s="33">
        <v>421.44</v>
      </c>
      <c r="E340" s="326">
        <f>(D340-D336)*X$9*0.97</f>
        <v>462.69000000000096</v>
      </c>
      <c r="F340" s="353"/>
      <c r="G340" s="216"/>
      <c r="H340" s="276"/>
      <c r="I340" s="33">
        <f>0.08*1.23</f>
        <v>0.0984</v>
      </c>
      <c r="J340" s="94"/>
      <c r="K340" s="66"/>
      <c r="L340" s="34">
        <f>E340*K340</f>
        <v>0</v>
      </c>
      <c r="M340" s="66"/>
      <c r="N340" s="34"/>
      <c r="O340" s="75">
        <f>9.5*1.23</f>
        <v>11.685</v>
      </c>
      <c r="P340" s="75">
        <v>8.73</v>
      </c>
      <c r="Q340" s="75">
        <v>8.73</v>
      </c>
      <c r="R340" s="162">
        <f>(Q340-P340)*150</f>
        <v>0</v>
      </c>
      <c r="S340" s="159"/>
      <c r="T340" s="238"/>
      <c r="U340" s="121"/>
      <c r="V340" s="131"/>
      <c r="W340" s="122"/>
      <c r="X340" s="63"/>
      <c r="Y340" s="63"/>
      <c r="Z340" s="54"/>
      <c r="AA340" s="186"/>
    </row>
    <row r="341" spans="1:27" ht="12.75">
      <c r="A341" s="442"/>
      <c r="B341" s="371" t="s">
        <v>320</v>
      </c>
      <c r="C341" s="355" t="s">
        <v>319</v>
      </c>
      <c r="D341" s="38">
        <v>1134.34</v>
      </c>
      <c r="E341" s="419">
        <f>(D341-D337)*X$9*0.97+1</f>
        <v>1524.3850000000039</v>
      </c>
      <c r="F341" s="338"/>
      <c r="G341" s="125"/>
      <c r="H341" s="277"/>
      <c r="I341" s="38">
        <f>16.3*1.23</f>
        <v>20.049</v>
      </c>
      <c r="J341" s="86"/>
      <c r="K341" s="59"/>
      <c r="L341" s="65">
        <f>E341*K341</f>
        <v>0</v>
      </c>
      <c r="M341" s="59"/>
      <c r="N341" s="65">
        <f>(E340*M341)+(E341*M341)</f>
        <v>0</v>
      </c>
      <c r="O341" s="67">
        <f>0.00139*(E340+E341)*1.23</f>
        <v>3.397302127500008</v>
      </c>
      <c r="P341" s="67">
        <v>16.34</v>
      </c>
      <c r="Q341" s="67">
        <v>16.34</v>
      </c>
      <c r="R341" s="260">
        <f>(Q341-P341)*150</f>
        <v>0</v>
      </c>
      <c r="S341" s="254"/>
      <c r="T341" s="280"/>
      <c r="U341" s="71"/>
      <c r="V341" s="86"/>
      <c r="W341" s="41"/>
      <c r="X341" s="43">
        <v>26</v>
      </c>
      <c r="Y341" s="72">
        <v>8</v>
      </c>
      <c r="Z341" s="360"/>
      <c r="AA341" s="363"/>
    </row>
    <row r="342" spans="1:27" ht="12.75">
      <c r="A342" s="443"/>
      <c r="B342" s="373"/>
      <c r="C342" s="364"/>
      <c r="D342" s="33"/>
      <c r="E342" s="33"/>
      <c r="F342" s="265"/>
      <c r="G342" s="33"/>
      <c r="H342" s="265"/>
      <c r="I342" s="33"/>
      <c r="J342" s="94"/>
      <c r="K342" s="77"/>
      <c r="L342" s="77"/>
      <c r="M342" s="77"/>
      <c r="N342" s="77"/>
      <c r="O342" s="77"/>
      <c r="P342" s="137">
        <v>429.16</v>
      </c>
      <c r="Q342" s="137">
        <v>433.66</v>
      </c>
      <c r="R342" s="162">
        <f>(Q342-P342)*150-70</f>
        <v>605</v>
      </c>
      <c r="S342" s="159"/>
      <c r="T342" s="238"/>
      <c r="U342" s="88"/>
      <c r="V342" s="94"/>
      <c r="W342" s="104"/>
      <c r="X342" s="45"/>
      <c r="Y342" s="81"/>
      <c r="Z342" s="84"/>
      <c r="AA342" s="186"/>
    </row>
    <row r="343" spans="1:27" ht="12.75">
      <c r="A343" s="78"/>
      <c r="B343" s="18"/>
      <c r="C343" s="33"/>
      <c r="D343" s="33"/>
      <c r="E343" s="33"/>
      <c r="F343" s="265"/>
      <c r="G343" s="265"/>
      <c r="H343" s="265"/>
      <c r="I343" s="33"/>
      <c r="J343" s="94"/>
      <c r="K343" s="77"/>
      <c r="L343" s="77"/>
      <c r="M343" s="77"/>
      <c r="N343" s="77"/>
      <c r="O343" s="77"/>
      <c r="P343" s="120">
        <v>1309.78</v>
      </c>
      <c r="Q343" s="120">
        <v>1318.99</v>
      </c>
      <c r="R343" s="162">
        <f>(Q343-P343)*150-146</f>
        <v>1235.5000000000055</v>
      </c>
      <c r="S343" s="159"/>
      <c r="T343" s="238"/>
      <c r="U343" s="88"/>
      <c r="V343" s="94"/>
      <c r="W343" s="104"/>
      <c r="X343" s="45"/>
      <c r="Y343" s="81"/>
      <c r="Z343" s="84"/>
      <c r="AA343" s="186"/>
    </row>
    <row r="344" spans="1:27" ht="12.75">
      <c r="A344" s="78"/>
      <c r="B344" s="73"/>
      <c r="C344" s="364"/>
      <c r="D344" s="33">
        <v>426.11</v>
      </c>
      <c r="E344" s="326">
        <f>(D344-D340)*X$9*0.97</f>
        <v>679.4850000000023</v>
      </c>
      <c r="F344" s="353"/>
      <c r="G344" s="216"/>
      <c r="H344" s="276"/>
      <c r="I344" s="33">
        <f>0.08*1.23</f>
        <v>0.0984</v>
      </c>
      <c r="J344" s="94"/>
      <c r="K344" s="66"/>
      <c r="L344" s="34">
        <f>E344*K344</f>
        <v>0</v>
      </c>
      <c r="M344" s="66"/>
      <c r="N344" s="34"/>
      <c r="O344" s="75">
        <f>9.5*1.23</f>
        <v>11.685</v>
      </c>
      <c r="P344" s="75">
        <v>8.73</v>
      </c>
      <c r="Q344" s="75">
        <v>8.73</v>
      </c>
      <c r="R344" s="162">
        <f>(Q344-P344)*150</f>
        <v>0</v>
      </c>
      <c r="S344" s="159"/>
      <c r="T344" s="238"/>
      <c r="U344" s="121"/>
      <c r="V344" s="131"/>
      <c r="W344" s="122"/>
      <c r="X344" s="63"/>
      <c r="Y344" s="63"/>
      <c r="Z344" s="54"/>
      <c r="AA344" s="186"/>
    </row>
    <row r="345" spans="1:27" ht="13.5" thickBot="1">
      <c r="A345" s="78"/>
      <c r="B345" s="371" t="s">
        <v>322</v>
      </c>
      <c r="C345" s="355" t="s">
        <v>321</v>
      </c>
      <c r="D345" s="38">
        <v>1144.1</v>
      </c>
      <c r="E345" s="421">
        <f>(D345-D341)*X$9*0.97</f>
        <v>1420.0799999999986</v>
      </c>
      <c r="F345" s="338"/>
      <c r="G345" s="125"/>
      <c r="H345" s="298"/>
      <c r="I345" s="38">
        <f>16.3*1.23</f>
        <v>20.049</v>
      </c>
      <c r="J345" s="86"/>
      <c r="K345" s="59"/>
      <c r="L345" s="65">
        <f>E345*K345</f>
        <v>0</v>
      </c>
      <c r="M345" s="59"/>
      <c r="N345" s="65">
        <f>(E344*M345)+(E345*M345)</f>
        <v>0</v>
      </c>
      <c r="O345" s="67">
        <f>0.00139*(E344+E345)*1.23</f>
        <v>3.5896262805000014</v>
      </c>
      <c r="P345" s="425">
        <v>16.34</v>
      </c>
      <c r="Q345" s="425">
        <v>16.34</v>
      </c>
      <c r="R345" s="260">
        <f>(Q345-P345)*150</f>
        <v>0</v>
      </c>
      <c r="S345" s="254"/>
      <c r="T345" s="280"/>
      <c r="U345" s="244"/>
      <c r="V345" s="86"/>
      <c r="W345" s="41"/>
      <c r="X345" s="43">
        <v>26</v>
      </c>
      <c r="Y345" s="72">
        <v>8</v>
      </c>
      <c r="Z345" s="360"/>
      <c r="AA345" s="363"/>
    </row>
    <row r="346" spans="2:27" ht="13.5" thickBot="1">
      <c r="B346" s="437" t="s">
        <v>299</v>
      </c>
      <c r="C346" s="477"/>
      <c r="D346" s="478"/>
      <c r="E346" s="314"/>
      <c r="F346" s="13"/>
      <c r="G346" s="196"/>
      <c r="H346" s="262"/>
      <c r="I346" s="13"/>
      <c r="J346" s="13"/>
      <c r="K346" s="46"/>
      <c r="L346" s="46"/>
      <c r="M346" s="46"/>
      <c r="N346" s="46"/>
      <c r="O346" s="32"/>
      <c r="P346" s="211"/>
      <c r="Q346" s="424"/>
      <c r="R346" s="228"/>
      <c r="S346" s="232"/>
      <c r="T346" s="232"/>
      <c r="U346" s="226"/>
      <c r="V346" s="225"/>
      <c r="W346" s="284"/>
      <c r="X346" s="261"/>
      <c r="Y346" s="292"/>
      <c r="Z346" s="47"/>
      <c r="AA346" s="190"/>
    </row>
    <row r="347" spans="2:27" ht="13.5" thickBot="1">
      <c r="B347" s="479"/>
      <c r="C347" s="479"/>
      <c r="D347" s="480"/>
      <c r="E347" s="110">
        <f>SUM(E292:E345)</f>
        <v>22427.329999999976</v>
      </c>
      <c r="F347" s="334">
        <f>SUM(F300:F345)+F350+F351+F353</f>
        <v>22425</v>
      </c>
      <c r="G347" s="223"/>
      <c r="H347" s="224"/>
      <c r="I347" s="48"/>
      <c r="J347" s="69"/>
      <c r="K347" s="69"/>
      <c r="L347" s="69">
        <f>SUM(L292:L346)</f>
        <v>0</v>
      </c>
      <c r="M347" s="69"/>
      <c r="N347" s="69">
        <f>SUM(N292:N346)</f>
        <v>0</v>
      </c>
      <c r="O347" s="69">
        <f>SUM(O292:O346)</f>
        <v>179.00172620099997</v>
      </c>
      <c r="P347" s="426" t="s">
        <v>330</v>
      </c>
      <c r="Q347" s="427">
        <f>SUM(J347:O347)</f>
        <v>179.00172620099997</v>
      </c>
      <c r="R347" s="233"/>
      <c r="S347" s="220"/>
      <c r="T347" s="148"/>
      <c r="U347" s="234"/>
      <c r="V347" s="224"/>
      <c r="W347" s="223"/>
      <c r="X347" s="50">
        <v>26</v>
      </c>
      <c r="Y347" s="50">
        <f>SUM(Y292:Y346)/12</f>
        <v>8.166666666666666</v>
      </c>
      <c r="Z347" s="50"/>
      <c r="AA347" s="51"/>
    </row>
    <row r="348" spans="6:7" ht="12.75">
      <c r="F348" s="335">
        <f>F347-E347</f>
        <v>-2.3299999999762804</v>
      </c>
      <c r="G348" s="98"/>
    </row>
    <row r="349" spans="6:8" ht="12.75">
      <c r="F349" s="265"/>
      <c r="G349" s="265"/>
      <c r="H349" s="265"/>
    </row>
    <row r="350" spans="6:8" ht="12.75">
      <c r="F350" s="353">
        <v>843</v>
      </c>
      <c r="G350" s="216"/>
      <c r="H350" s="276"/>
    </row>
    <row r="351" spans="2:27" ht="12.75">
      <c r="B351" s="321"/>
      <c r="C351" s="355" t="s">
        <v>319</v>
      </c>
      <c r="D351" s="321"/>
      <c r="E351" s="321"/>
      <c r="F351" s="338">
        <v>3110</v>
      </c>
      <c r="G351" s="125"/>
      <c r="H351" s="277"/>
      <c r="I351" s="321"/>
      <c r="J351" s="321"/>
      <c r="K351" s="321"/>
      <c r="L351" s="321"/>
      <c r="M351" s="321"/>
      <c r="N351" s="321"/>
      <c r="O351" s="321"/>
      <c r="P351" s="321"/>
      <c r="Q351" s="321"/>
      <c r="R351" s="321"/>
      <c r="S351" s="321"/>
      <c r="T351" s="321"/>
      <c r="U351" s="321"/>
      <c r="V351" s="321"/>
      <c r="W351" s="321"/>
      <c r="X351" s="321"/>
      <c r="Y351" s="321"/>
      <c r="Z351" s="321"/>
      <c r="AA351" s="321"/>
    </row>
    <row r="352" spans="3:27" ht="12.75">
      <c r="C352" s="312"/>
      <c r="D352" s="200"/>
      <c r="E352" s="200"/>
      <c r="F352" s="353"/>
      <c r="G352" s="265"/>
      <c r="H352" s="276"/>
      <c r="I352" s="200"/>
      <c r="J352" s="200"/>
      <c r="K352" s="200"/>
      <c r="L352" s="200"/>
      <c r="M352" s="200"/>
      <c r="N352" s="200"/>
      <c r="O352" s="200"/>
      <c r="P352" s="200"/>
      <c r="Q352" s="200"/>
      <c r="R352" s="200"/>
      <c r="S352" s="200"/>
      <c r="T352" s="200"/>
      <c r="U352" s="200"/>
      <c r="V352" s="200"/>
      <c r="W352" s="200"/>
      <c r="X352" s="200"/>
      <c r="Y352" s="200"/>
      <c r="Z352" s="200"/>
      <c r="AA352" s="200"/>
    </row>
    <row r="353" spans="3:27" ht="12.75">
      <c r="C353" s="355" t="s">
        <v>321</v>
      </c>
      <c r="D353" s="321"/>
      <c r="E353" s="321"/>
      <c r="F353" s="338">
        <v>2100</v>
      </c>
      <c r="G353" s="125"/>
      <c r="H353" s="277"/>
      <c r="I353" s="321"/>
      <c r="J353" s="321"/>
      <c r="K353" s="321"/>
      <c r="L353" s="321"/>
      <c r="M353" s="321"/>
      <c r="N353" s="321"/>
      <c r="O353" s="321"/>
      <c r="P353" s="321"/>
      <c r="Q353" s="321"/>
      <c r="R353" s="321"/>
      <c r="S353" s="321"/>
      <c r="T353" s="321"/>
      <c r="U353" s="321"/>
      <c r="V353" s="321"/>
      <c r="W353" s="321"/>
      <c r="X353" s="321"/>
      <c r="Y353" s="321"/>
      <c r="Z353" s="321"/>
      <c r="AA353" s="321"/>
    </row>
    <row r="354" spans="2:27" ht="12.75">
      <c r="B354" s="373"/>
      <c r="C354" s="364"/>
      <c r="D354" s="33"/>
      <c r="E354" s="33"/>
      <c r="F354" s="265"/>
      <c r="G354" s="33"/>
      <c r="H354" s="265"/>
      <c r="I354" s="33"/>
      <c r="J354" s="94"/>
      <c r="K354" s="77"/>
      <c r="L354" s="77"/>
      <c r="M354" s="77"/>
      <c r="N354" s="77"/>
      <c r="O354" s="77"/>
      <c r="P354" s="137">
        <v>433.66</v>
      </c>
      <c r="Q354" s="137">
        <v>438.33</v>
      </c>
      <c r="R354" s="162">
        <f>(Q354-P354)*150-70</f>
        <v>630.4999999999939</v>
      </c>
      <c r="S354" s="159"/>
      <c r="T354" s="238"/>
      <c r="U354" s="88"/>
      <c r="V354" s="94"/>
      <c r="W354" s="104"/>
      <c r="X354" s="45"/>
      <c r="Y354" s="81"/>
      <c r="Z354" s="84"/>
      <c r="AA354" s="186"/>
    </row>
    <row r="355" spans="2:27" ht="12.75">
      <c r="B355" s="18"/>
      <c r="C355" s="33"/>
      <c r="D355" s="33"/>
      <c r="E355" s="33"/>
      <c r="F355" s="265"/>
      <c r="G355" s="265"/>
      <c r="H355" s="265"/>
      <c r="I355" s="33"/>
      <c r="J355" s="94"/>
      <c r="K355" s="77"/>
      <c r="L355" s="77"/>
      <c r="M355" s="77"/>
      <c r="N355" s="77"/>
      <c r="O355" s="77"/>
      <c r="P355" s="120">
        <v>1318.99</v>
      </c>
      <c r="Q355" s="120">
        <v>1328.51</v>
      </c>
      <c r="R355" s="162">
        <f>(Q355-P355)*150-147</f>
        <v>1280.9999999999973</v>
      </c>
      <c r="S355" s="159"/>
      <c r="T355" s="238"/>
      <c r="U355" s="88"/>
      <c r="V355" s="94"/>
      <c r="W355" s="104"/>
      <c r="X355" s="45"/>
      <c r="Y355" s="81"/>
      <c r="Z355" s="84"/>
      <c r="AA355" s="186"/>
    </row>
    <row r="356" spans="2:27" ht="12.75">
      <c r="B356" s="73"/>
      <c r="C356" s="364"/>
      <c r="D356" s="33">
        <v>430.81</v>
      </c>
      <c r="E356" s="326">
        <f>(D356-D344)*X$9*0.97</f>
        <v>683.8499999999983</v>
      </c>
      <c r="F356" s="353"/>
      <c r="G356" s="265"/>
      <c r="H356" s="276"/>
      <c r="I356" s="33">
        <f>0.08*1.23</f>
        <v>0.0984</v>
      </c>
      <c r="J356" s="94"/>
      <c r="K356" s="66"/>
      <c r="L356" s="34">
        <f>E356*K356</f>
        <v>0</v>
      </c>
      <c r="M356" s="66"/>
      <c r="N356" s="34"/>
      <c r="O356" s="75">
        <f>9.5*1.23</f>
        <v>11.685</v>
      </c>
      <c r="P356" s="75">
        <v>8.73</v>
      </c>
      <c r="Q356" s="75">
        <v>8.73</v>
      </c>
      <c r="R356" s="162">
        <f>(Q356-P356)*150</f>
        <v>0</v>
      </c>
      <c r="S356" s="159"/>
      <c r="T356" s="238"/>
      <c r="U356" s="121"/>
      <c r="V356" s="131"/>
      <c r="W356" s="122"/>
      <c r="X356" s="63"/>
      <c r="Y356" s="63"/>
      <c r="Z356" s="54"/>
      <c r="AA356" s="186"/>
    </row>
    <row r="357" spans="2:27" ht="12.75">
      <c r="B357" s="371" t="s">
        <v>325</v>
      </c>
      <c r="C357" s="355" t="s">
        <v>326</v>
      </c>
      <c r="D357" s="38">
        <v>1153.92</v>
      </c>
      <c r="E357" s="327">
        <f>(D357-D345)*X$9*0.97</f>
        <v>1428.8100000000238</v>
      </c>
      <c r="F357" s="338">
        <v>2113</v>
      </c>
      <c r="G357" s="125"/>
      <c r="H357" s="277"/>
      <c r="I357" s="38">
        <f>16.3*1.23</f>
        <v>20.049</v>
      </c>
      <c r="J357" s="86"/>
      <c r="K357" s="59"/>
      <c r="L357" s="65">
        <f>E357*K357</f>
        <v>0</v>
      </c>
      <c r="M357" s="59"/>
      <c r="N357" s="65">
        <f>(E356*M357)+(E357*M357)</f>
        <v>0</v>
      </c>
      <c r="O357" s="67">
        <f>0.00139*(E356+E357)*1.23</f>
        <v>3.6120148020000378</v>
      </c>
      <c r="P357" s="67">
        <v>16.34</v>
      </c>
      <c r="Q357" s="67">
        <v>16.34</v>
      </c>
      <c r="R357" s="260">
        <f>(Q357-P357)*150</f>
        <v>0</v>
      </c>
      <c r="S357" s="254"/>
      <c r="T357" s="280"/>
      <c r="U357" s="71"/>
      <c r="V357" s="86"/>
      <c r="W357" s="41"/>
      <c r="X357" s="43">
        <v>26</v>
      </c>
      <c r="Y357" s="72">
        <v>8</v>
      </c>
      <c r="Z357" s="360"/>
      <c r="AA357" s="363"/>
    </row>
    <row r="358" spans="2:27" ht="12.75">
      <c r="B358" s="373"/>
      <c r="C358" s="364"/>
      <c r="D358" s="33"/>
      <c r="E358" s="33"/>
      <c r="F358" s="265"/>
      <c r="G358" s="33"/>
      <c r="H358" s="265"/>
      <c r="I358" s="33"/>
      <c r="J358" s="94"/>
      <c r="K358" s="77"/>
      <c r="L358" s="77"/>
      <c r="M358" s="77"/>
      <c r="N358" s="77"/>
      <c r="O358" s="77"/>
      <c r="P358" s="137">
        <v>438.33</v>
      </c>
      <c r="Q358" s="137">
        <v>442.94</v>
      </c>
      <c r="R358" s="162">
        <f>(Q358-P358)*150-72</f>
        <v>619.500000000002</v>
      </c>
      <c r="S358" s="159"/>
      <c r="T358" s="238"/>
      <c r="U358" s="88"/>
      <c r="V358" s="94"/>
      <c r="W358" s="104"/>
      <c r="X358" s="45"/>
      <c r="Y358" s="81"/>
      <c r="Z358" s="84"/>
      <c r="AA358" s="186"/>
    </row>
    <row r="359" spans="2:27" ht="12.75">
      <c r="B359" s="18"/>
      <c r="C359" s="33"/>
      <c r="D359" s="33"/>
      <c r="E359" s="33"/>
      <c r="F359" s="265"/>
      <c r="G359" s="265"/>
      <c r="H359" s="265"/>
      <c r="I359" s="33">
        <f>0.0762*1.23</f>
        <v>0.093726</v>
      </c>
      <c r="J359" s="94"/>
      <c r="K359" s="77"/>
      <c r="L359" s="77"/>
      <c r="M359" s="77"/>
      <c r="N359" s="77"/>
      <c r="O359" s="77"/>
      <c r="P359" s="120">
        <v>1328.51</v>
      </c>
      <c r="Q359" s="120">
        <v>1338.02</v>
      </c>
      <c r="R359" s="162">
        <f>(Q359-P359)*150-151</f>
        <v>1275.4999999999986</v>
      </c>
      <c r="S359" s="159"/>
      <c r="T359" s="238"/>
      <c r="U359" s="88"/>
      <c r="V359" s="94"/>
      <c r="W359" s="104"/>
      <c r="X359" s="45"/>
      <c r="Y359" s="81"/>
      <c r="Z359" s="84"/>
      <c r="AA359" s="186"/>
    </row>
    <row r="360" spans="2:27" ht="12.75">
      <c r="B360" s="73"/>
      <c r="C360" s="364"/>
      <c r="D360" s="33">
        <v>435.64</v>
      </c>
      <c r="E360" s="326">
        <f>(D360-D356)*X$9*0.97</f>
        <v>702.7649999999977</v>
      </c>
      <c r="F360" s="353"/>
      <c r="G360" s="265"/>
      <c r="H360" s="276"/>
      <c r="I360" s="33">
        <f>0.08*1.23</f>
        <v>0.0984</v>
      </c>
      <c r="J360" s="94"/>
      <c r="K360" s="66"/>
      <c r="L360" s="34">
        <f>E360*K360</f>
        <v>0</v>
      </c>
      <c r="M360" s="66"/>
      <c r="N360" s="34"/>
      <c r="O360" s="75">
        <f>9.5*1.23</f>
        <v>11.685</v>
      </c>
      <c r="P360" s="75">
        <v>8.73</v>
      </c>
      <c r="Q360" s="75">
        <v>8.73</v>
      </c>
      <c r="R360" s="162">
        <f>(Q360-P360)*150</f>
        <v>0</v>
      </c>
      <c r="S360" s="159"/>
      <c r="T360" s="238"/>
      <c r="U360" s="121"/>
      <c r="V360" s="131"/>
      <c r="W360" s="122"/>
      <c r="X360" s="63"/>
      <c r="Y360" s="63"/>
      <c r="Z360" s="54"/>
      <c r="AA360" s="186"/>
    </row>
    <row r="361" spans="2:27" ht="12.75">
      <c r="B361" s="371" t="s">
        <v>328</v>
      </c>
      <c r="C361" s="355" t="s">
        <v>329</v>
      </c>
      <c r="D361" s="38">
        <v>1164</v>
      </c>
      <c r="E361" s="327">
        <f>(D361-D357)*X$9*0.97</f>
        <v>1466.6399999999894</v>
      </c>
      <c r="F361" s="338">
        <v>2169</v>
      </c>
      <c r="G361" s="125"/>
      <c r="H361" s="277"/>
      <c r="I361" s="38">
        <f>16.3*1.23</f>
        <v>20.049</v>
      </c>
      <c r="J361" s="86"/>
      <c r="K361" s="59"/>
      <c r="L361" s="65">
        <f>E361*K361</f>
        <v>0</v>
      </c>
      <c r="M361" s="59"/>
      <c r="N361" s="65">
        <f>(E360*M361)+(E361*M361)</f>
        <v>0</v>
      </c>
      <c r="O361" s="67">
        <f>0.0022*(E360+E361)*1.23</f>
        <v>5.870409929999965</v>
      </c>
      <c r="P361" s="67">
        <v>16.34</v>
      </c>
      <c r="Q361" s="67">
        <v>16.35</v>
      </c>
      <c r="R361" s="260">
        <f>(Q361-P361)*150</f>
        <v>1.5000000000002345</v>
      </c>
      <c r="S361" s="254"/>
      <c r="T361" s="280"/>
      <c r="U361" s="71"/>
      <c r="V361" s="86"/>
      <c r="W361" s="41"/>
      <c r="X361" s="43">
        <v>26</v>
      </c>
      <c r="Y361" s="72">
        <v>8</v>
      </c>
      <c r="Z361" s="360"/>
      <c r="AA361" s="363"/>
    </row>
    <row r="362" spans="2:27" ht="12.75">
      <c r="B362" s="373"/>
      <c r="C362" s="364"/>
      <c r="D362" s="33"/>
      <c r="E362" s="33"/>
      <c r="F362" s="265"/>
      <c r="G362" s="33"/>
      <c r="H362" s="265"/>
      <c r="I362" s="33"/>
      <c r="J362" s="94"/>
      <c r="K362" s="77"/>
      <c r="L362" s="77"/>
      <c r="M362" s="77"/>
      <c r="N362" s="77"/>
      <c r="O362" s="77"/>
      <c r="P362" s="137">
        <v>442.94</v>
      </c>
      <c r="Q362" s="137">
        <v>447.01</v>
      </c>
      <c r="R362" s="162">
        <f>(Q362-P362)*150-72</f>
        <v>538.499999999999</v>
      </c>
      <c r="S362" s="159"/>
      <c r="T362" s="238"/>
      <c r="U362" s="88"/>
      <c r="V362" s="94"/>
      <c r="W362" s="104"/>
      <c r="X362" s="45"/>
      <c r="Y362" s="81"/>
      <c r="Z362" s="84"/>
      <c r="AA362" s="186"/>
    </row>
    <row r="363" spans="2:27" ht="12.75">
      <c r="B363" s="18"/>
      <c r="C363" s="33"/>
      <c r="D363" s="33"/>
      <c r="E363" s="33"/>
      <c r="F363" s="265"/>
      <c r="G363" s="265"/>
      <c r="H363" s="265"/>
      <c r="I363" s="33">
        <f>0.0762*1.23</f>
        <v>0.093726</v>
      </c>
      <c r="J363" s="94"/>
      <c r="K363" s="77"/>
      <c r="L363" s="77"/>
      <c r="M363" s="77"/>
      <c r="N363" s="77"/>
      <c r="O363" s="77"/>
      <c r="P363" s="120">
        <v>1338.02</v>
      </c>
      <c r="Q363" s="120">
        <v>1346.5</v>
      </c>
      <c r="R363" s="162">
        <f>(Q363-P363)*150-153</f>
        <v>1119.0000000000027</v>
      </c>
      <c r="S363" s="159"/>
      <c r="T363" s="238"/>
      <c r="U363" s="88"/>
      <c r="V363" s="94"/>
      <c r="W363" s="104"/>
      <c r="X363" s="45"/>
      <c r="Y363" s="81"/>
      <c r="Z363" s="84"/>
      <c r="AA363" s="186"/>
    </row>
    <row r="364" spans="2:27" ht="12.75">
      <c r="B364" s="73"/>
      <c r="C364" s="364"/>
      <c r="D364" s="33">
        <v>440.44</v>
      </c>
      <c r="E364" s="326">
        <f>(D364-D360)*X$9*0.97</f>
        <v>698.4000000000017</v>
      </c>
      <c r="F364" s="353"/>
      <c r="G364" s="265"/>
      <c r="H364" s="276"/>
      <c r="I364" s="33">
        <f>0.08*1.23</f>
        <v>0.0984</v>
      </c>
      <c r="J364" s="94"/>
      <c r="K364" s="66"/>
      <c r="L364" s="34">
        <f>E364*K364</f>
        <v>0</v>
      </c>
      <c r="M364" s="66"/>
      <c r="N364" s="34"/>
      <c r="O364" s="75">
        <f>9.5*1.23</f>
        <v>11.685</v>
      </c>
      <c r="P364" s="75">
        <v>8.73</v>
      </c>
      <c r="Q364" s="75">
        <v>8.73</v>
      </c>
      <c r="R364" s="162">
        <f>(Q364-P364)*150</f>
        <v>0</v>
      </c>
      <c r="S364" s="159"/>
      <c r="T364" s="238"/>
      <c r="U364" s="121"/>
      <c r="V364" s="131"/>
      <c r="W364" s="122"/>
      <c r="X364" s="63"/>
      <c r="Y364" s="63"/>
      <c r="Z364" s="54"/>
      <c r="AA364" s="186"/>
    </row>
    <row r="365" spans="2:27" ht="12.75">
      <c r="B365" s="371" t="s">
        <v>335</v>
      </c>
      <c r="C365" s="355" t="s">
        <v>332</v>
      </c>
      <c r="D365" s="38">
        <v>1174.17</v>
      </c>
      <c r="E365" s="327">
        <f>(D365-D361)*X$9*0.97</f>
        <v>1479.7350000000106</v>
      </c>
      <c r="F365" s="338"/>
      <c r="G365" s="125"/>
      <c r="H365" s="277"/>
      <c r="I365" s="38">
        <f>16.3*1.23</f>
        <v>20.049</v>
      </c>
      <c r="J365" s="86"/>
      <c r="K365" s="59"/>
      <c r="L365" s="65">
        <f>E365*K365</f>
        <v>0</v>
      </c>
      <c r="M365" s="59"/>
      <c r="N365" s="65">
        <f>(E364*M365)+(E365*M365)</f>
        <v>0</v>
      </c>
      <c r="O365" s="67">
        <f>0.0022*(E364+E365)*1.23</f>
        <v>5.894033310000033</v>
      </c>
      <c r="P365" s="67">
        <v>16.35</v>
      </c>
      <c r="Q365" s="67">
        <v>16.35</v>
      </c>
      <c r="R365" s="260">
        <f>(Q365-P365)*150</f>
        <v>0</v>
      </c>
      <c r="S365" s="254"/>
      <c r="T365" s="280"/>
      <c r="U365" s="71"/>
      <c r="V365" s="86"/>
      <c r="W365" s="41"/>
      <c r="X365" s="43">
        <v>26</v>
      </c>
      <c r="Y365" s="72">
        <v>9</v>
      </c>
      <c r="Z365" s="360"/>
      <c r="AA365" s="363"/>
    </row>
    <row r="366" spans="2:27" ht="12.75">
      <c r="B366" s="73"/>
      <c r="C366" s="364"/>
      <c r="D366" s="33"/>
      <c r="E366" s="326"/>
      <c r="F366" s="353"/>
      <c r="G366" s="216"/>
      <c r="H366" s="276"/>
      <c r="I366" s="33"/>
      <c r="J366" s="94"/>
      <c r="K366" s="66"/>
      <c r="L366" s="34"/>
      <c r="M366" s="66"/>
      <c r="N366" s="34"/>
      <c r="O366" s="75"/>
      <c r="P366" s="75"/>
      <c r="Q366" s="75"/>
      <c r="R366" s="162"/>
      <c r="S366" s="159"/>
      <c r="T366" s="238"/>
      <c r="U366" s="121"/>
      <c r="V366" s="131"/>
      <c r="W366" s="122"/>
      <c r="X366" s="63"/>
      <c r="Y366" s="63"/>
      <c r="Z366" s="54"/>
      <c r="AA366" s="186"/>
    </row>
    <row r="367" spans="2:27" ht="12.75">
      <c r="B367" s="371"/>
      <c r="C367" s="355"/>
      <c r="D367" s="38"/>
      <c r="E367" s="327"/>
      <c r="F367" s="338"/>
      <c r="G367" s="125"/>
      <c r="H367" s="277"/>
      <c r="I367" s="38"/>
      <c r="J367" s="86"/>
      <c r="K367" s="59"/>
      <c r="L367" s="65"/>
      <c r="M367" s="59"/>
      <c r="N367" s="65"/>
      <c r="O367" s="67"/>
      <c r="P367" s="67"/>
      <c r="Q367" s="67"/>
      <c r="R367" s="260"/>
      <c r="S367" s="254"/>
      <c r="T367" s="280"/>
      <c r="U367" s="71"/>
      <c r="V367" s="86"/>
      <c r="W367" s="41"/>
      <c r="X367" s="43"/>
      <c r="Y367" s="72"/>
      <c r="Z367" s="360"/>
      <c r="AA367" s="363"/>
    </row>
    <row r="368" spans="2:27" ht="12.75">
      <c r="B368" s="373"/>
      <c r="C368" s="364"/>
      <c r="D368" s="33"/>
      <c r="E368" s="33"/>
      <c r="F368" s="265"/>
      <c r="G368" s="33"/>
      <c r="H368" s="265"/>
      <c r="I368" s="33"/>
      <c r="J368" s="94"/>
      <c r="K368" s="77"/>
      <c r="L368" s="77"/>
      <c r="M368" s="77"/>
      <c r="N368" s="77"/>
      <c r="O368" s="77"/>
      <c r="P368" s="137"/>
      <c r="Q368" s="137"/>
      <c r="R368" s="162"/>
      <c r="S368" s="159"/>
      <c r="T368" s="238"/>
      <c r="U368" s="88"/>
      <c r="V368" s="94"/>
      <c r="W368" s="104"/>
      <c r="X368" s="45"/>
      <c r="Y368" s="81"/>
      <c r="Z368" s="84"/>
      <c r="AA368" s="186"/>
    </row>
    <row r="369" spans="2:27" ht="12.75">
      <c r="B369" s="18"/>
      <c r="C369" s="33"/>
      <c r="D369" s="33"/>
      <c r="E369" s="33"/>
      <c r="F369" s="265"/>
      <c r="G369" s="265"/>
      <c r="H369" s="265"/>
      <c r="I369" s="33"/>
      <c r="J369" s="94"/>
      <c r="K369" s="77"/>
      <c r="L369" s="77"/>
      <c r="M369" s="77"/>
      <c r="N369" s="77"/>
      <c r="O369" s="77"/>
      <c r="P369" s="120"/>
      <c r="Q369" s="120"/>
      <c r="R369" s="162"/>
      <c r="S369" s="159"/>
      <c r="T369" s="238"/>
      <c r="U369" s="88"/>
      <c r="V369" s="94"/>
      <c r="W369" s="104"/>
      <c r="X369" s="45"/>
      <c r="Y369" s="81"/>
      <c r="Z369" s="84"/>
      <c r="AA369" s="186"/>
    </row>
    <row r="370" spans="2:27" ht="12.75">
      <c r="B370" s="73"/>
      <c r="C370" s="364"/>
      <c r="D370" s="33"/>
      <c r="E370" s="326"/>
      <c r="F370" s="353"/>
      <c r="G370" s="216"/>
      <c r="H370" s="276"/>
      <c r="I370" s="33"/>
      <c r="J370" s="94"/>
      <c r="K370" s="66"/>
      <c r="L370" s="34"/>
      <c r="M370" s="66"/>
      <c r="N370" s="34"/>
      <c r="O370" s="75"/>
      <c r="P370" s="75"/>
      <c r="Q370" s="75"/>
      <c r="R370" s="162"/>
      <c r="S370" s="159"/>
      <c r="T370" s="238"/>
      <c r="U370" s="121"/>
      <c r="V370" s="131"/>
      <c r="W370" s="122"/>
      <c r="X370" s="63"/>
      <c r="Y370" s="63"/>
      <c r="Z370" s="54"/>
      <c r="AA370" s="186"/>
    </row>
    <row r="371" spans="2:27" ht="12.75">
      <c r="B371" s="371"/>
      <c r="C371" s="355"/>
      <c r="D371" s="38"/>
      <c r="E371" s="327"/>
      <c r="F371" s="338"/>
      <c r="G371" s="125"/>
      <c r="H371" s="277"/>
      <c r="I371" s="38"/>
      <c r="J371" s="86"/>
      <c r="K371" s="59"/>
      <c r="L371" s="65"/>
      <c r="M371" s="59"/>
      <c r="N371" s="65"/>
      <c r="O371" s="67"/>
      <c r="P371" s="67"/>
      <c r="Q371" s="67"/>
      <c r="R371" s="260"/>
      <c r="S371" s="254"/>
      <c r="T371" s="280"/>
      <c r="U371" s="71"/>
      <c r="V371" s="86"/>
      <c r="W371" s="41"/>
      <c r="X371" s="43"/>
      <c r="Y371" s="72"/>
      <c r="Z371" s="360"/>
      <c r="AA371" s="363"/>
    </row>
    <row r="372" spans="2:27" ht="12.75">
      <c r="B372" s="373"/>
      <c r="C372" s="364"/>
      <c r="D372" s="33"/>
      <c r="E372" s="33"/>
      <c r="F372" s="265"/>
      <c r="G372" s="33"/>
      <c r="H372" s="265"/>
      <c r="I372" s="33"/>
      <c r="J372" s="94"/>
      <c r="K372" s="77"/>
      <c r="L372" s="77"/>
      <c r="M372" s="77"/>
      <c r="N372" s="77"/>
      <c r="O372" s="77"/>
      <c r="P372" s="137"/>
      <c r="Q372" s="137"/>
      <c r="R372" s="162"/>
      <c r="S372" s="159"/>
      <c r="T372" s="238"/>
      <c r="U372" s="88"/>
      <c r="V372" s="94"/>
      <c r="W372" s="104"/>
      <c r="X372" s="45"/>
      <c r="Y372" s="81"/>
      <c r="Z372" s="84"/>
      <c r="AA372" s="186"/>
    </row>
    <row r="373" spans="2:27" ht="12.75">
      <c r="B373" s="18"/>
      <c r="C373" s="33"/>
      <c r="D373" s="33"/>
      <c r="E373" s="33"/>
      <c r="F373" s="265"/>
      <c r="G373" s="265"/>
      <c r="H373" s="265"/>
      <c r="I373" s="33"/>
      <c r="J373" s="94"/>
      <c r="K373" s="77"/>
      <c r="L373" s="77"/>
      <c r="M373" s="77"/>
      <c r="N373" s="77"/>
      <c r="O373" s="77"/>
      <c r="P373" s="120"/>
      <c r="Q373" s="120"/>
      <c r="R373" s="162"/>
      <c r="S373" s="159"/>
      <c r="T373" s="238"/>
      <c r="U373" s="88"/>
      <c r="V373" s="94"/>
      <c r="W373" s="104"/>
      <c r="X373" s="45"/>
      <c r="Y373" s="81"/>
      <c r="Z373" s="84"/>
      <c r="AA373" s="186"/>
    </row>
    <row r="374" spans="2:27" ht="12.75">
      <c r="B374" s="73"/>
      <c r="C374" s="364"/>
      <c r="D374" s="33"/>
      <c r="E374" s="326"/>
      <c r="F374" s="353"/>
      <c r="G374" s="216"/>
      <c r="H374" s="276"/>
      <c r="I374" s="33"/>
      <c r="J374" s="94"/>
      <c r="K374" s="66"/>
      <c r="L374" s="34"/>
      <c r="M374" s="66"/>
      <c r="N374" s="34"/>
      <c r="O374" s="75"/>
      <c r="P374" s="75"/>
      <c r="Q374" s="75"/>
      <c r="R374" s="162"/>
      <c r="S374" s="159"/>
      <c r="T374" s="238"/>
      <c r="U374" s="121"/>
      <c r="V374" s="131"/>
      <c r="W374" s="122"/>
      <c r="X374" s="63"/>
      <c r="Y374" s="63"/>
      <c r="Z374" s="54"/>
      <c r="AA374" s="186"/>
    </row>
    <row r="375" spans="2:27" ht="12.75">
      <c r="B375" s="371"/>
      <c r="C375" s="355"/>
      <c r="D375" s="38"/>
      <c r="E375" s="327"/>
      <c r="F375" s="338"/>
      <c r="G375" s="125"/>
      <c r="H375" s="277"/>
      <c r="I375" s="38"/>
      <c r="J375" s="86"/>
      <c r="K375" s="59"/>
      <c r="L375" s="65"/>
      <c r="M375" s="59"/>
      <c r="N375" s="65"/>
      <c r="O375" s="67"/>
      <c r="P375" s="67"/>
      <c r="Q375" s="67"/>
      <c r="R375" s="260"/>
      <c r="S375" s="254"/>
      <c r="T375" s="280"/>
      <c r="U375" s="71"/>
      <c r="V375" s="86"/>
      <c r="W375" s="41"/>
      <c r="X375" s="43"/>
      <c r="Y375" s="72"/>
      <c r="Z375" s="360"/>
      <c r="AA375" s="363"/>
    </row>
    <row r="376" spans="2:27" ht="12.75">
      <c r="B376" s="373"/>
      <c r="C376" s="364"/>
      <c r="D376" s="33"/>
      <c r="E376" s="33"/>
      <c r="F376" s="265"/>
      <c r="G376" s="33"/>
      <c r="H376" s="265"/>
      <c r="I376" s="33"/>
      <c r="J376" s="94"/>
      <c r="K376" s="77"/>
      <c r="L376" s="77"/>
      <c r="M376" s="77"/>
      <c r="N376" s="77"/>
      <c r="O376" s="77"/>
      <c r="P376" s="137"/>
      <c r="Q376" s="137"/>
      <c r="R376" s="162"/>
      <c r="S376" s="159"/>
      <c r="T376" s="238"/>
      <c r="U376" s="88"/>
      <c r="V376" s="94"/>
      <c r="W376" s="104"/>
      <c r="X376" s="45"/>
      <c r="Y376" s="81"/>
      <c r="Z376" s="84"/>
      <c r="AA376" s="186"/>
    </row>
    <row r="377" spans="2:27" ht="12.75">
      <c r="B377" s="18"/>
      <c r="C377" s="33"/>
      <c r="D377" s="33"/>
      <c r="E377" s="33"/>
      <c r="F377" s="265"/>
      <c r="G377" s="265"/>
      <c r="H377" s="265"/>
      <c r="I377" s="33"/>
      <c r="J377" s="94"/>
      <c r="K377" s="77"/>
      <c r="L377" s="77"/>
      <c r="M377" s="77"/>
      <c r="N377" s="77"/>
      <c r="O377" s="77"/>
      <c r="P377" s="120"/>
      <c r="Q377" s="120"/>
      <c r="R377" s="162"/>
      <c r="S377" s="159"/>
      <c r="T377" s="238"/>
      <c r="U377" s="88"/>
      <c r="V377" s="94"/>
      <c r="W377" s="104"/>
      <c r="X377" s="45"/>
      <c r="Y377" s="81"/>
      <c r="Z377" s="84"/>
      <c r="AA377" s="186"/>
    </row>
    <row r="378" spans="2:27" ht="12.75">
      <c r="B378" s="73"/>
      <c r="C378" s="364"/>
      <c r="D378" s="33"/>
      <c r="E378" s="326"/>
      <c r="F378" s="353"/>
      <c r="G378" s="216"/>
      <c r="H378" s="276"/>
      <c r="I378" s="33"/>
      <c r="J378" s="94"/>
      <c r="K378" s="66"/>
      <c r="L378" s="34"/>
      <c r="M378" s="66"/>
      <c r="N378" s="34"/>
      <c r="O378" s="75"/>
      <c r="P378" s="75"/>
      <c r="Q378" s="75"/>
      <c r="R378" s="162"/>
      <c r="S378" s="159"/>
      <c r="T378" s="238"/>
      <c r="U378" s="121"/>
      <c r="V378" s="131"/>
      <c r="W378" s="122"/>
      <c r="X378" s="63"/>
      <c r="Y378" s="63"/>
      <c r="Z378" s="54"/>
      <c r="AA378" s="186"/>
    </row>
    <row r="379" spans="2:27" ht="12.75">
      <c r="B379" s="371"/>
      <c r="C379" s="355"/>
      <c r="D379" s="38"/>
      <c r="E379" s="327"/>
      <c r="F379" s="338"/>
      <c r="G379" s="125"/>
      <c r="H379" s="277"/>
      <c r="I379" s="38"/>
      <c r="J379" s="86"/>
      <c r="K379" s="59"/>
      <c r="L379" s="65"/>
      <c r="M379" s="59"/>
      <c r="N379" s="65"/>
      <c r="O379" s="67"/>
      <c r="P379" s="67"/>
      <c r="Q379" s="67"/>
      <c r="R379" s="260"/>
      <c r="S379" s="254"/>
      <c r="T379" s="280"/>
      <c r="U379" s="71"/>
      <c r="V379" s="86"/>
      <c r="W379" s="41"/>
      <c r="X379" s="43"/>
      <c r="Y379" s="72"/>
      <c r="Z379" s="360"/>
      <c r="AA379" s="363"/>
    </row>
    <row r="380" spans="2:27" ht="12.75">
      <c r="B380" s="373"/>
      <c r="C380" s="364"/>
      <c r="D380" s="33"/>
      <c r="E380" s="33"/>
      <c r="F380" s="265"/>
      <c r="G380" s="33"/>
      <c r="H380" s="265"/>
      <c r="I380" s="33"/>
      <c r="J380" s="94"/>
      <c r="K380" s="77"/>
      <c r="L380" s="77"/>
      <c r="M380" s="77"/>
      <c r="N380" s="77"/>
      <c r="O380" s="77"/>
      <c r="P380" s="137"/>
      <c r="Q380" s="137"/>
      <c r="R380" s="162"/>
      <c r="S380" s="159"/>
      <c r="T380" s="238"/>
      <c r="U380" s="88"/>
      <c r="V380" s="94"/>
      <c r="W380" s="104"/>
      <c r="X380" s="45"/>
      <c r="Y380" s="81"/>
      <c r="Z380" s="84"/>
      <c r="AA380" s="186"/>
    </row>
    <row r="381" spans="2:27" ht="12.75">
      <c r="B381" s="18"/>
      <c r="C381" s="33"/>
      <c r="D381" s="33"/>
      <c r="E381" s="33"/>
      <c r="F381" s="265"/>
      <c r="G381" s="265"/>
      <c r="H381" s="265"/>
      <c r="I381" s="33"/>
      <c r="J381" s="94"/>
      <c r="K381" s="77"/>
      <c r="L381" s="77"/>
      <c r="M381" s="77"/>
      <c r="N381" s="77"/>
      <c r="O381" s="77"/>
      <c r="P381" s="120"/>
      <c r="Q381" s="120"/>
      <c r="R381" s="162"/>
      <c r="S381" s="159"/>
      <c r="T381" s="238"/>
      <c r="U381" s="88"/>
      <c r="V381" s="94"/>
      <c r="W381" s="104"/>
      <c r="X381" s="45"/>
      <c r="Y381" s="81"/>
      <c r="Z381" s="84"/>
      <c r="AA381" s="186"/>
    </row>
    <row r="382" spans="2:27" ht="12.75">
      <c r="B382" s="73"/>
      <c r="C382" s="364"/>
      <c r="D382" s="33"/>
      <c r="E382" s="326"/>
      <c r="F382" s="353"/>
      <c r="G382" s="216"/>
      <c r="H382" s="276"/>
      <c r="I382" s="33"/>
      <c r="J382" s="94"/>
      <c r="K382" s="66"/>
      <c r="L382" s="34"/>
      <c r="M382" s="66"/>
      <c r="N382" s="34"/>
      <c r="O382" s="75"/>
      <c r="P382" s="75"/>
      <c r="Q382" s="75"/>
      <c r="R382" s="162"/>
      <c r="S382" s="159"/>
      <c r="T382" s="238"/>
      <c r="U382" s="121"/>
      <c r="V382" s="131"/>
      <c r="W382" s="122"/>
      <c r="X382" s="63"/>
      <c r="Y382" s="63"/>
      <c r="Z382" s="54"/>
      <c r="AA382" s="186"/>
    </row>
    <row r="383" spans="2:27" ht="12.75">
      <c r="B383" s="371"/>
      <c r="C383" s="355"/>
      <c r="D383" s="38"/>
      <c r="E383" s="327"/>
      <c r="F383" s="338"/>
      <c r="G383" s="125"/>
      <c r="H383" s="277"/>
      <c r="I383" s="38"/>
      <c r="J383" s="86"/>
      <c r="K383" s="59"/>
      <c r="L383" s="65"/>
      <c r="M383" s="59"/>
      <c r="N383" s="65"/>
      <c r="O383" s="67"/>
      <c r="P383" s="67"/>
      <c r="Q383" s="67"/>
      <c r="R383" s="260"/>
      <c r="S383" s="254"/>
      <c r="T383" s="280"/>
      <c r="U383" s="71"/>
      <c r="V383" s="86"/>
      <c r="W383" s="41"/>
      <c r="X383" s="43"/>
      <c r="Y383" s="72"/>
      <c r="Z383" s="360"/>
      <c r="AA383" s="363"/>
    </row>
    <row r="384" spans="2:27" ht="12.75">
      <c r="B384" s="373"/>
      <c r="C384" s="364"/>
      <c r="D384" s="33"/>
      <c r="E384" s="33"/>
      <c r="F384" s="265"/>
      <c r="G384" s="33"/>
      <c r="H384" s="265"/>
      <c r="I384" s="33"/>
      <c r="J384" s="94"/>
      <c r="K384" s="77"/>
      <c r="L384" s="77"/>
      <c r="M384" s="77"/>
      <c r="N384" s="77"/>
      <c r="O384" s="77"/>
      <c r="P384" s="137"/>
      <c r="Q384" s="137"/>
      <c r="R384" s="162"/>
      <c r="S384" s="159"/>
      <c r="T384" s="238"/>
      <c r="U384" s="88"/>
      <c r="V384" s="94"/>
      <c r="W384" s="104"/>
      <c r="X384" s="45"/>
      <c r="Y384" s="81"/>
      <c r="Z384" s="84"/>
      <c r="AA384" s="186"/>
    </row>
    <row r="385" spans="2:27" ht="12.75">
      <c r="B385" s="18"/>
      <c r="C385" s="33"/>
      <c r="D385" s="33"/>
      <c r="E385" s="33"/>
      <c r="F385" s="265"/>
      <c r="G385" s="265"/>
      <c r="H385" s="265"/>
      <c r="I385" s="33"/>
      <c r="J385" s="94"/>
      <c r="K385" s="77"/>
      <c r="L385" s="77"/>
      <c r="M385" s="77"/>
      <c r="N385" s="77"/>
      <c r="O385" s="77"/>
      <c r="P385" s="120"/>
      <c r="Q385" s="120"/>
      <c r="R385" s="162"/>
      <c r="S385" s="159"/>
      <c r="T385" s="238"/>
      <c r="U385" s="88"/>
      <c r="V385" s="94"/>
      <c r="W385" s="104"/>
      <c r="X385" s="45"/>
      <c r="Y385" s="81"/>
      <c r="Z385" s="84"/>
      <c r="AA385" s="186"/>
    </row>
    <row r="386" spans="2:27" ht="12.75">
      <c r="B386" s="73"/>
      <c r="C386" s="364"/>
      <c r="D386" s="33"/>
      <c r="E386" s="326"/>
      <c r="F386" s="353"/>
      <c r="G386" s="216"/>
      <c r="H386" s="276"/>
      <c r="I386" s="33"/>
      <c r="J386" s="94"/>
      <c r="K386" s="66"/>
      <c r="L386" s="34"/>
      <c r="M386" s="66"/>
      <c r="N386" s="34"/>
      <c r="O386" s="75"/>
      <c r="P386" s="75"/>
      <c r="Q386" s="75"/>
      <c r="R386" s="162"/>
      <c r="S386" s="159"/>
      <c r="T386" s="238"/>
      <c r="U386" s="121"/>
      <c r="V386" s="131"/>
      <c r="W386" s="122"/>
      <c r="X386" s="63"/>
      <c r="Y386" s="63"/>
      <c r="Z386" s="54"/>
      <c r="AA386" s="186"/>
    </row>
    <row r="387" spans="2:27" ht="12.75">
      <c r="B387" s="371"/>
      <c r="C387" s="355"/>
      <c r="D387" s="38"/>
      <c r="E387" s="327"/>
      <c r="F387" s="338"/>
      <c r="G387" s="125"/>
      <c r="H387" s="277"/>
      <c r="I387" s="38"/>
      <c r="J387" s="86"/>
      <c r="K387" s="59"/>
      <c r="L387" s="65"/>
      <c r="M387" s="59"/>
      <c r="N387" s="65"/>
      <c r="O387" s="67"/>
      <c r="P387" s="67"/>
      <c r="Q387" s="67"/>
      <c r="R387" s="260"/>
      <c r="S387" s="254"/>
      <c r="T387" s="280"/>
      <c r="U387" s="71"/>
      <c r="V387" s="86"/>
      <c r="W387" s="41"/>
      <c r="X387" s="43"/>
      <c r="Y387" s="72"/>
      <c r="Z387" s="360"/>
      <c r="AA387" s="363"/>
    </row>
    <row r="388" spans="2:27" ht="12.75">
      <c r="B388" s="373"/>
      <c r="C388" s="364"/>
      <c r="D388" s="33"/>
      <c r="E388" s="33"/>
      <c r="F388" s="265"/>
      <c r="G388" s="33"/>
      <c r="H388" s="265"/>
      <c r="I388" s="33"/>
      <c r="J388" s="94"/>
      <c r="K388" s="77"/>
      <c r="L388" s="77"/>
      <c r="M388" s="77"/>
      <c r="N388" s="77"/>
      <c r="O388" s="77"/>
      <c r="P388" s="137"/>
      <c r="Q388" s="137"/>
      <c r="R388" s="162"/>
      <c r="S388" s="159"/>
      <c r="T388" s="238"/>
      <c r="U388" s="88"/>
      <c r="V388" s="94"/>
      <c r="W388" s="104"/>
      <c r="X388" s="45"/>
      <c r="Y388" s="81"/>
      <c r="Z388" s="84"/>
      <c r="AA388" s="186"/>
    </row>
    <row r="389" spans="2:27" ht="12.75">
      <c r="B389" s="18"/>
      <c r="C389" s="33"/>
      <c r="D389" s="33"/>
      <c r="E389" s="33"/>
      <c r="F389" s="265"/>
      <c r="G389" s="265"/>
      <c r="H389" s="265"/>
      <c r="I389" s="33"/>
      <c r="J389" s="94"/>
      <c r="K389" s="77"/>
      <c r="L389" s="77"/>
      <c r="M389" s="77"/>
      <c r="N389" s="77"/>
      <c r="O389" s="77"/>
      <c r="P389" s="120"/>
      <c r="Q389" s="120"/>
      <c r="R389" s="162"/>
      <c r="S389" s="159"/>
      <c r="T389" s="238"/>
      <c r="U389" s="88"/>
      <c r="V389" s="94"/>
      <c r="W389" s="104"/>
      <c r="X389" s="45"/>
      <c r="Y389" s="81"/>
      <c r="Z389" s="84"/>
      <c r="AA389" s="186"/>
    </row>
    <row r="390" spans="2:27" ht="12.75">
      <c r="B390" s="73"/>
      <c r="C390" s="364"/>
      <c r="D390" s="33"/>
      <c r="E390" s="326"/>
      <c r="F390" s="353"/>
      <c r="G390" s="216"/>
      <c r="H390" s="276"/>
      <c r="I390" s="33"/>
      <c r="J390" s="94"/>
      <c r="K390" s="66"/>
      <c r="L390" s="34"/>
      <c r="M390" s="66"/>
      <c r="N390" s="34"/>
      <c r="O390" s="75"/>
      <c r="P390" s="75"/>
      <c r="Q390" s="75"/>
      <c r="R390" s="162"/>
      <c r="S390" s="159"/>
      <c r="T390" s="238"/>
      <c r="U390" s="121"/>
      <c r="V390" s="131"/>
      <c r="W390" s="122"/>
      <c r="X390" s="63"/>
      <c r="Y390" s="63"/>
      <c r="Z390" s="54"/>
      <c r="AA390" s="186"/>
    </row>
    <row r="391" spans="2:27" ht="12.75">
      <c r="B391" s="371"/>
      <c r="C391" s="355"/>
      <c r="D391" s="38"/>
      <c r="E391" s="327"/>
      <c r="F391" s="338"/>
      <c r="G391" s="125"/>
      <c r="H391" s="277"/>
      <c r="I391" s="38"/>
      <c r="J391" s="86"/>
      <c r="K391" s="59"/>
      <c r="L391" s="65"/>
      <c r="M391" s="59"/>
      <c r="N391" s="65"/>
      <c r="O391" s="67"/>
      <c r="P391" s="67"/>
      <c r="Q391" s="67"/>
      <c r="R391" s="260"/>
      <c r="S391" s="254"/>
      <c r="T391" s="280"/>
      <c r="U391" s="71"/>
      <c r="V391" s="86"/>
      <c r="W391" s="41"/>
      <c r="X391" s="43"/>
      <c r="Y391" s="72"/>
      <c r="Z391" s="360"/>
      <c r="AA391" s="363"/>
    </row>
    <row r="392" spans="2:27" ht="12.75">
      <c r="B392" s="373"/>
      <c r="C392" s="364"/>
      <c r="D392" s="33"/>
      <c r="E392" s="33"/>
      <c r="F392" s="265"/>
      <c r="G392" s="33"/>
      <c r="H392" s="265"/>
      <c r="I392" s="33"/>
      <c r="J392" s="94"/>
      <c r="K392" s="77"/>
      <c r="L392" s="77"/>
      <c r="M392" s="77"/>
      <c r="N392" s="77"/>
      <c r="O392" s="77"/>
      <c r="P392" s="137"/>
      <c r="Q392" s="137"/>
      <c r="R392" s="162"/>
      <c r="S392" s="159"/>
      <c r="T392" s="238"/>
      <c r="U392" s="88"/>
      <c r="V392" s="94"/>
      <c r="W392" s="104"/>
      <c r="X392" s="45"/>
      <c r="Y392" s="81"/>
      <c r="Z392" s="84"/>
      <c r="AA392" s="186"/>
    </row>
    <row r="393" spans="2:27" ht="12.75">
      <c r="B393" s="18"/>
      <c r="C393" s="33"/>
      <c r="D393" s="33"/>
      <c r="E393" s="33"/>
      <c r="F393" s="265"/>
      <c r="G393" s="265"/>
      <c r="H393" s="265"/>
      <c r="I393" s="33"/>
      <c r="J393" s="94"/>
      <c r="K393" s="77"/>
      <c r="L393" s="77"/>
      <c r="M393" s="77"/>
      <c r="N393" s="77"/>
      <c r="O393" s="77"/>
      <c r="P393" s="120"/>
      <c r="Q393" s="120"/>
      <c r="R393" s="162"/>
      <c r="S393" s="159"/>
      <c r="T393" s="238"/>
      <c r="U393" s="88"/>
      <c r="V393" s="94"/>
      <c r="W393" s="104"/>
      <c r="X393" s="45"/>
      <c r="Y393" s="81"/>
      <c r="Z393" s="84"/>
      <c r="AA393" s="186"/>
    </row>
    <row r="394" spans="2:27" ht="12.75">
      <c r="B394" s="73"/>
      <c r="C394" s="364"/>
      <c r="D394" s="33"/>
      <c r="E394" s="326"/>
      <c r="F394" s="353"/>
      <c r="G394" s="216"/>
      <c r="H394" s="276"/>
      <c r="I394" s="33"/>
      <c r="J394" s="94"/>
      <c r="K394" s="66"/>
      <c r="L394" s="34"/>
      <c r="M394" s="66"/>
      <c r="N394" s="34"/>
      <c r="O394" s="75"/>
      <c r="P394" s="75"/>
      <c r="Q394" s="75"/>
      <c r="R394" s="162"/>
      <c r="S394" s="159"/>
      <c r="T394" s="238"/>
      <c r="U394" s="121"/>
      <c r="V394" s="131"/>
      <c r="W394" s="122"/>
      <c r="X394" s="63"/>
      <c r="Y394" s="63"/>
      <c r="Z394" s="54"/>
      <c r="AA394" s="186"/>
    </row>
    <row r="395" spans="2:27" ht="12.75">
      <c r="B395" s="371"/>
      <c r="C395" s="355"/>
      <c r="D395" s="38"/>
      <c r="E395" s="327"/>
      <c r="F395" s="338"/>
      <c r="G395" s="125"/>
      <c r="H395" s="277"/>
      <c r="I395" s="38"/>
      <c r="J395" s="86"/>
      <c r="K395" s="59"/>
      <c r="L395" s="65"/>
      <c r="M395" s="59"/>
      <c r="N395" s="65"/>
      <c r="O395" s="67"/>
      <c r="P395" s="67"/>
      <c r="Q395" s="67"/>
      <c r="R395" s="260"/>
      <c r="S395" s="254"/>
      <c r="T395" s="280"/>
      <c r="U395" s="71"/>
      <c r="V395" s="86"/>
      <c r="W395" s="41"/>
      <c r="X395" s="43"/>
      <c r="Y395" s="72"/>
      <c r="Z395" s="360"/>
      <c r="AA395" s="363"/>
    </row>
    <row r="396" spans="2:27" ht="12.75">
      <c r="B396" s="373"/>
      <c r="C396" s="364"/>
      <c r="D396" s="33"/>
      <c r="E396" s="33"/>
      <c r="F396" s="265"/>
      <c r="G396" s="33"/>
      <c r="H396" s="265"/>
      <c r="I396" s="33"/>
      <c r="J396" s="94"/>
      <c r="K396" s="77"/>
      <c r="L396" s="77"/>
      <c r="M396" s="77"/>
      <c r="N396" s="77"/>
      <c r="O396" s="77"/>
      <c r="P396" s="137"/>
      <c r="Q396" s="137"/>
      <c r="R396" s="162"/>
      <c r="S396" s="159"/>
      <c r="T396" s="238"/>
      <c r="U396" s="88"/>
      <c r="V396" s="94"/>
      <c r="W396" s="104"/>
      <c r="X396" s="45"/>
      <c r="Y396" s="81"/>
      <c r="Z396" s="84"/>
      <c r="AA396" s="186"/>
    </row>
    <row r="397" spans="2:27" ht="12.75">
      <c r="B397" s="18"/>
      <c r="C397" s="33"/>
      <c r="D397" s="33"/>
      <c r="E397" s="33"/>
      <c r="F397" s="265"/>
      <c r="G397" s="265"/>
      <c r="H397" s="265"/>
      <c r="I397" s="33"/>
      <c r="J397" s="94"/>
      <c r="K397" s="77"/>
      <c r="L397" s="77"/>
      <c r="M397" s="77"/>
      <c r="N397" s="77"/>
      <c r="O397" s="77"/>
      <c r="P397" s="120"/>
      <c r="Q397" s="120"/>
      <c r="R397" s="162"/>
      <c r="S397" s="159"/>
      <c r="T397" s="238"/>
      <c r="U397" s="88"/>
      <c r="V397" s="94"/>
      <c r="W397" s="104"/>
      <c r="X397" s="45"/>
      <c r="Y397" s="81"/>
      <c r="Z397" s="84"/>
      <c r="AA397" s="186"/>
    </row>
    <row r="398" spans="2:27" ht="12.75">
      <c r="B398" s="73"/>
      <c r="C398" s="364"/>
      <c r="D398" s="33"/>
      <c r="E398" s="326"/>
      <c r="F398" s="353"/>
      <c r="G398" s="216"/>
      <c r="H398" s="276"/>
      <c r="I398" s="33"/>
      <c r="J398" s="94"/>
      <c r="K398" s="66"/>
      <c r="L398" s="34"/>
      <c r="M398" s="66"/>
      <c r="N398" s="34"/>
      <c r="O398" s="75"/>
      <c r="P398" s="75"/>
      <c r="Q398" s="75"/>
      <c r="R398" s="162"/>
      <c r="S398" s="159"/>
      <c r="T398" s="238"/>
      <c r="U398" s="121"/>
      <c r="V398" s="131"/>
      <c r="W398" s="122"/>
      <c r="X398" s="63"/>
      <c r="Y398" s="63"/>
      <c r="Z398" s="54"/>
      <c r="AA398" s="186"/>
    </row>
    <row r="399" spans="2:27" ht="12.75">
      <c r="B399" s="371"/>
      <c r="C399" s="355"/>
      <c r="D399" s="38"/>
      <c r="E399" s="327"/>
      <c r="F399" s="338"/>
      <c r="G399" s="125"/>
      <c r="H399" s="277"/>
      <c r="I399" s="38"/>
      <c r="J399" s="86"/>
      <c r="K399" s="59"/>
      <c r="L399" s="65"/>
      <c r="M399" s="59"/>
      <c r="N399" s="65"/>
      <c r="O399" s="67"/>
      <c r="P399" s="67"/>
      <c r="Q399" s="67"/>
      <c r="R399" s="260"/>
      <c r="S399" s="254"/>
      <c r="T399" s="280"/>
      <c r="U399" s="71"/>
      <c r="V399" s="86"/>
      <c r="W399" s="41"/>
      <c r="X399" s="43"/>
      <c r="Y399" s="72"/>
      <c r="Z399" s="360"/>
      <c r="AA399" s="363"/>
    </row>
    <row r="400" spans="2:27" ht="12.75">
      <c r="B400" s="373"/>
      <c r="C400" s="364"/>
      <c r="D400" s="33"/>
      <c r="E400" s="33"/>
      <c r="F400" s="265"/>
      <c r="G400" s="33"/>
      <c r="H400" s="265"/>
      <c r="I400" s="33"/>
      <c r="J400" s="94"/>
      <c r="K400" s="77"/>
      <c r="L400" s="77"/>
      <c r="M400" s="77"/>
      <c r="N400" s="77"/>
      <c r="O400" s="77"/>
      <c r="P400" s="137"/>
      <c r="Q400" s="137"/>
      <c r="R400" s="162"/>
      <c r="S400" s="159"/>
      <c r="T400" s="238"/>
      <c r="U400" s="88"/>
      <c r="V400" s="94"/>
      <c r="W400" s="104"/>
      <c r="X400" s="45"/>
      <c r="Y400" s="81"/>
      <c r="Z400" s="84"/>
      <c r="AA400" s="186"/>
    </row>
    <row r="401" spans="2:27" ht="12.75">
      <c r="B401" s="18"/>
      <c r="C401" s="33"/>
      <c r="D401" s="33"/>
      <c r="E401" s="33"/>
      <c r="F401" s="265"/>
      <c r="G401" s="265"/>
      <c r="H401" s="265"/>
      <c r="I401" s="33"/>
      <c r="J401" s="94"/>
      <c r="K401" s="77"/>
      <c r="L401" s="77"/>
      <c r="M401" s="77"/>
      <c r="N401" s="77"/>
      <c r="O401" s="77"/>
      <c r="P401" s="120"/>
      <c r="Q401" s="120"/>
      <c r="R401" s="162"/>
      <c r="S401" s="159"/>
      <c r="T401" s="238"/>
      <c r="U401" s="88"/>
      <c r="V401" s="94"/>
      <c r="W401" s="104"/>
      <c r="X401" s="45"/>
      <c r="Y401" s="81"/>
      <c r="Z401" s="84"/>
      <c r="AA401" s="186"/>
    </row>
    <row r="402" spans="2:27" ht="12.75">
      <c r="B402" s="73"/>
      <c r="C402" s="364"/>
      <c r="D402" s="33"/>
      <c r="E402" s="326"/>
      <c r="F402" s="353"/>
      <c r="G402" s="216"/>
      <c r="H402" s="276"/>
      <c r="I402" s="33"/>
      <c r="J402" s="94"/>
      <c r="K402" s="66"/>
      <c r="L402" s="34"/>
      <c r="M402" s="66"/>
      <c r="N402" s="34"/>
      <c r="O402" s="75"/>
      <c r="P402" s="75"/>
      <c r="Q402" s="75"/>
      <c r="R402" s="162"/>
      <c r="S402" s="159"/>
      <c r="T402" s="238"/>
      <c r="U402" s="121"/>
      <c r="V402" s="131"/>
      <c r="W402" s="122"/>
      <c r="X402" s="63"/>
      <c r="Y402" s="63"/>
      <c r="Z402" s="54"/>
      <c r="AA402" s="186"/>
    </row>
    <row r="403" spans="2:27" ht="12.75">
      <c r="B403" s="371"/>
      <c r="C403" s="355"/>
      <c r="D403" s="38"/>
      <c r="E403" s="419"/>
      <c r="F403" s="338"/>
      <c r="G403" s="125"/>
      <c r="H403" s="277"/>
      <c r="I403" s="38"/>
      <c r="J403" s="86"/>
      <c r="K403" s="59"/>
      <c r="L403" s="65"/>
      <c r="M403" s="59"/>
      <c r="N403" s="65"/>
      <c r="O403" s="67"/>
      <c r="P403" s="67"/>
      <c r="Q403" s="67"/>
      <c r="R403" s="260"/>
      <c r="S403" s="254"/>
      <c r="T403" s="280"/>
      <c r="U403" s="71"/>
      <c r="V403" s="86"/>
      <c r="W403" s="41"/>
      <c r="X403" s="43"/>
      <c r="Y403" s="72"/>
      <c r="Z403" s="360"/>
      <c r="AA403" s="363"/>
    </row>
    <row r="404" spans="2:27" ht="12.75">
      <c r="B404" s="373"/>
      <c r="C404" s="364"/>
      <c r="D404" s="33"/>
      <c r="E404" s="33"/>
      <c r="F404" s="265"/>
      <c r="G404" s="33"/>
      <c r="H404" s="265"/>
      <c r="I404" s="33"/>
      <c r="J404" s="94"/>
      <c r="K404" s="77"/>
      <c r="L404" s="77"/>
      <c r="M404" s="77"/>
      <c r="N404" s="77"/>
      <c r="O404" s="77"/>
      <c r="P404" s="137"/>
      <c r="Q404" s="137"/>
      <c r="R404" s="162"/>
      <c r="S404" s="159"/>
      <c r="T404" s="238"/>
      <c r="U404" s="88"/>
      <c r="V404" s="94"/>
      <c r="W404" s="104"/>
      <c r="X404" s="45"/>
      <c r="Y404" s="81"/>
      <c r="Z404" s="84"/>
      <c r="AA404" s="186"/>
    </row>
    <row r="405" spans="2:27" ht="12.75">
      <c r="B405" s="18"/>
      <c r="C405" s="33"/>
      <c r="D405" s="33"/>
      <c r="E405" s="33"/>
      <c r="F405" s="265"/>
      <c r="G405" s="265"/>
      <c r="H405" s="265"/>
      <c r="I405" s="33"/>
      <c r="J405" s="94"/>
      <c r="K405" s="77"/>
      <c r="L405" s="77"/>
      <c r="M405" s="77"/>
      <c r="N405" s="77"/>
      <c r="O405" s="77"/>
      <c r="P405" s="120"/>
      <c r="Q405" s="120"/>
      <c r="R405" s="162"/>
      <c r="S405" s="159"/>
      <c r="T405" s="238"/>
      <c r="U405" s="88"/>
      <c r="V405" s="94"/>
      <c r="W405" s="104"/>
      <c r="X405" s="45"/>
      <c r="Y405" s="81"/>
      <c r="Z405" s="84"/>
      <c r="AA405" s="186"/>
    </row>
    <row r="406" spans="2:27" ht="12.75">
      <c r="B406" s="73"/>
      <c r="C406" s="364"/>
      <c r="D406" s="33"/>
      <c r="E406" s="326"/>
      <c r="F406" s="353"/>
      <c r="G406" s="216"/>
      <c r="H406" s="276"/>
      <c r="I406" s="33"/>
      <c r="J406" s="94"/>
      <c r="K406" s="66"/>
      <c r="L406" s="34"/>
      <c r="M406" s="66"/>
      <c r="N406" s="34"/>
      <c r="O406" s="75"/>
      <c r="P406" s="75"/>
      <c r="Q406" s="75"/>
      <c r="R406" s="162"/>
      <c r="S406" s="159"/>
      <c r="T406" s="238"/>
      <c r="U406" s="121"/>
      <c r="V406" s="131"/>
      <c r="W406" s="122"/>
      <c r="X406" s="63"/>
      <c r="Y406" s="63"/>
      <c r="Z406" s="54"/>
      <c r="AA406" s="186"/>
    </row>
    <row r="407" spans="2:27" ht="13.5" thickBot="1">
      <c r="B407" s="371"/>
      <c r="C407" s="355"/>
      <c r="D407" s="38"/>
      <c r="E407" s="421"/>
      <c r="F407" s="338"/>
      <c r="G407" s="125"/>
      <c r="H407" s="298"/>
      <c r="I407" s="38"/>
      <c r="J407" s="86"/>
      <c r="K407" s="59"/>
      <c r="L407" s="65"/>
      <c r="M407" s="59"/>
      <c r="N407" s="65"/>
      <c r="O407" s="67"/>
      <c r="P407" s="425"/>
      <c r="Q407" s="425"/>
      <c r="R407" s="260"/>
      <c r="S407" s="254"/>
      <c r="T407" s="280"/>
      <c r="U407" s="244"/>
      <c r="V407" s="86"/>
      <c r="W407" s="41"/>
      <c r="X407" s="43"/>
      <c r="Y407" s="72"/>
      <c r="Z407" s="360"/>
      <c r="AA407" s="363"/>
    </row>
    <row r="408" spans="2:27" ht="13.5" thickBot="1">
      <c r="B408" s="437" t="s">
        <v>327</v>
      </c>
      <c r="C408" s="477"/>
      <c r="D408" s="478"/>
      <c r="E408" s="314"/>
      <c r="F408" s="13"/>
      <c r="G408" s="196"/>
      <c r="H408" s="262"/>
      <c r="I408" s="13"/>
      <c r="J408" s="13"/>
      <c r="K408" s="46"/>
      <c r="L408" s="46"/>
      <c r="M408" s="46"/>
      <c r="N408" s="46"/>
      <c r="O408" s="32"/>
      <c r="P408" s="211"/>
      <c r="Q408" s="424"/>
      <c r="R408" s="228"/>
      <c r="S408" s="232"/>
      <c r="T408" s="232"/>
      <c r="U408" s="226"/>
      <c r="V408" s="225">
        <f>SUM(V348:V407)</f>
        <v>0</v>
      </c>
      <c r="W408" s="284"/>
      <c r="X408" s="261"/>
      <c r="Y408" s="292"/>
      <c r="Z408" s="47"/>
      <c r="AA408" s="190"/>
    </row>
    <row r="409" spans="2:27" ht="13.5" thickBot="1">
      <c r="B409" s="479"/>
      <c r="C409" s="479"/>
      <c r="D409" s="480"/>
      <c r="E409" s="110">
        <f>SUM(E354:E407)</f>
        <v>6460.200000000022</v>
      </c>
      <c r="F409" s="334">
        <f>SUM(F356:F407)</f>
        <v>4282</v>
      </c>
      <c r="G409" s="223"/>
      <c r="H409" s="224">
        <f>SUM(H350:H407)</f>
        <v>0</v>
      </c>
      <c r="I409" s="48"/>
      <c r="J409" s="69">
        <f>SUM(J354:J408)</f>
        <v>0</v>
      </c>
      <c r="K409" s="69"/>
      <c r="L409" s="69">
        <f>SUM(L354:L408)</f>
        <v>0</v>
      </c>
      <c r="M409" s="69"/>
      <c r="N409" s="69">
        <f>SUM(N354:N408)</f>
        <v>0</v>
      </c>
      <c r="O409" s="69">
        <f>SUM(O354:O408)</f>
        <v>50.43145804200004</v>
      </c>
      <c r="P409" s="426" t="s">
        <v>330</v>
      </c>
      <c r="Q409" s="427">
        <f>SUM(J409:O409)</f>
        <v>50.43145804200004</v>
      </c>
      <c r="R409" s="233"/>
      <c r="S409" s="220"/>
      <c r="T409" s="148">
        <f>SUM(T354:T407)</f>
        <v>0</v>
      </c>
      <c r="U409" s="234">
        <f>SUM(U354:U407)</f>
        <v>0</v>
      </c>
      <c r="V409" s="224">
        <f>V408+H409</f>
        <v>0</v>
      </c>
      <c r="W409" s="223">
        <f>V409/E409</f>
        <v>0</v>
      </c>
      <c r="X409" s="50">
        <v>26</v>
      </c>
      <c r="Y409" s="50">
        <f>SUM(Y354:Y408)/12</f>
        <v>2.0833333333333335</v>
      </c>
      <c r="Z409" s="50"/>
      <c r="AA409" s="51"/>
    </row>
    <row r="410" spans="6:7" ht="12.75">
      <c r="F410" s="335">
        <f>F409-E409</f>
        <v>-2178.2000000000216</v>
      </c>
      <c r="G410" s="98" t="str">
        <f>IF(F410&lt;0,"za mało",IF(F410&gt;0,"za dużo","równo"))</f>
        <v>za mało</v>
      </c>
    </row>
  </sheetData>
  <sheetProtection/>
  <mergeCells count="91">
    <mergeCell ref="B408:D409"/>
    <mergeCell ref="A138:A139"/>
    <mergeCell ref="A132:A133"/>
    <mergeCell ref="A126:A127"/>
    <mergeCell ref="A122:A123"/>
    <mergeCell ref="A154:A155"/>
    <mergeCell ref="A150:A151"/>
    <mergeCell ref="A146:A147"/>
    <mergeCell ref="A128:A129"/>
    <mergeCell ref="A134:A135"/>
    <mergeCell ref="A175:D176"/>
    <mergeCell ref="A165:A166"/>
    <mergeCell ref="A161:A162"/>
    <mergeCell ref="A157:A158"/>
    <mergeCell ref="A55:A56"/>
    <mergeCell ref="A61:A62"/>
    <mergeCell ref="A71:A72"/>
    <mergeCell ref="A59:A60"/>
    <mergeCell ref="A65:A66"/>
    <mergeCell ref="A142:A143"/>
    <mergeCell ref="A81:D82"/>
    <mergeCell ref="A25:A26"/>
    <mergeCell ref="A31:A32"/>
    <mergeCell ref="A35:A36"/>
    <mergeCell ref="A39:A40"/>
    <mergeCell ref="A47:A48"/>
    <mergeCell ref="A53:A54"/>
    <mergeCell ref="A27:A28"/>
    <mergeCell ref="A49:A50"/>
    <mergeCell ref="P10:T10"/>
    <mergeCell ref="K11:L14"/>
    <mergeCell ref="AA10:AA17"/>
    <mergeCell ref="I11:J14"/>
    <mergeCell ref="I10:J10"/>
    <mergeCell ref="K10:N10"/>
    <mergeCell ref="Z10:Z17"/>
    <mergeCell ref="M11:N14"/>
    <mergeCell ref="T11:T16"/>
    <mergeCell ref="A219:A220"/>
    <mergeCell ref="A223:A225"/>
    <mergeCell ref="A216:A217"/>
    <mergeCell ref="A1:I1"/>
    <mergeCell ref="A4:AC4"/>
    <mergeCell ref="A5:C5"/>
    <mergeCell ref="A7:AA7"/>
    <mergeCell ref="A10:A17"/>
    <mergeCell ref="C10:C17"/>
    <mergeCell ref="E10:H10"/>
    <mergeCell ref="A196:A197"/>
    <mergeCell ref="A21:A22"/>
    <mergeCell ref="A69:A70"/>
    <mergeCell ref="A75:A76"/>
    <mergeCell ref="A79:A80"/>
    <mergeCell ref="A226:D227"/>
    <mergeCell ref="A200:A201"/>
    <mergeCell ref="A204:A205"/>
    <mergeCell ref="A208:A209"/>
    <mergeCell ref="A212:A213"/>
    <mergeCell ref="A235:A236"/>
    <mergeCell ref="A239:A240"/>
    <mergeCell ref="A243:A244"/>
    <mergeCell ref="A245:A246"/>
    <mergeCell ref="A251:A252"/>
    <mergeCell ref="A180:A181"/>
    <mergeCell ref="A184:A185"/>
    <mergeCell ref="A186:A187"/>
    <mergeCell ref="A190:A191"/>
    <mergeCell ref="A192:A193"/>
    <mergeCell ref="A6:AC6"/>
    <mergeCell ref="A286:A288"/>
    <mergeCell ref="A289:D290"/>
    <mergeCell ref="A255:A256"/>
    <mergeCell ref="A259:A260"/>
    <mergeCell ref="A265:A266"/>
    <mergeCell ref="A269:A270"/>
    <mergeCell ref="A275:A276"/>
    <mergeCell ref="A278:A279"/>
    <mergeCell ref="A231:A232"/>
    <mergeCell ref="A294:A295"/>
    <mergeCell ref="A298:A299"/>
    <mergeCell ref="A302:A303"/>
    <mergeCell ref="A306:A307"/>
    <mergeCell ref="A308:A309"/>
    <mergeCell ref="A314:A315"/>
    <mergeCell ref="B346:D347"/>
    <mergeCell ref="A318:A319"/>
    <mergeCell ref="A322:A323"/>
    <mergeCell ref="A328:A329"/>
    <mergeCell ref="A332:A333"/>
    <mergeCell ref="A338:A339"/>
    <mergeCell ref="A341:A34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A.G</dc:creator>
  <cp:keywords/>
  <dc:description/>
  <cp:lastModifiedBy>Chłosta Jacek</cp:lastModifiedBy>
  <cp:lastPrinted>2021-04-28T08:56:02Z</cp:lastPrinted>
  <dcterms:created xsi:type="dcterms:W3CDTF">2005-01-13T06:46:13Z</dcterms:created>
  <dcterms:modified xsi:type="dcterms:W3CDTF">2021-05-19T06:21:46Z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yp dokumentu">
    <vt:lpwstr>2;#Inne|465d675b-a273-4d73-a3b6-017cad232cb7</vt:lpwstr>
  </property>
  <property fmtid="{D5CDD505-2E9C-101B-9397-08002B2CF9AE}" pid="3" name="ob9fa15bf20b40409dd68acf32bcc64b">
    <vt:lpwstr>Inne|465d675b-a273-4d73-a3b6-017cad232cb7</vt:lpwstr>
  </property>
  <property fmtid="{D5CDD505-2E9C-101B-9397-08002B2CF9AE}" pid="4" name="TaxCatchAll">
    <vt:lpwstr>2;#Inne|465d675b-a273-4d73-a3b6-017cad232cb7</vt:lpwstr>
  </property>
  <property fmtid="{D5CDD505-2E9C-101B-9397-08002B2CF9AE}" pid="5" name="docIndexRef">
    <vt:lpwstr>4814295b-7740-419c-9683-e7603bc63beb</vt:lpwstr>
  </property>
  <property fmtid="{D5CDD505-2E9C-101B-9397-08002B2CF9AE}" pid="6" name="bjSaver">
    <vt:lpwstr>hvkHTI0JqpHlgoe/2SvxyUWVujbSoUgj</vt:lpwstr>
  </property>
  <property fmtid="{D5CDD505-2E9C-101B-9397-08002B2CF9AE}" pid="7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8" name="bjDocumentLabelXML-0">
    <vt:lpwstr>ames.com/2008/01/sie/internal/label"&gt;&lt;element uid="d7220eed-17a6-431d-810c-83a0ddfed893" value="" /&gt;&lt;/sisl&gt;</vt:lpwstr>
  </property>
  <property fmtid="{D5CDD505-2E9C-101B-9397-08002B2CF9AE}" pid="9" name="bjDocumentSecurityLabel">
    <vt:lpwstr>[d7220eed-17a6-431d-810c-83a0ddfed893]</vt:lpwstr>
  </property>
  <property fmtid="{D5CDD505-2E9C-101B-9397-08002B2CF9AE}" pid="10" name="bjPortionMark">
    <vt:lpwstr>[JAW]</vt:lpwstr>
  </property>
  <property fmtid="{D5CDD505-2E9C-101B-9397-08002B2CF9AE}" pid="11" name="bjClsUserRVM">
    <vt:lpwstr>[]</vt:lpwstr>
  </property>
</Properties>
</file>