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3\Przemek postępowania\GAZ - Dostawa na 24 miesiące\Pytania i odpowiedzi\"/>
    </mc:Choice>
  </mc:AlternateContent>
  <xr:revisionPtr revIDLastSave="0" documentId="13_ncr:1_{D3255563-D71F-4BAB-B847-C55CD33A06D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OPZ" sheetId="1" r:id="rId1"/>
    <sheet name="Formularz CENOWY_ŁĄCZNIE" sheetId="2" state="hidden" r:id="rId2"/>
    <sheet name="!" sheetId="3" state="hidden" r:id="rId3"/>
  </sheets>
  <definedNames>
    <definedName name="_xlnm._FilterDatabase" localSheetId="0" hidden="1">OPZ!$A$1:$XDM$4</definedName>
    <definedName name="_xlnm.Print_Area" localSheetId="0">OPZ!$A$1:$AM$4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3" l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W4" i="1"/>
  <c r="U4" i="1"/>
  <c r="W3" i="1"/>
  <c r="U3" i="1"/>
  <c r="W2" i="1"/>
  <c r="U2" i="1"/>
  <c r="B64" i="2"/>
  <c r="D53" i="2"/>
  <c r="B37" i="2"/>
  <c r="D26" i="2"/>
  <c r="B10" i="2"/>
  <c r="D63" i="2"/>
  <c r="D47" i="2"/>
  <c r="D36" i="2"/>
  <c r="D19" i="2"/>
  <c r="D9" i="2"/>
  <c r="D62" i="2"/>
  <c r="B47" i="2"/>
  <c r="D35" i="2"/>
  <c r="B19" i="2"/>
  <c r="D8" i="2"/>
  <c r="D56" i="2"/>
  <c r="D46" i="2"/>
  <c r="D29" i="2"/>
  <c r="D18" i="2"/>
  <c r="B29" i="2"/>
  <c r="D27" i="2"/>
  <c r="B56" i="2"/>
  <c r="B46" i="2"/>
  <c r="D17" i="2"/>
  <c r="D37" i="2"/>
  <c r="D65" i="2"/>
  <c r="D55" i="2"/>
  <c r="D45" i="2"/>
  <c r="D28" i="2"/>
  <c r="D11" i="2"/>
  <c r="D54" i="2"/>
  <c r="D10" i="2"/>
  <c r="B65" i="2"/>
  <c r="B55" i="2"/>
  <c r="D44" i="2"/>
  <c r="B28" i="2"/>
  <c r="B11" i="2"/>
  <c r="D64" i="2"/>
  <c r="D73" i="2" l="1"/>
  <c r="D74" i="2"/>
</calcChain>
</file>

<file path=xl/sharedStrings.xml><?xml version="1.0" encoding="utf-8"?>
<sst xmlns="http://schemas.openxmlformats.org/spreadsheetml/2006/main" count="320" uniqueCount="163">
  <si>
    <t>Lp.</t>
  </si>
  <si>
    <t>Nr zadania</t>
  </si>
  <si>
    <t>Nabywca</t>
  </si>
  <si>
    <t>Odbiorca/Płatnik</t>
  </si>
  <si>
    <t>Adres użytkownika (licznika)</t>
  </si>
  <si>
    <t>NIP</t>
  </si>
  <si>
    <t>REGON</t>
  </si>
  <si>
    <t>Nazwa obiektu
(np. kotłownia etc)</t>
  </si>
  <si>
    <t>nr PPG</t>
  </si>
  <si>
    <t>Moc
umowna
[kWh]</t>
  </si>
  <si>
    <t>Grupa taryfowa
OSD</t>
  </si>
  <si>
    <t>Grupa taryfowa
OSD
dystrybutor</t>
  </si>
  <si>
    <t>AKCYZA</t>
  </si>
  <si>
    <t>Podstawy zwolnienia z podatku akcyzowego</t>
  </si>
  <si>
    <t>Czy jest to pierwsza zmiana sprzedawcy 
gazu
(czy jest zawarta umowa kompleksowa)</t>
  </si>
  <si>
    <t>Z kim i na jaki okres zawarta umowa na dystrybucję</t>
  </si>
  <si>
    <t>Z kim i na jaki okres zawarta umowa na sprzedaż</t>
  </si>
  <si>
    <t>Okres wypowiedzenia dotychczasowej umowy na sprzedaż</t>
  </si>
  <si>
    <t>Rodzaj umowy</t>
  </si>
  <si>
    <t>Wypowiedzenie
DO</t>
  </si>
  <si>
    <t>Koniec umowy</t>
  </si>
  <si>
    <t>ROZPOCZĘCIE UMOWY
GZG1</t>
  </si>
  <si>
    <t>ZAKOŃCZENIE
UMOWY 
GZG1</t>
  </si>
  <si>
    <t>Ilość miesięcy</t>
  </si>
  <si>
    <t>Ilość godzin</t>
  </si>
  <si>
    <t>PROPOZYCJA 
PROGNOZY W OKRESIE TRWANIA UMOWY
[kWh]</t>
  </si>
  <si>
    <t>styczeń
2024</t>
  </si>
  <si>
    <t>luty
2024</t>
  </si>
  <si>
    <t>marzec
2024</t>
  </si>
  <si>
    <t>kwiecień
2024</t>
  </si>
  <si>
    <t>maj
2024</t>
  </si>
  <si>
    <t>czerwiec
2024</t>
  </si>
  <si>
    <t>lipiec
2024</t>
  </si>
  <si>
    <t>sierpień
2024</t>
  </si>
  <si>
    <t>wrzesień
2024</t>
  </si>
  <si>
    <t>paź.
2024</t>
  </si>
  <si>
    <t>listopad
2024</t>
  </si>
  <si>
    <t>grudzień
2024</t>
  </si>
  <si>
    <t>styczeń
2025</t>
  </si>
  <si>
    <t>luty
2025</t>
  </si>
  <si>
    <t>marzec
2025</t>
  </si>
  <si>
    <t>kwiecień
2025</t>
  </si>
  <si>
    <t>maj
2025</t>
  </si>
  <si>
    <t>czerwiec
2025</t>
  </si>
  <si>
    <t>lipiec
2025</t>
  </si>
  <si>
    <t>sierpień
2025</t>
  </si>
  <si>
    <t>wrzesień
2025</t>
  </si>
  <si>
    <t>paź.
2025</t>
  </si>
  <si>
    <t>listopad
2025</t>
  </si>
  <si>
    <t>grudzień
2025</t>
  </si>
  <si>
    <t>Wojewódzkie Centrum Szpitalne Kotliny Jeleniogórskiej</t>
  </si>
  <si>
    <t>Wojewódzkie Centrum Szpitalne Kotliny Jeleniogórskiej w Jeleniej Górze
ul. Ogińskiego 6 
58-506 Jelenia Góra</t>
  </si>
  <si>
    <t>ul. Ogińskiego 6
58-506 Jelenia Góra</t>
  </si>
  <si>
    <t>000293640</t>
  </si>
  <si>
    <t>Kotłownia</t>
  </si>
  <si>
    <t>8018590365500019075650</t>
  </si>
  <si>
    <t>BW-6</t>
  </si>
  <si>
    <t>W-6A.1_WR</t>
  </si>
  <si>
    <t>TAK</t>
  </si>
  <si>
    <t>ZW</t>
  </si>
  <si>
    <t>Zwolnienie od akcyzy na sprzedaż paliwa gazowego w oparciu o art.. 31b ust 1-4 pkt e (cele opałowe dla podmiotów leczniczych Ustawy o podatku akcyzowym</t>
  </si>
  <si>
    <t>umowa kompleksowa</t>
  </si>
  <si>
    <t>Podmiot: PGNiG                              
Od: 01.01.2023
Do: 31.12.2023</t>
  </si>
  <si>
    <t>Podmiot: PGNiG                  
Od: 01.01.2023
Do: 31.12.2023</t>
  </si>
  <si>
    <t>30 dni</t>
  </si>
  <si>
    <t>TERMINOWA</t>
  </si>
  <si>
    <t>ul. Sanatoryjna 27
58-530 Kowary</t>
  </si>
  <si>
    <t>8018590365500019074608</t>
  </si>
  <si>
    <t>BW-5</t>
  </si>
  <si>
    <t>W-5.1_WR</t>
  </si>
  <si>
    <t>ul. Wysokogórskiej 19 
49-420 Bolków</t>
  </si>
  <si>
    <t>8018590365500019076862</t>
  </si>
  <si>
    <t>W5-5.1_WR</t>
  </si>
  <si>
    <t>10 2000</t>
  </si>
  <si>
    <t>„Zamówienie wspólne na kompleksową dostawę paliwa gazowego dla jednostek Województwa Dolnośląskiego, grupa zakupowa GZG1”</t>
  </si>
  <si>
    <t>FORMULARZ CENOWY</t>
  </si>
  <si>
    <t>* uzupełnieniu podlegają tylko pola na zaznaczone na żółto</t>
  </si>
  <si>
    <t>Wyszczególnienie</t>
  </si>
  <si>
    <t>Cena jednostkowa netto</t>
  </si>
  <si>
    <t>Cena ofertowa łącznie netto</t>
  </si>
  <si>
    <t>Cena ofertowa łącznie brutto</t>
  </si>
  <si>
    <t>A</t>
  </si>
  <si>
    <t>B</t>
  </si>
  <si>
    <t>BW-1.1</t>
  </si>
  <si>
    <t>Licznba PPG</t>
  </si>
  <si>
    <t>Sprzedaż i dystrybucja gazu dla grupy taryfowej</t>
  </si>
  <si>
    <t>Przewidywane zużycie gazu w okresie obowiązywania umowy [kWh]</t>
  </si>
  <si>
    <t>bez akcyzy, z zerową stawką akcyzy lub uwzględniająca zwolnienia od akcyzy</t>
  </si>
  <si>
    <t>przeznaczone do celów opałowych (z akcyzą)</t>
  </si>
  <si>
    <r>
      <rPr>
        <b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- cena za paliwo gazowe</t>
    </r>
  </si>
  <si>
    <t>cena bez akcyzy</t>
  </si>
  <si>
    <t>gr/kWh</t>
  </si>
  <si>
    <t>cena bez z akcyzą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</si>
  <si>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- stawka opłaty abonamentowej (handlowej)</t>
    </r>
  </si>
  <si>
    <t>h</t>
  </si>
  <si>
    <t>zł/m-c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</si>
  <si>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zd</t>
    </r>
    <r>
      <rPr>
        <sz val="10"/>
        <rFont val="Arial"/>
        <family val="2"/>
        <charset val="238"/>
      </rPr>
      <t xml:space="preserve"> - stawka opłaty stałej - dystrybucja</t>
    </r>
  </si>
  <si>
    <t>a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</si>
  <si>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sdd</t>
    </r>
    <r>
      <rPr>
        <sz val="10"/>
        <rFont val="Arial"/>
        <family val="2"/>
        <charset val="238"/>
      </rPr>
      <t xml:space="preserve"> - stawka opłaty zmiennej dystrybucja </t>
    </r>
  </si>
  <si>
    <t>z</t>
  </si>
  <si>
    <t>BS-3.6</t>
  </si>
  <si>
    <t>x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</si>
  <si>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zd</t>
    </r>
    <r>
      <rPr>
        <sz val="10"/>
        <rFont val="Arial"/>
        <family val="2"/>
        <charset val="238"/>
      </rPr>
      <t xml:space="preserve"> - stawka opłaty zmiennej - dystrybucja</t>
    </r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</si>
  <si>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</t>
    </r>
    <r>
      <rPr>
        <sz val="10"/>
        <rFont val="Arial"/>
        <family val="2"/>
        <charset val="238"/>
      </rPr>
      <t xml:space="preserve"> - stawka opłaty stałej - dystrybucja</t>
    </r>
  </si>
  <si>
    <t>BW-3.6</t>
  </si>
  <si>
    <t>BZ-3.6</t>
  </si>
  <si>
    <t>BZ-4</t>
  </si>
  <si>
    <t>Sprawdzenie ilość PPG</t>
  </si>
  <si>
    <t>Sprawdzenie wolumwn łączny</t>
  </si>
  <si>
    <t>Zadanie nr  1</t>
  </si>
  <si>
    <t>Agencja Rozwoju Regionalnego "ARLEG" S.A.</t>
  </si>
  <si>
    <t>Zadanie nr  2</t>
  </si>
  <si>
    <t>Dolnośląska Służba Dróg i Kolei we Wrocławiu</t>
  </si>
  <si>
    <t>Zadanie nr  3</t>
  </si>
  <si>
    <t>Dolnośląski Ośrodek Doskonalenia Nauczycieli we Wrocławiu</t>
  </si>
  <si>
    <t>Zadanie nr  4</t>
  </si>
  <si>
    <t>Dolnośląski Ośrodek Ruchu Drogowego</t>
  </si>
  <si>
    <t>Zadanie nr  5</t>
  </si>
  <si>
    <t>Dolnośląski Specjalny Ośrodek Szkolno-Wychowawczy nr 12 Dla Uczniów Niesłyszących i Słabosłyszących oraz z innymi niepełnosprawnościami im. Marii Grzegorzewskiej we Wrocławiu</t>
  </si>
  <si>
    <t>Zadanie nr  6</t>
  </si>
  <si>
    <t>Dolnośląski Wojewódzki Ośrodek Medycyny Pracy</t>
  </si>
  <si>
    <t>Zadanie nr  7</t>
  </si>
  <si>
    <t>Dolnośląski Zespół Szkół w Jaworze</t>
  </si>
  <si>
    <t>Zadanie nr  8</t>
  </si>
  <si>
    <t>Dolnośląskie Centrum Kształcenia Ustawicznego i Językowego Kadr w Legnicy</t>
  </si>
  <si>
    <t>Zadanie nr  9</t>
  </si>
  <si>
    <t>Dolnośląskie Centrum Rehabilitacji i Ortopedii Sp. z o.o.</t>
  </si>
  <si>
    <t>Zadanie nr 10</t>
  </si>
  <si>
    <t>Filharmonia Dolnośląska w Jeleniej Górze</t>
  </si>
  <si>
    <t>Zadanie nr 11</t>
  </si>
  <si>
    <t>Filharmonia Sudecka im. Józefa Wiłkomirskiego w Wałbrzychu</t>
  </si>
  <si>
    <t>Zadanie nr 12</t>
  </si>
  <si>
    <t>Muzeum Karkonoskie w Jeleniej Górze</t>
  </si>
  <si>
    <t>Zadanie nr 13</t>
  </si>
  <si>
    <t>Muzeum Sportu i Turystyki w Karpaczu</t>
  </si>
  <si>
    <t>Zadanie nr 14</t>
  </si>
  <si>
    <t>Nowy Szpital Wojewódzki Sp. z o.o.</t>
  </si>
  <si>
    <t>Zadanie nr 15</t>
  </si>
  <si>
    <t>Pogotowie Ratunkowe w Jeleniej Górze</t>
  </si>
  <si>
    <t>Zadanie nr 16</t>
  </si>
  <si>
    <t>Pogotowie Ratunkowe w Legnicy</t>
  </si>
  <si>
    <t>Zadanie nr 17</t>
  </si>
  <si>
    <t>Pogotowie Ratunkowe we Wrocławiu</t>
  </si>
  <si>
    <t>Zadanie nr 18</t>
  </si>
  <si>
    <t>Sanatoria Dolnośląskie Sp. z o.o.</t>
  </si>
  <si>
    <t>Zadanie nr 19</t>
  </si>
  <si>
    <t>Specjalistyczny Szpital Ginekologiczno - Położniczy im. E. Biernackiego w Wałbrzychu</t>
  </si>
  <si>
    <t>Zadanie nr 20</t>
  </si>
  <si>
    <t>Specjalistyczny Szpital im. dra A. Sokołowskiego w Wałbrzychu</t>
  </si>
  <si>
    <t>Zadanie nr 21</t>
  </si>
  <si>
    <t>Stawy Milickie S.A.</t>
  </si>
  <si>
    <t>Zadanie nr 22</t>
  </si>
  <si>
    <t>Uzdrowisko Lądek - Długopole S.A.</t>
  </si>
  <si>
    <t>Zadanie nr 23</t>
  </si>
  <si>
    <t>Uzdrowisko Szczawno - Jedlina S.A.</t>
  </si>
  <si>
    <t>Zadanie nr 24</t>
  </si>
  <si>
    <t>Wojewódzki Szpital dla Nerwowo i Psychicznie Chorych w Bolesławcu</t>
  </si>
  <si>
    <t>Zadanie nr 25</t>
  </si>
  <si>
    <t>Wojewódzki Szpital Psychiatryczny w Złotoryi</t>
  </si>
  <si>
    <t>Zadanie nr 26</t>
  </si>
  <si>
    <t>Zadanie nr 27</t>
  </si>
  <si>
    <t>Wrocławski Teatr Pantomimy im. Henryka Tomaszewskiego we Wrocławiu</t>
  </si>
  <si>
    <t>Czy obowiązuje Ustawa z dnia 26 stycznia 2022 r.  o szczególnych rozwiązaniach służących ochronie odbiorców paliw gazowych w związku z sytuacją na rynku gazu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</si>
</sst>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_-* #,##0.000\ _z_ł_-;\-* #,##0.000\ _z_ł_-;_-* \-???\ _z_ł_-;_-@_-"/>
    <numFmt numFmtId="166" formatCode="#,##0.00&quot; kWh&quot;"/>
    <numFmt numFmtId="167" formatCode="_-* #,##0\ _z_ł_-;\-* #,##0\ _z_ł_-;_-* \-???\ _z_ł_-;_-@_-"/>
  </numFmts>
  <fonts count="21">
    <font>
      <sz val="11"/>
      <color rgb="FF000000"/>
      <name val="Calibri"/>
      <family val="2"/>
      <charset val="238"/>
    </font>
    <font>
      <sz val="11"/>
      <color rgb="FF800080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zcionka tekstu podstawowego"/>
      <charset val="238"/>
    </font>
    <font>
      <b/>
      <sz val="10"/>
      <name val="Arial"/>
      <family val="2"/>
      <charset val="238"/>
    </font>
    <font>
      <sz val="10"/>
      <color rgb="FF00008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D9D9D9"/>
        <bgColor rgb="FFDAE3F3"/>
      </patternFill>
    </fill>
    <fill>
      <patternFill patternType="solid">
        <fgColor rgb="FFFF0000"/>
        <bgColor rgb="FF993300"/>
      </patternFill>
    </fill>
    <fill>
      <patternFill patternType="solid">
        <fgColor rgb="FFDAE3F3"/>
        <bgColor rgb="FFD9D9D9"/>
      </patternFill>
    </fill>
    <fill>
      <patternFill patternType="solid">
        <fgColor rgb="FFFFFF99"/>
        <bgColor rgb="FFFFFFCC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0" fillId="0" borderId="0"/>
    <xf numFmtId="0" fontId="20" fillId="0" borderId="0"/>
    <xf numFmtId="0" fontId="20" fillId="0" borderId="0"/>
    <xf numFmtId="0" fontId="1" fillId="2" borderId="0" applyBorder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/>
    <xf numFmtId="0" fontId="8" fillId="0" borderId="0" xfId="3" applyFont="1"/>
    <xf numFmtId="165" fontId="8" fillId="0" borderId="0" xfId="3" applyNumberFormat="1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vertical="top"/>
    </xf>
    <xf numFmtId="0" fontId="8" fillId="0" borderId="0" xfId="3" applyFont="1" applyAlignment="1">
      <alignment vertical="top"/>
    </xf>
    <xf numFmtId="0" fontId="10" fillId="0" borderId="0" xfId="3" applyFont="1" applyAlignment="1">
      <alignment vertical="top"/>
    </xf>
    <xf numFmtId="0" fontId="12" fillId="0" borderId="0" xfId="3" applyFont="1"/>
    <xf numFmtId="0" fontId="11" fillId="0" borderId="0" xfId="3" applyFont="1" applyAlignment="1">
      <alignment vertical="top"/>
    </xf>
    <xf numFmtId="0" fontId="14" fillId="5" borderId="7" xfId="4" applyFont="1" applyFill="1" applyBorder="1" applyAlignment="1" applyProtection="1">
      <alignment horizontal="center" vertical="center"/>
    </xf>
    <xf numFmtId="0" fontId="15" fillId="0" borderId="12" xfId="3" applyFont="1" applyBorder="1" applyAlignment="1">
      <alignment horizontal="center" vertical="center" wrapText="1"/>
    </xf>
    <xf numFmtId="0" fontId="17" fillId="0" borderId="12" xfId="3" applyFont="1" applyBorder="1" applyAlignment="1">
      <alignment vertical="top" wrapText="1"/>
    </xf>
    <xf numFmtId="0" fontId="17" fillId="0" borderId="10" xfId="3" applyFont="1" applyBorder="1" applyAlignment="1">
      <alignment vertical="center" wrapText="1"/>
    </xf>
    <xf numFmtId="165" fontId="18" fillId="6" borderId="13" xfId="3" applyNumberFormat="1" applyFont="1" applyFill="1" applyBorder="1" applyAlignment="1">
      <alignment vertical="center"/>
    </xf>
    <xf numFmtId="0" fontId="13" fillId="0" borderId="14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165" fontId="18" fillId="6" borderId="17" xfId="3" applyNumberFormat="1" applyFont="1" applyFill="1" applyBorder="1" applyAlignment="1">
      <alignment vertical="center"/>
    </xf>
    <xf numFmtId="0" fontId="13" fillId="0" borderId="18" xfId="3" applyFont="1" applyBorder="1" applyAlignment="1">
      <alignment horizontal="center" vertical="center"/>
    </xf>
    <xf numFmtId="0" fontId="1" fillId="5" borderId="19" xfId="4" applyFill="1" applyBorder="1" applyAlignment="1" applyProtection="1">
      <alignment horizontal="center" vertical="center"/>
    </xf>
    <xf numFmtId="167" fontId="8" fillId="0" borderId="0" xfId="3" applyNumberFormat="1" applyFont="1"/>
    <xf numFmtId="166" fontId="16" fillId="0" borderId="11" xfId="3" applyNumberFormat="1" applyFont="1" applyBorder="1" applyAlignment="1">
      <alignment horizontal="center" vertical="center"/>
    </xf>
    <xf numFmtId="0" fontId="17" fillId="5" borderId="9" xfId="3" applyFont="1" applyFill="1" applyBorder="1" applyAlignment="1">
      <alignment horizontal="center" vertical="center" wrapText="1"/>
    </xf>
    <xf numFmtId="0" fontId="15" fillId="0" borderId="12" xfId="3" applyFont="1" applyBorder="1" applyAlignment="1">
      <alignment vertical="center" wrapText="1"/>
    </xf>
    <xf numFmtId="0" fontId="15" fillId="0" borderId="10" xfId="3" applyFont="1" applyBorder="1" applyAlignment="1">
      <alignment vertical="center" wrapText="1"/>
    </xf>
    <xf numFmtId="0" fontId="15" fillId="0" borderId="16" xfId="3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16" fillId="0" borderId="4" xfId="3" applyFont="1" applyBorder="1" applyAlignment="1">
      <alignment horizontal="center" vertical="center"/>
    </xf>
    <xf numFmtId="0" fontId="11" fillId="0" borderId="0" xfId="3" applyFont="1" applyAlignment="1">
      <alignment horizontal="center" vertical="top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</cellXfs>
  <cellStyles count="5">
    <cellStyle name="Normalny" xfId="0" builtinId="0"/>
    <cellStyle name="Normalny 10" xfId="1" xr:uid="{00000000-0005-0000-0000-000006000000}"/>
    <cellStyle name="Normalny 2" xfId="2" xr:uid="{00000000-0005-0000-0000-000007000000}"/>
    <cellStyle name="Normalny 8" xfId="3" xr:uid="{00000000-0005-0000-0000-000008000000}"/>
    <cellStyle name="Złe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"/>
  <sheetViews>
    <sheetView tabSelected="1" zoomScale="85" zoomScaleNormal="85" workbookViewId="0">
      <pane xSplit="3" ySplit="1" topLeftCell="U2" activePane="bottomRight" state="frozen"/>
      <selection pane="topRight" activeCell="F1" sqref="F1"/>
      <selection pane="bottomLeft" activeCell="A2" sqref="A2"/>
      <selection pane="bottomRight" activeCell="M3" sqref="M3"/>
    </sheetView>
  </sheetViews>
  <sheetFormatPr defaultColWidth="9.140625" defaultRowHeight="15"/>
  <cols>
    <col min="1" max="1" width="5.140625" style="1" customWidth="1"/>
    <col min="2" max="2" width="4.28515625" style="1" customWidth="1"/>
    <col min="3" max="3" width="37.7109375" style="2" customWidth="1"/>
    <col min="4" max="4" width="33.7109375" style="3" customWidth="1"/>
    <col min="5" max="5" width="17.5703125" style="3" customWidth="1"/>
    <col min="6" max="6" width="11.7109375" style="4" customWidth="1"/>
    <col min="7" max="7" width="11.140625" style="4" customWidth="1"/>
    <col min="8" max="8" width="17.5703125" style="3" customWidth="1"/>
    <col min="9" max="9" width="26.7109375" style="5" customWidth="1"/>
    <col min="10" max="10" width="25.42578125" style="6" customWidth="1"/>
    <col min="11" max="11" width="10.7109375" style="7" customWidth="1"/>
    <col min="12" max="12" width="12.28515625" style="4" customWidth="1"/>
    <col min="13" max="13" width="34.28515625" style="4" customWidth="1"/>
    <col min="14" max="14" width="12.28515625" style="8" customWidth="1"/>
    <col min="15" max="15" width="58.42578125" style="8" customWidth="1"/>
    <col min="16" max="16" width="15.85546875" style="9" customWidth="1"/>
    <col min="17" max="17" width="21.85546875" style="3" customWidth="1"/>
    <col min="18" max="18" width="21.42578125" style="3" customWidth="1"/>
    <col min="19" max="19" width="26" style="2" customWidth="1"/>
    <col min="20" max="20" width="15.5703125" style="10" customWidth="1"/>
    <col min="21" max="21" width="14.28515625" style="4" customWidth="1"/>
    <col min="22" max="22" width="11" style="4" customWidth="1"/>
    <col min="23" max="23" width="11.7109375" style="4" customWidth="1"/>
    <col min="24" max="24" width="12.140625" style="4" customWidth="1"/>
    <col min="25" max="25" width="8" style="4" customWidth="1"/>
    <col min="26" max="26" width="10.42578125" style="8" customWidth="1"/>
    <col min="27" max="27" width="17" style="11" customWidth="1"/>
    <col min="28" max="28" width="9.28515625" style="11" customWidth="1"/>
    <col min="29" max="29" width="9.5703125" style="11" customWidth="1"/>
    <col min="30" max="30" width="9.85546875" style="11" customWidth="1"/>
    <col min="31" max="31" width="8.42578125" style="11" customWidth="1"/>
    <col min="32" max="32" width="8.28515625" style="11" customWidth="1"/>
    <col min="33" max="33" width="8.85546875" style="11" customWidth="1"/>
    <col min="34" max="34" width="8.28515625" style="11" customWidth="1"/>
    <col min="35" max="35" width="7.85546875" style="11" customWidth="1"/>
    <col min="36" max="37" width="8.28515625" style="11" customWidth="1"/>
    <col min="38" max="38" width="9.28515625" style="11" customWidth="1"/>
    <col min="39" max="39" width="9.42578125" style="11" customWidth="1"/>
    <col min="40" max="16384" width="9.140625" style="4"/>
  </cols>
  <sheetData>
    <row r="1" spans="1:51" s="3" customFormat="1" ht="89.2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4" t="s">
        <v>7</v>
      </c>
      <c r="I1" s="15" t="s">
        <v>8</v>
      </c>
      <c r="J1" s="14" t="s">
        <v>9</v>
      </c>
      <c r="K1" s="16" t="s">
        <v>10</v>
      </c>
      <c r="L1" s="14" t="s">
        <v>11</v>
      </c>
      <c r="M1" s="14" t="s">
        <v>162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8" t="s">
        <v>25</v>
      </c>
      <c r="AB1" s="19" t="s">
        <v>26</v>
      </c>
      <c r="AC1" s="19" t="s">
        <v>27</v>
      </c>
      <c r="AD1" s="19" t="s">
        <v>28</v>
      </c>
      <c r="AE1" s="19" t="s">
        <v>29</v>
      </c>
      <c r="AF1" s="19" t="s">
        <v>30</v>
      </c>
      <c r="AG1" s="19" t="s">
        <v>31</v>
      </c>
      <c r="AH1" s="19" t="s">
        <v>32</v>
      </c>
      <c r="AI1" s="19" t="s">
        <v>33</v>
      </c>
      <c r="AJ1" s="19" t="s">
        <v>34</v>
      </c>
      <c r="AK1" s="19" t="s">
        <v>35</v>
      </c>
      <c r="AL1" s="19" t="s">
        <v>36</v>
      </c>
      <c r="AM1" s="19" t="s">
        <v>37</v>
      </c>
      <c r="AN1" s="19" t="s">
        <v>38</v>
      </c>
      <c r="AO1" s="19" t="s">
        <v>39</v>
      </c>
      <c r="AP1" s="19" t="s">
        <v>40</v>
      </c>
      <c r="AQ1" s="19" t="s">
        <v>41</v>
      </c>
      <c r="AR1" s="19" t="s">
        <v>42</v>
      </c>
      <c r="AS1" s="19" t="s">
        <v>43</v>
      </c>
      <c r="AT1" s="19" t="s">
        <v>44</v>
      </c>
      <c r="AU1" s="19" t="s">
        <v>45</v>
      </c>
      <c r="AV1" s="19" t="s">
        <v>46</v>
      </c>
      <c r="AW1" s="19" t="s">
        <v>47</v>
      </c>
      <c r="AX1" s="19" t="s">
        <v>48</v>
      </c>
      <c r="AY1" s="19" t="s">
        <v>49</v>
      </c>
    </row>
    <row r="2" spans="1:51" s="25" customFormat="1" ht="51">
      <c r="A2" s="4">
        <v>1</v>
      </c>
      <c r="B2" s="4">
        <v>1</v>
      </c>
      <c r="C2" s="20" t="s">
        <v>50</v>
      </c>
      <c r="D2" s="20" t="s">
        <v>51</v>
      </c>
      <c r="E2" s="3" t="s">
        <v>52</v>
      </c>
      <c r="F2" s="4">
        <v>6111213469</v>
      </c>
      <c r="G2" s="4" t="s">
        <v>53</v>
      </c>
      <c r="H2" s="3" t="s">
        <v>54</v>
      </c>
      <c r="I2" s="5" t="s">
        <v>55</v>
      </c>
      <c r="J2" s="6">
        <v>2900</v>
      </c>
      <c r="K2" s="6" t="s">
        <v>56</v>
      </c>
      <c r="L2" s="4" t="s">
        <v>57</v>
      </c>
      <c r="M2" s="7" t="s">
        <v>58</v>
      </c>
      <c r="N2" s="7" t="s">
        <v>59</v>
      </c>
      <c r="O2" s="21" t="s">
        <v>60</v>
      </c>
      <c r="P2" s="9" t="s">
        <v>61</v>
      </c>
      <c r="Q2" s="20" t="s">
        <v>62</v>
      </c>
      <c r="R2" s="20" t="s">
        <v>63</v>
      </c>
      <c r="S2" s="7" t="s">
        <v>64</v>
      </c>
      <c r="T2" s="4" t="s">
        <v>65</v>
      </c>
      <c r="U2" s="22">
        <f>V2-30-1</f>
        <v>45260</v>
      </c>
      <c r="V2" s="22">
        <v>45291</v>
      </c>
      <c r="W2" s="23">
        <f>V2+1</f>
        <v>45292</v>
      </c>
      <c r="X2" s="23">
        <v>46022</v>
      </c>
      <c r="Y2" s="4">
        <v>24</v>
      </c>
      <c r="Z2" s="11">
        <v>17544</v>
      </c>
      <c r="AA2" s="11">
        <v>18320000</v>
      </c>
      <c r="AB2" s="24">
        <v>1200000</v>
      </c>
      <c r="AC2" s="24">
        <v>1100000</v>
      </c>
      <c r="AD2" s="24">
        <v>1000000</v>
      </c>
      <c r="AE2" s="24">
        <v>900000</v>
      </c>
      <c r="AF2" s="24">
        <v>580000</v>
      </c>
      <c r="AG2" s="24">
        <v>410000</v>
      </c>
      <c r="AH2" s="24">
        <v>360000</v>
      </c>
      <c r="AI2" s="24">
        <v>350000</v>
      </c>
      <c r="AJ2" s="24">
        <v>480000</v>
      </c>
      <c r="AK2" s="24">
        <v>730000</v>
      </c>
      <c r="AL2" s="24">
        <v>880000</v>
      </c>
      <c r="AM2" s="24">
        <v>1170000</v>
      </c>
      <c r="AN2" s="24">
        <v>1200000</v>
      </c>
      <c r="AO2" s="24">
        <v>1100000</v>
      </c>
      <c r="AP2" s="24">
        <v>1000000</v>
      </c>
      <c r="AQ2" s="24">
        <v>900000</v>
      </c>
      <c r="AR2" s="24">
        <v>580000</v>
      </c>
      <c r="AS2" s="24">
        <v>410000</v>
      </c>
      <c r="AT2" s="24">
        <v>360000</v>
      </c>
      <c r="AU2" s="24">
        <v>350000</v>
      </c>
      <c r="AV2" s="24">
        <v>480000</v>
      </c>
      <c r="AW2" s="24">
        <v>730000</v>
      </c>
      <c r="AX2" s="24">
        <v>880000</v>
      </c>
      <c r="AY2" s="24">
        <v>1170000</v>
      </c>
    </row>
    <row r="3" spans="1:51" s="25" customFormat="1" ht="51">
      <c r="A3" s="4">
        <v>2</v>
      </c>
      <c r="B3" s="4">
        <v>1</v>
      </c>
      <c r="C3" s="20" t="s">
        <v>50</v>
      </c>
      <c r="D3" s="20" t="s">
        <v>51</v>
      </c>
      <c r="E3" s="3" t="s">
        <v>66</v>
      </c>
      <c r="F3" s="4">
        <v>6111213469</v>
      </c>
      <c r="G3" s="4" t="s">
        <v>53</v>
      </c>
      <c r="H3" s="3" t="s">
        <v>54</v>
      </c>
      <c r="I3" s="5" t="s">
        <v>67</v>
      </c>
      <c r="J3" s="6">
        <v>500</v>
      </c>
      <c r="K3" s="6" t="s">
        <v>68</v>
      </c>
      <c r="L3" s="4" t="s">
        <v>69</v>
      </c>
      <c r="M3" s="7" t="s">
        <v>58</v>
      </c>
      <c r="N3" s="7" t="s">
        <v>59</v>
      </c>
      <c r="O3" s="21" t="s">
        <v>60</v>
      </c>
      <c r="P3" s="9" t="s">
        <v>61</v>
      </c>
      <c r="Q3" s="20" t="s">
        <v>62</v>
      </c>
      <c r="R3" s="20" t="s">
        <v>63</v>
      </c>
      <c r="S3" s="7" t="s">
        <v>64</v>
      </c>
      <c r="T3" s="4" t="s">
        <v>65</v>
      </c>
      <c r="U3" s="22">
        <f>V3-30-1</f>
        <v>45260</v>
      </c>
      <c r="V3" s="22">
        <v>45291</v>
      </c>
      <c r="W3" s="23">
        <f>V3+1</f>
        <v>45292</v>
      </c>
      <c r="X3" s="23">
        <v>46022</v>
      </c>
      <c r="Y3" s="4">
        <v>24</v>
      </c>
      <c r="Z3" s="11">
        <v>17544</v>
      </c>
      <c r="AA3" s="11">
        <v>1030000</v>
      </c>
      <c r="AB3" s="24">
        <v>120000</v>
      </c>
      <c r="AC3" s="24">
        <v>100000</v>
      </c>
      <c r="AD3" s="24">
        <v>70000</v>
      </c>
      <c r="AE3" s="24">
        <v>40000</v>
      </c>
      <c r="AF3" s="24">
        <v>10000</v>
      </c>
      <c r="AG3" s="24">
        <v>4000</v>
      </c>
      <c r="AH3" s="24">
        <v>1000</v>
      </c>
      <c r="AI3" s="24">
        <v>1000</v>
      </c>
      <c r="AJ3" s="24">
        <v>3000</v>
      </c>
      <c r="AK3" s="24">
        <v>11000</v>
      </c>
      <c r="AL3" s="24">
        <v>50000</v>
      </c>
      <c r="AM3" s="24">
        <v>105000</v>
      </c>
      <c r="AN3" s="24">
        <v>120000</v>
      </c>
      <c r="AO3" s="24">
        <v>100000</v>
      </c>
      <c r="AP3" s="24">
        <v>70000</v>
      </c>
      <c r="AQ3" s="24">
        <v>40000</v>
      </c>
      <c r="AR3" s="24">
        <v>10000</v>
      </c>
      <c r="AS3" s="24">
        <v>4000</v>
      </c>
      <c r="AT3" s="24">
        <v>1000</v>
      </c>
      <c r="AU3" s="24">
        <v>1000</v>
      </c>
      <c r="AV3" s="24">
        <v>3000</v>
      </c>
      <c r="AW3" s="24">
        <v>11000</v>
      </c>
      <c r="AX3" s="24">
        <v>50000</v>
      </c>
      <c r="AY3" s="24">
        <v>105000</v>
      </c>
    </row>
    <row r="4" spans="1:51" s="25" customFormat="1" ht="51">
      <c r="A4" s="4">
        <v>3</v>
      </c>
      <c r="B4" s="4">
        <v>1</v>
      </c>
      <c r="C4" s="20" t="s">
        <v>50</v>
      </c>
      <c r="D4" s="20" t="s">
        <v>51</v>
      </c>
      <c r="E4" s="3" t="s">
        <v>70</v>
      </c>
      <c r="F4" s="4">
        <v>6111213469</v>
      </c>
      <c r="G4" s="4" t="s">
        <v>53</v>
      </c>
      <c r="H4" s="3" t="s">
        <v>54</v>
      </c>
      <c r="I4" s="5" t="s">
        <v>71</v>
      </c>
      <c r="J4" s="6">
        <v>121</v>
      </c>
      <c r="K4" s="6" t="s">
        <v>68</v>
      </c>
      <c r="L4" s="4" t="s">
        <v>72</v>
      </c>
      <c r="M4" s="7" t="s">
        <v>58</v>
      </c>
      <c r="N4" s="7" t="s">
        <v>59</v>
      </c>
      <c r="O4" s="21" t="s">
        <v>60</v>
      </c>
      <c r="P4" s="9" t="s">
        <v>61</v>
      </c>
      <c r="Q4" s="20" t="s">
        <v>62</v>
      </c>
      <c r="R4" s="20" t="s">
        <v>63</v>
      </c>
      <c r="S4" s="7" t="s">
        <v>64</v>
      </c>
      <c r="T4" s="4" t="s">
        <v>65</v>
      </c>
      <c r="U4" s="22">
        <f>V4-30-1</f>
        <v>45260</v>
      </c>
      <c r="V4" s="22">
        <v>45291</v>
      </c>
      <c r="W4" s="23">
        <f>V4+1</f>
        <v>45292</v>
      </c>
      <c r="X4" s="23">
        <v>46022</v>
      </c>
      <c r="Y4" s="4">
        <v>24</v>
      </c>
      <c r="Z4" s="11">
        <v>17544</v>
      </c>
      <c r="AA4" s="11">
        <v>322000</v>
      </c>
      <c r="AB4" s="24">
        <v>26000</v>
      </c>
      <c r="AC4" s="24">
        <v>22000</v>
      </c>
      <c r="AD4" s="24">
        <v>22000</v>
      </c>
      <c r="AE4" s="24">
        <v>17000</v>
      </c>
      <c r="AF4" s="24">
        <v>8000</v>
      </c>
      <c r="AG4" s="24">
        <v>3000</v>
      </c>
      <c r="AH4" s="24">
        <v>2400</v>
      </c>
      <c r="AI4" s="24">
        <v>2800</v>
      </c>
      <c r="AJ4" s="24">
        <v>6000</v>
      </c>
      <c r="AK4" s="24">
        <v>10200</v>
      </c>
      <c r="AL4" s="24">
        <v>18600</v>
      </c>
      <c r="AM4" s="24">
        <v>23000</v>
      </c>
      <c r="AN4" s="24">
        <v>26000</v>
      </c>
      <c r="AO4" s="24">
        <v>22000</v>
      </c>
      <c r="AP4" s="24">
        <v>22000</v>
      </c>
      <c r="AQ4" s="24">
        <v>17000</v>
      </c>
      <c r="AR4" s="24">
        <v>8000</v>
      </c>
      <c r="AS4" s="24">
        <v>3000</v>
      </c>
      <c r="AT4" s="24">
        <v>2400</v>
      </c>
      <c r="AU4" s="24">
        <v>2800</v>
      </c>
      <c r="AV4" s="24">
        <v>6000</v>
      </c>
      <c r="AW4" s="24" t="s">
        <v>73</v>
      </c>
      <c r="AX4" s="24">
        <v>18600</v>
      </c>
      <c r="AY4" s="24">
        <v>23000</v>
      </c>
    </row>
    <row r="5" spans="1:51">
      <c r="Z5" s="26"/>
    </row>
  </sheetData>
  <autoFilter ref="A1:XDM4" xr:uid="{00000000-0009-0000-0000-000000000000}"/>
  <pageMargins left="3.9583333333333297E-2" right="3.9583333333333297E-2" top="0.196527777777778" bottom="0.196527777777778" header="0.511811023622047" footer="0.511811023622047"/>
  <pageSetup paperSize="8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zoomScaleNormal="100" workbookViewId="0">
      <selection activeCell="A5" sqref="A5"/>
    </sheetView>
  </sheetViews>
  <sheetFormatPr defaultColWidth="21.5703125" defaultRowHeight="14.25"/>
  <cols>
    <col min="1" max="1" width="21.7109375" style="27" customWidth="1"/>
    <col min="2" max="2" width="16.42578125" style="27" customWidth="1"/>
    <col min="3" max="3" width="74" style="27" customWidth="1"/>
    <col min="4" max="4" width="19.140625" style="28" customWidth="1"/>
    <col min="5" max="5" width="19.7109375" style="29" customWidth="1"/>
    <col min="6" max="6" width="27.42578125" style="27" customWidth="1"/>
    <col min="7" max="7" width="28.140625" style="27" customWidth="1"/>
    <col min="8" max="16384" width="21.5703125" style="27"/>
  </cols>
  <sheetData>
    <row r="1" spans="1:7" ht="15.75">
      <c r="A1" s="30" t="s">
        <v>74</v>
      </c>
      <c r="B1" s="31"/>
      <c r="C1" s="31"/>
    </row>
    <row r="2" spans="1:7" ht="15">
      <c r="A2" s="32"/>
      <c r="B2" s="31"/>
      <c r="C2" s="31"/>
    </row>
    <row r="3" spans="1:7" ht="15">
      <c r="A3" s="53" t="s">
        <v>75</v>
      </c>
      <c r="B3" s="53"/>
      <c r="C3" s="53"/>
      <c r="D3" s="53"/>
      <c r="E3" s="53"/>
    </row>
    <row r="4" spans="1:7" ht="15">
      <c r="A4" s="33"/>
      <c r="B4" s="31"/>
      <c r="C4" s="34"/>
    </row>
    <row r="5" spans="1:7">
      <c r="A5" s="33" t="s">
        <v>76</v>
      </c>
      <c r="B5" s="31"/>
      <c r="C5" s="31"/>
    </row>
    <row r="6" spans="1:7" ht="14.25" customHeight="1">
      <c r="A6" s="54" t="s">
        <v>77</v>
      </c>
      <c r="B6" s="54"/>
      <c r="C6" s="54"/>
      <c r="D6" s="55" t="s">
        <v>78</v>
      </c>
      <c r="E6" s="55"/>
      <c r="F6" s="27" t="s">
        <v>79</v>
      </c>
      <c r="G6" s="27" t="s">
        <v>80</v>
      </c>
    </row>
    <row r="7" spans="1:7">
      <c r="A7" s="56" t="s">
        <v>81</v>
      </c>
      <c r="B7" s="56"/>
      <c r="C7" s="56"/>
      <c r="D7" s="57" t="s">
        <v>82</v>
      </c>
      <c r="E7" s="57"/>
    </row>
    <row r="8" spans="1:7" ht="15" customHeight="1">
      <c r="A8" s="35" t="s">
        <v>83</v>
      </c>
      <c r="B8" s="51" t="s">
        <v>84</v>
      </c>
      <c r="C8" s="51"/>
      <c r="D8" s="52" t="e">
        <f>GETPIVOTDATA("nr PPG",#REF!,"Grupa taryfowa
OSD","BW-1.1 ")</f>
        <v>#REF!</v>
      </c>
      <c r="E8" s="52"/>
    </row>
    <row r="9" spans="1:7" ht="25.5" customHeight="1">
      <c r="A9" s="47" t="s">
        <v>85</v>
      </c>
      <c r="B9" s="49" t="s">
        <v>86</v>
      </c>
      <c r="C9" s="49"/>
      <c r="D9" s="46" t="e">
        <f>GETPIVOTDATA("Suma z PROPOZYCJA 
PROGNOZY W OKRESIE TRWANIA UMOWY
[kWh]",#REF!,"Grupa taryfowa
OSD","BW-1.1 ")</f>
        <v>#REF!</v>
      </c>
      <c r="E9" s="46"/>
    </row>
    <row r="10" spans="1:7" ht="15" customHeight="1">
      <c r="A10" s="47"/>
      <c r="B10" s="36" t="e">
        <f>GETPIVOTDATA("nr PPG",#REF!,"Grupa taryfowa
OSD","BW-1.1 ","AKCYZA","ZW")</f>
        <v>#REF!</v>
      </c>
      <c r="C10" s="37" t="s">
        <v>87</v>
      </c>
      <c r="D10" s="46" t="e">
        <f>GETPIVOTDATA("Suma z PROPOZYCJA 
PROGNOZY W OKRESIE TRWANIA UMOWY
[kWh]",#REF!,"Grupa taryfowa
OSD","BW-1.1 ","AKCYZA","ZW")</f>
        <v>#REF!</v>
      </c>
      <c r="E10" s="46"/>
    </row>
    <row r="11" spans="1:7" ht="15" customHeight="1">
      <c r="A11" s="47"/>
      <c r="B11" s="36" t="e">
        <f>GETPIVOTDATA("nr PPG",#REF!,"Grupa taryfowa
OSD","BW-1.1 ","AKCYZA","TAK")</f>
        <v>#REF!</v>
      </c>
      <c r="C11" s="38" t="s">
        <v>88</v>
      </c>
      <c r="D11" s="46" t="e">
        <f>GETPIVOTDATA("Suma z PROPOZYCJA 
PROGNOZY W OKRESIE TRWANIA UMOWY
[kWh]",#REF!,"Grupa taryfowa
OSD","BW-1.1 ","AKCYZA","TAK")</f>
        <v>#REF!</v>
      </c>
      <c r="E11" s="46"/>
    </row>
    <row r="12" spans="1:7" ht="14.25" customHeight="1">
      <c r="A12" s="47"/>
      <c r="B12" s="49" t="s">
        <v>89</v>
      </c>
      <c r="C12" s="37" t="s">
        <v>87</v>
      </c>
      <c r="D12" s="39" t="s">
        <v>90</v>
      </c>
      <c r="E12" s="40" t="s">
        <v>91</v>
      </c>
    </row>
    <row r="13" spans="1:7" ht="15" customHeight="1">
      <c r="A13" s="47"/>
      <c r="B13" s="49"/>
      <c r="C13" s="38" t="s">
        <v>88</v>
      </c>
      <c r="D13" s="39" t="s">
        <v>92</v>
      </c>
      <c r="E13" s="41" t="s">
        <v>91</v>
      </c>
    </row>
    <row r="14" spans="1:7" ht="15" customHeight="1">
      <c r="A14" s="47"/>
      <c r="B14" s="49" t="s">
        <v>93</v>
      </c>
      <c r="C14" s="49"/>
      <c r="D14" s="39" t="s">
        <v>94</v>
      </c>
      <c r="E14" s="41" t="s">
        <v>95</v>
      </c>
    </row>
    <row r="15" spans="1:7" ht="15" customHeight="1">
      <c r="A15" s="47"/>
      <c r="B15" s="49" t="s">
        <v>96</v>
      </c>
      <c r="C15" s="49"/>
      <c r="D15" s="39" t="s">
        <v>97</v>
      </c>
      <c r="E15" s="41" t="s">
        <v>91</v>
      </c>
    </row>
    <row r="16" spans="1:7" ht="15.75" customHeight="1">
      <c r="A16" s="47"/>
      <c r="B16" s="50" t="s">
        <v>98</v>
      </c>
      <c r="C16" s="50"/>
      <c r="D16" s="42" t="s">
        <v>99</v>
      </c>
      <c r="E16" s="43" t="s">
        <v>95</v>
      </c>
    </row>
    <row r="17" spans="1:5" ht="15" customHeight="1">
      <c r="A17" s="35" t="s">
        <v>100</v>
      </c>
      <c r="B17" s="51" t="s">
        <v>84</v>
      </c>
      <c r="C17" s="51"/>
      <c r="D17" s="52" t="e">
        <f>GETPIVOTDATA("Liczba z nr PPG",#REF!,"Grupa taryfowa
OSD","BS-3.6")</f>
        <v>#REF!</v>
      </c>
      <c r="E17" s="52"/>
    </row>
    <row r="18" spans="1:5" ht="14.25" customHeight="1">
      <c r="A18" s="44"/>
      <c r="B18" s="49" t="s">
        <v>86</v>
      </c>
      <c r="C18" s="49"/>
      <c r="D18" s="46" t="e">
        <f>GETPIVOTDATA("Suma z PROPOZYCJA 
PROGNOZY W OKRESIE TRWANIA UMOWY
[kWh]",#REF!,"Grupa taryfowa
OSD","BS-3.6")</f>
        <v>#REF!</v>
      </c>
      <c r="E18" s="46"/>
    </row>
    <row r="19" spans="1:5">
      <c r="A19" s="44"/>
      <c r="B19" s="36" t="e">
        <f>GETPIVOTDATA("Liczba z nr PPG",#REF!,"Grupa taryfowa
OSD","BS-3.6","AKCYZA","ZW")</f>
        <v>#REF!</v>
      </c>
      <c r="C19" s="37" t="s">
        <v>87</v>
      </c>
      <c r="D19" s="46" t="e">
        <f>GETPIVOTDATA("Suma z PROPOZYCJA 
PROGNOZY W OKRESIE TRWANIA UMOWY
[kWh]",#REF!,"Grupa taryfowa
OSD","BS-3.6","AKCYZA","ZW")</f>
        <v>#REF!</v>
      </c>
      <c r="E19" s="46"/>
    </row>
    <row r="20" spans="1:5">
      <c r="A20" s="44"/>
      <c r="B20" s="36">
        <v>0</v>
      </c>
      <c r="C20" s="38" t="s">
        <v>88</v>
      </c>
      <c r="D20" s="46"/>
      <c r="E20" s="46"/>
    </row>
    <row r="21" spans="1:5" ht="15" customHeight="1">
      <c r="A21" s="47" t="s">
        <v>85</v>
      </c>
      <c r="B21" s="48" t="s">
        <v>89</v>
      </c>
      <c r="C21" s="37" t="s">
        <v>87</v>
      </c>
      <c r="D21" s="39" t="s">
        <v>90</v>
      </c>
      <c r="E21" s="40" t="s">
        <v>91</v>
      </c>
    </row>
    <row r="22" spans="1:5">
      <c r="A22" s="47"/>
      <c r="B22" s="48"/>
      <c r="C22" s="37" t="s">
        <v>88</v>
      </c>
      <c r="D22" s="39" t="s">
        <v>101</v>
      </c>
      <c r="E22" s="41" t="s">
        <v>91</v>
      </c>
    </row>
    <row r="23" spans="1:5" ht="14.25" customHeight="1">
      <c r="A23" s="47"/>
      <c r="B23" s="49" t="s">
        <v>93</v>
      </c>
      <c r="C23" s="49"/>
      <c r="D23" s="39" t="s">
        <v>94</v>
      </c>
      <c r="E23" s="41" t="s">
        <v>95</v>
      </c>
    </row>
    <row r="24" spans="1:5" ht="14.25" customHeight="1">
      <c r="A24" s="47"/>
      <c r="B24" s="49" t="s">
        <v>102</v>
      </c>
      <c r="C24" s="49"/>
      <c r="D24" s="39" t="s">
        <v>97</v>
      </c>
      <c r="E24" s="41" t="s">
        <v>91</v>
      </c>
    </row>
    <row r="25" spans="1:5" ht="15" customHeight="1">
      <c r="A25" s="47"/>
      <c r="B25" s="50" t="s">
        <v>103</v>
      </c>
      <c r="C25" s="50"/>
      <c r="D25" s="42" t="s">
        <v>99</v>
      </c>
      <c r="E25" s="43" t="s">
        <v>95</v>
      </c>
    </row>
    <row r="26" spans="1:5" ht="15" customHeight="1">
      <c r="A26" s="35" t="s">
        <v>104</v>
      </c>
      <c r="B26" s="51" t="s">
        <v>84</v>
      </c>
      <c r="C26" s="51"/>
      <c r="D26" s="52" t="e">
        <f>GETPIVOTDATA("Liczba z nr PPG",#REF!,"Grupa taryfowa
OSD","BW-3.6")</f>
        <v>#REF!</v>
      </c>
      <c r="E26" s="52"/>
    </row>
    <row r="27" spans="1:5" ht="14.25" customHeight="1">
      <c r="A27" s="44"/>
      <c r="B27" s="49" t="s">
        <v>86</v>
      </c>
      <c r="C27" s="49"/>
      <c r="D27" s="46" t="e">
        <f>GETPIVOTDATA("Suma z PROPOZYCJA 
PROGNOZY W OKRESIE TRWANIA UMOWY
[kWh]",#REF!,"Grupa taryfowa
OSD","BW-3.6")</f>
        <v>#REF!</v>
      </c>
      <c r="E27" s="46"/>
    </row>
    <row r="28" spans="1:5">
      <c r="A28" s="44"/>
      <c r="B28" s="36" t="e">
        <f>GETPIVOTDATA("Liczba z nr PPG",#REF!,"Grupa taryfowa
OSD","BW-3.6","AKCYZA","ZW")</f>
        <v>#REF!</v>
      </c>
      <c r="C28" s="37" t="s">
        <v>87</v>
      </c>
      <c r="D28" s="46" t="e">
        <f>GETPIVOTDATA("Suma z PROPOZYCJA 
PROGNOZY W OKRESIE TRWANIA UMOWY
[kWh]",#REF!,"Grupa taryfowa
OSD","BW-3.6","AKCYZA","ZW")</f>
        <v>#REF!</v>
      </c>
      <c r="E28" s="46"/>
    </row>
    <row r="29" spans="1:5">
      <c r="A29" s="44"/>
      <c r="B29" s="36" t="e">
        <f>GETPIVOTDATA("Liczba z nr PPG",#REF!,"Grupa taryfowa
OSD","BW-3.6","AKCYZA","TAK")</f>
        <v>#REF!</v>
      </c>
      <c r="C29" s="38" t="s">
        <v>88</v>
      </c>
      <c r="D29" s="46" t="e">
        <f>GETPIVOTDATA("Suma z PROPOZYCJA 
PROGNOZY W OKRESIE TRWANIA UMOWY
[kWh]",#REF!,"Grupa taryfowa
OSD","BW-3.6","AKCYZA","TAK")</f>
        <v>#REF!</v>
      </c>
      <c r="E29" s="46"/>
    </row>
    <row r="30" spans="1:5" ht="15" customHeight="1">
      <c r="A30" s="47" t="s">
        <v>85</v>
      </c>
      <c r="B30" s="48" t="s">
        <v>89</v>
      </c>
      <c r="C30" s="37" t="s">
        <v>87</v>
      </c>
      <c r="D30" s="39" t="s">
        <v>90</v>
      </c>
      <c r="E30" s="40" t="s">
        <v>91</v>
      </c>
    </row>
    <row r="31" spans="1:5">
      <c r="A31" s="47"/>
      <c r="B31" s="48"/>
      <c r="C31" s="37" t="s">
        <v>88</v>
      </c>
      <c r="D31" s="39" t="s">
        <v>92</v>
      </c>
      <c r="E31" s="41" t="s">
        <v>91</v>
      </c>
    </row>
    <row r="32" spans="1:5" ht="14.25" customHeight="1">
      <c r="A32" s="47"/>
      <c r="B32" s="49" t="s">
        <v>93</v>
      </c>
      <c r="C32" s="49"/>
      <c r="D32" s="39" t="s">
        <v>94</v>
      </c>
      <c r="E32" s="41" t="s">
        <v>95</v>
      </c>
    </row>
    <row r="33" spans="1:5" ht="14.25" customHeight="1">
      <c r="A33" s="47"/>
      <c r="B33" s="49" t="s">
        <v>102</v>
      </c>
      <c r="C33" s="49"/>
      <c r="D33" s="39" t="s">
        <v>97</v>
      </c>
      <c r="E33" s="41" t="s">
        <v>91</v>
      </c>
    </row>
    <row r="34" spans="1:5" ht="15" customHeight="1">
      <c r="A34" s="47"/>
      <c r="B34" s="50" t="s">
        <v>103</v>
      </c>
      <c r="C34" s="50"/>
      <c r="D34" s="42" t="s">
        <v>99</v>
      </c>
      <c r="E34" s="43" t="s">
        <v>95</v>
      </c>
    </row>
    <row r="35" spans="1:5" ht="15" customHeight="1">
      <c r="A35" s="35" t="s">
        <v>105</v>
      </c>
      <c r="B35" s="51" t="s">
        <v>84</v>
      </c>
      <c r="C35" s="51"/>
      <c r="D35" s="52" t="e">
        <f>GETPIVOTDATA("Liczba z nr PPG",#REF!,"Grupa taryfowa
OSD","BZ-3.6")</f>
        <v>#REF!</v>
      </c>
      <c r="E35" s="52"/>
    </row>
    <row r="36" spans="1:5" ht="14.25" customHeight="1">
      <c r="A36" s="44"/>
      <c r="B36" s="49" t="s">
        <v>86</v>
      </c>
      <c r="C36" s="49"/>
      <c r="D36" s="46" t="e">
        <f>GETPIVOTDATA("Suma z PROPOZYCJA 
PROGNOZY W OKRESIE TRWANIA UMOWY
[kWh]",#REF!,"Grupa taryfowa
OSD","BZ-3.6")</f>
        <v>#REF!</v>
      </c>
      <c r="E36" s="46"/>
    </row>
    <row r="37" spans="1:5">
      <c r="A37" s="44"/>
      <c r="B37" s="36" t="e">
        <f>GETPIVOTDATA("Liczba z nr PPG",#REF!,"Grupa taryfowa
OSD","BZ-3.6","AKCYZA","ZW")</f>
        <v>#REF!</v>
      </c>
      <c r="C37" s="37" t="s">
        <v>87</v>
      </c>
      <c r="D37" s="46" t="e">
        <f>GETPIVOTDATA("Suma z PROPOZYCJA 
PROGNOZY W OKRESIE TRWANIA UMOWY
[kWh]",#REF!,"Grupa taryfowa
OSD","BZ-3.6","AKCYZA","ZW")</f>
        <v>#REF!</v>
      </c>
      <c r="E37" s="46"/>
    </row>
    <row r="38" spans="1:5">
      <c r="A38" s="44"/>
      <c r="B38" s="36"/>
      <c r="C38" s="38" t="s">
        <v>88</v>
      </c>
      <c r="D38" s="46"/>
      <c r="E38" s="46"/>
    </row>
    <row r="39" spans="1:5" ht="15" customHeight="1">
      <c r="A39" s="47" t="s">
        <v>85</v>
      </c>
      <c r="B39" s="48" t="s">
        <v>89</v>
      </c>
      <c r="C39" s="37" t="s">
        <v>87</v>
      </c>
      <c r="D39" s="39" t="s">
        <v>90</v>
      </c>
      <c r="E39" s="40" t="s">
        <v>91</v>
      </c>
    </row>
    <row r="40" spans="1:5">
      <c r="A40" s="47"/>
      <c r="B40" s="48"/>
      <c r="C40" s="37" t="s">
        <v>88</v>
      </c>
      <c r="D40" s="39" t="s">
        <v>101</v>
      </c>
      <c r="E40" s="41" t="s">
        <v>91</v>
      </c>
    </row>
    <row r="41" spans="1:5" ht="14.25" customHeight="1">
      <c r="A41" s="47"/>
      <c r="B41" s="49" t="s">
        <v>93</v>
      </c>
      <c r="C41" s="49"/>
      <c r="D41" s="39" t="s">
        <v>94</v>
      </c>
      <c r="E41" s="41" t="s">
        <v>95</v>
      </c>
    </row>
    <row r="42" spans="1:5" ht="14.25" customHeight="1">
      <c r="A42" s="47"/>
      <c r="B42" s="49" t="s">
        <v>102</v>
      </c>
      <c r="C42" s="49"/>
      <c r="D42" s="39" t="s">
        <v>97</v>
      </c>
      <c r="E42" s="41" t="s">
        <v>91</v>
      </c>
    </row>
    <row r="43" spans="1:5" ht="15" customHeight="1">
      <c r="A43" s="47"/>
      <c r="B43" s="50" t="s">
        <v>103</v>
      </c>
      <c r="C43" s="50"/>
      <c r="D43" s="42" t="s">
        <v>99</v>
      </c>
      <c r="E43" s="43" t="s">
        <v>95</v>
      </c>
    </row>
    <row r="44" spans="1:5" ht="15" customHeight="1">
      <c r="A44" s="35" t="s">
        <v>106</v>
      </c>
      <c r="B44" s="51" t="s">
        <v>84</v>
      </c>
      <c r="C44" s="51"/>
      <c r="D44" s="52" t="e">
        <f>GETPIVOTDATA("Liczba z nr PPG",#REF!,"Grupa taryfowa
OSD","BW-4")</f>
        <v>#REF!</v>
      </c>
      <c r="E44" s="52"/>
    </row>
    <row r="45" spans="1:5" ht="14.25" customHeight="1">
      <c r="A45" s="44"/>
      <c r="B45" s="49" t="s">
        <v>86</v>
      </c>
      <c r="C45" s="49"/>
      <c r="D45" s="46" t="e">
        <f>GETPIVOTDATA("Suma z PROPOZYCJA 
PROGNOZY W OKRESIE TRWANIA UMOWY
[kWh]",#REF!,"Grupa taryfowa
OSD","BW-4")</f>
        <v>#REF!</v>
      </c>
      <c r="E45" s="46"/>
    </row>
    <row r="46" spans="1:5">
      <c r="A46" s="44"/>
      <c r="B46" s="36" t="e">
        <f>GETPIVOTDATA("Liczba z nr PPG",#REF!,"Grupa taryfowa
OSD","BW-4","AKCYZA","ZW")</f>
        <v>#REF!</v>
      </c>
      <c r="C46" s="37" t="s">
        <v>87</v>
      </c>
      <c r="D46" s="46" t="e">
        <f>GETPIVOTDATA("Suma z PROPOZYCJA 
PROGNOZY W OKRESIE TRWANIA UMOWY
[kWh]",#REF!,"Grupa taryfowa
OSD","BW-4","AKCYZA","TAK")</f>
        <v>#REF!</v>
      </c>
      <c r="E46" s="46"/>
    </row>
    <row r="47" spans="1:5">
      <c r="A47" s="44"/>
      <c r="B47" s="36" t="e">
        <f>GETPIVOTDATA("Liczba z nr PPG",#REF!,"Grupa taryfowa
OSD","BW-4","AKCYZA","TAK")</f>
        <v>#REF!</v>
      </c>
      <c r="C47" s="38" t="s">
        <v>88</v>
      </c>
      <c r="D47" s="46" t="e">
        <f>GETPIVOTDATA("Suma z PROPOZYCJA 
PROGNOZY W OKRESIE TRWANIA UMOWY
[kWh]",#REF!,"Grupa taryfowa
OSD","BW-4","AKCYZA","ZW")</f>
        <v>#REF!</v>
      </c>
      <c r="E47" s="46"/>
    </row>
    <row r="48" spans="1:5" ht="15" customHeight="1">
      <c r="A48" s="47" t="s">
        <v>85</v>
      </c>
      <c r="B48" s="48" t="s">
        <v>89</v>
      </c>
      <c r="C48" s="37" t="s">
        <v>87</v>
      </c>
      <c r="D48" s="39" t="s">
        <v>90</v>
      </c>
      <c r="E48" s="40" t="s">
        <v>91</v>
      </c>
    </row>
    <row r="49" spans="1:5">
      <c r="A49" s="47"/>
      <c r="B49" s="48"/>
      <c r="C49" s="38" t="s">
        <v>88</v>
      </c>
      <c r="D49" s="39" t="s">
        <v>92</v>
      </c>
      <c r="E49" s="41" t="s">
        <v>91</v>
      </c>
    </row>
    <row r="50" spans="1:5" ht="14.25" customHeight="1">
      <c r="A50" s="47"/>
      <c r="B50" s="49" t="s">
        <v>93</v>
      </c>
      <c r="C50" s="49"/>
      <c r="D50" s="39" t="s">
        <v>94</v>
      </c>
      <c r="E50" s="41" t="s">
        <v>95</v>
      </c>
    </row>
    <row r="51" spans="1:5" ht="14.25" customHeight="1">
      <c r="A51" s="47"/>
      <c r="B51" s="49" t="s">
        <v>102</v>
      </c>
      <c r="C51" s="49"/>
      <c r="D51" s="39" t="s">
        <v>97</v>
      </c>
      <c r="E51" s="41" t="s">
        <v>91</v>
      </c>
    </row>
    <row r="52" spans="1:5" ht="15" customHeight="1">
      <c r="A52" s="47"/>
      <c r="B52" s="50" t="s">
        <v>103</v>
      </c>
      <c r="C52" s="50"/>
      <c r="D52" s="42" t="s">
        <v>99</v>
      </c>
      <c r="E52" s="43" t="s">
        <v>95</v>
      </c>
    </row>
    <row r="53" spans="1:5" ht="15" customHeight="1">
      <c r="A53" s="35" t="s">
        <v>68</v>
      </c>
      <c r="B53" s="51" t="s">
        <v>84</v>
      </c>
      <c r="C53" s="51"/>
      <c r="D53" s="52" t="e">
        <f>GETPIVOTDATA("Liczba z nr PPG",#REF!,"Grupa taryfowa
OSD","BW-5")</f>
        <v>#REF!</v>
      </c>
      <c r="E53" s="52"/>
    </row>
    <row r="54" spans="1:5" ht="14.25" customHeight="1">
      <c r="A54" s="44"/>
      <c r="B54" s="49" t="s">
        <v>86</v>
      </c>
      <c r="C54" s="49"/>
      <c r="D54" s="46" t="e">
        <f>GETPIVOTDATA("Suma z PROPOZYCJA 
PROGNOZY W OKRESIE TRWANIA UMOWY
[kWh]",#REF!,"Grupa taryfowa
OSD","BW-5")</f>
        <v>#REF!</v>
      </c>
      <c r="E54" s="46"/>
    </row>
    <row r="55" spans="1:5">
      <c r="A55" s="44"/>
      <c r="B55" s="36" t="e">
        <f>GETPIVOTDATA("Liczba z nr PPG",#REF!,"Grupa taryfowa
OSD","BW-5","AKCYZA","ZW")</f>
        <v>#REF!</v>
      </c>
      <c r="C55" s="37" t="s">
        <v>87</v>
      </c>
      <c r="D55" s="46" t="e">
        <f>GETPIVOTDATA("Suma z PROPOZYCJA 
PROGNOZY W OKRESIE TRWANIA UMOWY
[kWh]",#REF!,"Grupa taryfowa
OSD","BW-5","AKCYZA","TAK")</f>
        <v>#REF!</v>
      </c>
      <c r="E55" s="46"/>
    </row>
    <row r="56" spans="1:5">
      <c r="A56" s="44"/>
      <c r="B56" s="36" t="e">
        <f>GETPIVOTDATA("Liczba z nr PPG",#REF!,"Grupa taryfowa
OSD","BW-5","AKCYZA","TAK")</f>
        <v>#REF!</v>
      </c>
      <c r="C56" s="38" t="s">
        <v>88</v>
      </c>
      <c r="D56" s="46" t="e">
        <f>GETPIVOTDATA("Suma z PROPOZYCJA 
PROGNOZY W OKRESIE TRWANIA UMOWY
[kWh]",#REF!,"Grupa taryfowa
OSD","BW-5","AKCYZA","ZW")</f>
        <v>#REF!</v>
      </c>
      <c r="E56" s="46"/>
    </row>
    <row r="57" spans="1:5" ht="15" customHeight="1">
      <c r="A57" s="47" t="s">
        <v>85</v>
      </c>
      <c r="B57" s="48" t="s">
        <v>89</v>
      </c>
      <c r="C57" s="37" t="s">
        <v>87</v>
      </c>
      <c r="D57" s="39" t="s">
        <v>90</v>
      </c>
      <c r="E57" s="40" t="s">
        <v>91</v>
      </c>
    </row>
    <row r="58" spans="1:5">
      <c r="A58" s="47"/>
      <c r="B58" s="48"/>
      <c r="C58" s="38" t="s">
        <v>88</v>
      </c>
      <c r="D58" s="39" t="s">
        <v>92</v>
      </c>
      <c r="E58" s="41" t="s">
        <v>91</v>
      </c>
    </row>
    <row r="59" spans="1:5" ht="14.25" customHeight="1">
      <c r="A59" s="47"/>
      <c r="B59" s="49" t="s">
        <v>93</v>
      </c>
      <c r="C59" s="49"/>
      <c r="D59" s="39" t="s">
        <v>94</v>
      </c>
      <c r="E59" s="41" t="s">
        <v>95</v>
      </c>
    </row>
    <row r="60" spans="1:5" ht="14.25" customHeight="1">
      <c r="A60" s="47"/>
      <c r="B60" s="49" t="s">
        <v>102</v>
      </c>
      <c r="C60" s="49"/>
      <c r="D60" s="39" t="s">
        <v>97</v>
      </c>
      <c r="E60" s="41" t="s">
        <v>91</v>
      </c>
    </row>
    <row r="61" spans="1:5" ht="15" customHeight="1">
      <c r="A61" s="47"/>
      <c r="B61" s="50" t="s">
        <v>103</v>
      </c>
      <c r="C61" s="50"/>
      <c r="D61" s="42" t="s">
        <v>99</v>
      </c>
      <c r="E61" s="43" t="s">
        <v>95</v>
      </c>
    </row>
    <row r="62" spans="1:5" ht="15" customHeight="1">
      <c r="A62" s="35" t="s">
        <v>56</v>
      </c>
      <c r="B62" s="51" t="s">
        <v>84</v>
      </c>
      <c r="C62" s="51"/>
      <c r="D62" s="52" t="e">
        <f>GETPIVOTDATA("Liczba z nr PPG",#REF!,"Grupa taryfowa
OSD","BW-6")</f>
        <v>#REF!</v>
      </c>
      <c r="E62" s="52"/>
    </row>
    <row r="63" spans="1:5" ht="14.25" customHeight="1">
      <c r="A63" s="44"/>
      <c r="B63" s="49" t="s">
        <v>86</v>
      </c>
      <c r="C63" s="49"/>
      <c r="D63" s="46" t="e">
        <f>GETPIVOTDATA("Suma z PROPOZYCJA 
PROGNOZY W OKRESIE TRWANIA UMOWY
[kWh]",#REF!,"Grupa taryfowa
OSD","BW-6")</f>
        <v>#REF!</v>
      </c>
      <c r="E63" s="46"/>
    </row>
    <row r="64" spans="1:5">
      <c r="A64" s="44"/>
      <c r="B64" s="36" t="e">
        <f>GETPIVOTDATA("Liczba z nr PPG",#REF!,"Grupa taryfowa
OSD","BW-6","AKCYZA","ZW")</f>
        <v>#REF!</v>
      </c>
      <c r="C64" s="37" t="s">
        <v>87</v>
      </c>
      <c r="D64" s="46" t="e">
        <f>GETPIVOTDATA("Suma z PROPOZYCJA 
PROGNOZY W OKRESIE TRWANIA UMOWY
[kWh]",#REF!,"Grupa taryfowa
OSD","BW-6","AKCYZA","TAK")</f>
        <v>#REF!</v>
      </c>
      <c r="E64" s="46"/>
    </row>
    <row r="65" spans="1:5">
      <c r="A65" s="44"/>
      <c r="B65" s="36" t="e">
        <f>GETPIVOTDATA("Liczba z nr PPG",#REF!,"Grupa taryfowa
OSD","BW-6","AKCYZA","TAK")</f>
        <v>#REF!</v>
      </c>
      <c r="C65" s="38" t="s">
        <v>88</v>
      </c>
      <c r="D65" s="46" t="e">
        <f>GETPIVOTDATA("Suma z PROPOZYCJA 
PROGNOZY W OKRESIE TRWANIA UMOWY
[kWh]",#REF!,"Grupa taryfowa
OSD","BW-6","AKCYZA","ZW")</f>
        <v>#REF!</v>
      </c>
      <c r="E65" s="46"/>
    </row>
    <row r="66" spans="1:5" ht="15" customHeight="1">
      <c r="A66" s="47" t="s">
        <v>85</v>
      </c>
      <c r="B66" s="48" t="s">
        <v>89</v>
      </c>
      <c r="C66" s="37" t="s">
        <v>87</v>
      </c>
      <c r="D66" s="39" t="s">
        <v>90</v>
      </c>
      <c r="E66" s="40" t="s">
        <v>91</v>
      </c>
    </row>
    <row r="67" spans="1:5">
      <c r="A67" s="47"/>
      <c r="B67" s="48"/>
      <c r="C67" s="38" t="s">
        <v>88</v>
      </c>
      <c r="D67" s="39" t="s">
        <v>92</v>
      </c>
      <c r="E67" s="41" t="s">
        <v>91</v>
      </c>
    </row>
    <row r="68" spans="1:5" ht="14.25" customHeight="1">
      <c r="A68" s="47"/>
      <c r="B68" s="49" t="s">
        <v>93</v>
      </c>
      <c r="C68" s="49"/>
      <c r="D68" s="39" t="s">
        <v>94</v>
      </c>
      <c r="E68" s="41" t="s">
        <v>95</v>
      </c>
    </row>
    <row r="69" spans="1:5" ht="14.25" customHeight="1">
      <c r="A69" s="47"/>
      <c r="B69" s="49" t="s">
        <v>102</v>
      </c>
      <c r="C69" s="49"/>
      <c r="D69" s="39" t="s">
        <v>97</v>
      </c>
      <c r="E69" s="41" t="s">
        <v>91</v>
      </c>
    </row>
    <row r="70" spans="1:5" ht="15" customHeight="1">
      <c r="A70" s="47"/>
      <c r="B70" s="50" t="s">
        <v>103</v>
      </c>
      <c r="C70" s="50"/>
      <c r="D70" s="42" t="s">
        <v>99</v>
      </c>
      <c r="E70" s="43" t="s">
        <v>95</v>
      </c>
    </row>
    <row r="73" spans="1:5">
      <c r="C73" s="27" t="s">
        <v>107</v>
      </c>
      <c r="D73" s="45" t="e">
        <f>SUM(D62,D53,D44,D35,D26,D17,D8)</f>
        <v>#REF!</v>
      </c>
    </row>
    <row r="74" spans="1:5">
      <c r="C74" s="27" t="s">
        <v>108</v>
      </c>
      <c r="D74" s="45" t="e">
        <f>SUM(D63,D54,D45,D36,D27,D18,D9)</f>
        <v>#REF!</v>
      </c>
    </row>
  </sheetData>
  <mergeCells count="82">
    <mergeCell ref="A3:E3"/>
    <mergeCell ref="A6:C6"/>
    <mergeCell ref="D6:E6"/>
    <mergeCell ref="A7:C7"/>
    <mergeCell ref="D7:E7"/>
    <mergeCell ref="B8:C8"/>
    <mergeCell ref="D8:E8"/>
    <mergeCell ref="A9:A16"/>
    <mergeCell ref="B9:C9"/>
    <mergeCell ref="D9:E9"/>
    <mergeCell ref="D10:E10"/>
    <mergeCell ref="D11:E11"/>
    <mergeCell ref="B12:B13"/>
    <mergeCell ref="B14:C14"/>
    <mergeCell ref="B15:C15"/>
    <mergeCell ref="B16:C16"/>
    <mergeCell ref="B17:C17"/>
    <mergeCell ref="D17:E17"/>
    <mergeCell ref="B18:C18"/>
    <mergeCell ref="D18:E18"/>
    <mergeCell ref="D19:E19"/>
    <mergeCell ref="D20:E20"/>
    <mergeCell ref="A21:A25"/>
    <mergeCell ref="B21:B22"/>
    <mergeCell ref="B23:C23"/>
    <mergeCell ref="B24:C24"/>
    <mergeCell ref="B25:C25"/>
    <mergeCell ref="B26:C26"/>
    <mergeCell ref="D26:E26"/>
    <mergeCell ref="B27:C27"/>
    <mergeCell ref="D27:E27"/>
    <mergeCell ref="D28:E28"/>
    <mergeCell ref="D29:E29"/>
    <mergeCell ref="A30:A34"/>
    <mergeCell ref="B30:B31"/>
    <mergeCell ref="B32:C32"/>
    <mergeCell ref="B33:C33"/>
    <mergeCell ref="B34:C34"/>
    <mergeCell ref="B35:C35"/>
    <mergeCell ref="D35:E35"/>
    <mergeCell ref="B36:C36"/>
    <mergeCell ref="D36:E36"/>
    <mergeCell ref="D37:E37"/>
    <mergeCell ref="D38:E38"/>
    <mergeCell ref="A39:A43"/>
    <mergeCell ref="B39:B40"/>
    <mergeCell ref="B41:C41"/>
    <mergeCell ref="B42:C42"/>
    <mergeCell ref="B43:C43"/>
    <mergeCell ref="B44:C44"/>
    <mergeCell ref="D44:E44"/>
    <mergeCell ref="B45:C45"/>
    <mergeCell ref="D45:E45"/>
    <mergeCell ref="D46:E46"/>
    <mergeCell ref="D47:E47"/>
    <mergeCell ref="A48:A52"/>
    <mergeCell ref="B48:B49"/>
    <mergeCell ref="B50:C50"/>
    <mergeCell ref="B51:C51"/>
    <mergeCell ref="B52:C52"/>
    <mergeCell ref="B53:C53"/>
    <mergeCell ref="D53:E53"/>
    <mergeCell ref="B54:C54"/>
    <mergeCell ref="D54:E54"/>
    <mergeCell ref="D55:E55"/>
    <mergeCell ref="D56:E56"/>
    <mergeCell ref="A57:A61"/>
    <mergeCell ref="B57:B58"/>
    <mergeCell ref="B59:C59"/>
    <mergeCell ref="B60:C60"/>
    <mergeCell ref="B61:C61"/>
    <mergeCell ref="B62:C62"/>
    <mergeCell ref="D62:E62"/>
    <mergeCell ref="B63:C63"/>
    <mergeCell ref="D63:E63"/>
    <mergeCell ref="D64:E64"/>
    <mergeCell ref="D65:E65"/>
    <mergeCell ref="A66:A70"/>
    <mergeCell ref="B66:B67"/>
    <mergeCell ref="B68:C68"/>
    <mergeCell ref="B69:C69"/>
    <mergeCell ref="B70:C70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zoomScaleNormal="100" workbookViewId="0">
      <selection activeCell="C29" sqref="C29"/>
    </sheetView>
  </sheetViews>
  <sheetFormatPr defaultColWidth="8.7109375" defaultRowHeight="15"/>
  <cols>
    <col min="1" max="1" width="12.7109375" customWidth="1"/>
    <col min="2" max="2" width="25.7109375" customWidth="1"/>
    <col min="3" max="3" width="106.85546875" customWidth="1"/>
  </cols>
  <sheetData>
    <row r="1" spans="1:3">
      <c r="A1" t="s">
        <v>1</v>
      </c>
    </row>
    <row r="2" spans="1:3">
      <c r="A2" t="s">
        <v>109</v>
      </c>
      <c r="B2" t="s">
        <v>110</v>
      </c>
      <c r="C2" t="str">
        <f t="shared" ref="C2:C28" si="0">A2&amp;": "&amp;B2</f>
        <v>Zadanie nr  1: Agencja Rozwoju Regionalnego "ARLEG" S.A.</v>
      </c>
    </row>
    <row r="3" spans="1:3">
      <c r="A3" t="s">
        <v>111</v>
      </c>
      <c r="B3" t="s">
        <v>112</v>
      </c>
      <c r="C3" t="str">
        <f t="shared" si="0"/>
        <v>Zadanie nr  2: Dolnośląska Służba Dróg i Kolei we Wrocławiu</v>
      </c>
    </row>
    <row r="4" spans="1:3">
      <c r="A4" t="s">
        <v>113</v>
      </c>
      <c r="B4" t="s">
        <v>114</v>
      </c>
      <c r="C4" t="str">
        <f t="shared" si="0"/>
        <v>Zadanie nr  3: Dolnośląski Ośrodek Doskonalenia Nauczycieli we Wrocławiu</v>
      </c>
    </row>
    <row r="5" spans="1:3">
      <c r="A5" t="s">
        <v>115</v>
      </c>
      <c r="B5" t="s">
        <v>116</v>
      </c>
      <c r="C5" t="str">
        <f t="shared" si="0"/>
        <v>Zadanie nr  4: Dolnośląski Ośrodek Ruchu Drogowego</v>
      </c>
    </row>
    <row r="6" spans="1:3">
      <c r="A6" t="s">
        <v>117</v>
      </c>
      <c r="B6" t="s">
        <v>118</v>
      </c>
      <c r="C6" t="str">
        <f t="shared" si="0"/>
        <v>Zadanie nr  5: Dolnośląski Specjalny Ośrodek Szkolno-Wychowawczy nr 12 Dla Uczniów Niesłyszących i Słabosłyszących oraz z innymi niepełnosprawnościami im. Marii Grzegorzewskiej we Wrocławiu</v>
      </c>
    </row>
    <row r="7" spans="1:3">
      <c r="A7" t="s">
        <v>119</v>
      </c>
      <c r="B7" t="s">
        <v>120</v>
      </c>
      <c r="C7" t="str">
        <f t="shared" si="0"/>
        <v>Zadanie nr  6: Dolnośląski Wojewódzki Ośrodek Medycyny Pracy</v>
      </c>
    </row>
    <row r="8" spans="1:3">
      <c r="A8" t="s">
        <v>121</v>
      </c>
      <c r="B8" t="s">
        <v>122</v>
      </c>
      <c r="C8" t="str">
        <f t="shared" si="0"/>
        <v>Zadanie nr  7: Dolnośląski Zespół Szkół w Jaworze</v>
      </c>
    </row>
    <row r="9" spans="1:3">
      <c r="A9" t="s">
        <v>123</v>
      </c>
      <c r="B9" t="s">
        <v>124</v>
      </c>
      <c r="C9" t="str">
        <f t="shared" si="0"/>
        <v>Zadanie nr  8: Dolnośląskie Centrum Kształcenia Ustawicznego i Językowego Kadr w Legnicy</v>
      </c>
    </row>
    <row r="10" spans="1:3">
      <c r="A10" t="s">
        <v>125</v>
      </c>
      <c r="B10" t="s">
        <v>126</v>
      </c>
      <c r="C10" t="str">
        <f t="shared" si="0"/>
        <v>Zadanie nr  9: Dolnośląskie Centrum Rehabilitacji i Ortopedii Sp. z o.o.</v>
      </c>
    </row>
    <row r="11" spans="1:3">
      <c r="A11" t="s">
        <v>127</v>
      </c>
      <c r="B11" t="s">
        <v>128</v>
      </c>
      <c r="C11" t="str">
        <f t="shared" si="0"/>
        <v>Zadanie nr 10: Filharmonia Dolnośląska w Jeleniej Górze</v>
      </c>
    </row>
    <row r="12" spans="1:3">
      <c r="A12" t="s">
        <v>129</v>
      </c>
      <c r="B12" t="s">
        <v>130</v>
      </c>
      <c r="C12" t="str">
        <f t="shared" si="0"/>
        <v>Zadanie nr 11: Filharmonia Sudecka im. Józefa Wiłkomirskiego w Wałbrzychu</v>
      </c>
    </row>
    <row r="13" spans="1:3">
      <c r="A13" t="s">
        <v>131</v>
      </c>
      <c r="B13" t="s">
        <v>132</v>
      </c>
      <c r="C13" t="str">
        <f t="shared" si="0"/>
        <v>Zadanie nr 12: Muzeum Karkonoskie w Jeleniej Górze</v>
      </c>
    </row>
    <row r="14" spans="1:3">
      <c r="A14" t="s">
        <v>133</v>
      </c>
      <c r="B14" t="s">
        <v>134</v>
      </c>
      <c r="C14" t="str">
        <f t="shared" si="0"/>
        <v>Zadanie nr 13: Muzeum Sportu i Turystyki w Karpaczu</v>
      </c>
    </row>
    <row r="15" spans="1:3">
      <c r="A15" t="s">
        <v>135</v>
      </c>
      <c r="B15" t="s">
        <v>136</v>
      </c>
      <c r="C15" t="str">
        <f t="shared" si="0"/>
        <v>Zadanie nr 14: Nowy Szpital Wojewódzki Sp. z o.o.</v>
      </c>
    </row>
    <row r="16" spans="1:3">
      <c r="A16" t="s">
        <v>137</v>
      </c>
      <c r="B16" t="s">
        <v>138</v>
      </c>
      <c r="C16" t="str">
        <f t="shared" si="0"/>
        <v>Zadanie nr 15: Pogotowie Ratunkowe w Jeleniej Górze</v>
      </c>
    </row>
    <row r="17" spans="1:3">
      <c r="A17" t="s">
        <v>139</v>
      </c>
      <c r="B17" t="s">
        <v>140</v>
      </c>
      <c r="C17" t="str">
        <f t="shared" si="0"/>
        <v>Zadanie nr 16: Pogotowie Ratunkowe w Legnicy</v>
      </c>
    </row>
    <row r="18" spans="1:3">
      <c r="A18" t="s">
        <v>141</v>
      </c>
      <c r="B18" t="s">
        <v>142</v>
      </c>
      <c r="C18" t="str">
        <f t="shared" si="0"/>
        <v>Zadanie nr 17: Pogotowie Ratunkowe we Wrocławiu</v>
      </c>
    </row>
    <row r="19" spans="1:3">
      <c r="A19" t="s">
        <v>143</v>
      </c>
      <c r="B19" t="s">
        <v>144</v>
      </c>
      <c r="C19" t="str">
        <f t="shared" si="0"/>
        <v>Zadanie nr 18: Sanatoria Dolnośląskie Sp. z o.o.</v>
      </c>
    </row>
    <row r="20" spans="1:3">
      <c r="A20" t="s">
        <v>145</v>
      </c>
      <c r="B20" t="s">
        <v>146</v>
      </c>
      <c r="C20" t="str">
        <f t="shared" si="0"/>
        <v>Zadanie nr 19: Specjalistyczny Szpital Ginekologiczno - Położniczy im. E. Biernackiego w Wałbrzychu</v>
      </c>
    </row>
    <row r="21" spans="1:3">
      <c r="A21" t="s">
        <v>147</v>
      </c>
      <c r="B21" t="s">
        <v>148</v>
      </c>
      <c r="C21" t="str">
        <f t="shared" si="0"/>
        <v>Zadanie nr 20: Specjalistyczny Szpital im. dra A. Sokołowskiego w Wałbrzychu</v>
      </c>
    </row>
    <row r="22" spans="1:3">
      <c r="A22" t="s">
        <v>149</v>
      </c>
      <c r="B22" t="s">
        <v>150</v>
      </c>
      <c r="C22" t="str">
        <f t="shared" si="0"/>
        <v>Zadanie nr 21: Stawy Milickie S.A.</v>
      </c>
    </row>
    <row r="23" spans="1:3">
      <c r="A23" t="s">
        <v>151</v>
      </c>
      <c r="B23" t="s">
        <v>152</v>
      </c>
      <c r="C23" t="str">
        <f t="shared" si="0"/>
        <v>Zadanie nr 22: Uzdrowisko Lądek - Długopole S.A.</v>
      </c>
    </row>
    <row r="24" spans="1:3">
      <c r="A24" t="s">
        <v>153</v>
      </c>
      <c r="B24" t="s">
        <v>154</v>
      </c>
      <c r="C24" t="str">
        <f t="shared" si="0"/>
        <v>Zadanie nr 23: Uzdrowisko Szczawno - Jedlina S.A.</v>
      </c>
    </row>
    <row r="25" spans="1:3">
      <c r="A25" t="s">
        <v>155</v>
      </c>
      <c r="B25" t="s">
        <v>156</v>
      </c>
      <c r="C25" t="str">
        <f t="shared" si="0"/>
        <v>Zadanie nr 24: Wojewódzki Szpital dla Nerwowo i Psychicznie Chorych w Bolesławcu</v>
      </c>
    </row>
    <row r="26" spans="1:3">
      <c r="A26" t="s">
        <v>157</v>
      </c>
      <c r="B26" t="s">
        <v>158</v>
      </c>
      <c r="C26" t="str">
        <f t="shared" si="0"/>
        <v>Zadanie nr 25: Wojewódzki Szpital Psychiatryczny w Złotoryi</v>
      </c>
    </row>
    <row r="27" spans="1:3">
      <c r="A27" t="s">
        <v>159</v>
      </c>
      <c r="B27" t="s">
        <v>50</v>
      </c>
      <c r="C27" t="str">
        <f t="shared" si="0"/>
        <v>Zadanie nr 26: Wojewódzkie Centrum Szpitalne Kotliny Jeleniogórskiej</v>
      </c>
    </row>
    <row r="28" spans="1:3">
      <c r="A28" t="s">
        <v>160</v>
      </c>
      <c r="B28" t="s">
        <v>161</v>
      </c>
      <c r="C28" t="str">
        <f t="shared" si="0"/>
        <v>Zadanie nr 27: Wrocławski Teatr Pantomimy im. Henryka Tomaszewskiego we Wrocławiu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OPZ</vt:lpstr>
      <vt:lpstr>Formularz CENOWY_ŁĄCZNIE</vt:lpstr>
      <vt:lpstr>!</vt:lpstr>
      <vt:lpstr>OPZ!Obszar_wydruku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Fidecki</dc:creator>
  <dc:description/>
  <cp:lastModifiedBy>Przemysław Bogdanowicz</cp:lastModifiedBy>
  <cp:revision>2</cp:revision>
  <cp:lastPrinted>2022-08-22T11:09:48Z</cp:lastPrinted>
  <dcterms:created xsi:type="dcterms:W3CDTF">2022-07-07T13:30:29Z</dcterms:created>
  <dcterms:modified xsi:type="dcterms:W3CDTF">2023-11-02T12:29:17Z</dcterms:modified>
  <dc:language>pl-PL</dc:language>
</cp:coreProperties>
</file>