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400" windowHeight="5205"/>
  </bookViews>
  <sheets>
    <sheet name="Formularz cenowy" sheetId="2" r:id="rId1"/>
    <sheet name="Taryfa PSG" sheetId="3" r:id="rId2"/>
  </sheets>
  <definedNames>
    <definedName name="_xlnm._FilterDatabase" localSheetId="0" hidden="1">'Formularz cenowy'!$B$8:$AD$56</definedName>
  </definedNames>
  <calcPr calcId="145621"/>
</workbook>
</file>

<file path=xl/calcChain.xml><?xml version="1.0" encoding="utf-8"?>
<calcChain xmlns="http://schemas.openxmlformats.org/spreadsheetml/2006/main">
  <c r="N75" i="2" l="1"/>
  <c r="F75" i="2"/>
  <c r="N107" i="2"/>
  <c r="F107" i="2"/>
  <c r="X111" i="2" l="1"/>
  <c r="Y111" i="2" s="1"/>
  <c r="V111" i="2"/>
  <c r="U111" i="2"/>
  <c r="N111" i="2"/>
  <c r="W111" i="2" s="1"/>
  <c r="Z111" i="2" s="1"/>
  <c r="F111" i="2"/>
  <c r="X110" i="2"/>
  <c r="Y110" i="2" s="1"/>
  <c r="V110" i="2"/>
  <c r="W110" i="2" s="1"/>
  <c r="U110" i="2"/>
  <c r="N110" i="2"/>
  <c r="F110" i="2"/>
  <c r="Y109" i="2"/>
  <c r="X109" i="2"/>
  <c r="V109" i="2"/>
  <c r="W109" i="2" s="1"/>
  <c r="Z109" i="2" s="1"/>
  <c r="U109" i="2"/>
  <c r="AA109" i="2" s="1"/>
  <c r="AC109" i="2" s="1"/>
  <c r="AD109" i="2" s="1"/>
  <c r="N109" i="2"/>
  <c r="F109" i="2"/>
  <c r="Y108" i="2"/>
  <c r="X108" i="2"/>
  <c r="V108" i="2"/>
  <c r="U108" i="2"/>
  <c r="N108" i="2"/>
  <c r="W108" i="2" s="1"/>
  <c r="Z108" i="2" s="1"/>
  <c r="F108" i="2"/>
  <c r="X107" i="2"/>
  <c r="Y107" i="2" s="1"/>
  <c r="V107" i="2"/>
  <c r="U107" i="2"/>
  <c r="W107" i="2"/>
  <c r="X106" i="2"/>
  <c r="Y106" i="2" s="1"/>
  <c r="W106" i="2"/>
  <c r="Z106" i="2" s="1"/>
  <c r="V106" i="2"/>
  <c r="U106" i="2"/>
  <c r="N106" i="2"/>
  <c r="F106" i="2"/>
  <c r="Y105" i="2"/>
  <c r="X105" i="2"/>
  <c r="V105" i="2"/>
  <c r="W105" i="2" s="1"/>
  <c r="Z105" i="2" s="1"/>
  <c r="U105" i="2"/>
  <c r="AA105" i="2" s="1"/>
  <c r="AC105" i="2" s="1"/>
  <c r="AD105" i="2" s="1"/>
  <c r="N105" i="2"/>
  <c r="F105" i="2"/>
  <c r="X104" i="2"/>
  <c r="Y104" i="2" s="1"/>
  <c r="V104" i="2"/>
  <c r="U104" i="2"/>
  <c r="N104" i="2"/>
  <c r="W104" i="2" s="1"/>
  <c r="Z104" i="2" s="1"/>
  <c r="F104" i="2"/>
  <c r="X103" i="2"/>
  <c r="Y103" i="2" s="1"/>
  <c r="W103" i="2"/>
  <c r="Z103" i="2" s="1"/>
  <c r="V103" i="2"/>
  <c r="U103" i="2"/>
  <c r="N103" i="2"/>
  <c r="F103" i="2"/>
  <c r="X102" i="2"/>
  <c r="Y102" i="2" s="1"/>
  <c r="V102" i="2"/>
  <c r="W102" i="2" s="1"/>
  <c r="Z102" i="2" s="1"/>
  <c r="U102" i="2"/>
  <c r="N102" i="2"/>
  <c r="F102" i="2"/>
  <c r="Y101" i="2"/>
  <c r="X101" i="2"/>
  <c r="V101" i="2"/>
  <c r="W101" i="2" s="1"/>
  <c r="Z101" i="2" s="1"/>
  <c r="U101" i="2"/>
  <c r="AA101" i="2" s="1"/>
  <c r="AC101" i="2" s="1"/>
  <c r="AD101" i="2" s="1"/>
  <c r="N101" i="2"/>
  <c r="F101" i="2"/>
  <c r="Y100" i="2"/>
  <c r="X100" i="2"/>
  <c r="V100" i="2"/>
  <c r="U100" i="2"/>
  <c r="N100" i="2"/>
  <c r="W100" i="2" s="1"/>
  <c r="Z100" i="2" s="1"/>
  <c r="F100" i="2"/>
  <c r="X99" i="2"/>
  <c r="Y99" i="2" s="1"/>
  <c r="V99" i="2"/>
  <c r="U99" i="2"/>
  <c r="N99" i="2"/>
  <c r="W99" i="2" s="1"/>
  <c r="F99" i="2"/>
  <c r="X98" i="2"/>
  <c r="Y98" i="2" s="1"/>
  <c r="W98" i="2"/>
  <c r="Z98" i="2" s="1"/>
  <c r="V98" i="2"/>
  <c r="U98" i="2"/>
  <c r="N98" i="2"/>
  <c r="F98" i="2"/>
  <c r="Y97" i="2"/>
  <c r="X97" i="2"/>
  <c r="V97" i="2"/>
  <c r="W97" i="2" s="1"/>
  <c r="Z97" i="2" s="1"/>
  <c r="U97" i="2"/>
  <c r="AA97" i="2" s="1"/>
  <c r="AC97" i="2" s="1"/>
  <c r="AD97" i="2" s="1"/>
  <c r="N97" i="2"/>
  <c r="F97" i="2"/>
  <c r="X96" i="2"/>
  <c r="Y96" i="2" s="1"/>
  <c r="V96" i="2"/>
  <c r="U96" i="2"/>
  <c r="N96" i="2"/>
  <c r="W96" i="2" s="1"/>
  <c r="F96" i="2"/>
  <c r="X95" i="2"/>
  <c r="Y95" i="2" s="1"/>
  <c r="W95" i="2"/>
  <c r="Z95" i="2" s="1"/>
  <c r="V95" i="2"/>
  <c r="U95" i="2"/>
  <c r="N95" i="2"/>
  <c r="F95" i="2"/>
  <c r="X94" i="2"/>
  <c r="Y94" i="2" s="1"/>
  <c r="V94" i="2"/>
  <c r="W94" i="2" s="1"/>
  <c r="Z94" i="2" s="1"/>
  <c r="U94" i="2"/>
  <c r="N94" i="2"/>
  <c r="F94" i="2"/>
  <c r="Y93" i="2"/>
  <c r="X93" i="2"/>
  <c r="V93" i="2"/>
  <c r="W93" i="2" s="1"/>
  <c r="Z93" i="2" s="1"/>
  <c r="U93" i="2"/>
  <c r="N93" i="2"/>
  <c r="F93" i="2"/>
  <c r="Y92" i="2"/>
  <c r="X92" i="2"/>
  <c r="V92" i="2"/>
  <c r="U92" i="2"/>
  <c r="AA92" i="2" s="1"/>
  <c r="AC92" i="2" s="1"/>
  <c r="AD92" i="2" s="1"/>
  <c r="N92" i="2"/>
  <c r="W92" i="2" s="1"/>
  <c r="Z92" i="2" s="1"/>
  <c r="F92" i="2"/>
  <c r="X91" i="2"/>
  <c r="Y91" i="2" s="1"/>
  <c r="V91" i="2"/>
  <c r="U91" i="2"/>
  <c r="N91" i="2"/>
  <c r="W91" i="2" s="1"/>
  <c r="Z91" i="2" s="1"/>
  <c r="F91" i="2"/>
  <c r="X90" i="2"/>
  <c r="Y90" i="2" s="1"/>
  <c r="W90" i="2"/>
  <c r="V90" i="2"/>
  <c r="U90" i="2"/>
  <c r="N90" i="2"/>
  <c r="F90" i="2"/>
  <c r="Y89" i="2"/>
  <c r="X89" i="2"/>
  <c r="V89" i="2"/>
  <c r="W89" i="2" s="1"/>
  <c r="Z89" i="2" s="1"/>
  <c r="U89" i="2"/>
  <c r="N89" i="2"/>
  <c r="F89" i="2"/>
  <c r="X88" i="2"/>
  <c r="Y88" i="2" s="1"/>
  <c r="V88" i="2"/>
  <c r="U88" i="2"/>
  <c r="N88" i="2"/>
  <c r="W88" i="2" s="1"/>
  <c r="Z88" i="2" s="1"/>
  <c r="F88" i="2"/>
  <c r="X87" i="2"/>
  <c r="Y87" i="2" s="1"/>
  <c r="W87" i="2"/>
  <c r="V87" i="2"/>
  <c r="U87" i="2"/>
  <c r="N87" i="2"/>
  <c r="F87" i="2"/>
  <c r="X86" i="2"/>
  <c r="Y86" i="2" s="1"/>
  <c r="V86" i="2"/>
  <c r="W86" i="2" s="1"/>
  <c r="Z86" i="2" s="1"/>
  <c r="U86" i="2"/>
  <c r="N86" i="2"/>
  <c r="F86" i="2"/>
  <c r="Y85" i="2"/>
  <c r="X85" i="2"/>
  <c r="V85" i="2"/>
  <c r="W85" i="2" s="1"/>
  <c r="Z85" i="2" s="1"/>
  <c r="U85" i="2"/>
  <c r="AA85" i="2" s="1"/>
  <c r="AC85" i="2" s="1"/>
  <c r="AD85" i="2" s="1"/>
  <c r="N85" i="2"/>
  <c r="F85" i="2"/>
  <c r="X84" i="2"/>
  <c r="Y84" i="2" s="1"/>
  <c r="V84" i="2"/>
  <c r="U84" i="2"/>
  <c r="N84" i="2"/>
  <c r="W84" i="2" s="1"/>
  <c r="Z84" i="2" s="1"/>
  <c r="F84" i="2"/>
  <c r="X83" i="2"/>
  <c r="Y83" i="2" s="1"/>
  <c r="W83" i="2"/>
  <c r="Z83" i="2" s="1"/>
  <c r="V83" i="2"/>
  <c r="U83" i="2"/>
  <c r="N83" i="2"/>
  <c r="F83" i="2"/>
  <c r="X82" i="2"/>
  <c r="Y82" i="2" s="1"/>
  <c r="V82" i="2"/>
  <c r="W82" i="2" s="1"/>
  <c r="Z82" i="2" s="1"/>
  <c r="U82" i="2"/>
  <c r="N82" i="2"/>
  <c r="F82" i="2"/>
  <c r="Y81" i="2"/>
  <c r="X81" i="2"/>
  <c r="V81" i="2"/>
  <c r="W81" i="2" s="1"/>
  <c r="Z81" i="2" s="1"/>
  <c r="U81" i="2"/>
  <c r="AA81" i="2" s="1"/>
  <c r="AC81" i="2" s="1"/>
  <c r="AD81" i="2" s="1"/>
  <c r="N81" i="2"/>
  <c r="F81" i="2"/>
  <c r="X80" i="2"/>
  <c r="Y80" i="2" s="1"/>
  <c r="V80" i="2"/>
  <c r="U80" i="2"/>
  <c r="N80" i="2"/>
  <c r="W80" i="2" s="1"/>
  <c r="F80" i="2"/>
  <c r="X79" i="2"/>
  <c r="Y79" i="2" s="1"/>
  <c r="W79" i="2"/>
  <c r="Z79" i="2" s="1"/>
  <c r="V79" i="2"/>
  <c r="U79" i="2"/>
  <c r="N79" i="2"/>
  <c r="F79" i="2"/>
  <c r="X78" i="2"/>
  <c r="Y78" i="2" s="1"/>
  <c r="V78" i="2"/>
  <c r="W78" i="2" s="1"/>
  <c r="Z78" i="2" s="1"/>
  <c r="U78" i="2"/>
  <c r="N78" i="2"/>
  <c r="F78" i="2"/>
  <c r="Y77" i="2"/>
  <c r="X77" i="2"/>
  <c r="V77" i="2"/>
  <c r="W77" i="2" s="1"/>
  <c r="Z77" i="2" s="1"/>
  <c r="U77" i="2"/>
  <c r="AA77" i="2" s="1"/>
  <c r="AC77" i="2" s="1"/>
  <c r="AD77" i="2" s="1"/>
  <c r="N77" i="2"/>
  <c r="F77" i="2"/>
  <c r="X76" i="2"/>
  <c r="Y76" i="2" s="1"/>
  <c r="V76" i="2"/>
  <c r="U76" i="2"/>
  <c r="N76" i="2"/>
  <c r="W76" i="2" s="1"/>
  <c r="F76" i="2"/>
  <c r="X75" i="2"/>
  <c r="Y75" i="2" s="1"/>
  <c r="W75" i="2"/>
  <c r="V75" i="2"/>
  <c r="U75" i="2"/>
  <c r="X74" i="2"/>
  <c r="Y74" i="2" s="1"/>
  <c r="V74" i="2"/>
  <c r="W74" i="2" s="1"/>
  <c r="U74" i="2"/>
  <c r="N74" i="2"/>
  <c r="F74" i="2"/>
  <c r="Y73" i="2"/>
  <c r="X73" i="2"/>
  <c r="V73" i="2"/>
  <c r="W73" i="2" s="1"/>
  <c r="Z73" i="2" s="1"/>
  <c r="U73" i="2"/>
  <c r="N73" i="2"/>
  <c r="F73" i="2"/>
  <c r="X72" i="2"/>
  <c r="Y72" i="2" s="1"/>
  <c r="V72" i="2"/>
  <c r="U72" i="2"/>
  <c r="N72" i="2"/>
  <c r="W72" i="2" s="1"/>
  <c r="Z72" i="2" s="1"/>
  <c r="F72" i="2"/>
  <c r="X71" i="2"/>
  <c r="Y71" i="2" s="1"/>
  <c r="W71" i="2"/>
  <c r="V71" i="2"/>
  <c r="U71" i="2"/>
  <c r="N71" i="2"/>
  <c r="F71" i="2"/>
  <c r="X70" i="2"/>
  <c r="Y70" i="2" s="1"/>
  <c r="V70" i="2"/>
  <c r="W70" i="2" s="1"/>
  <c r="Z70" i="2" s="1"/>
  <c r="U70" i="2"/>
  <c r="N70" i="2"/>
  <c r="F70" i="2"/>
  <c r="Y69" i="2"/>
  <c r="X69" i="2"/>
  <c r="V69" i="2"/>
  <c r="W69" i="2" s="1"/>
  <c r="Z69" i="2" s="1"/>
  <c r="U69" i="2"/>
  <c r="AA69" i="2" s="1"/>
  <c r="AC69" i="2" s="1"/>
  <c r="AD69" i="2" s="1"/>
  <c r="N69" i="2"/>
  <c r="F69" i="2"/>
  <c r="X68" i="2"/>
  <c r="Y68" i="2" s="1"/>
  <c r="V68" i="2"/>
  <c r="U68" i="2"/>
  <c r="N68" i="2"/>
  <c r="W68" i="2" s="1"/>
  <c r="Z68" i="2" s="1"/>
  <c r="F68" i="2"/>
  <c r="X67" i="2"/>
  <c r="Y67" i="2" s="1"/>
  <c r="W67" i="2"/>
  <c r="Z67" i="2" s="1"/>
  <c r="V67" i="2"/>
  <c r="U67" i="2"/>
  <c r="N67" i="2"/>
  <c r="F67" i="2"/>
  <c r="X66" i="2"/>
  <c r="Y66" i="2" s="1"/>
  <c r="V66" i="2"/>
  <c r="W66" i="2" s="1"/>
  <c r="Z66" i="2" s="1"/>
  <c r="U66" i="2"/>
  <c r="N66" i="2"/>
  <c r="F66" i="2"/>
  <c r="Y65" i="2"/>
  <c r="X65" i="2"/>
  <c r="V65" i="2"/>
  <c r="W65" i="2" s="1"/>
  <c r="Z65" i="2" s="1"/>
  <c r="U65" i="2"/>
  <c r="AA65" i="2" s="1"/>
  <c r="AC65" i="2" s="1"/>
  <c r="AD65" i="2" s="1"/>
  <c r="N65" i="2"/>
  <c r="F65" i="2"/>
  <c r="X47" i="2"/>
  <c r="Y47" i="2" s="1"/>
  <c r="V47" i="2"/>
  <c r="U47" i="2"/>
  <c r="N47" i="2"/>
  <c r="F47" i="2"/>
  <c r="X48" i="2"/>
  <c r="Y48" i="2" s="1"/>
  <c r="V48" i="2"/>
  <c r="U48" i="2"/>
  <c r="N48" i="2"/>
  <c r="F48" i="2"/>
  <c r="X45" i="2"/>
  <c r="Y45" i="2" s="1"/>
  <c r="V45" i="2"/>
  <c r="U45" i="2"/>
  <c r="N45" i="2"/>
  <c r="F45" i="2"/>
  <c r="X44" i="2"/>
  <c r="Y44" i="2" s="1"/>
  <c r="V44" i="2"/>
  <c r="U44" i="2"/>
  <c r="N44" i="2"/>
  <c r="F44" i="2"/>
  <c r="X40" i="2"/>
  <c r="Y40" i="2" s="1"/>
  <c r="V40" i="2"/>
  <c r="U40" i="2"/>
  <c r="N40" i="2"/>
  <c r="F40" i="2"/>
  <c r="X39" i="2"/>
  <c r="Y39" i="2" s="1"/>
  <c r="V39" i="2"/>
  <c r="U39" i="2"/>
  <c r="N39" i="2"/>
  <c r="F39" i="2"/>
  <c r="X32" i="2"/>
  <c r="Y32" i="2" s="1"/>
  <c r="V32" i="2"/>
  <c r="U32" i="2"/>
  <c r="N32" i="2"/>
  <c r="F32" i="2"/>
  <c r="X31" i="2"/>
  <c r="Y31" i="2" s="1"/>
  <c r="V31" i="2"/>
  <c r="U31" i="2"/>
  <c r="N31" i="2"/>
  <c r="F31" i="2"/>
  <c r="X30" i="2"/>
  <c r="Y30" i="2" s="1"/>
  <c r="V30" i="2"/>
  <c r="U30" i="2"/>
  <c r="N30" i="2"/>
  <c r="F30" i="2"/>
  <c r="X29" i="2"/>
  <c r="Y29" i="2" s="1"/>
  <c r="V29" i="2"/>
  <c r="U29" i="2"/>
  <c r="N29" i="2"/>
  <c r="F29" i="2"/>
  <c r="X28" i="2"/>
  <c r="Y28" i="2" s="1"/>
  <c r="V28" i="2"/>
  <c r="U28" i="2"/>
  <c r="N28" i="2"/>
  <c r="F28" i="2"/>
  <c r="X27" i="2"/>
  <c r="Y27" i="2" s="1"/>
  <c r="V27" i="2"/>
  <c r="U27" i="2"/>
  <c r="N27" i="2"/>
  <c r="F27" i="2"/>
  <c r="X26" i="2"/>
  <c r="Y26" i="2" s="1"/>
  <c r="V26" i="2"/>
  <c r="U26" i="2"/>
  <c r="N26" i="2"/>
  <c r="F26" i="2"/>
  <c r="X25" i="2"/>
  <c r="Y25" i="2" s="1"/>
  <c r="V25" i="2"/>
  <c r="U25" i="2"/>
  <c r="N25" i="2"/>
  <c r="F25" i="2"/>
  <c r="X24" i="2"/>
  <c r="Y24" i="2" s="1"/>
  <c r="V24" i="2"/>
  <c r="U24" i="2"/>
  <c r="N24" i="2"/>
  <c r="F24" i="2"/>
  <c r="X15" i="2"/>
  <c r="Y15" i="2" s="1"/>
  <c r="V15" i="2"/>
  <c r="U15" i="2"/>
  <c r="N15" i="2"/>
  <c r="F15" i="2"/>
  <c r="X14" i="2"/>
  <c r="Y14" i="2" s="1"/>
  <c r="V14" i="2"/>
  <c r="U14" i="2"/>
  <c r="N14" i="2"/>
  <c r="F14" i="2"/>
  <c r="X13" i="2"/>
  <c r="Y13" i="2" s="1"/>
  <c r="V13" i="2"/>
  <c r="U13" i="2"/>
  <c r="N13" i="2"/>
  <c r="F13" i="2"/>
  <c r="X10" i="2"/>
  <c r="Y10" i="2" s="1"/>
  <c r="V10" i="2"/>
  <c r="U10" i="2"/>
  <c r="N10" i="2"/>
  <c r="F10" i="2"/>
  <c r="Z107" i="2" l="1"/>
  <c r="Z75" i="2"/>
  <c r="AA75" i="2" s="1"/>
  <c r="AC75" i="2" s="1"/>
  <c r="AD75" i="2" s="1"/>
  <c r="AA67" i="2"/>
  <c r="AC67" i="2" s="1"/>
  <c r="AD67" i="2" s="1"/>
  <c r="AA83" i="2"/>
  <c r="AC83" i="2" s="1"/>
  <c r="AD83" i="2" s="1"/>
  <c r="AA103" i="2"/>
  <c r="AC103" i="2" s="1"/>
  <c r="AD103" i="2" s="1"/>
  <c r="AA95" i="2"/>
  <c r="AC95" i="2" s="1"/>
  <c r="AD95" i="2" s="1"/>
  <c r="AA98" i="2"/>
  <c r="AC98" i="2" s="1"/>
  <c r="AD98" i="2" s="1"/>
  <c r="AA107" i="2"/>
  <c r="AC107" i="2" s="1"/>
  <c r="AD107" i="2" s="1"/>
  <c r="AA111" i="2"/>
  <c r="AC111" i="2" s="1"/>
  <c r="AD111" i="2" s="1"/>
  <c r="AA94" i="2"/>
  <c r="AC94" i="2" s="1"/>
  <c r="AD94" i="2" s="1"/>
  <c r="AA86" i="2"/>
  <c r="AC86" i="2" s="1"/>
  <c r="AD86" i="2" s="1"/>
  <c r="AA70" i="2"/>
  <c r="AC70" i="2" s="1"/>
  <c r="AD70" i="2" s="1"/>
  <c r="AA106" i="2"/>
  <c r="AC106" i="2" s="1"/>
  <c r="AD106" i="2" s="1"/>
  <c r="AA79" i="2"/>
  <c r="AC79" i="2" s="1"/>
  <c r="AD79" i="2" s="1"/>
  <c r="AA82" i="2"/>
  <c r="AC82" i="2" s="1"/>
  <c r="AD82" i="2" s="1"/>
  <c r="AA91" i="2"/>
  <c r="AC91" i="2" s="1"/>
  <c r="AD91" i="2" s="1"/>
  <c r="AA102" i="2"/>
  <c r="AC102" i="2" s="1"/>
  <c r="AD102" i="2" s="1"/>
  <c r="AA78" i="2"/>
  <c r="AC78" i="2" s="1"/>
  <c r="AD78" i="2" s="1"/>
  <c r="AA66" i="2"/>
  <c r="AC66" i="2" s="1"/>
  <c r="AD66" i="2" s="1"/>
  <c r="AA72" i="2"/>
  <c r="AC72" i="2" s="1"/>
  <c r="AD72" i="2" s="1"/>
  <c r="AA68" i="2"/>
  <c r="AC68" i="2" s="1"/>
  <c r="AD68" i="2" s="1"/>
  <c r="AA104" i="2"/>
  <c r="AC104" i="2" s="1"/>
  <c r="AD104" i="2" s="1"/>
  <c r="AA100" i="2"/>
  <c r="AC100" i="2" s="1"/>
  <c r="AD100" i="2" s="1"/>
  <c r="Z71" i="2"/>
  <c r="AA71" i="2" s="1"/>
  <c r="AC71" i="2" s="1"/>
  <c r="AD71" i="2" s="1"/>
  <c r="Z74" i="2"/>
  <c r="AA74" i="2" s="1"/>
  <c r="AC74" i="2" s="1"/>
  <c r="AD74" i="2" s="1"/>
  <c r="AA80" i="2"/>
  <c r="AC80" i="2" s="1"/>
  <c r="AD80" i="2" s="1"/>
  <c r="Z87" i="2"/>
  <c r="AA87" i="2" s="1"/>
  <c r="AC87" i="2" s="1"/>
  <c r="AD87" i="2" s="1"/>
  <c r="AA93" i="2"/>
  <c r="AC93" i="2" s="1"/>
  <c r="AD93" i="2" s="1"/>
  <c r="Z96" i="2"/>
  <c r="AA108" i="2"/>
  <c r="AC108" i="2" s="1"/>
  <c r="AD108" i="2" s="1"/>
  <c r="AA84" i="2"/>
  <c r="AC84" i="2" s="1"/>
  <c r="AD84" i="2" s="1"/>
  <c r="Z80" i="2"/>
  <c r="AA73" i="2"/>
  <c r="AC73" i="2" s="1"/>
  <c r="AD73" i="2" s="1"/>
  <c r="Z76" i="2"/>
  <c r="AA76" i="2" s="1"/>
  <c r="AC76" i="2" s="1"/>
  <c r="AD76" i="2" s="1"/>
  <c r="AA89" i="2"/>
  <c r="AC89" i="2" s="1"/>
  <c r="AD89" i="2" s="1"/>
  <c r="Z90" i="2"/>
  <c r="AA90" i="2" s="1"/>
  <c r="AC90" i="2" s="1"/>
  <c r="AD90" i="2" s="1"/>
  <c r="AA96" i="2"/>
  <c r="AC96" i="2" s="1"/>
  <c r="AD96" i="2" s="1"/>
  <c r="Z99" i="2"/>
  <c r="AA99" i="2" s="1"/>
  <c r="AC99" i="2" s="1"/>
  <c r="AD99" i="2" s="1"/>
  <c r="Z110" i="2"/>
  <c r="AA110" i="2" s="1"/>
  <c r="AC110" i="2" s="1"/>
  <c r="AD110" i="2" s="1"/>
  <c r="AA88" i="2"/>
  <c r="AC88" i="2" s="1"/>
  <c r="AD88" i="2" s="1"/>
  <c r="W44" i="2"/>
  <c r="Z44" i="2" s="1"/>
  <c r="AA44" i="2" s="1"/>
  <c r="AC44" i="2" s="1"/>
  <c r="AD44" i="2" s="1"/>
  <c r="W48" i="2"/>
  <c r="Z48" i="2" s="1"/>
  <c r="AA48" i="2" s="1"/>
  <c r="AC48" i="2" s="1"/>
  <c r="AD48" i="2" s="1"/>
  <c r="W47" i="2"/>
  <c r="Z47" i="2" s="1"/>
  <c r="AA47" i="2" s="1"/>
  <c r="AC47" i="2" s="1"/>
  <c r="AD47" i="2" s="1"/>
  <c r="W45" i="2"/>
  <c r="Z45" i="2" s="1"/>
  <c r="AA45" i="2" s="1"/>
  <c r="AC45" i="2" s="1"/>
  <c r="AD45" i="2" s="1"/>
  <c r="W39" i="2"/>
  <c r="Z39" i="2" s="1"/>
  <c r="AA39" i="2" s="1"/>
  <c r="AC39" i="2" s="1"/>
  <c r="AD39" i="2" s="1"/>
  <c r="W29" i="2"/>
  <c r="Z29" i="2" s="1"/>
  <c r="AA29" i="2" s="1"/>
  <c r="AC29" i="2" s="1"/>
  <c r="AD29" i="2" s="1"/>
  <c r="W40" i="2"/>
  <c r="Z40" i="2" s="1"/>
  <c r="AA40" i="2" s="1"/>
  <c r="AC40" i="2" s="1"/>
  <c r="AD40" i="2" s="1"/>
  <c r="W28" i="2"/>
  <c r="Z28" i="2" s="1"/>
  <c r="AA28" i="2" s="1"/>
  <c r="AC28" i="2" s="1"/>
  <c r="AD28" i="2" s="1"/>
  <c r="W30" i="2"/>
  <c r="Z30" i="2" s="1"/>
  <c r="AA30" i="2" s="1"/>
  <c r="AC30" i="2" s="1"/>
  <c r="AD30" i="2" s="1"/>
  <c r="W31" i="2"/>
  <c r="Z31" i="2" s="1"/>
  <c r="AA31" i="2" s="1"/>
  <c r="AC31" i="2" s="1"/>
  <c r="AD31" i="2" s="1"/>
  <c r="W25" i="2"/>
  <c r="Z25" i="2" s="1"/>
  <c r="AA25" i="2" s="1"/>
  <c r="AC25" i="2" s="1"/>
  <c r="AD25" i="2" s="1"/>
  <c r="W27" i="2"/>
  <c r="Z27" i="2" s="1"/>
  <c r="AA27" i="2" s="1"/>
  <c r="AC27" i="2" s="1"/>
  <c r="AD27" i="2" s="1"/>
  <c r="W24" i="2"/>
  <c r="Z24" i="2" s="1"/>
  <c r="AA24" i="2" s="1"/>
  <c r="AC24" i="2" s="1"/>
  <c r="AD24" i="2" s="1"/>
  <c r="W32" i="2"/>
  <c r="Z32" i="2" s="1"/>
  <c r="AA32" i="2" s="1"/>
  <c r="AC32" i="2" s="1"/>
  <c r="AD32" i="2" s="1"/>
  <c r="W26" i="2"/>
  <c r="Z26" i="2" s="1"/>
  <c r="AA26" i="2" s="1"/>
  <c r="AC26" i="2" s="1"/>
  <c r="AD26" i="2" s="1"/>
  <c r="W10" i="2"/>
  <c r="Z10" i="2" s="1"/>
  <c r="AA10" i="2" s="1"/>
  <c r="AC10" i="2" s="1"/>
  <c r="AD10" i="2" s="1"/>
  <c r="W13" i="2"/>
  <c r="Z13" i="2" s="1"/>
  <c r="AA13" i="2" s="1"/>
  <c r="AC13" i="2" s="1"/>
  <c r="AD13" i="2" s="1"/>
  <c r="W14" i="2"/>
  <c r="Z14" i="2" s="1"/>
  <c r="AA14" i="2" s="1"/>
  <c r="AC14" i="2" s="1"/>
  <c r="AD14" i="2" s="1"/>
  <c r="W15" i="2"/>
  <c r="Z15" i="2" s="1"/>
  <c r="AA15" i="2" s="1"/>
  <c r="AC15" i="2" s="1"/>
  <c r="AD15" i="2" s="1"/>
  <c r="F42" i="2"/>
  <c r="AA112" i="2" l="1"/>
  <c r="X42" i="2"/>
  <c r="Y42" i="2" s="1"/>
  <c r="V42" i="2"/>
  <c r="N42" i="2"/>
  <c r="U42" i="2" l="1"/>
  <c r="W42" i="2"/>
  <c r="Z42" i="2" s="1"/>
  <c r="X55" i="2"/>
  <c r="Y55" i="2" s="1"/>
  <c r="V55" i="2"/>
  <c r="N55" i="2"/>
  <c r="F55" i="2"/>
  <c r="X53" i="2"/>
  <c r="Y53" i="2" s="1"/>
  <c r="V53" i="2"/>
  <c r="N53" i="2"/>
  <c r="F53" i="2"/>
  <c r="X43" i="2"/>
  <c r="Y43" i="2" s="1"/>
  <c r="V43" i="2"/>
  <c r="N43" i="2"/>
  <c r="F43" i="2"/>
  <c r="X46" i="2"/>
  <c r="Y46" i="2" s="1"/>
  <c r="V46" i="2"/>
  <c r="N46" i="2"/>
  <c r="F46" i="2"/>
  <c r="X38" i="2"/>
  <c r="Y38" i="2" s="1"/>
  <c r="V38" i="2"/>
  <c r="N38" i="2"/>
  <c r="F38" i="2"/>
  <c r="X37" i="2"/>
  <c r="Y37" i="2" s="1"/>
  <c r="V37" i="2"/>
  <c r="N37" i="2"/>
  <c r="F37" i="2"/>
  <c r="X36" i="2"/>
  <c r="Y36" i="2" s="1"/>
  <c r="V36" i="2"/>
  <c r="N36" i="2"/>
  <c r="F36" i="2"/>
  <c r="X34" i="2"/>
  <c r="Y34" i="2" s="1"/>
  <c r="V34" i="2"/>
  <c r="N34" i="2"/>
  <c r="F34" i="2"/>
  <c r="X33" i="2"/>
  <c r="Y33" i="2" s="1"/>
  <c r="V33" i="2"/>
  <c r="N33" i="2"/>
  <c r="F33" i="2"/>
  <c r="X23" i="2"/>
  <c r="Y23" i="2" s="1"/>
  <c r="V23" i="2"/>
  <c r="N23" i="2"/>
  <c r="F23" i="2"/>
  <c r="X17" i="2"/>
  <c r="Y17" i="2" s="1"/>
  <c r="V17" i="2"/>
  <c r="N17" i="2"/>
  <c r="F17" i="2"/>
  <c r="X16" i="2"/>
  <c r="Y16" i="2" s="1"/>
  <c r="V16" i="2"/>
  <c r="N16" i="2"/>
  <c r="F16" i="2"/>
  <c r="AA42" i="2" l="1"/>
  <c r="AC42" i="2" s="1"/>
  <c r="AD42" i="2" s="1"/>
  <c r="U33" i="2"/>
  <c r="U55" i="2"/>
  <c r="U53" i="2"/>
  <c r="W55" i="2"/>
  <c r="Z55" i="2" s="1"/>
  <c r="U46" i="2"/>
  <c r="W53" i="2"/>
  <c r="Z53" i="2" s="1"/>
  <c r="W43" i="2"/>
  <c r="Z43" i="2" s="1"/>
  <c r="U43" i="2"/>
  <c r="U23" i="2"/>
  <c r="U37" i="2"/>
  <c r="W46" i="2"/>
  <c r="Z46" i="2" s="1"/>
  <c r="U34" i="2"/>
  <c r="W38" i="2"/>
  <c r="Z38" i="2" s="1"/>
  <c r="U17" i="2"/>
  <c r="U36" i="2"/>
  <c r="W37" i="2"/>
  <c r="Z37" i="2" s="1"/>
  <c r="U38" i="2"/>
  <c r="U16" i="2"/>
  <c r="W36" i="2"/>
  <c r="Z36" i="2" s="1"/>
  <c r="W33" i="2"/>
  <c r="Z33" i="2" s="1"/>
  <c r="W23" i="2"/>
  <c r="Z23" i="2" s="1"/>
  <c r="W16" i="2"/>
  <c r="Z16" i="2" s="1"/>
  <c r="W34" i="2"/>
  <c r="Z34" i="2" s="1"/>
  <c r="W17" i="2"/>
  <c r="Z17" i="2" s="1"/>
  <c r="X35" i="2"/>
  <c r="Y35" i="2" s="1"/>
  <c r="V35" i="2"/>
  <c r="N35" i="2"/>
  <c r="F35" i="2"/>
  <c r="X22" i="2"/>
  <c r="Y22" i="2" s="1"/>
  <c r="V22" i="2"/>
  <c r="N22" i="2"/>
  <c r="F22" i="2"/>
  <c r="X21" i="2"/>
  <c r="Y21" i="2" s="1"/>
  <c r="V21" i="2"/>
  <c r="N21" i="2"/>
  <c r="F21" i="2"/>
  <c r="N11" i="2"/>
  <c r="F11" i="2"/>
  <c r="F12" i="2"/>
  <c r="F18" i="2"/>
  <c r="F19" i="2"/>
  <c r="F20" i="2"/>
  <c r="F41" i="2"/>
  <c r="F49" i="2"/>
  <c r="F50" i="2"/>
  <c r="F51" i="2"/>
  <c r="F52" i="2"/>
  <c r="F54" i="2"/>
  <c r="F9" i="2"/>
  <c r="AC112" i="2" l="1"/>
  <c r="AA46" i="2"/>
  <c r="AC46" i="2" s="1"/>
  <c r="AD46" i="2" s="1"/>
  <c r="AA34" i="2"/>
  <c r="AC34" i="2" s="1"/>
  <c r="AD34" i="2" s="1"/>
  <c r="AA33" i="2"/>
  <c r="AC33" i="2" s="1"/>
  <c r="AD33" i="2" s="1"/>
  <c r="AA53" i="2"/>
  <c r="AC53" i="2" s="1"/>
  <c r="AD53" i="2" s="1"/>
  <c r="AA55" i="2"/>
  <c r="AC55" i="2" s="1"/>
  <c r="AD55" i="2" s="1"/>
  <c r="AA43" i="2"/>
  <c r="AC43" i="2" s="1"/>
  <c r="AD43" i="2" s="1"/>
  <c r="AA37" i="2"/>
  <c r="AC37" i="2" s="1"/>
  <c r="AD37" i="2" s="1"/>
  <c r="AA16" i="2"/>
  <c r="AC16" i="2" s="1"/>
  <c r="AD16" i="2" s="1"/>
  <c r="AA23" i="2"/>
  <c r="AC23" i="2" s="1"/>
  <c r="AD23" i="2" s="1"/>
  <c r="AA38" i="2"/>
  <c r="AC38" i="2" s="1"/>
  <c r="AD38" i="2" s="1"/>
  <c r="AA36" i="2"/>
  <c r="AC36" i="2" s="1"/>
  <c r="AD36" i="2" s="1"/>
  <c r="AA17" i="2"/>
  <c r="AC17" i="2" s="1"/>
  <c r="AD17" i="2" s="1"/>
  <c r="U35" i="2"/>
  <c r="U22" i="2"/>
  <c r="U21" i="2"/>
  <c r="W21" i="2"/>
  <c r="Z21" i="2" s="1"/>
  <c r="W22" i="2"/>
  <c r="Z22" i="2" s="1"/>
  <c r="W35" i="2"/>
  <c r="Z35" i="2" s="1"/>
  <c r="AD112" i="2" l="1"/>
  <c r="AA35" i="2"/>
  <c r="AC35" i="2" s="1"/>
  <c r="AD35" i="2" s="1"/>
  <c r="AA21" i="2"/>
  <c r="AC21" i="2" s="1"/>
  <c r="AD21" i="2" s="1"/>
  <c r="AA22" i="2"/>
  <c r="AC22" i="2" s="1"/>
  <c r="AD22" i="2" s="1"/>
  <c r="X11" i="2" l="1"/>
  <c r="Y11" i="2" s="1"/>
  <c r="X12" i="2"/>
  <c r="Y12" i="2" s="1"/>
  <c r="X18" i="2"/>
  <c r="Y18" i="2" s="1"/>
  <c r="X19" i="2"/>
  <c r="Y19" i="2" s="1"/>
  <c r="X20" i="2"/>
  <c r="Y20" i="2" s="1"/>
  <c r="X41" i="2"/>
  <c r="Y41" i="2" s="1"/>
  <c r="X49" i="2"/>
  <c r="Y49" i="2" s="1"/>
  <c r="X50" i="2"/>
  <c r="Y50" i="2" s="1"/>
  <c r="X51" i="2"/>
  <c r="Y51" i="2" s="1"/>
  <c r="X52" i="2"/>
  <c r="Y52" i="2" s="1"/>
  <c r="X54" i="2"/>
  <c r="Y54" i="2" s="1"/>
  <c r="V11" i="2"/>
  <c r="V12" i="2"/>
  <c r="V18" i="2"/>
  <c r="V19" i="2"/>
  <c r="V20" i="2"/>
  <c r="V41" i="2"/>
  <c r="V49" i="2"/>
  <c r="V50" i="2"/>
  <c r="V51" i="2"/>
  <c r="V52" i="2"/>
  <c r="V54" i="2"/>
  <c r="U9" i="2"/>
  <c r="X9" i="2"/>
  <c r="Y9" i="2" s="1"/>
  <c r="V9" i="2"/>
  <c r="U54" i="2" l="1"/>
  <c r="N54" i="2"/>
  <c r="W54" i="2" s="1"/>
  <c r="U52" i="2"/>
  <c r="N52" i="2"/>
  <c r="W52" i="2" s="1"/>
  <c r="Z52" i="2" l="1"/>
  <c r="AA52" i="2" s="1"/>
  <c r="Z54" i="2"/>
  <c r="AA54" i="2" s="1"/>
  <c r="AC52" i="2" l="1"/>
  <c r="AD52" i="2" s="1"/>
  <c r="AC54" i="2"/>
  <c r="AD54" i="2" s="1"/>
  <c r="U18" i="2"/>
  <c r="N18" i="2"/>
  <c r="W18" i="2" s="1"/>
  <c r="U11" i="2"/>
  <c r="W11" i="2"/>
  <c r="Z18" i="2" l="1"/>
  <c r="AA18" i="2" s="1"/>
  <c r="Z11" i="2"/>
  <c r="AA11" i="2" s="1"/>
  <c r="AC11" i="2" l="1"/>
  <c r="AD11" i="2" s="1"/>
  <c r="AC18" i="2"/>
  <c r="AD18" i="2" s="1"/>
  <c r="U50" i="2"/>
  <c r="N50" i="2"/>
  <c r="W50" i="2" s="1"/>
  <c r="U20" i="2"/>
  <c r="N20" i="2"/>
  <c r="W20" i="2" s="1"/>
  <c r="U19" i="2"/>
  <c r="N19" i="2"/>
  <c r="W19" i="2" s="1"/>
  <c r="U12" i="2"/>
  <c r="N12" i="2"/>
  <c r="W12" i="2" s="1"/>
  <c r="Z50" i="2" l="1"/>
  <c r="AA50" i="2" s="1"/>
  <c r="Z20" i="2"/>
  <c r="AA20" i="2" s="1"/>
  <c r="Z19" i="2"/>
  <c r="AA19" i="2" s="1"/>
  <c r="Z12" i="2"/>
  <c r="AA12" i="2" s="1"/>
  <c r="AC50" i="2" l="1"/>
  <c r="AD50" i="2" s="1"/>
  <c r="AC12" i="2"/>
  <c r="AD12" i="2" s="1"/>
  <c r="AC19" i="2"/>
  <c r="AD19" i="2" s="1"/>
  <c r="AC20" i="2"/>
  <c r="AD20" i="2" s="1"/>
  <c r="U41" i="2" l="1"/>
  <c r="U49" i="2"/>
  <c r="U51" i="2"/>
  <c r="N41" i="2"/>
  <c r="W41" i="2" s="1"/>
  <c r="N49" i="2"/>
  <c r="W49" i="2" s="1"/>
  <c r="N51" i="2"/>
  <c r="W51" i="2" s="1"/>
  <c r="N9" i="2"/>
  <c r="W9" i="2" s="1"/>
  <c r="Z9" i="2" s="1"/>
  <c r="AA9" i="2" l="1"/>
  <c r="AC9" i="2" s="1"/>
  <c r="Z49" i="2"/>
  <c r="Z41" i="2"/>
  <c r="AA41" i="2" s="1"/>
  <c r="AC41" i="2" l="1"/>
  <c r="AD41" i="2" s="1"/>
  <c r="AD9" i="2"/>
  <c r="Z51" i="2"/>
  <c r="AA49" i="2" l="1"/>
  <c r="AA51" i="2"/>
  <c r="AC51" i="2" s="1"/>
  <c r="AA56" i="2" l="1"/>
  <c r="AC114" i="2" s="1"/>
  <c r="AC49" i="2"/>
  <c r="AC56" i="2" s="1"/>
  <c r="AC115" i="2" s="1"/>
  <c r="AD51" i="2"/>
  <c r="AD49" i="2" l="1"/>
  <c r="AD56" i="2" l="1"/>
  <c r="AC116" i="2" s="1"/>
</calcChain>
</file>

<file path=xl/sharedStrings.xml><?xml version="1.0" encoding="utf-8"?>
<sst xmlns="http://schemas.openxmlformats.org/spreadsheetml/2006/main" count="426" uniqueCount="86">
  <si>
    <t>Liczba miesięcy
[m-c]</t>
  </si>
  <si>
    <t>Liczba punktów poboru
[szt]</t>
  </si>
  <si>
    <t>Stawka opłaty zmiennej netto
[gr/kWh]</t>
  </si>
  <si>
    <t>Moc umowna 
[kWh/h]</t>
  </si>
  <si>
    <t xml:space="preserve"> ≤ 110</t>
  </si>
  <si>
    <t>SPRZEDAŻ PALIWA GAZOWEGO</t>
  </si>
  <si>
    <t>Liczba godzin 
w okresie obowiązywania umowy
[h]</t>
  </si>
  <si>
    <t xml:space="preserve"> -1-</t>
  </si>
  <si>
    <t xml:space="preserve"> -2-</t>
  </si>
  <si>
    <t xml:space="preserve"> -3-</t>
  </si>
  <si>
    <t xml:space="preserve"> -4-</t>
  </si>
  <si>
    <t xml:space="preserve"> -5-</t>
  </si>
  <si>
    <t xml:space="preserve"> -6-</t>
  </si>
  <si>
    <t xml:space="preserve"> -7-</t>
  </si>
  <si>
    <t xml:space="preserve"> -8-</t>
  </si>
  <si>
    <t xml:space="preserve"> -9-</t>
  </si>
  <si>
    <t xml:space="preserve"> -10-</t>
  </si>
  <si>
    <t xml:space="preserve"> -11-</t>
  </si>
  <si>
    <t>W-5.1_TA</t>
  </si>
  <si>
    <t>W-4_TA</t>
  </si>
  <si>
    <t>poza rozliczeniem taryfowym</t>
  </si>
  <si>
    <t>WYSZCZEGÓLNIENIE</t>
  </si>
  <si>
    <r>
      <t xml:space="preserve">Szacunkowe zapotrzebowanie
na paliwo gazowe
</t>
    </r>
    <r>
      <rPr>
        <b/>
        <sz val="10"/>
        <color theme="1"/>
        <rFont val="Cambria"/>
        <family val="1"/>
        <charset val="238"/>
        <scheme val="major"/>
      </rPr>
      <t xml:space="preserve">ZW </t>
    </r>
    <r>
      <rPr>
        <sz val="10"/>
        <color theme="1"/>
        <rFont val="Cambria"/>
        <family val="1"/>
        <charset val="238"/>
        <scheme val="major"/>
      </rPr>
      <t>- bez akcyzy, z zerową stawką akcyzy lub zwolnione od akcyzy
[kWh]</t>
    </r>
  </si>
  <si>
    <r>
      <t xml:space="preserve">Szacunkowe zapotrzebowanie
na paliwo gazowe
</t>
    </r>
    <r>
      <rPr>
        <b/>
        <sz val="10"/>
        <color theme="1"/>
        <rFont val="Cambria"/>
        <family val="1"/>
        <charset val="238"/>
        <scheme val="major"/>
      </rPr>
      <t xml:space="preserve">P </t>
    </r>
    <r>
      <rPr>
        <sz val="10"/>
        <color theme="1"/>
        <rFont val="Cambria"/>
        <family val="1"/>
        <charset val="238"/>
        <scheme val="major"/>
      </rPr>
      <t>- opodatkowane 
akcyzą 1,38 zł/GJ 
[kWh]</t>
    </r>
  </si>
  <si>
    <t xml:space="preserve"> -12-</t>
  </si>
  <si>
    <t xml:space="preserve"> -13-</t>
  </si>
  <si>
    <t xml:space="preserve"> -14-</t>
  </si>
  <si>
    <t xml:space="preserve"> -15-</t>
  </si>
  <si>
    <t xml:space="preserve"> -16-</t>
  </si>
  <si>
    <t>DYSTRYBUCJA PALIWA GAZOWEGO</t>
  </si>
  <si>
    <t xml:space="preserve"> -17-</t>
  </si>
  <si>
    <t xml:space="preserve"> -18-</t>
  </si>
  <si>
    <t xml:space="preserve"> -19-</t>
  </si>
  <si>
    <t xml:space="preserve"> -20-</t>
  </si>
  <si>
    <t>CENA OFERTY</t>
  </si>
  <si>
    <t xml:space="preserve"> -21-</t>
  </si>
  <si>
    <t xml:space="preserve"> -22-</t>
  </si>
  <si>
    <t xml:space="preserve"> -23-</t>
  </si>
  <si>
    <t xml:space="preserve"> -24-</t>
  </si>
  <si>
    <t xml:space="preserve"> -25-</t>
  </si>
  <si>
    <t>n.d</t>
  </si>
  <si>
    <t>Cena jednostkowa sprzedaży paliwa gazowego
bez akcyzy, z zerową stawką akcyzy lub zwolnione od akcyzy
netto
 [gr/kWh]</t>
  </si>
  <si>
    <t>Cena jednostkowa sprzedaży paliwa gazowego
opodatkowanego akcyzą 1,38 zł/GJ
netto
[gr/kWh]</t>
  </si>
  <si>
    <t>Stawka podatku VAT
[%]</t>
  </si>
  <si>
    <r>
      <t xml:space="preserve">podlegające ochronie taryfowej </t>
    </r>
    <r>
      <rPr>
        <vertAlign val="superscript"/>
        <sz val="10"/>
        <color theme="1"/>
        <rFont val="Cambria"/>
        <family val="1"/>
        <charset val="238"/>
        <scheme val="major"/>
      </rPr>
      <t>1</t>
    </r>
  </si>
  <si>
    <t>Grupa taryfowa</t>
  </si>
  <si>
    <r>
      <rPr>
        <b/>
        <vertAlign val="superscript"/>
        <sz val="9"/>
        <color theme="1"/>
        <rFont val="Cambria"/>
        <family val="1"/>
        <charset val="238"/>
        <scheme val="major"/>
      </rPr>
      <t xml:space="preserve">1 </t>
    </r>
    <r>
      <rPr>
        <b/>
        <sz val="9"/>
        <color theme="1"/>
        <rFont val="Cambria"/>
        <family val="1"/>
        <charset val="238"/>
        <scheme val="major"/>
      </rPr>
      <t>Dotyczy podmiotów uprawnionych, które nabywają i pobierają paliwo gazowe,  zużywane na potrzeby:</t>
    </r>
  </si>
  <si>
    <t>W-1.1_TA</t>
  </si>
  <si>
    <t>W-2.1_TA</t>
  </si>
  <si>
    <t>W-3.6_TA</t>
  </si>
  <si>
    <t>Stawka opłaty abonamentowej/handlowej
netto
[zł/m-c]</t>
  </si>
  <si>
    <t xml:space="preserve"> -26-</t>
  </si>
  <si>
    <t xml:space="preserve"> -27-</t>
  </si>
  <si>
    <t xml:space="preserve"> -28-</t>
  </si>
  <si>
    <t xml:space="preserve"> -29-</t>
  </si>
  <si>
    <r>
      <t xml:space="preserve">Udział procentowy
podlegające ochronie taryfowej </t>
    </r>
    <r>
      <rPr>
        <vertAlign val="superscript"/>
        <sz val="10"/>
        <color theme="1"/>
        <rFont val="Cambria"/>
        <family val="1"/>
        <charset val="238"/>
        <scheme val="major"/>
      </rPr>
      <t>1</t>
    </r>
  </si>
  <si>
    <t>Udział procentowy
poza rozliczeniem taryfowym</t>
  </si>
  <si>
    <t>RAZEM SPRZEDAŻ
netto
[zł] 
[(kol.9xkol.14)/100 
+ (kol.10xkol.15)/100
+ (kol.11xkol.16)/100
+ (kol.12xkol.17)/100
+ (kol.2xkol.7xkol.18)
+ (kol.3xkol.7xkol.19)]</t>
  </si>
  <si>
    <t>Szacunkowe zapotrzebowanie 
na paliwo gazowe 
RAZEM
[kWh]
(kol.9+kol.10+kol.11+kol.12)</t>
  </si>
  <si>
    <t xml:space="preserve"> </t>
  </si>
  <si>
    <t>FORMULARZ CENOWY NA 2025 ROK</t>
  </si>
  <si>
    <t>Razem opłata zmienna netto
[zł]
[kol.13xkol.21/100]</t>
  </si>
  <si>
    <t>Stawka opłaty stałej netto
a) dla grup taryfowych:
W-1.1, W-2.1, 
W-3.6, W-4
[zł/m-c]
b) dla grup taryfowych:
W-5.1, W-6A.1
[gr/(kWh/h) za h]</t>
  </si>
  <si>
    <t>Stawka opłaty stałej netto
a) dla grup taryfowych:
W-1.1, W-2.1, 
W-3.6, W-4
[zł/m-c]
b) dla grup taryfowych:
W-5.1, W-6A.1
[gr/(kWh/h) za h]</t>
  </si>
  <si>
    <t>Razem opłata stała netto
[zł]
a) dla grup taryfowych:
W-1.1, W-2.1,  
W-3.6, W-4, 
[(kol.2+kol.3)×kol.7×kol.23]
b) dla grup taryfowych:
W-5.1, W-6A.1
[(kol.6×kol.8×kol.23/100)]</t>
  </si>
  <si>
    <t>RAZEM DYSTRYBUCJA
netto
[zł] 
(kol.22 + kol.24)</t>
  </si>
  <si>
    <t>Cena oferty netto
[zł] 
(kol. 20 + kol. 25)</t>
  </si>
  <si>
    <t>Wartość podatku VAT 
[zł] 
(kol.26 x kol.27)</t>
  </si>
  <si>
    <t>Cena oferty brutto [zł] 
(kol. 26 + kol. 28)</t>
  </si>
  <si>
    <t>DYSTRYBUCJA</t>
  </si>
  <si>
    <t>Taryfa</t>
  </si>
  <si>
    <t>W-6A.1_TA</t>
  </si>
  <si>
    <t>Stawka opłaty 
zmiennej
netto
[gr/kWh]</t>
  </si>
  <si>
    <t>FORMULARZ CENOWY NA 2026 ROK</t>
  </si>
  <si>
    <t>Podatek VAT 23%</t>
  </si>
  <si>
    <t>Razem cena oferty netto 
(sprzedaż + dystrybucja)
ROK 2025 + ROK 2026</t>
  </si>
  <si>
    <t>Razem cena oferty brutto
(sprzedaż + dystrybucja)
ROK 2025 + ROK 2026</t>
  </si>
  <si>
    <t xml:space="preserve">Wartość należy przenieść do pkt 1.4 Formularza oferty     </t>
  </si>
  <si>
    <t>W-3.9_TA</t>
  </si>
  <si>
    <t xml:space="preserve">a) odbiorców w gospodarstwach domowych w lokalach mieszkalnych lub na potrzeby wytwarzania ciepła zużywanego przez odbiorców w gospodarstwach domowych w lokalach mieszkalnych oraz na potrzeby części wspólnych budynków wielolokalowych,
b) odbiorców, o których mowa w art. 62b ust. 1 pkt 2 lit. d ustawy, prowadzących działalność w lokalach odbiorcy, o którym mowa w art. 62b ust. 1 pkt 2 lit. b lub c Ustawy z dnia 26 stycznia  2022 r. o szczególnych rozwiązaniach służących ochronie odbiorców paliw gazowych w związku  z sytuacją na rynku gazu (Dz. U. z 2022 r., poz. 202),
c) o których mowa w art. 62b ust. 1 pkt 2 lit. d Ustawy z dnia 26 stycznia  2022 r. o szczególnych rozwiązaniach służących ochronie odbiorców paliw gazowych w związku  z sytuacją na rynku gazu (Dz. U. z 2022 r., poz. 202). </t>
  </si>
  <si>
    <t>UWAGA:</t>
  </si>
  <si>
    <r>
      <t xml:space="preserve">W formularzu cenowym dla potrzeb porównania i oceny ofert każdy Wykonawca składający ofertę musi podać ceny jednostkowe sprzedaży paliwa gazowego oraz stawki opłat abonamentowych </t>
    </r>
    <r>
      <rPr>
        <b/>
        <sz val="11"/>
        <color theme="1"/>
        <rFont val="Calibri"/>
        <family val="2"/>
        <charset val="238"/>
      </rPr>
      <t>dla punktów poboru podlegających ochronie taryfowej</t>
    </r>
    <r>
      <rPr>
        <sz val="11"/>
        <color theme="1"/>
        <rFont val="Calibri"/>
        <family val="2"/>
        <charset val="238"/>
      </rPr>
      <t xml:space="preserve"> (dla Odbiorców paliw gazowych, o których mowa w art. 62b ust. 1 pkt 2 lit. a-d ustawy z dnia 10 kwietnia 1997 r. Prawo Energetyczne (tekst jedn. Dz. U. z 2024 r., poz. 266 z późn. zm.) 
</t>
    </r>
    <r>
      <rPr>
        <b/>
        <sz val="11"/>
        <color theme="1"/>
        <rFont val="Calibri"/>
        <family val="2"/>
        <charset val="238"/>
      </rPr>
      <t>zgodne</t>
    </r>
    <r>
      <rPr>
        <sz val="11"/>
        <color theme="1"/>
        <rFont val="Calibri"/>
        <family val="2"/>
        <charset val="238"/>
      </rPr>
      <t xml:space="preserve"> z obowiązującą </t>
    </r>
    <r>
      <rPr>
        <b/>
        <sz val="11"/>
        <color theme="1"/>
        <rFont val="Calibri"/>
        <family val="2"/>
        <charset val="238"/>
      </rPr>
      <t>Taryfą nr 15</t>
    </r>
    <r>
      <rPr>
        <sz val="11"/>
        <color theme="1"/>
        <rFont val="Calibri"/>
        <family val="2"/>
        <charset val="238"/>
      </rPr>
      <t xml:space="preserve"> sprzedawcy z urzędu </t>
    </r>
    <r>
      <rPr>
        <b/>
        <sz val="11"/>
        <color theme="1"/>
        <rFont val="Calibri"/>
        <family val="2"/>
        <charset val="238"/>
      </rPr>
      <t>PGNiG Obrót Detaliczny Sp. z o.o.</t>
    </r>
    <r>
      <rPr>
        <sz val="11"/>
        <color theme="1"/>
        <rFont val="Calibri"/>
        <family val="2"/>
        <charset val="238"/>
      </rPr>
      <t xml:space="preserve"> zatwierdzonej decyzją Prezesa Urzędu Regulacji Energetyki nr DRG.DRG-2.4212.23.2024.AGa z dnia 27 czerwca 2024 r.</t>
    </r>
  </si>
  <si>
    <t>W przypadku podania cen i stawek opłat innych niż w Taryfie nr 15 sprzedawcy z urzędu PGNiG Obrót Detaliczny Sp. z o.o. oferta Wykonawcy zostanie odrzucona.</t>
  </si>
  <si>
    <t>Dla uniknięcia wątpliwości o wysokości cen i stawek opłat formularz cenowy został uzupełniony o wskazane ceny i stawki opłat.</t>
  </si>
  <si>
    <r>
      <t>W trakcie realizacji zamówienia</t>
    </r>
    <r>
      <rPr>
        <b/>
        <sz val="11"/>
        <color rgb="FFFF0000"/>
        <rFont val="Calibri"/>
        <family val="2"/>
        <charset val="238"/>
      </rPr>
      <t xml:space="preserve"> pomimo podania cen i stawek opłat w formularzu cenowym wynikających z Taryfy nr 15 sprzedawcy z urzędu PGNiG Obrót Detaliczny Sp. z o.o. </t>
    </r>
    <r>
      <rPr>
        <b/>
        <u/>
        <sz val="11"/>
        <color rgb="FFFF0000"/>
        <rFont val="Calibri"/>
        <family val="2"/>
        <charset val="238"/>
      </rPr>
      <t>rozliczenia z Zamawiającym będą prowadzone zgodnie z obowiązującą Taryfą Wykonawcy na dzień dostawy</t>
    </r>
    <r>
      <rPr>
        <b/>
        <sz val="11"/>
        <color rgb="FFFF0000"/>
        <rFont val="Calibri"/>
        <family val="2"/>
        <charset val="238"/>
      </rPr>
      <t xml:space="preserve"> (ceny i stawki opłat mogą być niższe lub wyższe w zależności od Taryfy Wykonawcy zatwierdzonej przez Prezesa URE).
Wartość umowy oraz załącznik nr 5 do umowy dla punktów poboru paliwa gazowego z ochroną taryfową będą uwzględniały ceny sprzedaży paliwa gazowego  i stawki opłaty abonamentowej zgodnie z aktualną Taryfą Wykonawcy.</t>
    </r>
  </si>
  <si>
    <t>Załacznik nr 1a - formularz cenowy-zmieniony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</si>
</sst>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"/>
    <numFmt numFmtId="165" formatCode="#,##0.000\ &quot;zł&quot;;[Red]\-#,##0.000\ &quot;zł&quot;"/>
    <numFmt numFmtId="166" formatCode="#,##0.00_ ;\-#,##0.00\ "/>
    <numFmt numFmtId="167" formatCode="#,##0.000"/>
  </numFmts>
  <fonts count="20" x14ac:knownFonts="1">
    <font>
      <sz val="11"/>
      <color theme="1"/>
      <name val="Arial"/>
      <family val="2"/>
      <charset val="238"/>
    </font>
    <font>
      <b/>
      <sz val="9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sz val="11"/>
      <color theme="1"/>
      <name val="Arial"/>
      <family val="2"/>
      <charset val="238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vertAlign val="superscript"/>
      <sz val="10"/>
      <color theme="1"/>
      <name val="Cambria"/>
      <family val="1"/>
      <charset val="238"/>
      <scheme val="major"/>
    </font>
    <font>
      <b/>
      <vertAlign val="superscript"/>
      <sz val="9"/>
      <color theme="1"/>
      <name val="Cambria"/>
      <family val="1"/>
      <charset val="238"/>
      <scheme val="major"/>
    </font>
    <font>
      <b/>
      <sz val="16"/>
      <color theme="1"/>
      <name val="Cambria"/>
      <family val="1"/>
      <charset val="238"/>
      <scheme val="maj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Cambria"/>
      <family val="1"/>
      <charset val="238"/>
      <scheme val="maj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u/>
      <sz val="11"/>
      <color rgb="FFFF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5FFD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5" fillId="0" borderId="0" xfId="0" applyFont="1" applyFill="1"/>
    <xf numFmtId="3" fontId="1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right" vertical="center"/>
    </xf>
    <xf numFmtId="166" fontId="7" fillId="0" borderId="6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center" vertical="center" wrapText="1"/>
    </xf>
    <xf numFmtId="165" fontId="8" fillId="0" borderId="16" xfId="2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right" vertical="center"/>
    </xf>
    <xf numFmtId="164" fontId="7" fillId="0" borderId="6" xfId="0" applyNumberFormat="1" applyFont="1" applyFill="1" applyBorder="1" applyAlignment="1">
      <alignment horizontal="center" vertical="center"/>
    </xf>
    <xf numFmtId="43" fontId="8" fillId="0" borderId="6" xfId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9" fontId="8" fillId="0" borderId="1" xfId="3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8" xfId="1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167" fontId="7" fillId="4" borderId="8" xfId="0" applyNumberFormat="1" applyFont="1" applyFill="1" applyBorder="1" applyAlignment="1">
      <alignment horizontal="right" vertical="center"/>
    </xf>
    <xf numFmtId="167" fontId="7" fillId="4" borderId="1" xfId="0" applyNumberFormat="1" applyFont="1" applyFill="1" applyBorder="1" applyAlignment="1">
      <alignment horizontal="right" vertical="center"/>
    </xf>
    <xf numFmtId="0" fontId="7" fillId="5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10" fontId="7" fillId="0" borderId="1" xfId="3" applyNumberFormat="1" applyFont="1" applyFill="1" applyBorder="1" applyAlignment="1">
      <alignment horizontal="center" vertical="center" wrapText="1"/>
    </xf>
    <xf numFmtId="10" fontId="7" fillId="0" borderId="6" xfId="3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right" vertical="center"/>
    </xf>
    <xf numFmtId="9" fontId="7" fillId="0" borderId="0" xfId="3" applyNumberFormat="1" applyFont="1" applyFill="1" applyBorder="1" applyAlignment="1">
      <alignment horizontal="right" vertical="center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0" fontId="7" fillId="0" borderId="6" xfId="0" applyNumberFormat="1" applyFont="1" applyFill="1" applyBorder="1" applyAlignment="1">
      <alignment horizontal="center" vertical="center"/>
    </xf>
    <xf numFmtId="167" fontId="7" fillId="4" borderId="10" xfId="0" applyNumberFormat="1" applyFont="1" applyFill="1" applyBorder="1" applyAlignment="1">
      <alignment horizontal="right" vertical="center"/>
    </xf>
    <xf numFmtId="167" fontId="7" fillId="4" borderId="6" xfId="0" applyNumberFormat="1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horizontal="right" vertical="center"/>
    </xf>
    <xf numFmtId="4" fontId="7" fillId="0" borderId="19" xfId="1" applyNumberFormat="1" applyFont="1" applyFill="1" applyBorder="1" applyAlignment="1">
      <alignment horizontal="right" vertical="center"/>
    </xf>
    <xf numFmtId="9" fontId="7" fillId="0" borderId="20" xfId="3" applyNumberFormat="1" applyFont="1" applyFill="1" applyBorder="1" applyAlignment="1">
      <alignment horizontal="right" vertical="center"/>
    </xf>
    <xf numFmtId="4" fontId="7" fillId="0" borderId="20" xfId="1" applyNumberFormat="1" applyFont="1" applyFill="1" applyBorder="1" applyAlignment="1">
      <alignment horizontal="right" vertical="center"/>
    </xf>
    <xf numFmtId="4" fontId="7" fillId="0" borderId="21" xfId="1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/>
    </xf>
    <xf numFmtId="43" fontId="7" fillId="0" borderId="25" xfId="1" applyFont="1" applyFill="1" applyBorder="1" applyAlignment="1">
      <alignment horizontal="center" vertical="center"/>
    </xf>
    <xf numFmtId="43" fontId="7" fillId="0" borderId="26" xfId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right" vertical="center"/>
    </xf>
    <xf numFmtId="0" fontId="2" fillId="0" borderId="0" xfId="0" applyFont="1" applyFill="1"/>
    <xf numFmtId="0" fontId="7" fillId="14" borderId="8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15" borderId="12" xfId="0" applyFont="1" applyFill="1" applyBorder="1" applyAlignment="1">
      <alignment vertical="center"/>
    </xf>
    <xf numFmtId="0" fontId="5" fillId="15" borderId="13" xfId="0" applyFont="1" applyFill="1" applyBorder="1"/>
    <xf numFmtId="0" fontId="1" fillId="15" borderId="13" xfId="0" applyFont="1" applyFill="1" applyBorder="1" applyAlignment="1">
      <alignment vertical="top" wrapText="1"/>
    </xf>
    <xf numFmtId="0" fontId="4" fillId="15" borderId="13" xfId="0" applyFont="1" applyFill="1" applyBorder="1" applyAlignment="1">
      <alignment vertical="top" wrapText="1"/>
    </xf>
    <xf numFmtId="0" fontId="2" fillId="15" borderId="13" xfId="0" applyFont="1" applyFill="1" applyBorder="1"/>
    <xf numFmtId="0" fontId="2" fillId="15" borderId="14" xfId="0" applyFont="1" applyFill="1" applyBorder="1"/>
    <xf numFmtId="0" fontId="18" fillId="15" borderId="37" xfId="0" applyFont="1" applyFill="1" applyBorder="1" applyAlignment="1">
      <alignment vertical="center"/>
    </xf>
    <xf numFmtId="0" fontId="5" fillId="15" borderId="0" xfId="0" applyFont="1" applyFill="1" applyBorder="1"/>
    <xf numFmtId="0" fontId="1" fillId="15" borderId="0" xfId="0" applyFont="1" applyFill="1" applyBorder="1" applyAlignment="1">
      <alignment vertical="top" wrapText="1"/>
    </xf>
    <xf numFmtId="0" fontId="5" fillId="15" borderId="38" xfId="0" applyFont="1" applyFill="1" applyBorder="1"/>
    <xf numFmtId="0" fontId="16" fillId="15" borderId="37" xfId="0" applyFont="1" applyFill="1" applyBorder="1" applyAlignment="1">
      <alignment vertical="center"/>
    </xf>
    <xf numFmtId="0" fontId="16" fillId="15" borderId="39" xfId="0" applyFont="1" applyFill="1" applyBorder="1" applyAlignment="1">
      <alignment vertical="center"/>
    </xf>
    <xf numFmtId="0" fontId="5" fillId="15" borderId="40" xfId="0" applyFont="1" applyFill="1" applyBorder="1"/>
    <xf numFmtId="0" fontId="5" fillId="15" borderId="41" xfId="0" applyFont="1" applyFill="1" applyBorder="1"/>
    <xf numFmtId="4" fontId="7" fillId="0" borderId="32" xfId="1" applyNumberFormat="1" applyFont="1" applyFill="1" applyBorder="1" applyAlignment="1">
      <alignment horizontal="right" vertical="center"/>
    </xf>
    <xf numFmtId="9" fontId="7" fillId="0" borderId="31" xfId="3" applyNumberFormat="1" applyFont="1" applyFill="1" applyBorder="1" applyAlignment="1">
      <alignment horizontal="right" vertical="center"/>
    </xf>
    <xf numFmtId="4" fontId="7" fillId="0" borderId="31" xfId="1" applyNumberFormat="1" applyFont="1" applyFill="1" applyBorder="1" applyAlignment="1">
      <alignment horizontal="right" vertical="center"/>
    </xf>
    <xf numFmtId="4" fontId="7" fillId="0" borderId="30" xfId="1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center" vertical="center"/>
    </xf>
    <xf numFmtId="4" fontId="7" fillId="0" borderId="10" xfId="1" applyNumberFormat="1" applyFont="1" applyFill="1" applyBorder="1" applyAlignment="1">
      <alignment horizontal="right" vertical="center"/>
    </xf>
    <xf numFmtId="9" fontId="8" fillId="0" borderId="6" xfId="3" applyFont="1" applyFill="1" applyBorder="1" applyAlignment="1">
      <alignment horizontal="right" vertical="center"/>
    </xf>
    <xf numFmtId="4" fontId="8" fillId="0" borderId="6" xfId="0" applyNumberFormat="1" applyFont="1" applyFill="1" applyBorder="1" applyAlignment="1">
      <alignment horizontal="right" vertical="center"/>
    </xf>
    <xf numFmtId="4" fontId="8" fillId="0" borderId="7" xfId="0" applyNumberFormat="1" applyFont="1" applyFill="1" applyBorder="1" applyAlignment="1">
      <alignment horizontal="right" vertical="center"/>
    </xf>
    <xf numFmtId="0" fontId="7" fillId="16" borderId="1" xfId="0" applyNumberFormat="1" applyFont="1" applyFill="1" applyBorder="1" applyAlignment="1">
      <alignment horizontal="center" vertical="center"/>
    </xf>
    <xf numFmtId="3" fontId="7" fillId="16" borderId="1" xfId="0" applyNumberFormat="1" applyFont="1" applyFill="1" applyBorder="1" applyAlignment="1">
      <alignment horizontal="right" vertical="center"/>
    </xf>
    <xf numFmtId="3" fontId="7" fillId="16" borderId="9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2" fillId="10" borderId="19" xfId="0" applyFont="1" applyFill="1" applyBorder="1" applyAlignment="1">
      <alignment horizontal="center" vertical="center" wrapText="1"/>
    </xf>
    <xf numFmtId="0" fontId="12" fillId="10" borderId="20" xfId="0" applyFont="1" applyFill="1" applyBorder="1" applyAlignment="1">
      <alignment horizontal="center" vertical="center" wrapText="1"/>
    </xf>
    <xf numFmtId="0" fontId="12" fillId="10" borderId="2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2" fillId="13" borderId="34" xfId="0" applyFont="1" applyFill="1" applyBorder="1" applyAlignment="1">
      <alignment horizontal="center" vertical="center" wrapText="1"/>
    </xf>
    <xf numFmtId="0" fontId="12" fillId="13" borderId="35" xfId="0" applyFont="1" applyFill="1" applyBorder="1" applyAlignment="1">
      <alignment horizontal="center" vertical="center" wrapText="1"/>
    </xf>
    <xf numFmtId="0" fontId="12" fillId="13" borderId="36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16" fillId="15" borderId="37" xfId="0" applyFont="1" applyFill="1" applyBorder="1" applyAlignment="1">
      <alignment horizontal="left" vertical="center" wrapText="1"/>
    </xf>
    <xf numFmtId="0" fontId="16" fillId="15" borderId="0" xfId="0" applyFont="1" applyFill="1" applyBorder="1" applyAlignment="1">
      <alignment horizontal="left" vertical="center" wrapText="1"/>
    </xf>
    <xf numFmtId="0" fontId="16" fillId="15" borderId="38" xfId="0" applyFont="1" applyFill="1" applyBorder="1" applyAlignment="1">
      <alignment horizontal="left" vertical="center" wrapText="1"/>
    </xf>
    <xf numFmtId="0" fontId="19" fillId="15" borderId="37" xfId="0" applyFont="1" applyFill="1" applyBorder="1" applyAlignment="1">
      <alignment horizontal="left" vertical="center" wrapText="1"/>
    </xf>
    <xf numFmtId="0" fontId="19" fillId="15" borderId="0" xfId="0" applyFont="1" applyFill="1" applyBorder="1" applyAlignment="1">
      <alignment horizontal="left" vertical="center" wrapText="1"/>
    </xf>
    <xf numFmtId="0" fontId="19" fillId="15" borderId="38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/>
    </xf>
  </cellXfs>
  <cellStyles count="4">
    <cellStyle name="Dziesiętny" xfId="1" builtinId="3"/>
    <cellStyle name="Normalny" xfId="0" builtinId="0"/>
    <cellStyle name="Procentowy" xfId="3" builtinId="5"/>
    <cellStyle name="Walutowy" xfId="2" builtinId="4"/>
  </cellStyles>
  <dxfs count="0"/>
  <tableStyles count="0" defaultTableStyle="TableStyleMedium2" defaultPivotStyle="PivotStyleLight16"/>
  <colors>
    <mruColors>
      <color rgb="FF00EA75"/>
      <color rgb="FFCCCCFF"/>
      <color rgb="FF43BC00"/>
      <color rgb="FFC5FFD4"/>
      <color rgb="FF00CC66"/>
      <color rgb="FF00FF00"/>
      <color rgb="FF99FF66"/>
      <color rgb="FFECFAF4"/>
      <color rgb="FFD0F4E4"/>
      <color rgb="FFB0EC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tabSelected="1" zoomScale="55" zoomScaleNormal="55" zoomScaleSheetLayoutView="55" zoomScalePageLayoutView="70" workbookViewId="0">
      <selection activeCell="F2" sqref="F2"/>
    </sheetView>
  </sheetViews>
  <sheetFormatPr defaultRowHeight="24.95" customHeight="1" x14ac:dyDescent="0.2"/>
  <cols>
    <col min="1" max="1" width="3.875" style="3" customWidth="1"/>
    <col min="2" max="2" width="21.5" style="3" customWidth="1"/>
    <col min="3" max="3" width="9.625" style="3" customWidth="1"/>
    <col min="4" max="6" width="10.125" style="3" customWidth="1"/>
    <col min="7" max="9" width="8.375" style="3" customWidth="1"/>
    <col min="10" max="13" width="10.875" style="3" customWidth="1"/>
    <col min="14" max="14" width="23.125" style="3" customWidth="1"/>
    <col min="15" max="20" width="11" style="3" customWidth="1"/>
    <col min="21" max="21" width="17.75" style="3" customWidth="1"/>
    <col min="22" max="24" width="15" style="3" customWidth="1"/>
    <col min="25" max="25" width="25.375" style="3" customWidth="1"/>
    <col min="26" max="26" width="17.375" style="3" customWidth="1"/>
    <col min="27" max="27" width="14.375" style="3" customWidth="1"/>
    <col min="28" max="28" width="10.5" style="3" customWidth="1"/>
    <col min="29" max="29" width="13.25" style="3" customWidth="1"/>
    <col min="30" max="30" width="14.625" style="3" customWidth="1"/>
    <col min="31" max="16384" width="9" style="3"/>
  </cols>
  <sheetData>
    <row r="1" spans="2:30" ht="6.75" customHeight="1" x14ac:dyDescent="0.2"/>
    <row r="2" spans="2:30" ht="29.25" customHeight="1" x14ac:dyDescent="0.2">
      <c r="H2" s="3" t="s">
        <v>59</v>
      </c>
      <c r="AD2" s="17" t="s">
        <v>85</v>
      </c>
    </row>
    <row r="3" spans="2:30" ht="39" customHeight="1" thickBot="1" x14ac:dyDescent="0.25">
      <c r="O3" s="3" t="s">
        <v>59</v>
      </c>
      <c r="Y3" s="5"/>
      <c r="Z3" s="6"/>
      <c r="AA3" s="6"/>
      <c r="AD3" s="17"/>
    </row>
    <row r="4" spans="2:30" ht="57.75" customHeight="1" thickBot="1" x14ac:dyDescent="0.25">
      <c r="B4" s="122" t="s">
        <v>60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4"/>
    </row>
    <row r="5" spans="2:30" ht="38.25" customHeight="1" thickBot="1" x14ac:dyDescent="0.25">
      <c r="B5" s="136" t="s">
        <v>21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8"/>
      <c r="O5" s="140" t="s">
        <v>5</v>
      </c>
      <c r="P5" s="140"/>
      <c r="Q5" s="140"/>
      <c r="R5" s="140"/>
      <c r="S5" s="140"/>
      <c r="T5" s="140"/>
      <c r="U5" s="140"/>
      <c r="V5" s="129" t="s">
        <v>29</v>
      </c>
      <c r="W5" s="130"/>
      <c r="X5" s="130"/>
      <c r="Y5" s="130"/>
      <c r="Z5" s="131"/>
      <c r="AA5" s="120" t="s">
        <v>34</v>
      </c>
      <c r="AB5" s="120"/>
      <c r="AC5" s="120"/>
      <c r="AD5" s="121"/>
    </row>
    <row r="6" spans="2:30" ht="102" customHeight="1" x14ac:dyDescent="0.2">
      <c r="B6" s="112" t="s">
        <v>45</v>
      </c>
      <c r="C6" s="106" t="s">
        <v>1</v>
      </c>
      <c r="D6" s="107"/>
      <c r="E6" s="107"/>
      <c r="F6" s="108"/>
      <c r="G6" s="109" t="s">
        <v>3</v>
      </c>
      <c r="H6" s="109" t="s">
        <v>0</v>
      </c>
      <c r="I6" s="109" t="s">
        <v>6</v>
      </c>
      <c r="J6" s="111" t="s">
        <v>22</v>
      </c>
      <c r="K6" s="111"/>
      <c r="L6" s="111" t="s">
        <v>23</v>
      </c>
      <c r="M6" s="111"/>
      <c r="N6" s="132" t="s">
        <v>58</v>
      </c>
      <c r="O6" s="139" t="s">
        <v>41</v>
      </c>
      <c r="P6" s="111"/>
      <c r="Q6" s="111" t="s">
        <v>42</v>
      </c>
      <c r="R6" s="111"/>
      <c r="S6" s="114" t="s">
        <v>50</v>
      </c>
      <c r="T6" s="115"/>
      <c r="U6" s="132" t="s">
        <v>57</v>
      </c>
      <c r="V6" s="116" t="s">
        <v>2</v>
      </c>
      <c r="W6" s="109" t="s">
        <v>61</v>
      </c>
      <c r="X6" s="118" t="s">
        <v>63</v>
      </c>
      <c r="Y6" s="109" t="s">
        <v>64</v>
      </c>
      <c r="Z6" s="132" t="s">
        <v>65</v>
      </c>
      <c r="AA6" s="125" t="s">
        <v>66</v>
      </c>
      <c r="AB6" s="127" t="s">
        <v>43</v>
      </c>
      <c r="AC6" s="127" t="s">
        <v>67</v>
      </c>
      <c r="AD6" s="134" t="s">
        <v>68</v>
      </c>
    </row>
    <row r="7" spans="2:30" ht="106.5" customHeight="1" thickBot="1" x14ac:dyDescent="0.25">
      <c r="B7" s="113"/>
      <c r="C7" s="22" t="s">
        <v>44</v>
      </c>
      <c r="D7" s="23" t="s">
        <v>20</v>
      </c>
      <c r="E7" s="22" t="s">
        <v>55</v>
      </c>
      <c r="F7" s="23" t="s">
        <v>56</v>
      </c>
      <c r="G7" s="110"/>
      <c r="H7" s="110"/>
      <c r="I7" s="110"/>
      <c r="J7" s="22" t="s">
        <v>44</v>
      </c>
      <c r="K7" s="22" t="s">
        <v>20</v>
      </c>
      <c r="L7" s="22" t="s">
        <v>44</v>
      </c>
      <c r="M7" s="22" t="s">
        <v>20</v>
      </c>
      <c r="N7" s="133"/>
      <c r="O7" s="33" t="s">
        <v>44</v>
      </c>
      <c r="P7" s="23" t="s">
        <v>20</v>
      </c>
      <c r="Q7" s="22" t="s">
        <v>44</v>
      </c>
      <c r="R7" s="22" t="s">
        <v>20</v>
      </c>
      <c r="S7" s="22" t="s">
        <v>44</v>
      </c>
      <c r="T7" s="23" t="s">
        <v>20</v>
      </c>
      <c r="U7" s="133"/>
      <c r="V7" s="117"/>
      <c r="W7" s="110"/>
      <c r="X7" s="119"/>
      <c r="Y7" s="110"/>
      <c r="Z7" s="133"/>
      <c r="AA7" s="126"/>
      <c r="AB7" s="128"/>
      <c r="AC7" s="128"/>
      <c r="AD7" s="135"/>
    </row>
    <row r="8" spans="2:30" ht="19.5" customHeight="1" x14ac:dyDescent="0.2">
      <c r="B8" s="52" t="s">
        <v>7</v>
      </c>
      <c r="C8" s="32" t="s">
        <v>8</v>
      </c>
      <c r="D8" s="32" t="s">
        <v>9</v>
      </c>
      <c r="E8" s="32" t="s">
        <v>10</v>
      </c>
      <c r="F8" s="32" t="s">
        <v>11</v>
      </c>
      <c r="G8" s="32" t="s">
        <v>12</v>
      </c>
      <c r="H8" s="32" t="s">
        <v>13</v>
      </c>
      <c r="I8" s="32" t="s">
        <v>14</v>
      </c>
      <c r="J8" s="32" t="s">
        <v>15</v>
      </c>
      <c r="K8" s="32" t="s">
        <v>16</v>
      </c>
      <c r="L8" s="32" t="s">
        <v>17</v>
      </c>
      <c r="M8" s="32" t="s">
        <v>24</v>
      </c>
      <c r="N8" s="53" t="s">
        <v>25</v>
      </c>
      <c r="O8" s="52" t="s">
        <v>26</v>
      </c>
      <c r="P8" s="32" t="s">
        <v>27</v>
      </c>
      <c r="Q8" s="32" t="s">
        <v>28</v>
      </c>
      <c r="R8" s="32" t="s">
        <v>30</v>
      </c>
      <c r="S8" s="32" t="s">
        <v>31</v>
      </c>
      <c r="T8" s="32" t="s">
        <v>32</v>
      </c>
      <c r="U8" s="53" t="s">
        <v>33</v>
      </c>
      <c r="V8" s="52" t="s">
        <v>35</v>
      </c>
      <c r="W8" s="32" t="s">
        <v>36</v>
      </c>
      <c r="X8" s="32" t="s">
        <v>37</v>
      </c>
      <c r="Y8" s="32" t="s">
        <v>38</v>
      </c>
      <c r="Z8" s="70" t="s">
        <v>39</v>
      </c>
      <c r="AA8" s="52" t="s">
        <v>51</v>
      </c>
      <c r="AB8" s="32" t="s">
        <v>52</v>
      </c>
      <c r="AC8" s="32" t="s">
        <v>53</v>
      </c>
      <c r="AD8" s="53" t="s">
        <v>54</v>
      </c>
    </row>
    <row r="9" spans="2:30" ht="30.75" customHeight="1" x14ac:dyDescent="0.2">
      <c r="B9" s="54" t="s">
        <v>47</v>
      </c>
      <c r="C9" s="13">
        <v>14</v>
      </c>
      <c r="D9" s="13">
        <v>0</v>
      </c>
      <c r="E9" s="31">
        <v>1</v>
      </c>
      <c r="F9" s="31">
        <f>100%-E9</f>
        <v>0</v>
      </c>
      <c r="G9" s="30" t="s">
        <v>4</v>
      </c>
      <c r="H9" s="13">
        <v>12</v>
      </c>
      <c r="I9" s="13" t="s">
        <v>40</v>
      </c>
      <c r="J9" s="24">
        <v>12120</v>
      </c>
      <c r="K9" s="24">
        <v>0</v>
      </c>
      <c r="L9" s="24">
        <v>480</v>
      </c>
      <c r="M9" s="24">
        <v>0</v>
      </c>
      <c r="N9" s="47">
        <f>+J9+K9+L9+M9</f>
        <v>12600</v>
      </c>
      <c r="O9" s="38">
        <v>23.965</v>
      </c>
      <c r="P9" s="39"/>
      <c r="Q9" s="39">
        <v>24.355</v>
      </c>
      <c r="R9" s="39"/>
      <c r="S9" s="21">
        <v>6.49</v>
      </c>
      <c r="T9" s="21"/>
      <c r="U9" s="46">
        <f>+ROUND((J9*O9/100+K9*P9/100+L9*Q9/100+M9*R9/100+C9*H9*S9+D9*H9*T9),2)</f>
        <v>4111.78</v>
      </c>
      <c r="V9" s="49">
        <f>VLOOKUP($B9,'Taryfa PSG'!$B$4:$D$10,2,0)</f>
        <v>6.7640000000000002</v>
      </c>
      <c r="W9" s="27">
        <f>+ROUND(N9*V9/100,2)</f>
        <v>852.26</v>
      </c>
      <c r="X9" s="26">
        <f>VLOOKUP($B9,'Taryfa PSG'!$B$4:$D$10,3,0)</f>
        <v>4.5999999999999996</v>
      </c>
      <c r="Y9" s="15">
        <f>+ROUND((C9+D9)*H9*X9,2)</f>
        <v>772.8</v>
      </c>
      <c r="Z9" s="71">
        <f t="shared" ref="Z9:Z54" si="0">+W9+Y9</f>
        <v>1625.06</v>
      </c>
      <c r="AA9" s="36">
        <f t="shared" ref="AA9:AA54" si="1">+U9+Z9</f>
        <v>5736.84</v>
      </c>
      <c r="AB9" s="34">
        <v>0.23</v>
      </c>
      <c r="AC9" s="35">
        <f>+ROUND(AA9*AB9,2)</f>
        <v>1319.47</v>
      </c>
      <c r="AD9" s="37">
        <f>+AC9+AA9</f>
        <v>7056.31</v>
      </c>
    </row>
    <row r="10" spans="2:30" ht="30.75" customHeight="1" x14ac:dyDescent="0.2">
      <c r="B10" s="54" t="s">
        <v>47</v>
      </c>
      <c r="C10" s="13">
        <v>1</v>
      </c>
      <c r="D10" s="13">
        <v>0</v>
      </c>
      <c r="E10" s="31">
        <v>0.95599999999999996</v>
      </c>
      <c r="F10" s="31">
        <f t="shared" ref="F10" si="2">100%-E10</f>
        <v>4.4000000000000039E-2</v>
      </c>
      <c r="G10" s="30" t="s">
        <v>4</v>
      </c>
      <c r="H10" s="13">
        <v>12</v>
      </c>
      <c r="I10" s="13" t="s">
        <v>40</v>
      </c>
      <c r="J10" s="24">
        <v>344</v>
      </c>
      <c r="K10" s="24">
        <v>16</v>
      </c>
      <c r="L10" s="24">
        <v>0</v>
      </c>
      <c r="M10" s="24">
        <v>0</v>
      </c>
      <c r="N10" s="47">
        <f>+J10+K10+L10+M10</f>
        <v>360</v>
      </c>
      <c r="O10" s="38">
        <v>23.965</v>
      </c>
      <c r="P10" s="39"/>
      <c r="Q10" s="39">
        <v>24.355</v>
      </c>
      <c r="R10" s="39"/>
      <c r="S10" s="21">
        <v>6.49</v>
      </c>
      <c r="T10" s="21"/>
      <c r="U10" s="46">
        <f t="shared" ref="U10" si="3">+ROUND((J10*O10/100+K10*P10/100+L10*Q10/100+M10*R10/100+C10*H10*S10+D10*H10*T10),2)</f>
        <v>160.32</v>
      </c>
      <c r="V10" s="49">
        <f>VLOOKUP($B10,'Taryfa PSG'!$B$4:$D$10,2,0)</f>
        <v>6.7640000000000002</v>
      </c>
      <c r="W10" s="27">
        <f t="shared" ref="W10" si="4">+ROUND(N10*V10/100,2)</f>
        <v>24.35</v>
      </c>
      <c r="X10" s="26">
        <f>VLOOKUP($B10,'Taryfa PSG'!$B$4:$D$10,3,0)</f>
        <v>4.5999999999999996</v>
      </c>
      <c r="Y10" s="15">
        <f t="shared" ref="Y10" si="5">+ROUND((C10+D10)*H10*X10,2)</f>
        <v>55.2</v>
      </c>
      <c r="Z10" s="71">
        <f t="shared" ref="Z10" si="6">+W10+Y10</f>
        <v>79.550000000000011</v>
      </c>
      <c r="AA10" s="36">
        <f t="shared" ref="AA10" si="7">+U10+Z10</f>
        <v>239.87</v>
      </c>
      <c r="AB10" s="34">
        <v>0.23</v>
      </c>
      <c r="AC10" s="35">
        <f t="shared" ref="AC10" si="8">+ROUND(AA10*AB10,2)</f>
        <v>55.17</v>
      </c>
      <c r="AD10" s="37">
        <f t="shared" ref="AD10" si="9">+AC10+AA10</f>
        <v>295.04000000000002</v>
      </c>
    </row>
    <row r="11" spans="2:30" ht="30.75" customHeight="1" x14ac:dyDescent="0.2">
      <c r="B11" s="54" t="s">
        <v>47</v>
      </c>
      <c r="C11" s="13">
        <v>0</v>
      </c>
      <c r="D11" s="13">
        <v>7</v>
      </c>
      <c r="E11" s="31">
        <v>0</v>
      </c>
      <c r="F11" s="31">
        <f t="shared" ref="F11:F54" si="10">100%-E11</f>
        <v>1</v>
      </c>
      <c r="G11" s="30" t="s">
        <v>4</v>
      </c>
      <c r="H11" s="13">
        <v>12</v>
      </c>
      <c r="I11" s="13" t="s">
        <v>40</v>
      </c>
      <c r="J11" s="24">
        <v>0</v>
      </c>
      <c r="K11" s="24">
        <v>6480</v>
      </c>
      <c r="L11" s="24">
        <v>0</v>
      </c>
      <c r="M11" s="24">
        <v>240</v>
      </c>
      <c r="N11" s="47">
        <f>+J11+K11+L11+M11</f>
        <v>6720</v>
      </c>
      <c r="O11" s="38">
        <v>23.965</v>
      </c>
      <c r="P11" s="39"/>
      <c r="Q11" s="39">
        <v>24.355</v>
      </c>
      <c r="R11" s="39"/>
      <c r="S11" s="21">
        <v>6.49</v>
      </c>
      <c r="T11" s="21"/>
      <c r="U11" s="46">
        <f t="shared" ref="U11" si="11">+ROUND((J11*O11/100+K11*P11/100+L11*Q11/100+M11*R11/100+C11*H11*S11+D11*H11*T11),2)</f>
        <v>0</v>
      </c>
      <c r="V11" s="49">
        <f>VLOOKUP($B11,'Taryfa PSG'!$B$4:$D$10,2,0)</f>
        <v>6.7640000000000002</v>
      </c>
      <c r="W11" s="27">
        <f t="shared" ref="W11:W54" si="12">+ROUND(N11*V11/100,2)</f>
        <v>454.54</v>
      </c>
      <c r="X11" s="26">
        <f>VLOOKUP($B11,'Taryfa PSG'!$B$4:$D$10,3,0)</f>
        <v>4.5999999999999996</v>
      </c>
      <c r="Y11" s="15">
        <f t="shared" ref="Y11:Y50" si="13">+ROUND((C11+D11)*H11*X11,2)</f>
        <v>386.4</v>
      </c>
      <c r="Z11" s="71">
        <f t="shared" si="0"/>
        <v>840.94</v>
      </c>
      <c r="AA11" s="36">
        <f t="shared" si="1"/>
        <v>840.94</v>
      </c>
      <c r="AB11" s="34">
        <v>0.23</v>
      </c>
      <c r="AC11" s="35">
        <f t="shared" ref="AC11:AC54" si="14">+ROUND(AA11*AB11,2)</f>
        <v>193.42</v>
      </c>
      <c r="AD11" s="37">
        <f t="shared" ref="AD11" si="15">+AC11+AA11</f>
        <v>1034.3600000000001</v>
      </c>
    </row>
    <row r="12" spans="2:30" ht="30.75" customHeight="1" x14ac:dyDescent="0.2">
      <c r="B12" s="42" t="s">
        <v>48</v>
      </c>
      <c r="C12" s="13">
        <v>28</v>
      </c>
      <c r="D12" s="13">
        <v>0</v>
      </c>
      <c r="E12" s="31">
        <v>1</v>
      </c>
      <c r="F12" s="31">
        <f t="shared" si="10"/>
        <v>0</v>
      </c>
      <c r="G12" s="30" t="s">
        <v>4</v>
      </c>
      <c r="H12" s="13">
        <v>12</v>
      </c>
      <c r="I12" s="13" t="s">
        <v>40</v>
      </c>
      <c r="J12" s="24">
        <v>207280</v>
      </c>
      <c r="K12" s="24">
        <v>0</v>
      </c>
      <c r="L12" s="24">
        <v>32690</v>
      </c>
      <c r="M12" s="24">
        <v>0</v>
      </c>
      <c r="N12" s="47">
        <f t="shared" ref="N12:N15" si="16">+J12+K12+L12+M12</f>
        <v>239970</v>
      </c>
      <c r="O12" s="38">
        <v>23.965</v>
      </c>
      <c r="P12" s="39"/>
      <c r="Q12" s="39">
        <v>24.355</v>
      </c>
      <c r="R12" s="39"/>
      <c r="S12" s="21">
        <v>8.81</v>
      </c>
      <c r="T12" s="21"/>
      <c r="U12" s="46">
        <f t="shared" ref="U12:U15" si="17">+ROUND((J12*O12/100+K12*P12/100+L12*Q12/100+M12*R12/100+C12*H12*S12+D12*H12*T12),2)</f>
        <v>60596.46</v>
      </c>
      <c r="V12" s="49">
        <f>VLOOKUP($B12,'Taryfa PSG'!$B$4:$D$10,2,0)</f>
        <v>4.92</v>
      </c>
      <c r="W12" s="27">
        <f t="shared" si="12"/>
        <v>11806.52</v>
      </c>
      <c r="X12" s="26">
        <f>VLOOKUP($B12,'Taryfa PSG'!$B$4:$D$10,3,0)</f>
        <v>11.7</v>
      </c>
      <c r="Y12" s="15">
        <f t="shared" si="13"/>
        <v>3931.2</v>
      </c>
      <c r="Z12" s="71">
        <f t="shared" si="0"/>
        <v>15737.720000000001</v>
      </c>
      <c r="AA12" s="36">
        <f t="shared" si="1"/>
        <v>76334.179999999993</v>
      </c>
      <c r="AB12" s="34">
        <v>0.23</v>
      </c>
      <c r="AC12" s="35">
        <f t="shared" si="14"/>
        <v>17556.86</v>
      </c>
      <c r="AD12" s="37">
        <f t="shared" ref="AD12:AD15" si="18">+AC12+AA12</f>
        <v>93891.04</v>
      </c>
    </row>
    <row r="13" spans="2:30" ht="30.75" customHeight="1" x14ac:dyDescent="0.2">
      <c r="B13" s="42" t="s">
        <v>48</v>
      </c>
      <c r="C13" s="13">
        <v>1</v>
      </c>
      <c r="D13" s="13">
        <v>0</v>
      </c>
      <c r="E13" s="31">
        <v>0.8</v>
      </c>
      <c r="F13" s="31">
        <f t="shared" si="10"/>
        <v>0.19999999999999996</v>
      </c>
      <c r="G13" s="30" t="s">
        <v>4</v>
      </c>
      <c r="H13" s="13">
        <v>12</v>
      </c>
      <c r="I13" s="13" t="s">
        <v>40</v>
      </c>
      <c r="J13" s="24">
        <v>10368</v>
      </c>
      <c r="K13" s="24">
        <v>2592</v>
      </c>
      <c r="L13" s="24">
        <v>0</v>
      </c>
      <c r="M13" s="24">
        <v>0</v>
      </c>
      <c r="N13" s="47">
        <f t="shared" si="16"/>
        <v>12960</v>
      </c>
      <c r="O13" s="38">
        <v>23.965</v>
      </c>
      <c r="P13" s="39"/>
      <c r="Q13" s="39">
        <v>24.355</v>
      </c>
      <c r="R13" s="39"/>
      <c r="S13" s="21">
        <v>8.81</v>
      </c>
      <c r="T13" s="21"/>
      <c r="U13" s="46">
        <f t="shared" si="17"/>
        <v>2590.41</v>
      </c>
      <c r="V13" s="49">
        <f>VLOOKUP($B13,'Taryfa PSG'!$B$4:$D$10,2,0)</f>
        <v>4.92</v>
      </c>
      <c r="W13" s="27">
        <f t="shared" si="12"/>
        <v>637.63</v>
      </c>
      <c r="X13" s="26">
        <f>VLOOKUP($B13,'Taryfa PSG'!$B$4:$D$10,3,0)</f>
        <v>11.7</v>
      </c>
      <c r="Y13" s="15">
        <f t="shared" si="13"/>
        <v>140.4</v>
      </c>
      <c r="Z13" s="71">
        <f t="shared" si="0"/>
        <v>778.03</v>
      </c>
      <c r="AA13" s="36">
        <f t="shared" si="1"/>
        <v>3368.4399999999996</v>
      </c>
      <c r="AB13" s="34">
        <v>0.23</v>
      </c>
      <c r="AC13" s="35">
        <f t="shared" si="14"/>
        <v>774.74</v>
      </c>
      <c r="AD13" s="37">
        <f t="shared" si="18"/>
        <v>4143.1799999999994</v>
      </c>
    </row>
    <row r="14" spans="2:30" ht="30.75" customHeight="1" x14ac:dyDescent="0.2">
      <c r="B14" s="42" t="s">
        <v>48</v>
      </c>
      <c r="C14" s="13">
        <v>1</v>
      </c>
      <c r="D14" s="13">
        <v>0</v>
      </c>
      <c r="E14" s="31">
        <v>0.76449999999999996</v>
      </c>
      <c r="F14" s="31">
        <f t="shared" si="10"/>
        <v>0.23550000000000004</v>
      </c>
      <c r="G14" s="30" t="s">
        <v>4</v>
      </c>
      <c r="H14" s="13">
        <v>12</v>
      </c>
      <c r="I14" s="13" t="s">
        <v>40</v>
      </c>
      <c r="J14" s="24">
        <v>3211</v>
      </c>
      <c r="K14" s="24">
        <v>989</v>
      </c>
      <c r="L14" s="24">
        <v>0</v>
      </c>
      <c r="M14" s="24">
        <v>0</v>
      </c>
      <c r="N14" s="47">
        <f t="shared" si="16"/>
        <v>4200</v>
      </c>
      <c r="O14" s="38">
        <v>23.965</v>
      </c>
      <c r="P14" s="39"/>
      <c r="Q14" s="39">
        <v>24.355</v>
      </c>
      <c r="R14" s="39"/>
      <c r="S14" s="21">
        <v>8.81</v>
      </c>
      <c r="T14" s="21"/>
      <c r="U14" s="46">
        <f t="shared" si="17"/>
        <v>875.24</v>
      </c>
      <c r="V14" s="49">
        <f>VLOOKUP($B14,'Taryfa PSG'!$B$4:$D$10,2,0)</f>
        <v>4.92</v>
      </c>
      <c r="W14" s="27">
        <f t="shared" si="12"/>
        <v>206.64</v>
      </c>
      <c r="X14" s="26">
        <f>VLOOKUP($B14,'Taryfa PSG'!$B$4:$D$10,3,0)</f>
        <v>11.7</v>
      </c>
      <c r="Y14" s="15">
        <f t="shared" si="13"/>
        <v>140.4</v>
      </c>
      <c r="Z14" s="71">
        <f t="shared" si="0"/>
        <v>347.03999999999996</v>
      </c>
      <c r="AA14" s="36">
        <f t="shared" si="1"/>
        <v>1222.28</v>
      </c>
      <c r="AB14" s="34">
        <v>0.23</v>
      </c>
      <c r="AC14" s="35">
        <f t="shared" si="14"/>
        <v>281.12</v>
      </c>
      <c r="AD14" s="37">
        <f t="shared" si="18"/>
        <v>1503.4</v>
      </c>
    </row>
    <row r="15" spans="2:30" ht="30.75" customHeight="1" x14ac:dyDescent="0.2">
      <c r="B15" s="42" t="s">
        <v>48</v>
      </c>
      <c r="C15" s="13">
        <v>1</v>
      </c>
      <c r="D15" s="13">
        <v>0</v>
      </c>
      <c r="E15" s="31">
        <v>0.56599999999999995</v>
      </c>
      <c r="F15" s="31">
        <f t="shared" si="10"/>
        <v>0.43400000000000005</v>
      </c>
      <c r="G15" s="30" t="s">
        <v>4</v>
      </c>
      <c r="H15" s="13">
        <v>12</v>
      </c>
      <c r="I15" s="13" t="s">
        <v>40</v>
      </c>
      <c r="J15" s="24">
        <v>0</v>
      </c>
      <c r="K15" s="24">
        <v>0</v>
      </c>
      <c r="L15" s="24">
        <v>6724</v>
      </c>
      <c r="M15" s="24">
        <v>5156</v>
      </c>
      <c r="N15" s="47">
        <f t="shared" si="16"/>
        <v>11880</v>
      </c>
      <c r="O15" s="38">
        <v>23.965</v>
      </c>
      <c r="P15" s="39"/>
      <c r="Q15" s="39">
        <v>24.355</v>
      </c>
      <c r="R15" s="39"/>
      <c r="S15" s="21">
        <v>8.81</v>
      </c>
      <c r="T15" s="21"/>
      <c r="U15" s="46">
        <f t="shared" si="17"/>
        <v>1743.35</v>
      </c>
      <c r="V15" s="49">
        <f>VLOOKUP($B15,'Taryfa PSG'!$B$4:$D$10,2,0)</f>
        <v>4.92</v>
      </c>
      <c r="W15" s="27">
        <f t="shared" si="12"/>
        <v>584.5</v>
      </c>
      <c r="X15" s="26">
        <f>VLOOKUP($B15,'Taryfa PSG'!$B$4:$D$10,3,0)</f>
        <v>11.7</v>
      </c>
      <c r="Y15" s="15">
        <f t="shared" si="13"/>
        <v>140.4</v>
      </c>
      <c r="Z15" s="71">
        <f t="shared" si="0"/>
        <v>724.9</v>
      </c>
      <c r="AA15" s="36">
        <f t="shared" si="1"/>
        <v>2468.25</v>
      </c>
      <c r="AB15" s="34">
        <v>0.23</v>
      </c>
      <c r="AC15" s="35">
        <f t="shared" si="14"/>
        <v>567.70000000000005</v>
      </c>
      <c r="AD15" s="37">
        <f t="shared" si="18"/>
        <v>3035.95</v>
      </c>
    </row>
    <row r="16" spans="2:30" ht="30.75" customHeight="1" x14ac:dyDescent="0.2">
      <c r="B16" s="42" t="s">
        <v>48</v>
      </c>
      <c r="C16" s="13">
        <v>1</v>
      </c>
      <c r="D16" s="13">
        <v>0</v>
      </c>
      <c r="E16" s="31">
        <v>0.22</v>
      </c>
      <c r="F16" s="31">
        <f t="shared" ref="F16:F17" si="19">100%-E16</f>
        <v>0.78</v>
      </c>
      <c r="G16" s="30" t="s">
        <v>4</v>
      </c>
      <c r="H16" s="13">
        <v>12</v>
      </c>
      <c r="I16" s="13" t="s">
        <v>40</v>
      </c>
      <c r="J16" s="24">
        <v>0</v>
      </c>
      <c r="K16" s="24">
        <v>0</v>
      </c>
      <c r="L16" s="24">
        <v>792</v>
      </c>
      <c r="M16" s="24">
        <v>2808</v>
      </c>
      <c r="N16" s="47">
        <f t="shared" ref="N16:N17" si="20">+J16+K16+L16+M16</f>
        <v>3600</v>
      </c>
      <c r="O16" s="38">
        <v>23.965</v>
      </c>
      <c r="P16" s="39"/>
      <c r="Q16" s="39">
        <v>24.355</v>
      </c>
      <c r="R16" s="39"/>
      <c r="S16" s="21">
        <v>8.81</v>
      </c>
      <c r="T16" s="21"/>
      <c r="U16" s="46">
        <f t="shared" ref="U16:U17" si="21">+ROUND((J16*O16/100+K16*P16/100+L16*Q16/100+M16*R16/100+C16*H16*S16+D16*H16*T16),2)</f>
        <v>298.61</v>
      </c>
      <c r="V16" s="49">
        <f>VLOOKUP($B16,'Taryfa PSG'!$B$4:$D$10,2,0)</f>
        <v>4.92</v>
      </c>
      <c r="W16" s="27">
        <f t="shared" ref="W16:W17" si="22">+ROUND(N16*V16/100,2)</f>
        <v>177.12</v>
      </c>
      <c r="X16" s="26">
        <f>VLOOKUP($B16,'Taryfa PSG'!$B$4:$D$10,3,0)</f>
        <v>11.7</v>
      </c>
      <c r="Y16" s="15">
        <f t="shared" ref="Y16:Y17" si="23">+ROUND((C16+D16)*H16*X16,2)</f>
        <v>140.4</v>
      </c>
      <c r="Z16" s="71">
        <f t="shared" ref="Z16:Z17" si="24">+W16+Y16</f>
        <v>317.52</v>
      </c>
      <c r="AA16" s="36">
        <f t="shared" ref="AA16:AA17" si="25">+U16+Z16</f>
        <v>616.13</v>
      </c>
      <c r="AB16" s="34">
        <v>0.23</v>
      </c>
      <c r="AC16" s="35">
        <f t="shared" ref="AC16:AC17" si="26">+ROUND(AA16*AB16,2)</f>
        <v>141.71</v>
      </c>
      <c r="AD16" s="37">
        <f t="shared" ref="AD16:AD17" si="27">+AC16+AA16</f>
        <v>757.84</v>
      </c>
    </row>
    <row r="17" spans="2:30" ht="30.75" customHeight="1" x14ac:dyDescent="0.2">
      <c r="B17" s="42" t="s">
        <v>48</v>
      </c>
      <c r="C17" s="13">
        <v>1</v>
      </c>
      <c r="D17" s="13">
        <v>0</v>
      </c>
      <c r="E17" s="31">
        <v>0.16400000000000001</v>
      </c>
      <c r="F17" s="31">
        <f t="shared" si="19"/>
        <v>0.83599999999999997</v>
      </c>
      <c r="G17" s="30" t="s">
        <v>4</v>
      </c>
      <c r="H17" s="13">
        <v>12</v>
      </c>
      <c r="I17" s="13" t="s">
        <v>40</v>
      </c>
      <c r="J17" s="24">
        <v>0</v>
      </c>
      <c r="K17" s="24">
        <v>0</v>
      </c>
      <c r="L17" s="24">
        <v>1909</v>
      </c>
      <c r="M17" s="24">
        <v>9731</v>
      </c>
      <c r="N17" s="47">
        <f t="shared" si="20"/>
        <v>11640</v>
      </c>
      <c r="O17" s="38">
        <v>23.965</v>
      </c>
      <c r="P17" s="39"/>
      <c r="Q17" s="39">
        <v>24.355</v>
      </c>
      <c r="R17" s="39"/>
      <c r="S17" s="21">
        <v>8.81</v>
      </c>
      <c r="T17" s="21"/>
      <c r="U17" s="46">
        <f t="shared" si="21"/>
        <v>570.66</v>
      </c>
      <c r="V17" s="49">
        <f>VLOOKUP($B17,'Taryfa PSG'!$B$4:$D$10,2,0)</f>
        <v>4.92</v>
      </c>
      <c r="W17" s="27">
        <f t="shared" si="22"/>
        <v>572.69000000000005</v>
      </c>
      <c r="X17" s="26">
        <f>VLOOKUP($B17,'Taryfa PSG'!$B$4:$D$10,3,0)</f>
        <v>11.7</v>
      </c>
      <c r="Y17" s="15">
        <f t="shared" si="23"/>
        <v>140.4</v>
      </c>
      <c r="Z17" s="71">
        <f t="shared" si="24"/>
        <v>713.09</v>
      </c>
      <c r="AA17" s="36">
        <f t="shared" si="25"/>
        <v>1283.75</v>
      </c>
      <c r="AB17" s="34">
        <v>0.23</v>
      </c>
      <c r="AC17" s="35">
        <f t="shared" si="26"/>
        <v>295.26</v>
      </c>
      <c r="AD17" s="37">
        <f t="shared" si="27"/>
        <v>1579.01</v>
      </c>
    </row>
    <row r="18" spans="2:30" ht="30.75" customHeight="1" x14ac:dyDescent="0.2">
      <c r="B18" s="42" t="s">
        <v>48</v>
      </c>
      <c r="C18" s="13">
        <v>0</v>
      </c>
      <c r="D18" s="13">
        <v>5</v>
      </c>
      <c r="E18" s="31">
        <v>0</v>
      </c>
      <c r="F18" s="31">
        <f t="shared" si="10"/>
        <v>1</v>
      </c>
      <c r="G18" s="30" t="s">
        <v>4</v>
      </c>
      <c r="H18" s="13">
        <v>12</v>
      </c>
      <c r="I18" s="13" t="s">
        <v>40</v>
      </c>
      <c r="J18" s="24">
        <v>0</v>
      </c>
      <c r="K18" s="24">
        <v>23350</v>
      </c>
      <c r="L18" s="24">
        <v>0</v>
      </c>
      <c r="M18" s="24">
        <v>29330</v>
      </c>
      <c r="N18" s="47">
        <f t="shared" ref="N18" si="28">+J18+K18+L18+M18</f>
        <v>52680</v>
      </c>
      <c r="O18" s="38">
        <v>23.965</v>
      </c>
      <c r="P18" s="39"/>
      <c r="Q18" s="39">
        <v>24.355</v>
      </c>
      <c r="R18" s="39"/>
      <c r="S18" s="21">
        <v>8.81</v>
      </c>
      <c r="T18" s="21"/>
      <c r="U18" s="46">
        <f t="shared" ref="U18" si="29">+ROUND((J18*O18/100+K18*P18/100+L18*Q18/100+M18*R18/100+C18*H18*S18+D18*H18*T18),2)</f>
        <v>0</v>
      </c>
      <c r="V18" s="49">
        <f>VLOOKUP($B18,'Taryfa PSG'!$B$4:$D$10,2,0)</f>
        <v>4.92</v>
      </c>
      <c r="W18" s="27">
        <f t="shared" si="12"/>
        <v>2591.86</v>
      </c>
      <c r="X18" s="26">
        <f>VLOOKUP($B18,'Taryfa PSG'!$B$4:$D$10,3,0)</f>
        <v>11.7</v>
      </c>
      <c r="Y18" s="15">
        <f t="shared" si="13"/>
        <v>702</v>
      </c>
      <c r="Z18" s="71">
        <f t="shared" si="0"/>
        <v>3293.86</v>
      </c>
      <c r="AA18" s="36">
        <f t="shared" si="1"/>
        <v>3293.86</v>
      </c>
      <c r="AB18" s="34">
        <v>0.23</v>
      </c>
      <c r="AC18" s="35">
        <f t="shared" si="14"/>
        <v>757.59</v>
      </c>
      <c r="AD18" s="37">
        <f t="shared" ref="AD18" si="30">+AC18+AA18</f>
        <v>4051.4500000000003</v>
      </c>
    </row>
    <row r="19" spans="2:30" ht="30.75" customHeight="1" x14ac:dyDescent="0.2">
      <c r="B19" s="41" t="s">
        <v>49</v>
      </c>
      <c r="C19" s="103">
        <v>44</v>
      </c>
      <c r="D19" s="13">
        <v>0</v>
      </c>
      <c r="E19" s="31">
        <v>1</v>
      </c>
      <c r="F19" s="31">
        <f t="shared" si="10"/>
        <v>0</v>
      </c>
      <c r="G19" s="30" t="s">
        <v>4</v>
      </c>
      <c r="H19" s="13">
        <v>12</v>
      </c>
      <c r="I19" s="13" t="s">
        <v>40</v>
      </c>
      <c r="J19" s="104">
        <v>1685590</v>
      </c>
      <c r="K19" s="104">
        <v>0</v>
      </c>
      <c r="L19" s="104">
        <v>389870</v>
      </c>
      <c r="M19" s="104">
        <v>0</v>
      </c>
      <c r="N19" s="105">
        <f t="shared" ref="N19:N40" si="31">+J19+K19+L19+M19</f>
        <v>2075460</v>
      </c>
      <c r="O19" s="38">
        <v>23.965</v>
      </c>
      <c r="P19" s="39"/>
      <c r="Q19" s="39">
        <v>24.355</v>
      </c>
      <c r="R19" s="39"/>
      <c r="S19" s="21">
        <v>10.02</v>
      </c>
      <c r="T19" s="21"/>
      <c r="U19" s="46">
        <f t="shared" ref="U19:U40" si="32">+ROUND((J19*O19/100+K19*P19/100+L19*Q19/100+M19*R19/100+C19*H19*S19+D19*H19*T19),2)</f>
        <v>504195.04</v>
      </c>
      <c r="V19" s="49">
        <f>VLOOKUP($B19,'Taryfa PSG'!$B$4:$D$10,2,0)</f>
        <v>3.6890000000000001</v>
      </c>
      <c r="W19" s="27">
        <f t="shared" si="12"/>
        <v>76563.72</v>
      </c>
      <c r="X19" s="26">
        <f>VLOOKUP($B19,'Taryfa PSG'!$B$4:$D$10,3,0)</f>
        <v>45.19</v>
      </c>
      <c r="Y19" s="15">
        <f t="shared" si="13"/>
        <v>23860.32</v>
      </c>
      <c r="Z19" s="71">
        <f t="shared" si="0"/>
        <v>100424.04000000001</v>
      </c>
      <c r="AA19" s="36">
        <f t="shared" si="1"/>
        <v>604619.07999999996</v>
      </c>
      <c r="AB19" s="34">
        <v>0.23</v>
      </c>
      <c r="AC19" s="35">
        <f t="shared" si="14"/>
        <v>139062.39000000001</v>
      </c>
      <c r="AD19" s="37">
        <f t="shared" ref="AD19:AD40" si="33">+AC19+AA19</f>
        <v>743681.47</v>
      </c>
    </row>
    <row r="20" spans="2:30" ht="30.75" customHeight="1" x14ac:dyDescent="0.2">
      <c r="B20" s="41" t="s">
        <v>49</v>
      </c>
      <c r="C20" s="13">
        <v>1</v>
      </c>
      <c r="D20" s="13">
        <v>0</v>
      </c>
      <c r="E20" s="31">
        <v>0.99990000000000001</v>
      </c>
      <c r="F20" s="31">
        <f t="shared" si="10"/>
        <v>9.9999999999988987E-5</v>
      </c>
      <c r="G20" s="30" t="s">
        <v>4</v>
      </c>
      <c r="H20" s="13">
        <v>12</v>
      </c>
      <c r="I20" s="13" t="s">
        <v>40</v>
      </c>
      <c r="J20" s="24">
        <v>0</v>
      </c>
      <c r="K20" s="24">
        <v>0</v>
      </c>
      <c r="L20" s="24">
        <v>23178</v>
      </c>
      <c r="M20" s="24">
        <v>2</v>
      </c>
      <c r="N20" s="47">
        <f t="shared" si="31"/>
        <v>23180</v>
      </c>
      <c r="O20" s="38">
        <v>23.965</v>
      </c>
      <c r="P20" s="39"/>
      <c r="Q20" s="39">
        <v>24.355</v>
      </c>
      <c r="R20" s="39"/>
      <c r="S20" s="21">
        <v>10.02</v>
      </c>
      <c r="T20" s="21"/>
      <c r="U20" s="46">
        <f t="shared" si="32"/>
        <v>5765.24</v>
      </c>
      <c r="V20" s="49">
        <f>VLOOKUP($B20,'Taryfa PSG'!$B$4:$D$10,2,0)</f>
        <v>3.6890000000000001</v>
      </c>
      <c r="W20" s="27">
        <f t="shared" si="12"/>
        <v>855.11</v>
      </c>
      <c r="X20" s="26">
        <f>VLOOKUP($B20,'Taryfa PSG'!$B$4:$D$10,3,0)</f>
        <v>45.19</v>
      </c>
      <c r="Y20" s="15">
        <f t="shared" si="13"/>
        <v>542.28</v>
      </c>
      <c r="Z20" s="71">
        <f t="shared" si="0"/>
        <v>1397.3899999999999</v>
      </c>
      <c r="AA20" s="36">
        <f t="shared" si="1"/>
        <v>7162.6299999999992</v>
      </c>
      <c r="AB20" s="34">
        <v>0.23</v>
      </c>
      <c r="AC20" s="35">
        <f t="shared" si="14"/>
        <v>1647.4</v>
      </c>
      <c r="AD20" s="37">
        <f t="shared" si="33"/>
        <v>8810.0299999999988</v>
      </c>
    </row>
    <row r="21" spans="2:30" ht="30.75" customHeight="1" x14ac:dyDescent="0.2">
      <c r="B21" s="41" t="s">
        <v>49</v>
      </c>
      <c r="C21" s="13">
        <v>1</v>
      </c>
      <c r="D21" s="13">
        <v>0</v>
      </c>
      <c r="E21" s="51">
        <v>0.99970000000000003</v>
      </c>
      <c r="F21" s="31">
        <f t="shared" si="10"/>
        <v>2.9999999999996696E-4</v>
      </c>
      <c r="G21" s="30" t="s">
        <v>4</v>
      </c>
      <c r="H21" s="13">
        <v>12</v>
      </c>
      <c r="I21" s="13" t="s">
        <v>40</v>
      </c>
      <c r="J21" s="24">
        <v>0</v>
      </c>
      <c r="K21" s="24">
        <v>0</v>
      </c>
      <c r="L21" s="24">
        <v>38239</v>
      </c>
      <c r="M21" s="24">
        <v>11</v>
      </c>
      <c r="N21" s="47">
        <f t="shared" si="31"/>
        <v>38250</v>
      </c>
      <c r="O21" s="38">
        <v>23.965</v>
      </c>
      <c r="P21" s="39"/>
      <c r="Q21" s="39">
        <v>24.355</v>
      </c>
      <c r="R21" s="39"/>
      <c r="S21" s="21">
        <v>10.02</v>
      </c>
      <c r="T21" s="21"/>
      <c r="U21" s="46">
        <f t="shared" si="32"/>
        <v>9433.35</v>
      </c>
      <c r="V21" s="49">
        <f>VLOOKUP($B21,'Taryfa PSG'!$B$4:$D$10,2,0)</f>
        <v>3.6890000000000001</v>
      </c>
      <c r="W21" s="27">
        <f t="shared" ref="W21:W40" si="34">+ROUND(N21*V21/100,2)</f>
        <v>1411.04</v>
      </c>
      <c r="X21" s="26">
        <f>VLOOKUP($B21,'Taryfa PSG'!$B$4:$D$10,3,0)</f>
        <v>45.19</v>
      </c>
      <c r="Y21" s="15">
        <f t="shared" ref="Y21:Y40" si="35">+ROUND((C21+D21)*H21*X21,2)</f>
        <v>542.28</v>
      </c>
      <c r="Z21" s="71">
        <f t="shared" si="0"/>
        <v>1953.32</v>
      </c>
      <c r="AA21" s="36">
        <f t="shared" si="1"/>
        <v>11386.67</v>
      </c>
      <c r="AB21" s="34">
        <v>0.23</v>
      </c>
      <c r="AC21" s="35">
        <f t="shared" si="14"/>
        <v>2618.9299999999998</v>
      </c>
      <c r="AD21" s="37">
        <f t="shared" si="33"/>
        <v>14005.6</v>
      </c>
    </row>
    <row r="22" spans="2:30" ht="30.75" customHeight="1" x14ac:dyDescent="0.2">
      <c r="B22" s="41" t="s">
        <v>49</v>
      </c>
      <c r="C22" s="13">
        <v>1</v>
      </c>
      <c r="D22" s="13">
        <v>0</v>
      </c>
      <c r="E22" s="51">
        <v>0.97</v>
      </c>
      <c r="F22" s="31">
        <f t="shared" si="10"/>
        <v>3.0000000000000027E-2</v>
      </c>
      <c r="G22" s="30" t="s">
        <v>4</v>
      </c>
      <c r="H22" s="13">
        <v>12</v>
      </c>
      <c r="I22" s="13" t="s">
        <v>40</v>
      </c>
      <c r="J22" s="24">
        <v>0</v>
      </c>
      <c r="K22" s="24">
        <v>0</v>
      </c>
      <c r="L22" s="24">
        <v>33960</v>
      </c>
      <c r="M22" s="24">
        <v>1050</v>
      </c>
      <c r="N22" s="47">
        <f t="shared" si="31"/>
        <v>35010</v>
      </c>
      <c r="O22" s="38">
        <v>23.965</v>
      </c>
      <c r="P22" s="39"/>
      <c r="Q22" s="39">
        <v>24.355</v>
      </c>
      <c r="R22" s="39"/>
      <c r="S22" s="21">
        <v>10.02</v>
      </c>
      <c r="T22" s="21"/>
      <c r="U22" s="46">
        <f t="shared" si="32"/>
        <v>8391.2000000000007</v>
      </c>
      <c r="V22" s="49">
        <f>VLOOKUP($B22,'Taryfa PSG'!$B$4:$D$10,2,0)</f>
        <v>3.6890000000000001</v>
      </c>
      <c r="W22" s="27">
        <f t="shared" si="34"/>
        <v>1291.52</v>
      </c>
      <c r="X22" s="26">
        <f>VLOOKUP($B22,'Taryfa PSG'!$B$4:$D$10,3,0)</f>
        <v>45.19</v>
      </c>
      <c r="Y22" s="15">
        <f t="shared" si="35"/>
        <v>542.28</v>
      </c>
      <c r="Z22" s="71">
        <f t="shared" si="0"/>
        <v>1833.8</v>
      </c>
      <c r="AA22" s="36">
        <f t="shared" si="1"/>
        <v>10225</v>
      </c>
      <c r="AB22" s="34">
        <v>0.23</v>
      </c>
      <c r="AC22" s="35">
        <f t="shared" si="14"/>
        <v>2351.75</v>
      </c>
      <c r="AD22" s="37">
        <f t="shared" si="33"/>
        <v>12576.75</v>
      </c>
    </row>
    <row r="23" spans="2:30" ht="30.75" customHeight="1" x14ac:dyDescent="0.2">
      <c r="B23" s="41" t="s">
        <v>49</v>
      </c>
      <c r="C23" s="13">
        <v>1</v>
      </c>
      <c r="D23" s="13">
        <v>0</v>
      </c>
      <c r="E23" s="51">
        <v>0.96760000000000002</v>
      </c>
      <c r="F23" s="31">
        <f t="shared" ref="F23:F34" si="36">100%-E23</f>
        <v>3.2399999999999984E-2</v>
      </c>
      <c r="G23" s="30" t="s">
        <v>4</v>
      </c>
      <c r="H23" s="13">
        <v>12</v>
      </c>
      <c r="I23" s="13" t="s">
        <v>40</v>
      </c>
      <c r="J23" s="24">
        <v>0</v>
      </c>
      <c r="K23" s="24">
        <v>0</v>
      </c>
      <c r="L23" s="24">
        <v>63823</v>
      </c>
      <c r="M23" s="24">
        <v>2137</v>
      </c>
      <c r="N23" s="47">
        <f t="shared" ref="N23:N34" si="37">+J23+K23+L23+M23</f>
        <v>65960</v>
      </c>
      <c r="O23" s="38">
        <v>23.965</v>
      </c>
      <c r="P23" s="39"/>
      <c r="Q23" s="39">
        <v>24.355</v>
      </c>
      <c r="R23" s="39"/>
      <c r="S23" s="21">
        <v>10.02</v>
      </c>
      <c r="T23" s="21"/>
      <c r="U23" s="46">
        <f t="shared" ref="U23:U34" si="38">+ROUND((J23*O23/100+K23*P23/100+L23*Q23/100+M23*R23/100+C23*H23*S23+D23*H23*T23),2)</f>
        <v>15664.33</v>
      </c>
      <c r="V23" s="49">
        <f>VLOOKUP($B23,'Taryfa PSG'!$B$4:$D$10,2,0)</f>
        <v>3.6890000000000001</v>
      </c>
      <c r="W23" s="27">
        <f t="shared" ref="W23:W34" si="39">+ROUND(N23*V23/100,2)</f>
        <v>2433.2600000000002</v>
      </c>
      <c r="X23" s="26">
        <f>VLOOKUP($B23,'Taryfa PSG'!$B$4:$D$10,3,0)</f>
        <v>45.19</v>
      </c>
      <c r="Y23" s="15">
        <f t="shared" ref="Y23:Y34" si="40">+ROUND((C23+D23)*H23*X23,2)</f>
        <v>542.28</v>
      </c>
      <c r="Z23" s="71">
        <f t="shared" ref="Z23:Z34" si="41">+W23+Y23</f>
        <v>2975.54</v>
      </c>
      <c r="AA23" s="36">
        <f t="shared" ref="AA23:AA34" si="42">+U23+Z23</f>
        <v>18639.87</v>
      </c>
      <c r="AB23" s="34">
        <v>0.23</v>
      </c>
      <c r="AC23" s="35">
        <f t="shared" ref="AC23:AC34" si="43">+ROUND(AA23*AB23,2)</f>
        <v>4287.17</v>
      </c>
      <c r="AD23" s="37">
        <f t="shared" ref="AD23:AD34" si="44">+AC23+AA23</f>
        <v>22927.040000000001</v>
      </c>
    </row>
    <row r="24" spans="2:30" ht="30.75" customHeight="1" x14ac:dyDescent="0.2">
      <c r="B24" s="41" t="s">
        <v>49</v>
      </c>
      <c r="C24" s="13">
        <v>1</v>
      </c>
      <c r="D24" s="13">
        <v>0</v>
      </c>
      <c r="E24" s="51">
        <v>0.89910000000000001</v>
      </c>
      <c r="F24" s="31">
        <f t="shared" ref="F24:F32" si="45">100%-E24</f>
        <v>0.10089999999999999</v>
      </c>
      <c r="G24" s="30" t="s">
        <v>4</v>
      </c>
      <c r="H24" s="13">
        <v>12</v>
      </c>
      <c r="I24" s="13" t="s">
        <v>40</v>
      </c>
      <c r="J24" s="24">
        <v>72701</v>
      </c>
      <c r="K24" s="24">
        <v>8159</v>
      </c>
      <c r="L24" s="24">
        <v>0</v>
      </c>
      <c r="M24" s="24">
        <v>0</v>
      </c>
      <c r="N24" s="47">
        <f t="shared" ref="N24:N32" si="46">+J24+K24+L24+M24</f>
        <v>80860</v>
      </c>
      <c r="O24" s="38">
        <v>23.965</v>
      </c>
      <c r="P24" s="39"/>
      <c r="Q24" s="39">
        <v>24.355</v>
      </c>
      <c r="R24" s="39"/>
      <c r="S24" s="21">
        <v>10.02</v>
      </c>
      <c r="T24" s="21"/>
      <c r="U24" s="46">
        <f t="shared" ref="U24:U32" si="47">+ROUND((J24*O24/100+K24*P24/100+L24*Q24/100+M24*R24/100+C24*H24*S24+D24*H24*T24),2)</f>
        <v>17543.03</v>
      </c>
      <c r="V24" s="49">
        <f>VLOOKUP($B24,'Taryfa PSG'!$B$4:$D$10,2,0)</f>
        <v>3.6890000000000001</v>
      </c>
      <c r="W24" s="27">
        <f t="shared" ref="W24:W32" si="48">+ROUND(N24*V24/100,2)</f>
        <v>2982.93</v>
      </c>
      <c r="X24" s="26">
        <f>VLOOKUP($B24,'Taryfa PSG'!$B$4:$D$10,3,0)</f>
        <v>45.19</v>
      </c>
      <c r="Y24" s="15">
        <f t="shared" ref="Y24:Y32" si="49">+ROUND((C24+D24)*H24*X24,2)</f>
        <v>542.28</v>
      </c>
      <c r="Z24" s="71">
        <f t="shared" ref="Z24:Z32" si="50">+W24+Y24</f>
        <v>3525.21</v>
      </c>
      <c r="AA24" s="36">
        <f t="shared" ref="AA24:AA32" si="51">+U24+Z24</f>
        <v>21068.239999999998</v>
      </c>
      <c r="AB24" s="34">
        <v>0.23</v>
      </c>
      <c r="AC24" s="35">
        <f t="shared" ref="AC24:AC32" si="52">+ROUND(AA24*AB24,2)</f>
        <v>4845.7</v>
      </c>
      <c r="AD24" s="37">
        <f t="shared" ref="AD24:AD32" si="53">+AC24+AA24</f>
        <v>25913.94</v>
      </c>
    </row>
    <row r="25" spans="2:30" ht="30.75" customHeight="1" x14ac:dyDescent="0.2">
      <c r="B25" s="41" t="s">
        <v>49</v>
      </c>
      <c r="C25" s="13">
        <v>2</v>
      </c>
      <c r="D25" s="13">
        <v>0</v>
      </c>
      <c r="E25" s="51">
        <v>0.8</v>
      </c>
      <c r="F25" s="31">
        <f t="shared" si="45"/>
        <v>0.19999999999999996</v>
      </c>
      <c r="G25" s="30" t="s">
        <v>4</v>
      </c>
      <c r="H25" s="13">
        <v>12</v>
      </c>
      <c r="I25" s="13" t="s">
        <v>40</v>
      </c>
      <c r="J25" s="24">
        <v>36880</v>
      </c>
      <c r="K25" s="24">
        <v>9220</v>
      </c>
      <c r="L25" s="24">
        <v>0</v>
      </c>
      <c r="M25" s="24">
        <v>0</v>
      </c>
      <c r="N25" s="47">
        <f t="shared" si="46"/>
        <v>46100</v>
      </c>
      <c r="O25" s="38">
        <v>23.965</v>
      </c>
      <c r="P25" s="39"/>
      <c r="Q25" s="39">
        <v>24.355</v>
      </c>
      <c r="R25" s="39"/>
      <c r="S25" s="21">
        <v>10.02</v>
      </c>
      <c r="T25" s="21"/>
      <c r="U25" s="46">
        <f t="shared" si="47"/>
        <v>9078.77</v>
      </c>
      <c r="V25" s="49">
        <f>VLOOKUP($B25,'Taryfa PSG'!$B$4:$D$10,2,0)</f>
        <v>3.6890000000000001</v>
      </c>
      <c r="W25" s="27">
        <f t="shared" si="48"/>
        <v>1700.63</v>
      </c>
      <c r="X25" s="26">
        <f>VLOOKUP($B25,'Taryfa PSG'!$B$4:$D$10,3,0)</f>
        <v>45.19</v>
      </c>
      <c r="Y25" s="15">
        <f t="shared" si="49"/>
        <v>1084.56</v>
      </c>
      <c r="Z25" s="71">
        <f t="shared" si="50"/>
        <v>2785.19</v>
      </c>
      <c r="AA25" s="36">
        <f t="shared" si="51"/>
        <v>11863.960000000001</v>
      </c>
      <c r="AB25" s="34">
        <v>0.23</v>
      </c>
      <c r="AC25" s="35">
        <f t="shared" si="52"/>
        <v>2728.71</v>
      </c>
      <c r="AD25" s="37">
        <f t="shared" si="53"/>
        <v>14592.670000000002</v>
      </c>
    </row>
    <row r="26" spans="2:30" ht="30.75" customHeight="1" x14ac:dyDescent="0.2">
      <c r="B26" s="41" t="s">
        <v>49</v>
      </c>
      <c r="C26" s="13">
        <v>1</v>
      </c>
      <c r="D26" s="13">
        <v>0</v>
      </c>
      <c r="E26" s="51">
        <v>0.71950000000000003</v>
      </c>
      <c r="F26" s="31">
        <f t="shared" si="45"/>
        <v>0.28049999999999997</v>
      </c>
      <c r="G26" s="30" t="s">
        <v>4</v>
      </c>
      <c r="H26" s="13">
        <v>12</v>
      </c>
      <c r="I26" s="13" t="s">
        <v>40</v>
      </c>
      <c r="J26" s="24">
        <v>18282</v>
      </c>
      <c r="K26" s="24">
        <v>7128</v>
      </c>
      <c r="L26" s="24">
        <v>0</v>
      </c>
      <c r="M26" s="24">
        <v>0</v>
      </c>
      <c r="N26" s="47">
        <f t="shared" si="46"/>
        <v>25410</v>
      </c>
      <c r="O26" s="38">
        <v>23.965</v>
      </c>
      <c r="P26" s="39"/>
      <c r="Q26" s="39">
        <v>24.355</v>
      </c>
      <c r="R26" s="39"/>
      <c r="S26" s="21">
        <v>10.02</v>
      </c>
      <c r="T26" s="21"/>
      <c r="U26" s="46">
        <f t="shared" si="47"/>
        <v>4501.5200000000004</v>
      </c>
      <c r="V26" s="49">
        <f>VLOOKUP($B26,'Taryfa PSG'!$B$4:$D$10,2,0)</f>
        <v>3.6890000000000001</v>
      </c>
      <c r="W26" s="27">
        <f t="shared" si="48"/>
        <v>937.37</v>
      </c>
      <c r="X26" s="26">
        <f>VLOOKUP($B26,'Taryfa PSG'!$B$4:$D$10,3,0)</f>
        <v>45.19</v>
      </c>
      <c r="Y26" s="15">
        <f t="shared" si="49"/>
        <v>542.28</v>
      </c>
      <c r="Z26" s="71">
        <f t="shared" si="50"/>
        <v>1479.65</v>
      </c>
      <c r="AA26" s="36">
        <f t="shared" si="51"/>
        <v>5981.17</v>
      </c>
      <c r="AB26" s="34">
        <v>0.23</v>
      </c>
      <c r="AC26" s="35">
        <f t="shared" si="52"/>
        <v>1375.67</v>
      </c>
      <c r="AD26" s="37">
        <f t="shared" si="53"/>
        <v>7356.84</v>
      </c>
    </row>
    <row r="27" spans="2:30" ht="30.75" customHeight="1" x14ac:dyDescent="0.2">
      <c r="B27" s="41" t="s">
        <v>49</v>
      </c>
      <c r="C27" s="13">
        <v>1</v>
      </c>
      <c r="D27" s="13">
        <v>0</v>
      </c>
      <c r="E27" s="51">
        <v>0.61009999999999998</v>
      </c>
      <c r="F27" s="31">
        <f t="shared" si="45"/>
        <v>0.38990000000000002</v>
      </c>
      <c r="G27" s="30" t="s">
        <v>4</v>
      </c>
      <c r="H27" s="13">
        <v>12</v>
      </c>
      <c r="I27" s="13" t="s">
        <v>40</v>
      </c>
      <c r="J27" s="24">
        <v>14325</v>
      </c>
      <c r="K27" s="24">
        <v>9155</v>
      </c>
      <c r="L27" s="24">
        <v>0</v>
      </c>
      <c r="M27" s="24">
        <v>0</v>
      </c>
      <c r="N27" s="47">
        <f t="shared" si="46"/>
        <v>23480</v>
      </c>
      <c r="O27" s="38">
        <v>23.965</v>
      </c>
      <c r="P27" s="39"/>
      <c r="Q27" s="39">
        <v>24.355</v>
      </c>
      <c r="R27" s="39"/>
      <c r="S27" s="21">
        <v>10.02</v>
      </c>
      <c r="T27" s="21"/>
      <c r="U27" s="46">
        <f t="shared" si="47"/>
        <v>3553.23</v>
      </c>
      <c r="V27" s="49">
        <f>VLOOKUP($B27,'Taryfa PSG'!$B$4:$D$10,2,0)</f>
        <v>3.6890000000000001</v>
      </c>
      <c r="W27" s="27">
        <f t="shared" si="48"/>
        <v>866.18</v>
      </c>
      <c r="X27" s="26">
        <f>VLOOKUP($B27,'Taryfa PSG'!$B$4:$D$10,3,0)</f>
        <v>45.19</v>
      </c>
      <c r="Y27" s="15">
        <f t="shared" si="49"/>
        <v>542.28</v>
      </c>
      <c r="Z27" s="71">
        <f t="shared" si="50"/>
        <v>1408.46</v>
      </c>
      <c r="AA27" s="36">
        <f t="shared" si="51"/>
        <v>4961.6900000000005</v>
      </c>
      <c r="AB27" s="34">
        <v>0.23</v>
      </c>
      <c r="AC27" s="35">
        <f t="shared" si="52"/>
        <v>1141.19</v>
      </c>
      <c r="AD27" s="37">
        <f t="shared" si="53"/>
        <v>6102.880000000001</v>
      </c>
    </row>
    <row r="28" spans="2:30" ht="30.75" customHeight="1" x14ac:dyDescent="0.2">
      <c r="B28" s="41" t="s">
        <v>49</v>
      </c>
      <c r="C28" s="13">
        <v>1</v>
      </c>
      <c r="D28" s="13">
        <v>0</v>
      </c>
      <c r="E28" s="51">
        <v>0.6</v>
      </c>
      <c r="F28" s="31">
        <f t="shared" si="45"/>
        <v>0.4</v>
      </c>
      <c r="G28" s="30" t="s">
        <v>4</v>
      </c>
      <c r="H28" s="13">
        <v>12</v>
      </c>
      <c r="I28" s="13" t="s">
        <v>40</v>
      </c>
      <c r="J28" s="24">
        <v>11922</v>
      </c>
      <c r="K28" s="24">
        <v>7948</v>
      </c>
      <c r="L28" s="24">
        <v>0</v>
      </c>
      <c r="M28" s="24">
        <v>0</v>
      </c>
      <c r="N28" s="47">
        <f t="shared" si="46"/>
        <v>19870</v>
      </c>
      <c r="O28" s="38">
        <v>23.965</v>
      </c>
      <c r="P28" s="39"/>
      <c r="Q28" s="39">
        <v>24.355</v>
      </c>
      <c r="R28" s="39"/>
      <c r="S28" s="21">
        <v>10.02</v>
      </c>
      <c r="T28" s="21"/>
      <c r="U28" s="46">
        <f t="shared" si="47"/>
        <v>2977.35</v>
      </c>
      <c r="V28" s="49">
        <f>VLOOKUP($B28,'Taryfa PSG'!$B$4:$D$10,2,0)</f>
        <v>3.6890000000000001</v>
      </c>
      <c r="W28" s="27">
        <f t="shared" si="48"/>
        <v>733</v>
      </c>
      <c r="X28" s="26">
        <f>VLOOKUP($B28,'Taryfa PSG'!$B$4:$D$10,3,0)</f>
        <v>45.19</v>
      </c>
      <c r="Y28" s="15">
        <f t="shared" si="49"/>
        <v>542.28</v>
      </c>
      <c r="Z28" s="71">
        <f t="shared" si="50"/>
        <v>1275.28</v>
      </c>
      <c r="AA28" s="36">
        <f t="shared" si="51"/>
        <v>4252.63</v>
      </c>
      <c r="AB28" s="34">
        <v>0.23</v>
      </c>
      <c r="AC28" s="35">
        <f t="shared" si="52"/>
        <v>978.1</v>
      </c>
      <c r="AD28" s="37">
        <f t="shared" si="53"/>
        <v>5230.7300000000005</v>
      </c>
    </row>
    <row r="29" spans="2:30" ht="30.75" customHeight="1" x14ac:dyDescent="0.2">
      <c r="B29" s="41" t="s">
        <v>49</v>
      </c>
      <c r="C29" s="13">
        <v>1</v>
      </c>
      <c r="D29" s="13">
        <v>0</v>
      </c>
      <c r="E29" s="51">
        <v>0.49340000000000001</v>
      </c>
      <c r="F29" s="31">
        <f t="shared" si="45"/>
        <v>0.50659999999999994</v>
      </c>
      <c r="G29" s="30" t="s">
        <v>4</v>
      </c>
      <c r="H29" s="13">
        <v>12</v>
      </c>
      <c r="I29" s="13" t="s">
        <v>40</v>
      </c>
      <c r="J29" s="24">
        <v>16563</v>
      </c>
      <c r="K29" s="24">
        <v>17007</v>
      </c>
      <c r="L29" s="24">
        <v>0</v>
      </c>
      <c r="M29" s="24">
        <v>0</v>
      </c>
      <c r="N29" s="47">
        <f t="shared" si="46"/>
        <v>33570</v>
      </c>
      <c r="O29" s="38">
        <v>23.965</v>
      </c>
      <c r="P29" s="39"/>
      <c r="Q29" s="39">
        <v>24.355</v>
      </c>
      <c r="R29" s="39"/>
      <c r="S29" s="21">
        <v>10.02</v>
      </c>
      <c r="T29" s="21"/>
      <c r="U29" s="46">
        <f t="shared" si="47"/>
        <v>4089.56</v>
      </c>
      <c r="V29" s="49">
        <f>VLOOKUP($B29,'Taryfa PSG'!$B$4:$D$10,2,0)</f>
        <v>3.6890000000000001</v>
      </c>
      <c r="W29" s="27">
        <f t="shared" si="48"/>
        <v>1238.4000000000001</v>
      </c>
      <c r="X29" s="26">
        <f>VLOOKUP($B29,'Taryfa PSG'!$B$4:$D$10,3,0)</f>
        <v>45.19</v>
      </c>
      <c r="Y29" s="15">
        <f t="shared" si="49"/>
        <v>542.28</v>
      </c>
      <c r="Z29" s="71">
        <f t="shared" si="50"/>
        <v>1780.68</v>
      </c>
      <c r="AA29" s="36">
        <f t="shared" si="51"/>
        <v>5870.24</v>
      </c>
      <c r="AB29" s="34">
        <v>0.23</v>
      </c>
      <c r="AC29" s="35">
        <f t="shared" si="52"/>
        <v>1350.16</v>
      </c>
      <c r="AD29" s="37">
        <f t="shared" si="53"/>
        <v>7220.4</v>
      </c>
    </row>
    <row r="30" spans="2:30" ht="30.75" customHeight="1" x14ac:dyDescent="0.2">
      <c r="B30" s="41" t="s">
        <v>49</v>
      </c>
      <c r="C30" s="13">
        <v>1</v>
      </c>
      <c r="D30" s="13">
        <v>0</v>
      </c>
      <c r="E30" s="51">
        <v>0.48699999999999999</v>
      </c>
      <c r="F30" s="31">
        <f t="shared" si="45"/>
        <v>0.51300000000000001</v>
      </c>
      <c r="G30" s="30" t="s">
        <v>4</v>
      </c>
      <c r="H30" s="13">
        <v>12</v>
      </c>
      <c r="I30" s="13" t="s">
        <v>40</v>
      </c>
      <c r="J30" s="24">
        <v>8298</v>
      </c>
      <c r="K30" s="24">
        <v>8742</v>
      </c>
      <c r="L30" s="24">
        <v>0</v>
      </c>
      <c r="M30" s="24">
        <v>0</v>
      </c>
      <c r="N30" s="47">
        <f t="shared" si="46"/>
        <v>17040</v>
      </c>
      <c r="O30" s="38">
        <v>23.965</v>
      </c>
      <c r="P30" s="39"/>
      <c r="Q30" s="39">
        <v>24.355</v>
      </c>
      <c r="R30" s="39"/>
      <c r="S30" s="21">
        <v>10.02</v>
      </c>
      <c r="T30" s="21"/>
      <c r="U30" s="46">
        <f t="shared" si="47"/>
        <v>2108.86</v>
      </c>
      <c r="V30" s="49">
        <f>VLOOKUP($B30,'Taryfa PSG'!$B$4:$D$10,2,0)</f>
        <v>3.6890000000000001</v>
      </c>
      <c r="W30" s="27">
        <f t="shared" si="48"/>
        <v>628.61</v>
      </c>
      <c r="X30" s="26">
        <f>VLOOKUP($B30,'Taryfa PSG'!$B$4:$D$10,3,0)</f>
        <v>45.19</v>
      </c>
      <c r="Y30" s="15">
        <f t="shared" si="49"/>
        <v>542.28</v>
      </c>
      <c r="Z30" s="71">
        <f t="shared" si="50"/>
        <v>1170.8899999999999</v>
      </c>
      <c r="AA30" s="36">
        <f t="shared" si="51"/>
        <v>3279.75</v>
      </c>
      <c r="AB30" s="34">
        <v>0.23</v>
      </c>
      <c r="AC30" s="35">
        <f t="shared" si="52"/>
        <v>754.34</v>
      </c>
      <c r="AD30" s="37">
        <f t="shared" si="53"/>
        <v>4034.09</v>
      </c>
    </row>
    <row r="31" spans="2:30" ht="30.75" customHeight="1" x14ac:dyDescent="0.2">
      <c r="B31" s="41" t="s">
        <v>49</v>
      </c>
      <c r="C31" s="13">
        <v>1</v>
      </c>
      <c r="D31" s="13">
        <v>0</v>
      </c>
      <c r="E31" s="51">
        <v>0.42</v>
      </c>
      <c r="F31" s="31">
        <f t="shared" si="45"/>
        <v>0.58000000000000007</v>
      </c>
      <c r="G31" s="30" t="s">
        <v>4</v>
      </c>
      <c r="H31" s="13">
        <v>12</v>
      </c>
      <c r="I31" s="13" t="s">
        <v>40</v>
      </c>
      <c r="J31" s="24">
        <v>0</v>
      </c>
      <c r="K31" s="24">
        <v>0</v>
      </c>
      <c r="L31" s="24">
        <v>20941</v>
      </c>
      <c r="M31" s="24">
        <v>28919</v>
      </c>
      <c r="N31" s="47">
        <f t="shared" si="46"/>
        <v>49860</v>
      </c>
      <c r="O31" s="38">
        <v>23.965</v>
      </c>
      <c r="P31" s="39"/>
      <c r="Q31" s="39">
        <v>24.355</v>
      </c>
      <c r="R31" s="39"/>
      <c r="S31" s="21">
        <v>10.02</v>
      </c>
      <c r="T31" s="21"/>
      <c r="U31" s="46">
        <f t="shared" si="47"/>
        <v>5220.42</v>
      </c>
      <c r="V31" s="49">
        <f>VLOOKUP($B31,'Taryfa PSG'!$B$4:$D$10,2,0)</f>
        <v>3.6890000000000001</v>
      </c>
      <c r="W31" s="27">
        <f t="shared" si="48"/>
        <v>1839.34</v>
      </c>
      <c r="X31" s="26">
        <f>VLOOKUP($B31,'Taryfa PSG'!$B$4:$D$10,3,0)</f>
        <v>45.19</v>
      </c>
      <c r="Y31" s="15">
        <f t="shared" si="49"/>
        <v>542.28</v>
      </c>
      <c r="Z31" s="71">
        <f t="shared" si="50"/>
        <v>2381.62</v>
      </c>
      <c r="AA31" s="36">
        <f t="shared" si="51"/>
        <v>7602.04</v>
      </c>
      <c r="AB31" s="34">
        <v>0.23</v>
      </c>
      <c r="AC31" s="35">
        <f t="shared" si="52"/>
        <v>1748.47</v>
      </c>
      <c r="AD31" s="37">
        <f t="shared" si="53"/>
        <v>9350.51</v>
      </c>
    </row>
    <row r="32" spans="2:30" ht="30.75" customHeight="1" x14ac:dyDescent="0.2">
      <c r="B32" s="41" t="s">
        <v>49</v>
      </c>
      <c r="C32" s="13">
        <v>1</v>
      </c>
      <c r="D32" s="13">
        <v>0</v>
      </c>
      <c r="E32" s="51">
        <v>0.38500000000000001</v>
      </c>
      <c r="F32" s="31">
        <f t="shared" si="45"/>
        <v>0.61499999999999999</v>
      </c>
      <c r="G32" s="30" t="s">
        <v>4</v>
      </c>
      <c r="H32" s="13">
        <v>12</v>
      </c>
      <c r="I32" s="13" t="s">
        <v>40</v>
      </c>
      <c r="J32" s="24">
        <v>0</v>
      </c>
      <c r="K32" s="24">
        <v>0</v>
      </c>
      <c r="L32" s="24">
        <v>12270</v>
      </c>
      <c r="M32" s="24">
        <v>19600</v>
      </c>
      <c r="N32" s="47">
        <f t="shared" si="46"/>
        <v>31870</v>
      </c>
      <c r="O32" s="38">
        <v>23.965</v>
      </c>
      <c r="P32" s="39"/>
      <c r="Q32" s="39">
        <v>24.355</v>
      </c>
      <c r="R32" s="39"/>
      <c r="S32" s="21">
        <v>10.02</v>
      </c>
      <c r="T32" s="21"/>
      <c r="U32" s="46">
        <f t="shared" si="47"/>
        <v>3108.6</v>
      </c>
      <c r="V32" s="49">
        <f>VLOOKUP($B32,'Taryfa PSG'!$B$4:$D$10,2,0)</f>
        <v>3.6890000000000001</v>
      </c>
      <c r="W32" s="27">
        <f t="shared" si="48"/>
        <v>1175.68</v>
      </c>
      <c r="X32" s="26">
        <f>VLOOKUP($B32,'Taryfa PSG'!$B$4:$D$10,3,0)</f>
        <v>45.19</v>
      </c>
      <c r="Y32" s="15">
        <f t="shared" si="49"/>
        <v>542.28</v>
      </c>
      <c r="Z32" s="71">
        <f t="shared" si="50"/>
        <v>1717.96</v>
      </c>
      <c r="AA32" s="36">
        <f t="shared" si="51"/>
        <v>4826.5599999999995</v>
      </c>
      <c r="AB32" s="34">
        <v>0.23</v>
      </c>
      <c r="AC32" s="35">
        <f t="shared" si="52"/>
        <v>1110.1099999999999</v>
      </c>
      <c r="AD32" s="37">
        <f t="shared" si="53"/>
        <v>5936.6699999999992</v>
      </c>
    </row>
    <row r="33" spans="2:30" ht="30.75" customHeight="1" x14ac:dyDescent="0.2">
      <c r="B33" s="41" t="s">
        <v>49</v>
      </c>
      <c r="C33" s="13">
        <v>1</v>
      </c>
      <c r="D33" s="13">
        <v>0</v>
      </c>
      <c r="E33" s="51">
        <v>0.37359999999999999</v>
      </c>
      <c r="F33" s="31">
        <f t="shared" si="36"/>
        <v>0.62640000000000007</v>
      </c>
      <c r="G33" s="30" t="s">
        <v>4</v>
      </c>
      <c r="H33" s="13">
        <v>12</v>
      </c>
      <c r="I33" s="13" t="s">
        <v>40</v>
      </c>
      <c r="J33" s="24">
        <v>22801</v>
      </c>
      <c r="K33" s="24">
        <v>38229</v>
      </c>
      <c r="L33" s="24">
        <v>0</v>
      </c>
      <c r="M33" s="24">
        <v>0</v>
      </c>
      <c r="N33" s="47">
        <f t="shared" si="37"/>
        <v>61030</v>
      </c>
      <c r="O33" s="38">
        <v>23.965</v>
      </c>
      <c r="P33" s="39"/>
      <c r="Q33" s="39">
        <v>24.355</v>
      </c>
      <c r="R33" s="39"/>
      <c r="S33" s="21">
        <v>10.02</v>
      </c>
      <c r="T33" s="21"/>
      <c r="U33" s="46">
        <f t="shared" si="38"/>
        <v>5584.5</v>
      </c>
      <c r="V33" s="49">
        <f>VLOOKUP($B33,'Taryfa PSG'!$B$4:$D$10,2,0)</f>
        <v>3.6890000000000001</v>
      </c>
      <c r="W33" s="27">
        <f t="shared" si="39"/>
        <v>2251.4</v>
      </c>
      <c r="X33" s="26">
        <f>VLOOKUP($B33,'Taryfa PSG'!$B$4:$D$10,3,0)</f>
        <v>45.19</v>
      </c>
      <c r="Y33" s="15">
        <f t="shared" si="40"/>
        <v>542.28</v>
      </c>
      <c r="Z33" s="71">
        <f t="shared" si="41"/>
        <v>2793.6800000000003</v>
      </c>
      <c r="AA33" s="36">
        <f t="shared" si="42"/>
        <v>8378.18</v>
      </c>
      <c r="AB33" s="34">
        <v>0.23</v>
      </c>
      <c r="AC33" s="35">
        <f t="shared" si="43"/>
        <v>1926.98</v>
      </c>
      <c r="AD33" s="37">
        <f t="shared" si="44"/>
        <v>10305.16</v>
      </c>
    </row>
    <row r="34" spans="2:30" ht="30.75" customHeight="1" x14ac:dyDescent="0.2">
      <c r="B34" s="41" t="s">
        <v>49</v>
      </c>
      <c r="C34" s="13">
        <v>1</v>
      </c>
      <c r="D34" s="13">
        <v>0</v>
      </c>
      <c r="E34" s="51">
        <v>0.37</v>
      </c>
      <c r="F34" s="31">
        <f t="shared" si="36"/>
        <v>0.63</v>
      </c>
      <c r="G34" s="30" t="s">
        <v>4</v>
      </c>
      <c r="H34" s="13">
        <v>12</v>
      </c>
      <c r="I34" s="13" t="s">
        <v>40</v>
      </c>
      <c r="J34" s="24">
        <v>0</v>
      </c>
      <c r="K34" s="24">
        <v>0</v>
      </c>
      <c r="L34" s="24">
        <v>25700</v>
      </c>
      <c r="M34" s="24">
        <v>43760</v>
      </c>
      <c r="N34" s="47">
        <f t="shared" si="37"/>
        <v>69460</v>
      </c>
      <c r="O34" s="38">
        <v>23.965</v>
      </c>
      <c r="P34" s="39"/>
      <c r="Q34" s="39">
        <v>24.355</v>
      </c>
      <c r="R34" s="39"/>
      <c r="S34" s="21">
        <v>10.02</v>
      </c>
      <c r="T34" s="21"/>
      <c r="U34" s="46">
        <f t="shared" si="38"/>
        <v>6379.48</v>
      </c>
      <c r="V34" s="49">
        <f>VLOOKUP($B34,'Taryfa PSG'!$B$4:$D$10,2,0)</f>
        <v>3.6890000000000001</v>
      </c>
      <c r="W34" s="27">
        <f t="shared" si="39"/>
        <v>2562.38</v>
      </c>
      <c r="X34" s="26">
        <f>VLOOKUP($B34,'Taryfa PSG'!$B$4:$D$10,3,0)</f>
        <v>45.19</v>
      </c>
      <c r="Y34" s="15">
        <f t="shared" si="40"/>
        <v>542.28</v>
      </c>
      <c r="Z34" s="71">
        <f t="shared" si="41"/>
        <v>3104.66</v>
      </c>
      <c r="AA34" s="36">
        <f t="shared" si="42"/>
        <v>9484.14</v>
      </c>
      <c r="AB34" s="34">
        <v>0.23</v>
      </c>
      <c r="AC34" s="35">
        <f t="shared" si="43"/>
        <v>2181.35</v>
      </c>
      <c r="AD34" s="37">
        <f t="shared" si="44"/>
        <v>11665.49</v>
      </c>
    </row>
    <row r="35" spans="2:30" ht="30.75" customHeight="1" x14ac:dyDescent="0.2">
      <c r="B35" s="41" t="s">
        <v>49</v>
      </c>
      <c r="C35" s="13">
        <v>1</v>
      </c>
      <c r="D35" s="13">
        <v>0</v>
      </c>
      <c r="E35" s="51">
        <v>0.28000000000000003</v>
      </c>
      <c r="F35" s="31">
        <f t="shared" si="10"/>
        <v>0.72</v>
      </c>
      <c r="G35" s="30" t="s">
        <v>4</v>
      </c>
      <c r="H35" s="13">
        <v>12</v>
      </c>
      <c r="I35" s="13" t="s">
        <v>40</v>
      </c>
      <c r="J35" s="24">
        <v>0</v>
      </c>
      <c r="K35" s="24">
        <v>0</v>
      </c>
      <c r="L35" s="24">
        <v>20143</v>
      </c>
      <c r="M35" s="24">
        <v>51797</v>
      </c>
      <c r="N35" s="47">
        <f t="shared" si="31"/>
        <v>71940</v>
      </c>
      <c r="O35" s="38">
        <v>23.965</v>
      </c>
      <c r="P35" s="39"/>
      <c r="Q35" s="39">
        <v>24.355</v>
      </c>
      <c r="R35" s="39"/>
      <c r="S35" s="21">
        <v>10.02</v>
      </c>
      <c r="T35" s="21"/>
      <c r="U35" s="46">
        <f t="shared" si="32"/>
        <v>5026.07</v>
      </c>
      <c r="V35" s="49">
        <f>VLOOKUP($B35,'Taryfa PSG'!$B$4:$D$10,2,0)</f>
        <v>3.6890000000000001</v>
      </c>
      <c r="W35" s="27">
        <f t="shared" si="34"/>
        <v>2653.87</v>
      </c>
      <c r="X35" s="26">
        <f>VLOOKUP($B35,'Taryfa PSG'!$B$4:$D$10,3,0)</f>
        <v>45.19</v>
      </c>
      <c r="Y35" s="15">
        <f t="shared" si="35"/>
        <v>542.28</v>
      </c>
      <c r="Z35" s="71">
        <f t="shared" si="0"/>
        <v>3196.1499999999996</v>
      </c>
      <c r="AA35" s="36">
        <f t="shared" si="1"/>
        <v>8222.2199999999993</v>
      </c>
      <c r="AB35" s="34">
        <v>0.23</v>
      </c>
      <c r="AC35" s="35">
        <f t="shared" si="14"/>
        <v>1891.11</v>
      </c>
      <c r="AD35" s="37">
        <f t="shared" si="33"/>
        <v>10113.33</v>
      </c>
    </row>
    <row r="36" spans="2:30" ht="30.75" customHeight="1" x14ac:dyDescent="0.2">
      <c r="B36" s="41" t="s">
        <v>49</v>
      </c>
      <c r="C36" s="13">
        <v>1</v>
      </c>
      <c r="D36" s="13">
        <v>0</v>
      </c>
      <c r="E36" s="51">
        <v>0.26300000000000001</v>
      </c>
      <c r="F36" s="31">
        <f t="shared" ref="F36:F40" si="54">100%-E36</f>
        <v>0.73699999999999999</v>
      </c>
      <c r="G36" s="30" t="s">
        <v>4</v>
      </c>
      <c r="H36" s="13">
        <v>12</v>
      </c>
      <c r="I36" s="13" t="s">
        <v>40</v>
      </c>
      <c r="J36" s="24">
        <v>0</v>
      </c>
      <c r="K36" s="24">
        <v>0</v>
      </c>
      <c r="L36" s="24">
        <v>7795</v>
      </c>
      <c r="M36" s="24">
        <v>21845</v>
      </c>
      <c r="N36" s="47">
        <f t="shared" si="31"/>
        <v>29640</v>
      </c>
      <c r="O36" s="38">
        <v>23.965</v>
      </c>
      <c r="P36" s="39"/>
      <c r="Q36" s="39">
        <v>24.355</v>
      </c>
      <c r="R36" s="39"/>
      <c r="S36" s="21">
        <v>10.02</v>
      </c>
      <c r="T36" s="21"/>
      <c r="U36" s="46">
        <f t="shared" si="32"/>
        <v>2018.71</v>
      </c>
      <c r="V36" s="49">
        <f>VLOOKUP($B36,'Taryfa PSG'!$B$4:$D$10,2,0)</f>
        <v>3.6890000000000001</v>
      </c>
      <c r="W36" s="27">
        <f t="shared" si="34"/>
        <v>1093.42</v>
      </c>
      <c r="X36" s="26">
        <f>VLOOKUP($B36,'Taryfa PSG'!$B$4:$D$10,3,0)</f>
        <v>45.19</v>
      </c>
      <c r="Y36" s="15">
        <f t="shared" si="35"/>
        <v>542.28</v>
      </c>
      <c r="Z36" s="71">
        <f t="shared" ref="Z36:Z40" si="55">+W36+Y36</f>
        <v>1635.7</v>
      </c>
      <c r="AA36" s="36">
        <f t="shared" ref="AA36:AA40" si="56">+U36+Z36</f>
        <v>3654.41</v>
      </c>
      <c r="AB36" s="34">
        <v>0.23</v>
      </c>
      <c r="AC36" s="35">
        <f t="shared" ref="AC36:AC40" si="57">+ROUND(AA36*AB36,2)</f>
        <v>840.51</v>
      </c>
      <c r="AD36" s="37">
        <f t="shared" si="33"/>
        <v>4494.92</v>
      </c>
    </row>
    <row r="37" spans="2:30" ht="30.75" customHeight="1" x14ac:dyDescent="0.2">
      <c r="B37" s="41" t="s">
        <v>49</v>
      </c>
      <c r="C37" s="13">
        <v>1</v>
      </c>
      <c r="D37" s="13">
        <v>0</v>
      </c>
      <c r="E37" s="51">
        <v>0.2276</v>
      </c>
      <c r="F37" s="31">
        <f t="shared" si="54"/>
        <v>0.77239999999999998</v>
      </c>
      <c r="G37" s="30" t="s">
        <v>4</v>
      </c>
      <c r="H37" s="13">
        <v>12</v>
      </c>
      <c r="I37" s="13" t="s">
        <v>40</v>
      </c>
      <c r="J37" s="24">
        <v>0</v>
      </c>
      <c r="K37" s="24">
        <v>0</v>
      </c>
      <c r="L37" s="24">
        <v>5813</v>
      </c>
      <c r="M37" s="24">
        <v>19727</v>
      </c>
      <c r="N37" s="47">
        <f t="shared" si="31"/>
        <v>25540</v>
      </c>
      <c r="O37" s="38">
        <v>23.965</v>
      </c>
      <c r="P37" s="39"/>
      <c r="Q37" s="39">
        <v>24.355</v>
      </c>
      <c r="R37" s="39"/>
      <c r="S37" s="21">
        <v>10.02</v>
      </c>
      <c r="T37" s="21"/>
      <c r="U37" s="46">
        <f t="shared" si="32"/>
        <v>1536</v>
      </c>
      <c r="V37" s="49">
        <f>VLOOKUP($B37,'Taryfa PSG'!$B$4:$D$10,2,0)</f>
        <v>3.6890000000000001</v>
      </c>
      <c r="W37" s="27">
        <f t="shared" si="34"/>
        <v>942.17</v>
      </c>
      <c r="X37" s="26">
        <f>VLOOKUP($B37,'Taryfa PSG'!$B$4:$D$10,3,0)</f>
        <v>45.19</v>
      </c>
      <c r="Y37" s="15">
        <f t="shared" si="35"/>
        <v>542.28</v>
      </c>
      <c r="Z37" s="71">
        <f t="shared" si="55"/>
        <v>1484.4499999999998</v>
      </c>
      <c r="AA37" s="36">
        <f t="shared" si="56"/>
        <v>3020.45</v>
      </c>
      <c r="AB37" s="34">
        <v>0.23</v>
      </c>
      <c r="AC37" s="35">
        <f t="shared" si="57"/>
        <v>694.7</v>
      </c>
      <c r="AD37" s="37">
        <f t="shared" si="33"/>
        <v>3715.1499999999996</v>
      </c>
    </row>
    <row r="38" spans="2:30" ht="30.75" customHeight="1" x14ac:dyDescent="0.2">
      <c r="B38" s="41" t="s">
        <v>49</v>
      </c>
      <c r="C38" s="13">
        <v>1</v>
      </c>
      <c r="D38" s="13">
        <v>0</v>
      </c>
      <c r="E38" s="51">
        <v>0.161</v>
      </c>
      <c r="F38" s="31">
        <f t="shared" si="54"/>
        <v>0.83899999999999997</v>
      </c>
      <c r="G38" s="30" t="s">
        <v>4</v>
      </c>
      <c r="H38" s="13">
        <v>12</v>
      </c>
      <c r="I38" s="13" t="s">
        <v>40</v>
      </c>
      <c r="J38" s="24">
        <v>0</v>
      </c>
      <c r="K38" s="24">
        <v>0</v>
      </c>
      <c r="L38" s="24">
        <v>5501</v>
      </c>
      <c r="M38" s="24">
        <v>28669</v>
      </c>
      <c r="N38" s="47">
        <f t="shared" si="31"/>
        <v>34170</v>
      </c>
      <c r="O38" s="38">
        <v>23.965</v>
      </c>
      <c r="P38" s="39"/>
      <c r="Q38" s="39">
        <v>24.355</v>
      </c>
      <c r="R38" s="39"/>
      <c r="S38" s="21">
        <v>10.02</v>
      </c>
      <c r="T38" s="21"/>
      <c r="U38" s="46">
        <f t="shared" si="32"/>
        <v>1460.01</v>
      </c>
      <c r="V38" s="49">
        <f>VLOOKUP($B38,'Taryfa PSG'!$B$4:$D$10,2,0)</f>
        <v>3.6890000000000001</v>
      </c>
      <c r="W38" s="27">
        <f t="shared" si="34"/>
        <v>1260.53</v>
      </c>
      <c r="X38" s="26">
        <f>VLOOKUP($B38,'Taryfa PSG'!$B$4:$D$10,3,0)</f>
        <v>45.19</v>
      </c>
      <c r="Y38" s="15">
        <f t="shared" si="35"/>
        <v>542.28</v>
      </c>
      <c r="Z38" s="71">
        <f t="shared" si="55"/>
        <v>1802.81</v>
      </c>
      <c r="AA38" s="36">
        <f t="shared" si="56"/>
        <v>3262.8199999999997</v>
      </c>
      <c r="AB38" s="34">
        <v>0.23</v>
      </c>
      <c r="AC38" s="35">
        <f t="shared" si="57"/>
        <v>750.45</v>
      </c>
      <c r="AD38" s="37">
        <f t="shared" si="33"/>
        <v>4013.2699999999995</v>
      </c>
    </row>
    <row r="39" spans="2:30" ht="30.75" customHeight="1" x14ac:dyDescent="0.2">
      <c r="B39" s="41" t="s">
        <v>49</v>
      </c>
      <c r="C39" s="13">
        <v>1</v>
      </c>
      <c r="D39" s="13">
        <v>0</v>
      </c>
      <c r="E39" s="51">
        <v>0.12939999999999999</v>
      </c>
      <c r="F39" s="31">
        <f t="shared" si="54"/>
        <v>0.87060000000000004</v>
      </c>
      <c r="G39" s="30" t="s">
        <v>4</v>
      </c>
      <c r="H39" s="13">
        <v>12</v>
      </c>
      <c r="I39" s="13" t="s">
        <v>40</v>
      </c>
      <c r="J39" s="24">
        <v>0</v>
      </c>
      <c r="K39" s="24">
        <v>0</v>
      </c>
      <c r="L39" s="24">
        <v>5185</v>
      </c>
      <c r="M39" s="24">
        <v>34885</v>
      </c>
      <c r="N39" s="47">
        <f t="shared" si="31"/>
        <v>40070</v>
      </c>
      <c r="O39" s="38">
        <v>23.965</v>
      </c>
      <c r="P39" s="39"/>
      <c r="Q39" s="39">
        <v>24.355</v>
      </c>
      <c r="R39" s="39"/>
      <c r="S39" s="21">
        <v>10.02</v>
      </c>
      <c r="T39" s="21"/>
      <c r="U39" s="46">
        <f t="shared" si="32"/>
        <v>1383.05</v>
      </c>
      <c r="V39" s="49">
        <f>VLOOKUP($B39,'Taryfa PSG'!$B$4:$D$10,2,0)</f>
        <v>3.6890000000000001</v>
      </c>
      <c r="W39" s="27">
        <f t="shared" si="34"/>
        <v>1478.18</v>
      </c>
      <c r="X39" s="26">
        <f>VLOOKUP($B39,'Taryfa PSG'!$B$4:$D$10,3,0)</f>
        <v>45.19</v>
      </c>
      <c r="Y39" s="15">
        <f t="shared" si="35"/>
        <v>542.28</v>
      </c>
      <c r="Z39" s="71">
        <f t="shared" si="55"/>
        <v>2020.46</v>
      </c>
      <c r="AA39" s="36">
        <f t="shared" si="56"/>
        <v>3403.51</v>
      </c>
      <c r="AB39" s="34">
        <v>0.23</v>
      </c>
      <c r="AC39" s="35">
        <f t="shared" si="57"/>
        <v>782.81</v>
      </c>
      <c r="AD39" s="37">
        <f t="shared" si="33"/>
        <v>4186.32</v>
      </c>
    </row>
    <row r="40" spans="2:30" ht="30.75" customHeight="1" x14ac:dyDescent="0.2">
      <c r="B40" s="41" t="s">
        <v>49</v>
      </c>
      <c r="C40" s="13">
        <v>1</v>
      </c>
      <c r="D40" s="13">
        <v>0</v>
      </c>
      <c r="E40" s="51">
        <v>0.10970000000000001</v>
      </c>
      <c r="F40" s="31">
        <f t="shared" si="54"/>
        <v>0.89029999999999998</v>
      </c>
      <c r="G40" s="30" t="s">
        <v>4</v>
      </c>
      <c r="H40" s="13">
        <v>12</v>
      </c>
      <c r="I40" s="13" t="s">
        <v>40</v>
      </c>
      <c r="J40" s="24">
        <v>0</v>
      </c>
      <c r="K40" s="24">
        <v>0</v>
      </c>
      <c r="L40" s="24">
        <v>4877</v>
      </c>
      <c r="M40" s="24">
        <v>39583</v>
      </c>
      <c r="N40" s="47">
        <f t="shared" si="31"/>
        <v>44460</v>
      </c>
      <c r="O40" s="38">
        <v>23.965</v>
      </c>
      <c r="P40" s="39"/>
      <c r="Q40" s="39">
        <v>24.355</v>
      </c>
      <c r="R40" s="39"/>
      <c r="S40" s="21">
        <v>10.02</v>
      </c>
      <c r="T40" s="21"/>
      <c r="U40" s="46">
        <f t="shared" si="32"/>
        <v>1308.03</v>
      </c>
      <c r="V40" s="49">
        <f>VLOOKUP($B40,'Taryfa PSG'!$B$4:$D$10,2,0)</f>
        <v>3.6890000000000001</v>
      </c>
      <c r="W40" s="27">
        <f t="shared" si="34"/>
        <v>1640.13</v>
      </c>
      <c r="X40" s="26">
        <f>VLOOKUP($B40,'Taryfa PSG'!$B$4:$D$10,3,0)</f>
        <v>45.19</v>
      </c>
      <c r="Y40" s="15">
        <f t="shared" si="35"/>
        <v>542.28</v>
      </c>
      <c r="Z40" s="71">
        <f t="shared" si="55"/>
        <v>2182.41</v>
      </c>
      <c r="AA40" s="36">
        <f t="shared" si="56"/>
        <v>3490.4399999999996</v>
      </c>
      <c r="AB40" s="34">
        <v>0.23</v>
      </c>
      <c r="AC40" s="35">
        <f t="shared" si="57"/>
        <v>802.8</v>
      </c>
      <c r="AD40" s="37">
        <f t="shared" si="33"/>
        <v>4293.24</v>
      </c>
    </row>
    <row r="41" spans="2:30" ht="30.75" customHeight="1" x14ac:dyDescent="0.2">
      <c r="B41" s="41" t="s">
        <v>49</v>
      </c>
      <c r="C41" s="13">
        <v>0</v>
      </c>
      <c r="D41" s="13">
        <v>16</v>
      </c>
      <c r="E41" s="51">
        <v>0</v>
      </c>
      <c r="F41" s="31">
        <f t="shared" si="10"/>
        <v>1</v>
      </c>
      <c r="G41" s="30" t="s">
        <v>4</v>
      </c>
      <c r="H41" s="13">
        <v>12</v>
      </c>
      <c r="I41" s="13" t="s">
        <v>40</v>
      </c>
      <c r="J41" s="24">
        <v>0</v>
      </c>
      <c r="K41" s="24">
        <v>258890</v>
      </c>
      <c r="L41" s="24">
        <v>0</v>
      </c>
      <c r="M41" s="24">
        <v>380220</v>
      </c>
      <c r="N41" s="47">
        <f t="shared" ref="N41:N51" si="58">+J41+K41+L41+M41</f>
        <v>639110</v>
      </c>
      <c r="O41" s="38">
        <v>23.965</v>
      </c>
      <c r="P41" s="39"/>
      <c r="Q41" s="39">
        <v>24.355</v>
      </c>
      <c r="R41" s="39"/>
      <c r="S41" s="21">
        <v>10.02</v>
      </c>
      <c r="T41" s="21"/>
      <c r="U41" s="46">
        <f t="shared" ref="U41:U51" si="59">+ROUND((J41*O41/100+K41*P41/100+L41*Q41/100+M41*R41/100+C41*H41*S41+D41*H41*T41),2)</f>
        <v>0</v>
      </c>
      <c r="V41" s="49">
        <f>VLOOKUP($B41,'Taryfa PSG'!$B$4:$D$10,2,0)</f>
        <v>3.6890000000000001</v>
      </c>
      <c r="W41" s="27">
        <f t="shared" si="12"/>
        <v>23576.77</v>
      </c>
      <c r="X41" s="26">
        <f>VLOOKUP($B41,'Taryfa PSG'!$B$4:$D$10,3,0)</f>
        <v>45.19</v>
      </c>
      <c r="Y41" s="15">
        <f t="shared" si="13"/>
        <v>8676.48</v>
      </c>
      <c r="Z41" s="71">
        <f t="shared" si="0"/>
        <v>32253.25</v>
      </c>
      <c r="AA41" s="36">
        <f t="shared" si="1"/>
        <v>32253.25</v>
      </c>
      <c r="AB41" s="34">
        <v>0.23</v>
      </c>
      <c r="AC41" s="35">
        <f t="shared" si="14"/>
        <v>7418.25</v>
      </c>
      <c r="AD41" s="37">
        <f t="shared" ref="AD41:AD47" si="60">+AC41+AA41</f>
        <v>39671.5</v>
      </c>
    </row>
    <row r="42" spans="2:30" ht="30.75" customHeight="1" x14ac:dyDescent="0.2">
      <c r="B42" s="76" t="s">
        <v>78</v>
      </c>
      <c r="C42" s="13">
        <v>0</v>
      </c>
      <c r="D42" s="13">
        <v>2</v>
      </c>
      <c r="E42" s="51">
        <v>0</v>
      </c>
      <c r="F42" s="31">
        <f t="shared" ref="F42" si="61">100%-E42</f>
        <v>1</v>
      </c>
      <c r="G42" s="30" t="s">
        <v>4</v>
      </c>
      <c r="H42" s="13">
        <v>12</v>
      </c>
      <c r="I42" s="13" t="s">
        <v>40</v>
      </c>
      <c r="J42" s="24">
        <v>0</v>
      </c>
      <c r="K42" s="24">
        <v>72830</v>
      </c>
      <c r="L42" s="24">
        <v>0</v>
      </c>
      <c r="M42" s="24">
        <v>35900</v>
      </c>
      <c r="N42" s="47">
        <f t="shared" ref="N42" si="62">+J42+K42+L42+M42</f>
        <v>108730</v>
      </c>
      <c r="O42" s="38">
        <v>23.965</v>
      </c>
      <c r="P42" s="39"/>
      <c r="Q42" s="39">
        <v>24.355</v>
      </c>
      <c r="R42" s="39"/>
      <c r="S42" s="21">
        <v>10.02</v>
      </c>
      <c r="T42" s="21"/>
      <c r="U42" s="46">
        <f t="shared" ref="U42" si="63">+ROUND((J42*O42/100+K42*P42/100+L42*Q42/100+M42*R42/100+C42*H42*S42+D42*H42*T42),2)</f>
        <v>0</v>
      </c>
      <c r="V42" s="49">
        <f>VLOOKUP($B42,'Taryfa PSG'!$B$4:$D$10,2,0)</f>
        <v>3.6890000000000001</v>
      </c>
      <c r="W42" s="27">
        <f t="shared" ref="W42" si="64">+ROUND(N42*V42/100,2)</f>
        <v>4011.05</v>
      </c>
      <c r="X42" s="26">
        <f>VLOOKUP($B42,'Taryfa PSG'!$B$4:$D$10,3,0)</f>
        <v>48.54</v>
      </c>
      <c r="Y42" s="15">
        <f t="shared" ref="Y42" si="65">+ROUND((C42+D42)*H42*X42,2)</f>
        <v>1164.96</v>
      </c>
      <c r="Z42" s="71">
        <f t="shared" ref="Z42" si="66">+W42+Y42</f>
        <v>5176.01</v>
      </c>
      <c r="AA42" s="36">
        <f t="shared" ref="AA42" si="67">+U42+Z42</f>
        <v>5176.01</v>
      </c>
      <c r="AB42" s="34">
        <v>0.23</v>
      </c>
      <c r="AC42" s="35">
        <f t="shared" ref="AC42" si="68">+ROUND(AA42*AB42,2)</f>
        <v>1190.48</v>
      </c>
      <c r="AD42" s="37">
        <f t="shared" ref="AD42" si="69">+AC42+AA42</f>
        <v>6366.49</v>
      </c>
    </row>
    <row r="43" spans="2:30" ht="30.75" customHeight="1" x14ac:dyDescent="0.2">
      <c r="B43" s="40" t="s">
        <v>19</v>
      </c>
      <c r="C43" s="13">
        <v>19</v>
      </c>
      <c r="D43" s="13">
        <v>0</v>
      </c>
      <c r="E43" s="43">
        <v>1</v>
      </c>
      <c r="F43" s="31">
        <f t="shared" si="10"/>
        <v>0</v>
      </c>
      <c r="G43" s="30" t="s">
        <v>4</v>
      </c>
      <c r="H43" s="13">
        <v>12</v>
      </c>
      <c r="I43" s="13" t="s">
        <v>40</v>
      </c>
      <c r="J43" s="24">
        <v>2373850</v>
      </c>
      <c r="K43" s="24">
        <v>0</v>
      </c>
      <c r="L43" s="24">
        <v>109030</v>
      </c>
      <c r="M43" s="24">
        <v>0</v>
      </c>
      <c r="N43" s="47">
        <f t="shared" si="58"/>
        <v>2482880</v>
      </c>
      <c r="O43" s="38">
        <v>23.965</v>
      </c>
      <c r="P43" s="39"/>
      <c r="Q43" s="39">
        <v>24.355</v>
      </c>
      <c r="R43" s="39"/>
      <c r="S43" s="21">
        <v>16.11</v>
      </c>
      <c r="T43" s="21"/>
      <c r="U43" s="46">
        <f t="shared" si="59"/>
        <v>599120.49</v>
      </c>
      <c r="V43" s="49">
        <f>VLOOKUP($B43,'Taryfa PSG'!$B$4:$D$10,2,0)</f>
        <v>3.6150000000000002</v>
      </c>
      <c r="W43" s="27">
        <f t="shared" si="12"/>
        <v>89756.11</v>
      </c>
      <c r="X43" s="26">
        <f>VLOOKUP($B43,'Taryfa PSG'!$B$4:$D$10,3,0)</f>
        <v>252.42</v>
      </c>
      <c r="Y43" s="15">
        <f t="shared" si="13"/>
        <v>57551.76</v>
      </c>
      <c r="Z43" s="71">
        <f t="shared" si="0"/>
        <v>147307.87</v>
      </c>
      <c r="AA43" s="36">
        <f t="shared" si="1"/>
        <v>746428.36</v>
      </c>
      <c r="AB43" s="34">
        <v>0.23</v>
      </c>
      <c r="AC43" s="35">
        <f t="shared" si="14"/>
        <v>171678.52</v>
      </c>
      <c r="AD43" s="37">
        <f t="shared" ref="AD43:AD45" si="70">+AC43+AA43</f>
        <v>918106.88</v>
      </c>
    </row>
    <row r="44" spans="2:30" ht="30.75" customHeight="1" x14ac:dyDescent="0.2">
      <c r="B44" s="40" t="s">
        <v>19</v>
      </c>
      <c r="C44" s="13">
        <v>1</v>
      </c>
      <c r="D44" s="13">
        <v>0</v>
      </c>
      <c r="E44" s="43">
        <v>0.94</v>
      </c>
      <c r="F44" s="31">
        <f t="shared" si="10"/>
        <v>6.0000000000000053E-2</v>
      </c>
      <c r="G44" s="30" t="s">
        <v>4</v>
      </c>
      <c r="H44" s="13">
        <v>12</v>
      </c>
      <c r="I44" s="13" t="s">
        <v>40</v>
      </c>
      <c r="J44" s="24">
        <v>0</v>
      </c>
      <c r="K44" s="24">
        <v>0</v>
      </c>
      <c r="L44" s="24">
        <v>91800</v>
      </c>
      <c r="M44" s="24">
        <v>5860</v>
      </c>
      <c r="N44" s="47">
        <f t="shared" si="58"/>
        <v>97660</v>
      </c>
      <c r="O44" s="38">
        <v>23.965</v>
      </c>
      <c r="P44" s="39"/>
      <c r="Q44" s="39">
        <v>24.355</v>
      </c>
      <c r="R44" s="39"/>
      <c r="S44" s="21">
        <v>16.11</v>
      </c>
      <c r="T44" s="21"/>
      <c r="U44" s="46">
        <f t="shared" si="59"/>
        <v>22551.21</v>
      </c>
      <c r="V44" s="49">
        <f>VLOOKUP($B44,'Taryfa PSG'!$B$4:$D$10,2,0)</f>
        <v>3.6150000000000002</v>
      </c>
      <c r="W44" s="27">
        <f t="shared" si="12"/>
        <v>3530.41</v>
      </c>
      <c r="X44" s="26">
        <f>VLOOKUP($B44,'Taryfa PSG'!$B$4:$D$10,3,0)</f>
        <v>252.42</v>
      </c>
      <c r="Y44" s="15">
        <f t="shared" si="13"/>
        <v>3029.04</v>
      </c>
      <c r="Z44" s="71">
        <f t="shared" si="0"/>
        <v>6559.45</v>
      </c>
      <c r="AA44" s="36">
        <f t="shared" si="1"/>
        <v>29110.66</v>
      </c>
      <c r="AB44" s="34">
        <v>0.23</v>
      </c>
      <c r="AC44" s="35">
        <f t="shared" si="14"/>
        <v>6695.45</v>
      </c>
      <c r="AD44" s="37">
        <f t="shared" si="70"/>
        <v>35806.11</v>
      </c>
    </row>
    <row r="45" spans="2:30" ht="30.75" customHeight="1" x14ac:dyDescent="0.2">
      <c r="B45" s="40" t="s">
        <v>19</v>
      </c>
      <c r="C45" s="13">
        <v>1</v>
      </c>
      <c r="D45" s="13">
        <v>0</v>
      </c>
      <c r="E45" s="43">
        <v>0.90569999999999995</v>
      </c>
      <c r="F45" s="31">
        <f t="shared" si="10"/>
        <v>9.430000000000005E-2</v>
      </c>
      <c r="G45" s="30" t="s">
        <v>4</v>
      </c>
      <c r="H45" s="13">
        <v>12</v>
      </c>
      <c r="I45" s="13" t="s">
        <v>40</v>
      </c>
      <c r="J45" s="24">
        <v>127722</v>
      </c>
      <c r="K45" s="24">
        <v>13298</v>
      </c>
      <c r="L45" s="24">
        <v>0</v>
      </c>
      <c r="M45" s="24">
        <v>0</v>
      </c>
      <c r="N45" s="47">
        <f t="shared" si="58"/>
        <v>141020</v>
      </c>
      <c r="O45" s="38">
        <v>23.965</v>
      </c>
      <c r="P45" s="39"/>
      <c r="Q45" s="39">
        <v>24.355</v>
      </c>
      <c r="R45" s="39"/>
      <c r="S45" s="21">
        <v>16.11</v>
      </c>
      <c r="T45" s="21"/>
      <c r="U45" s="46">
        <f t="shared" si="59"/>
        <v>30801.9</v>
      </c>
      <c r="V45" s="49">
        <f>VLOOKUP($B45,'Taryfa PSG'!$B$4:$D$10,2,0)</f>
        <v>3.6150000000000002</v>
      </c>
      <c r="W45" s="27">
        <f t="shared" si="12"/>
        <v>5097.87</v>
      </c>
      <c r="X45" s="26">
        <f>VLOOKUP($B45,'Taryfa PSG'!$B$4:$D$10,3,0)</f>
        <v>252.42</v>
      </c>
      <c r="Y45" s="15">
        <f t="shared" si="13"/>
        <v>3029.04</v>
      </c>
      <c r="Z45" s="71">
        <f t="shared" si="0"/>
        <v>8126.91</v>
      </c>
      <c r="AA45" s="36">
        <f t="shared" si="1"/>
        <v>38928.81</v>
      </c>
      <c r="AB45" s="34">
        <v>0.23</v>
      </c>
      <c r="AC45" s="35">
        <f t="shared" si="14"/>
        <v>8953.6299999999992</v>
      </c>
      <c r="AD45" s="37">
        <f t="shared" si="70"/>
        <v>47882.439999999995</v>
      </c>
    </row>
    <row r="46" spans="2:30" ht="30.75" customHeight="1" x14ac:dyDescent="0.2">
      <c r="B46" s="40" t="s">
        <v>19</v>
      </c>
      <c r="C46" s="13">
        <v>1</v>
      </c>
      <c r="D46" s="13">
        <v>0</v>
      </c>
      <c r="E46" s="43">
        <v>0.80820000000000003</v>
      </c>
      <c r="F46" s="31">
        <f t="shared" ref="F46:F47" si="71">100%-E46</f>
        <v>0.19179999999999997</v>
      </c>
      <c r="G46" s="30" t="s">
        <v>4</v>
      </c>
      <c r="H46" s="13">
        <v>12</v>
      </c>
      <c r="I46" s="13" t="s">
        <v>40</v>
      </c>
      <c r="J46" s="24">
        <v>124536</v>
      </c>
      <c r="K46" s="24">
        <v>29554</v>
      </c>
      <c r="L46" s="24">
        <v>0</v>
      </c>
      <c r="M46" s="24">
        <v>0</v>
      </c>
      <c r="N46" s="47">
        <f t="shared" ref="N46:N47" si="72">+J46+K46+L46+M46</f>
        <v>154090</v>
      </c>
      <c r="O46" s="38">
        <v>23.965</v>
      </c>
      <c r="P46" s="39"/>
      <c r="Q46" s="39">
        <v>24.355</v>
      </c>
      <c r="R46" s="39"/>
      <c r="S46" s="21">
        <v>16.11</v>
      </c>
      <c r="T46" s="21"/>
      <c r="U46" s="46">
        <f t="shared" ref="U46:U47" si="73">+ROUND((J46*O46/100+K46*P46/100+L46*Q46/100+M46*R46/100+C46*H46*S46+D46*H46*T46),2)</f>
        <v>30038.37</v>
      </c>
      <c r="V46" s="49">
        <f>VLOOKUP($B46,'Taryfa PSG'!$B$4:$D$10,2,0)</f>
        <v>3.6150000000000002</v>
      </c>
      <c r="W46" s="27">
        <f t="shared" ref="W46:W47" si="74">+ROUND(N46*V46/100,2)</f>
        <v>5570.35</v>
      </c>
      <c r="X46" s="26">
        <f>VLOOKUP($B46,'Taryfa PSG'!$B$4:$D$10,3,0)</f>
        <v>252.42</v>
      </c>
      <c r="Y46" s="15">
        <f t="shared" ref="Y46:Y47" si="75">+ROUND((C46+D46)*H46*X46,2)</f>
        <v>3029.04</v>
      </c>
      <c r="Z46" s="71">
        <f t="shared" ref="Z46:Z47" si="76">+W46+Y46</f>
        <v>8599.39</v>
      </c>
      <c r="AA46" s="36">
        <f t="shared" ref="AA46:AA47" si="77">+U46+Z46</f>
        <v>38637.759999999995</v>
      </c>
      <c r="AB46" s="34">
        <v>0.23</v>
      </c>
      <c r="AC46" s="35">
        <f t="shared" ref="AC46:AC47" si="78">+ROUND(AA46*AB46,2)</f>
        <v>8886.68</v>
      </c>
      <c r="AD46" s="37">
        <f t="shared" si="60"/>
        <v>47524.439999999995</v>
      </c>
    </row>
    <row r="47" spans="2:30" ht="30.75" customHeight="1" x14ac:dyDescent="0.2">
      <c r="B47" s="40" t="s">
        <v>19</v>
      </c>
      <c r="C47" s="13">
        <v>1</v>
      </c>
      <c r="D47" s="13">
        <v>0</v>
      </c>
      <c r="E47" s="43">
        <v>0.70809999999999995</v>
      </c>
      <c r="F47" s="31">
        <f t="shared" si="71"/>
        <v>0.29190000000000005</v>
      </c>
      <c r="G47" s="30" t="s">
        <v>4</v>
      </c>
      <c r="H47" s="13">
        <v>12</v>
      </c>
      <c r="I47" s="13" t="s">
        <v>40</v>
      </c>
      <c r="J47" s="24">
        <v>70824</v>
      </c>
      <c r="K47" s="24">
        <v>29196</v>
      </c>
      <c r="L47" s="24">
        <v>0</v>
      </c>
      <c r="M47" s="24">
        <v>0</v>
      </c>
      <c r="N47" s="47">
        <f t="shared" si="72"/>
        <v>100020</v>
      </c>
      <c r="O47" s="38">
        <v>23.965</v>
      </c>
      <c r="P47" s="39"/>
      <c r="Q47" s="39">
        <v>24.355</v>
      </c>
      <c r="R47" s="39"/>
      <c r="S47" s="21">
        <v>16.11</v>
      </c>
      <c r="T47" s="21"/>
      <c r="U47" s="46">
        <f t="shared" si="73"/>
        <v>17166.29</v>
      </c>
      <c r="V47" s="49">
        <f>VLOOKUP($B47,'Taryfa PSG'!$B$4:$D$10,2,0)</f>
        <v>3.6150000000000002</v>
      </c>
      <c r="W47" s="27">
        <f t="shared" si="74"/>
        <v>3615.72</v>
      </c>
      <c r="X47" s="26">
        <f>VLOOKUP($B47,'Taryfa PSG'!$B$4:$D$10,3,0)</f>
        <v>252.42</v>
      </c>
      <c r="Y47" s="15">
        <f t="shared" si="75"/>
        <v>3029.04</v>
      </c>
      <c r="Z47" s="71">
        <f t="shared" si="76"/>
        <v>6644.76</v>
      </c>
      <c r="AA47" s="36">
        <f t="shared" si="77"/>
        <v>23811.050000000003</v>
      </c>
      <c r="AB47" s="34">
        <v>0.23</v>
      </c>
      <c r="AC47" s="35">
        <f t="shared" si="78"/>
        <v>5476.54</v>
      </c>
      <c r="AD47" s="37">
        <f t="shared" si="60"/>
        <v>29287.590000000004</v>
      </c>
    </row>
    <row r="48" spans="2:30" ht="30.75" customHeight="1" x14ac:dyDescent="0.2">
      <c r="B48" s="40" t="s">
        <v>19</v>
      </c>
      <c r="C48" s="13">
        <v>1</v>
      </c>
      <c r="D48" s="13">
        <v>0</v>
      </c>
      <c r="E48" s="43">
        <v>0.54420000000000002</v>
      </c>
      <c r="F48" s="31">
        <f t="shared" ref="F48" si="79">100%-E48</f>
        <v>0.45579999999999998</v>
      </c>
      <c r="G48" s="30" t="s">
        <v>4</v>
      </c>
      <c r="H48" s="13">
        <v>12</v>
      </c>
      <c r="I48" s="13" t="s">
        <v>40</v>
      </c>
      <c r="J48" s="24">
        <v>48450</v>
      </c>
      <c r="K48" s="24">
        <v>40580</v>
      </c>
      <c r="L48" s="24">
        <v>0</v>
      </c>
      <c r="M48" s="24">
        <v>0</v>
      </c>
      <c r="N48" s="47">
        <f t="shared" ref="N48" si="80">+J48+K48+L48+M48</f>
        <v>89030</v>
      </c>
      <c r="O48" s="38">
        <v>23.965</v>
      </c>
      <c r="P48" s="39"/>
      <c r="Q48" s="39">
        <v>24.355</v>
      </c>
      <c r="R48" s="39"/>
      <c r="S48" s="21">
        <v>16.11</v>
      </c>
      <c r="T48" s="21"/>
      <c r="U48" s="46">
        <f t="shared" ref="U48" si="81">+ROUND((J48*O48/100+K48*P48/100+L48*Q48/100+M48*R48/100+C48*H48*S48+D48*H48*T48),2)</f>
        <v>11804.36</v>
      </c>
      <c r="V48" s="49">
        <f>VLOOKUP($B48,'Taryfa PSG'!$B$4:$D$10,2,0)</f>
        <v>3.6150000000000002</v>
      </c>
      <c r="W48" s="27">
        <f t="shared" ref="W48" si="82">+ROUND(N48*V48/100,2)</f>
        <v>3218.43</v>
      </c>
      <c r="X48" s="26">
        <f>VLOOKUP($B48,'Taryfa PSG'!$B$4:$D$10,3,0)</f>
        <v>252.42</v>
      </c>
      <c r="Y48" s="15">
        <f t="shared" ref="Y48" si="83">+ROUND((C48+D48)*H48*X48,2)</f>
        <v>3029.04</v>
      </c>
      <c r="Z48" s="71">
        <f t="shared" ref="Z48" si="84">+W48+Y48</f>
        <v>6247.4699999999993</v>
      </c>
      <c r="AA48" s="36">
        <f t="shared" ref="AA48" si="85">+U48+Z48</f>
        <v>18051.830000000002</v>
      </c>
      <c r="AB48" s="34">
        <v>0.23</v>
      </c>
      <c r="AC48" s="35">
        <f t="shared" ref="AC48" si="86">+ROUND(AA48*AB48,2)</f>
        <v>4151.92</v>
      </c>
      <c r="AD48" s="37">
        <f t="shared" ref="AD48" si="87">+AC48+AA48</f>
        <v>22203.75</v>
      </c>
    </row>
    <row r="49" spans="2:30" ht="30.75" customHeight="1" x14ac:dyDescent="0.2">
      <c r="B49" s="40" t="s">
        <v>19</v>
      </c>
      <c r="C49" s="13">
        <v>1</v>
      </c>
      <c r="D49" s="13">
        <v>0</v>
      </c>
      <c r="E49" s="43">
        <v>0.17100000000000001</v>
      </c>
      <c r="F49" s="31">
        <f t="shared" si="10"/>
        <v>0.82899999999999996</v>
      </c>
      <c r="G49" s="30" t="s">
        <v>4</v>
      </c>
      <c r="H49" s="13">
        <v>12</v>
      </c>
      <c r="I49" s="13" t="s">
        <v>40</v>
      </c>
      <c r="J49" s="24">
        <v>18820</v>
      </c>
      <c r="K49" s="24">
        <v>91240</v>
      </c>
      <c r="L49" s="24">
        <v>0</v>
      </c>
      <c r="M49" s="24">
        <v>0</v>
      </c>
      <c r="N49" s="47">
        <f t="shared" si="58"/>
        <v>110060</v>
      </c>
      <c r="O49" s="38">
        <v>23.965</v>
      </c>
      <c r="P49" s="39"/>
      <c r="Q49" s="39">
        <v>24.355</v>
      </c>
      <c r="R49" s="39"/>
      <c r="S49" s="21">
        <v>16.11</v>
      </c>
      <c r="T49" s="21"/>
      <c r="U49" s="46">
        <f t="shared" si="59"/>
        <v>4703.53</v>
      </c>
      <c r="V49" s="49">
        <f>VLOOKUP($B49,'Taryfa PSG'!$B$4:$D$10,2,0)</f>
        <v>3.6150000000000002</v>
      </c>
      <c r="W49" s="27">
        <f t="shared" si="12"/>
        <v>3978.67</v>
      </c>
      <c r="X49" s="26">
        <f>VLOOKUP($B49,'Taryfa PSG'!$B$4:$D$10,3,0)</f>
        <v>252.42</v>
      </c>
      <c r="Y49" s="15">
        <f t="shared" si="13"/>
        <v>3029.04</v>
      </c>
      <c r="Z49" s="71">
        <f t="shared" si="0"/>
        <v>7007.71</v>
      </c>
      <c r="AA49" s="36">
        <f t="shared" si="1"/>
        <v>11711.24</v>
      </c>
      <c r="AB49" s="34">
        <v>0.23</v>
      </c>
      <c r="AC49" s="35">
        <f t="shared" si="14"/>
        <v>2693.59</v>
      </c>
      <c r="AD49" s="37">
        <f t="shared" ref="AD49:AD51" si="88">+AC49+AA49</f>
        <v>14404.83</v>
      </c>
    </row>
    <row r="50" spans="2:30" ht="30.75" customHeight="1" x14ac:dyDescent="0.2">
      <c r="B50" s="40" t="s">
        <v>19</v>
      </c>
      <c r="C50" s="13">
        <v>1</v>
      </c>
      <c r="D50" s="13">
        <v>0</v>
      </c>
      <c r="E50" s="43">
        <v>0.13300000000000001</v>
      </c>
      <c r="F50" s="31">
        <f t="shared" si="10"/>
        <v>0.86699999999999999</v>
      </c>
      <c r="G50" s="30" t="s">
        <v>4</v>
      </c>
      <c r="H50" s="13">
        <v>12</v>
      </c>
      <c r="I50" s="13" t="s">
        <v>40</v>
      </c>
      <c r="J50" s="24">
        <v>14486</v>
      </c>
      <c r="K50" s="24">
        <v>94434</v>
      </c>
      <c r="L50" s="24">
        <v>0</v>
      </c>
      <c r="M50" s="24">
        <v>0</v>
      </c>
      <c r="N50" s="47">
        <f t="shared" ref="N50" si="89">+J50+K50+L50+M50</f>
        <v>108920</v>
      </c>
      <c r="O50" s="38">
        <v>23.965</v>
      </c>
      <c r="P50" s="39"/>
      <c r="Q50" s="39">
        <v>24.355</v>
      </c>
      <c r="R50" s="39"/>
      <c r="S50" s="21">
        <v>16.11</v>
      </c>
      <c r="T50" s="21"/>
      <c r="U50" s="46">
        <f t="shared" ref="U50" si="90">+ROUND((J50*O50/100+K50*P50/100+L50*Q50/100+M50*R50/100+C50*H50*S50+D50*H50*T50),2)</f>
        <v>3664.89</v>
      </c>
      <c r="V50" s="49">
        <f>VLOOKUP($B50,'Taryfa PSG'!$B$4:$D$10,2,0)</f>
        <v>3.6150000000000002</v>
      </c>
      <c r="W50" s="27">
        <f t="shared" si="12"/>
        <v>3937.46</v>
      </c>
      <c r="X50" s="26">
        <f>VLOOKUP($B50,'Taryfa PSG'!$B$4:$D$10,3,0)</f>
        <v>252.42</v>
      </c>
      <c r="Y50" s="15">
        <f t="shared" si="13"/>
        <v>3029.04</v>
      </c>
      <c r="Z50" s="71">
        <f t="shared" si="0"/>
        <v>6966.5</v>
      </c>
      <c r="AA50" s="36">
        <f t="shared" si="1"/>
        <v>10631.39</v>
      </c>
      <c r="AB50" s="34">
        <v>0.23</v>
      </c>
      <c r="AC50" s="35">
        <f t="shared" si="14"/>
        <v>2445.2199999999998</v>
      </c>
      <c r="AD50" s="37">
        <f t="shared" ref="AD50" si="91">+AC50+AA50</f>
        <v>13076.609999999999</v>
      </c>
    </row>
    <row r="51" spans="2:30" ht="30.75" customHeight="1" x14ac:dyDescent="0.2">
      <c r="B51" s="55" t="s">
        <v>18</v>
      </c>
      <c r="C51" s="103">
        <v>26</v>
      </c>
      <c r="D51" s="13">
        <v>0</v>
      </c>
      <c r="E51" s="43">
        <v>1</v>
      </c>
      <c r="F51" s="31">
        <f t="shared" si="10"/>
        <v>0</v>
      </c>
      <c r="G51" s="103">
        <v>4436</v>
      </c>
      <c r="H51" s="13">
        <v>12</v>
      </c>
      <c r="I51" s="13">
        <v>8760</v>
      </c>
      <c r="J51" s="104">
        <v>5773660</v>
      </c>
      <c r="K51" s="104">
        <v>0</v>
      </c>
      <c r="L51" s="104">
        <v>341040</v>
      </c>
      <c r="M51" s="104">
        <v>0</v>
      </c>
      <c r="N51" s="105">
        <f t="shared" si="58"/>
        <v>6114700</v>
      </c>
      <c r="O51" s="38">
        <v>23.917999999999999</v>
      </c>
      <c r="P51" s="39"/>
      <c r="Q51" s="39">
        <v>24.308</v>
      </c>
      <c r="R51" s="39"/>
      <c r="S51" s="21">
        <v>123</v>
      </c>
      <c r="T51" s="21"/>
      <c r="U51" s="46">
        <f t="shared" si="59"/>
        <v>1502220</v>
      </c>
      <c r="V51" s="49">
        <f>VLOOKUP($B51,'Taryfa PSG'!$B$4:$D$10,2,0)</f>
        <v>3.278</v>
      </c>
      <c r="W51" s="27">
        <f t="shared" si="12"/>
        <v>200439.87</v>
      </c>
      <c r="X51" s="26">
        <f>VLOOKUP($B51,'Taryfa PSG'!$B$4:$D$10,3,0)</f>
        <v>0.65400000000000003</v>
      </c>
      <c r="Y51" s="15">
        <f>+ROUND(G51*I51*X51/100,2)</f>
        <v>254140.21</v>
      </c>
      <c r="Z51" s="71">
        <f t="shared" si="0"/>
        <v>454580.07999999996</v>
      </c>
      <c r="AA51" s="36">
        <f t="shared" si="1"/>
        <v>1956800.08</v>
      </c>
      <c r="AB51" s="34">
        <v>0.23</v>
      </c>
      <c r="AC51" s="35">
        <f t="shared" si="14"/>
        <v>450064.02</v>
      </c>
      <c r="AD51" s="37">
        <f t="shared" si="88"/>
        <v>2406864.1</v>
      </c>
    </row>
    <row r="52" spans="2:30" ht="30.75" customHeight="1" x14ac:dyDescent="0.2">
      <c r="B52" s="55" t="s">
        <v>18</v>
      </c>
      <c r="C52" s="13">
        <v>1</v>
      </c>
      <c r="D52" s="13">
        <v>0</v>
      </c>
      <c r="E52" s="43">
        <v>0.98260000000000003</v>
      </c>
      <c r="F52" s="31">
        <f t="shared" si="10"/>
        <v>1.7399999999999971E-2</v>
      </c>
      <c r="G52" s="13">
        <v>300</v>
      </c>
      <c r="H52" s="13">
        <v>12</v>
      </c>
      <c r="I52" s="13">
        <v>8760</v>
      </c>
      <c r="J52" s="24">
        <v>520483</v>
      </c>
      <c r="K52" s="24">
        <v>9217</v>
      </c>
      <c r="L52" s="24">
        <v>0</v>
      </c>
      <c r="M52" s="24">
        <v>0</v>
      </c>
      <c r="N52" s="47">
        <f t="shared" ref="N52:N54" si="92">+J52+K52+L52+M52</f>
        <v>529700</v>
      </c>
      <c r="O52" s="38">
        <v>23.917999999999999</v>
      </c>
      <c r="P52" s="39"/>
      <c r="Q52" s="39">
        <v>24.308</v>
      </c>
      <c r="R52" s="39"/>
      <c r="S52" s="21">
        <v>123</v>
      </c>
      <c r="T52" s="21"/>
      <c r="U52" s="46">
        <f t="shared" ref="U52:U54" si="93">+ROUND((J52*O52/100+K52*P52/100+L52*Q52/100+M52*R52/100+C52*H52*S52+D52*H52*T52),2)</f>
        <v>125965.12</v>
      </c>
      <c r="V52" s="49">
        <f>VLOOKUP($B52,'Taryfa PSG'!$B$4:$D$10,2,0)</f>
        <v>3.278</v>
      </c>
      <c r="W52" s="27">
        <f t="shared" si="12"/>
        <v>17363.57</v>
      </c>
      <c r="X52" s="26">
        <f>VLOOKUP($B52,'Taryfa PSG'!$B$4:$D$10,3,0)</f>
        <v>0.65400000000000003</v>
      </c>
      <c r="Y52" s="15">
        <f t="shared" ref="Y52:Y54" si="94">+ROUND(G52*I52*X52/100,2)</f>
        <v>17187.12</v>
      </c>
      <c r="Z52" s="71">
        <f t="shared" si="0"/>
        <v>34550.69</v>
      </c>
      <c r="AA52" s="36">
        <f t="shared" si="1"/>
        <v>160515.81</v>
      </c>
      <c r="AB52" s="34">
        <v>0.23</v>
      </c>
      <c r="AC52" s="35">
        <f t="shared" si="14"/>
        <v>36918.639999999999</v>
      </c>
      <c r="AD52" s="37">
        <f t="shared" ref="AD52:AD54" si="95">+AC52+AA52</f>
        <v>197434.45</v>
      </c>
    </row>
    <row r="53" spans="2:30" ht="30.75" customHeight="1" x14ac:dyDescent="0.2">
      <c r="B53" s="55" t="s">
        <v>18</v>
      </c>
      <c r="C53" s="13">
        <v>1</v>
      </c>
      <c r="D53" s="13">
        <v>0</v>
      </c>
      <c r="E53" s="43">
        <v>0.95599999999999996</v>
      </c>
      <c r="F53" s="31">
        <f t="shared" ref="F53" si="96">100%-E53</f>
        <v>4.4000000000000039E-2</v>
      </c>
      <c r="G53" s="13">
        <v>250</v>
      </c>
      <c r="H53" s="13">
        <v>12</v>
      </c>
      <c r="I53" s="13">
        <v>8760</v>
      </c>
      <c r="J53" s="24">
        <v>434072</v>
      </c>
      <c r="K53" s="24">
        <v>19978</v>
      </c>
      <c r="L53" s="24">
        <v>0</v>
      </c>
      <c r="M53" s="24">
        <v>0</v>
      </c>
      <c r="N53" s="47">
        <f t="shared" ref="N53" si="97">+J53+K53+L53+M53</f>
        <v>454050</v>
      </c>
      <c r="O53" s="38">
        <v>23.917999999999999</v>
      </c>
      <c r="P53" s="39"/>
      <c r="Q53" s="39">
        <v>24.308</v>
      </c>
      <c r="R53" s="39"/>
      <c r="S53" s="21">
        <v>123</v>
      </c>
      <c r="T53" s="21"/>
      <c r="U53" s="46">
        <f t="shared" ref="U53" si="98">+ROUND((J53*O53/100+K53*P53/100+L53*Q53/100+M53*R53/100+C53*H53*S53+D53*H53*T53),2)</f>
        <v>105297.34</v>
      </c>
      <c r="V53" s="49">
        <f>VLOOKUP($B53,'Taryfa PSG'!$B$4:$D$10,2,0)</f>
        <v>3.278</v>
      </c>
      <c r="W53" s="27">
        <f t="shared" ref="W53" si="99">+ROUND(N53*V53/100,2)</f>
        <v>14883.76</v>
      </c>
      <c r="X53" s="26">
        <f>VLOOKUP($B53,'Taryfa PSG'!$B$4:$D$10,3,0)</f>
        <v>0.65400000000000003</v>
      </c>
      <c r="Y53" s="15">
        <f t="shared" ref="Y53" si="100">+ROUND(G53*I53*X53/100,2)</f>
        <v>14322.6</v>
      </c>
      <c r="Z53" s="71">
        <f t="shared" ref="Z53" si="101">+W53+Y53</f>
        <v>29206.36</v>
      </c>
      <c r="AA53" s="36">
        <f t="shared" ref="AA53" si="102">+U53+Z53</f>
        <v>134503.70000000001</v>
      </c>
      <c r="AB53" s="34">
        <v>0.23</v>
      </c>
      <c r="AC53" s="35">
        <f t="shared" ref="AC53" si="103">+ROUND(AA53*AB53,2)</f>
        <v>30935.85</v>
      </c>
      <c r="AD53" s="37">
        <f t="shared" ref="AD53" si="104">+AC53+AA53</f>
        <v>165439.55000000002</v>
      </c>
    </row>
    <row r="54" spans="2:30" ht="30.75" customHeight="1" x14ac:dyDescent="0.2">
      <c r="B54" s="55" t="s">
        <v>18</v>
      </c>
      <c r="C54" s="13">
        <v>1</v>
      </c>
      <c r="D54" s="13">
        <v>0</v>
      </c>
      <c r="E54" s="43">
        <v>0.1081</v>
      </c>
      <c r="F54" s="31">
        <f t="shared" si="10"/>
        <v>0.89190000000000003</v>
      </c>
      <c r="G54" s="13">
        <v>121</v>
      </c>
      <c r="H54" s="13">
        <v>12</v>
      </c>
      <c r="I54" s="13">
        <v>8760</v>
      </c>
      <c r="J54" s="24">
        <v>7990</v>
      </c>
      <c r="K54" s="24">
        <v>65920</v>
      </c>
      <c r="L54" s="24">
        <v>0</v>
      </c>
      <c r="M54" s="24">
        <v>0</v>
      </c>
      <c r="N54" s="47">
        <f t="shared" si="92"/>
        <v>73910</v>
      </c>
      <c r="O54" s="38">
        <v>23.917999999999999</v>
      </c>
      <c r="P54" s="39"/>
      <c r="Q54" s="39">
        <v>24.308</v>
      </c>
      <c r="R54" s="39"/>
      <c r="S54" s="21">
        <v>123</v>
      </c>
      <c r="T54" s="21"/>
      <c r="U54" s="46">
        <f t="shared" si="93"/>
        <v>3387.05</v>
      </c>
      <c r="V54" s="49">
        <f>VLOOKUP($B54,'Taryfa PSG'!$B$4:$D$10,2,0)</f>
        <v>3.278</v>
      </c>
      <c r="W54" s="27">
        <f t="shared" si="12"/>
        <v>2422.77</v>
      </c>
      <c r="X54" s="26">
        <f>VLOOKUP($B54,'Taryfa PSG'!$B$4:$D$10,3,0)</f>
        <v>0.65400000000000003</v>
      </c>
      <c r="Y54" s="15">
        <f t="shared" si="94"/>
        <v>6932.14</v>
      </c>
      <c r="Z54" s="71">
        <f t="shared" si="0"/>
        <v>9354.91</v>
      </c>
      <c r="AA54" s="36">
        <f t="shared" si="1"/>
        <v>12741.96</v>
      </c>
      <c r="AB54" s="34">
        <v>0.23</v>
      </c>
      <c r="AC54" s="35">
        <f t="shared" si="14"/>
        <v>2930.65</v>
      </c>
      <c r="AD54" s="37">
        <f t="shared" si="95"/>
        <v>15672.609999999999</v>
      </c>
    </row>
    <row r="55" spans="2:30" ht="30.75" customHeight="1" thickBot="1" x14ac:dyDescent="0.25">
      <c r="B55" s="98" t="s">
        <v>18</v>
      </c>
      <c r="C55" s="14">
        <v>0</v>
      </c>
      <c r="D55" s="14">
        <v>1</v>
      </c>
      <c r="E55" s="44">
        <v>0</v>
      </c>
      <c r="F55" s="62">
        <f t="shared" ref="F55" si="105">100%-E55</f>
        <v>1</v>
      </c>
      <c r="G55" s="14">
        <v>165</v>
      </c>
      <c r="H55" s="14">
        <v>12</v>
      </c>
      <c r="I55" s="14">
        <v>8760</v>
      </c>
      <c r="J55" s="25">
        <v>0</v>
      </c>
      <c r="K55" s="25">
        <v>0</v>
      </c>
      <c r="L55" s="25">
        <v>0</v>
      </c>
      <c r="M55" s="25">
        <v>155010</v>
      </c>
      <c r="N55" s="48">
        <f t="shared" ref="N55" si="106">+J55+K55+L55+M55</f>
        <v>155010</v>
      </c>
      <c r="O55" s="63">
        <v>23.917999999999999</v>
      </c>
      <c r="P55" s="64"/>
      <c r="Q55" s="64">
        <v>24.308</v>
      </c>
      <c r="R55" s="64"/>
      <c r="S55" s="65">
        <v>123</v>
      </c>
      <c r="T55" s="65"/>
      <c r="U55" s="45">
        <f t="shared" ref="U55" si="107">+ROUND((J55*O55/100+K55*P55/100+L55*Q55/100+M55*R55/100+C55*H55*S55+D55*H55*T55),2)</f>
        <v>0</v>
      </c>
      <c r="V55" s="50">
        <f>VLOOKUP($B55,'Taryfa PSG'!$B$4:$D$10,2,0)</f>
        <v>3.278</v>
      </c>
      <c r="W55" s="29">
        <f t="shared" ref="W55" si="108">+ROUND(N55*V55/100,2)</f>
        <v>5081.2299999999996</v>
      </c>
      <c r="X55" s="28">
        <f>VLOOKUP($B55,'Taryfa PSG'!$B$4:$D$10,3,0)</f>
        <v>0.65400000000000003</v>
      </c>
      <c r="Y55" s="16">
        <f t="shared" ref="Y55" si="109">+ROUND(G55*I55*X55/100,2)</f>
        <v>9452.92</v>
      </c>
      <c r="Z55" s="72">
        <f t="shared" ref="Z55" si="110">+W55+Y55</f>
        <v>14534.15</v>
      </c>
      <c r="AA55" s="99">
        <f t="shared" ref="AA55" si="111">+U55+Z55</f>
        <v>14534.15</v>
      </c>
      <c r="AB55" s="100">
        <v>0.23</v>
      </c>
      <c r="AC55" s="101">
        <f t="shared" ref="AC55" si="112">+ROUND(AA55*AB55,2)</f>
        <v>3342.85</v>
      </c>
      <c r="AD55" s="102">
        <f t="shared" ref="AD55" si="113">+AC55+AA55</f>
        <v>17877</v>
      </c>
    </row>
    <row r="56" spans="2:30" ht="39" customHeight="1" thickBot="1" x14ac:dyDescent="0.25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77"/>
      <c r="V56" s="9"/>
      <c r="W56" s="10"/>
      <c r="X56" s="11"/>
      <c r="Y56" s="12"/>
      <c r="Z56" s="77"/>
      <c r="AA56" s="94">
        <f>SUM(AA9:AA55)</f>
        <v>4093896.3</v>
      </c>
      <c r="AB56" s="95">
        <v>0.23</v>
      </c>
      <c r="AC56" s="96">
        <f>SUM(AC9:AC55)</f>
        <v>941596.13000000012</v>
      </c>
      <c r="AD56" s="97">
        <f>SUM(AD9:AD55)</f>
        <v>5035492.4300000006</v>
      </c>
    </row>
    <row r="57" spans="2:30" ht="39" customHeight="1" x14ac:dyDescent="0.2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9"/>
      <c r="W57" s="10"/>
      <c r="X57" s="11"/>
      <c r="Y57" s="12"/>
      <c r="Z57" s="12"/>
      <c r="AA57" s="56"/>
      <c r="AB57" s="57"/>
      <c r="AC57" s="56"/>
      <c r="AD57" s="56"/>
    </row>
    <row r="58" spans="2:30" ht="39" customHeight="1" x14ac:dyDescent="0.2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77"/>
      <c r="V58" s="9"/>
      <c r="W58" s="10"/>
      <c r="X58" s="11"/>
      <c r="Y58" s="12"/>
      <c r="Z58" s="77"/>
      <c r="AA58" s="56"/>
      <c r="AB58" s="57"/>
      <c r="AC58" s="56"/>
      <c r="AD58" s="77"/>
    </row>
    <row r="59" spans="2:30" ht="39" customHeight="1" thickBot="1" x14ac:dyDescent="0.25">
      <c r="O59" s="3" t="s">
        <v>59</v>
      </c>
      <c r="Y59" s="5"/>
      <c r="Z59" s="6"/>
      <c r="AA59" s="6"/>
      <c r="AD59" s="17"/>
    </row>
    <row r="60" spans="2:30" ht="57.75" customHeight="1" thickBot="1" x14ac:dyDescent="0.25">
      <c r="B60" s="151" t="s">
        <v>73</v>
      </c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3"/>
    </row>
    <row r="61" spans="2:30" ht="38.25" customHeight="1" thickBot="1" x14ac:dyDescent="0.25">
      <c r="B61" s="154" t="s">
        <v>21</v>
      </c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6"/>
      <c r="O61" s="157" t="s">
        <v>5</v>
      </c>
      <c r="P61" s="158"/>
      <c r="Q61" s="158"/>
      <c r="R61" s="158"/>
      <c r="S61" s="158"/>
      <c r="T61" s="158"/>
      <c r="U61" s="159"/>
      <c r="V61" s="160" t="s">
        <v>29</v>
      </c>
      <c r="W61" s="161"/>
      <c r="X61" s="161"/>
      <c r="Y61" s="161"/>
      <c r="Z61" s="162"/>
      <c r="AA61" s="163" t="s">
        <v>34</v>
      </c>
      <c r="AB61" s="164"/>
      <c r="AC61" s="164"/>
      <c r="AD61" s="165"/>
    </row>
    <row r="62" spans="2:30" ht="102" customHeight="1" x14ac:dyDescent="0.2">
      <c r="B62" s="116" t="s">
        <v>45</v>
      </c>
      <c r="C62" s="106" t="s">
        <v>1</v>
      </c>
      <c r="D62" s="107"/>
      <c r="E62" s="107"/>
      <c r="F62" s="108"/>
      <c r="G62" s="118" t="s">
        <v>3</v>
      </c>
      <c r="H62" s="118" t="s">
        <v>0</v>
      </c>
      <c r="I62" s="118" t="s">
        <v>6</v>
      </c>
      <c r="J62" s="114" t="s">
        <v>22</v>
      </c>
      <c r="K62" s="115"/>
      <c r="L62" s="114" t="s">
        <v>23</v>
      </c>
      <c r="M62" s="115"/>
      <c r="N62" s="141" t="s">
        <v>58</v>
      </c>
      <c r="O62" s="166" t="s">
        <v>41</v>
      </c>
      <c r="P62" s="115"/>
      <c r="Q62" s="114" t="s">
        <v>42</v>
      </c>
      <c r="R62" s="115"/>
      <c r="S62" s="114" t="s">
        <v>50</v>
      </c>
      <c r="T62" s="115"/>
      <c r="U62" s="141" t="s">
        <v>57</v>
      </c>
      <c r="V62" s="116" t="s">
        <v>2</v>
      </c>
      <c r="W62" s="118" t="s">
        <v>61</v>
      </c>
      <c r="X62" s="118" t="s">
        <v>63</v>
      </c>
      <c r="Y62" s="118" t="s">
        <v>64</v>
      </c>
      <c r="Z62" s="141" t="s">
        <v>65</v>
      </c>
      <c r="AA62" s="145" t="s">
        <v>66</v>
      </c>
      <c r="AB62" s="147" t="s">
        <v>43</v>
      </c>
      <c r="AC62" s="147" t="s">
        <v>67</v>
      </c>
      <c r="AD62" s="149" t="s">
        <v>68</v>
      </c>
    </row>
    <row r="63" spans="2:30" ht="106.5" customHeight="1" thickBot="1" x14ac:dyDescent="0.25">
      <c r="B63" s="143"/>
      <c r="C63" s="22" t="s">
        <v>44</v>
      </c>
      <c r="D63" s="23" t="s">
        <v>20</v>
      </c>
      <c r="E63" s="22" t="s">
        <v>55</v>
      </c>
      <c r="F63" s="23" t="s">
        <v>56</v>
      </c>
      <c r="G63" s="144"/>
      <c r="H63" s="144"/>
      <c r="I63" s="144"/>
      <c r="J63" s="22" t="s">
        <v>44</v>
      </c>
      <c r="K63" s="22" t="s">
        <v>20</v>
      </c>
      <c r="L63" s="22" t="s">
        <v>44</v>
      </c>
      <c r="M63" s="22" t="s">
        <v>20</v>
      </c>
      <c r="N63" s="142"/>
      <c r="O63" s="33" t="s">
        <v>44</v>
      </c>
      <c r="P63" s="23" t="s">
        <v>20</v>
      </c>
      <c r="Q63" s="22" t="s">
        <v>44</v>
      </c>
      <c r="R63" s="22" t="s">
        <v>20</v>
      </c>
      <c r="S63" s="22" t="s">
        <v>44</v>
      </c>
      <c r="T63" s="23" t="s">
        <v>20</v>
      </c>
      <c r="U63" s="142"/>
      <c r="V63" s="143"/>
      <c r="W63" s="144"/>
      <c r="X63" s="144"/>
      <c r="Y63" s="144"/>
      <c r="Z63" s="142"/>
      <c r="AA63" s="146"/>
      <c r="AB63" s="148"/>
      <c r="AC63" s="148"/>
      <c r="AD63" s="150"/>
    </row>
    <row r="64" spans="2:30" ht="19.5" customHeight="1" x14ac:dyDescent="0.2">
      <c r="B64" s="52" t="s">
        <v>7</v>
      </c>
      <c r="C64" s="32" t="s">
        <v>8</v>
      </c>
      <c r="D64" s="32" t="s">
        <v>9</v>
      </c>
      <c r="E64" s="32" t="s">
        <v>10</v>
      </c>
      <c r="F64" s="32" t="s">
        <v>11</v>
      </c>
      <c r="G64" s="32" t="s">
        <v>12</v>
      </c>
      <c r="H64" s="32" t="s">
        <v>13</v>
      </c>
      <c r="I64" s="32" t="s">
        <v>14</v>
      </c>
      <c r="J64" s="32" t="s">
        <v>15</v>
      </c>
      <c r="K64" s="32" t="s">
        <v>16</v>
      </c>
      <c r="L64" s="32" t="s">
        <v>17</v>
      </c>
      <c r="M64" s="32" t="s">
        <v>24</v>
      </c>
      <c r="N64" s="53" t="s">
        <v>25</v>
      </c>
      <c r="O64" s="52" t="s">
        <v>26</v>
      </c>
      <c r="P64" s="32" t="s">
        <v>27</v>
      </c>
      <c r="Q64" s="32" t="s">
        <v>28</v>
      </c>
      <c r="R64" s="32" t="s">
        <v>30</v>
      </c>
      <c r="S64" s="32" t="s">
        <v>31</v>
      </c>
      <c r="T64" s="32" t="s">
        <v>32</v>
      </c>
      <c r="U64" s="53" t="s">
        <v>33</v>
      </c>
      <c r="V64" s="52" t="s">
        <v>35</v>
      </c>
      <c r="W64" s="32" t="s">
        <v>36</v>
      </c>
      <c r="X64" s="32" t="s">
        <v>37</v>
      </c>
      <c r="Y64" s="32" t="s">
        <v>38</v>
      </c>
      <c r="Z64" s="70" t="s">
        <v>39</v>
      </c>
      <c r="AA64" s="52" t="s">
        <v>51</v>
      </c>
      <c r="AB64" s="32" t="s">
        <v>52</v>
      </c>
      <c r="AC64" s="32" t="s">
        <v>53</v>
      </c>
      <c r="AD64" s="53" t="s">
        <v>54</v>
      </c>
    </row>
    <row r="65" spans="2:30" ht="30.75" customHeight="1" x14ac:dyDescent="0.2">
      <c r="B65" s="54" t="s">
        <v>47</v>
      </c>
      <c r="C65" s="13">
        <v>14</v>
      </c>
      <c r="D65" s="13">
        <v>0</v>
      </c>
      <c r="E65" s="31">
        <v>1</v>
      </c>
      <c r="F65" s="31">
        <f>100%-E65</f>
        <v>0</v>
      </c>
      <c r="G65" s="30" t="s">
        <v>4</v>
      </c>
      <c r="H65" s="13">
        <v>12</v>
      </c>
      <c r="I65" s="13" t="s">
        <v>40</v>
      </c>
      <c r="J65" s="24">
        <v>12120</v>
      </c>
      <c r="K65" s="24">
        <v>0</v>
      </c>
      <c r="L65" s="24">
        <v>480</v>
      </c>
      <c r="M65" s="24">
        <v>0</v>
      </c>
      <c r="N65" s="47">
        <f>+J65+K65+L65+M65</f>
        <v>12600</v>
      </c>
      <c r="O65" s="38">
        <v>23.965</v>
      </c>
      <c r="P65" s="39"/>
      <c r="Q65" s="39">
        <v>24.355</v>
      </c>
      <c r="R65" s="39"/>
      <c r="S65" s="21">
        <v>6.49</v>
      </c>
      <c r="T65" s="21"/>
      <c r="U65" s="46">
        <f>+ROUND((J65*O65/100+K65*P65/100+L65*Q65/100+M65*R65/100+C65*H65*S65+D65*H65*T65),2)</f>
        <v>4111.78</v>
      </c>
      <c r="V65" s="49">
        <f>VLOOKUP($B65,'Taryfa PSG'!$B$4:$D$10,2,0)</f>
        <v>6.7640000000000002</v>
      </c>
      <c r="W65" s="27">
        <f>+ROUND(N65*V65/100,2)</f>
        <v>852.26</v>
      </c>
      <c r="X65" s="26">
        <f>VLOOKUP($B65,'Taryfa PSG'!$B$4:$D$10,3,0)</f>
        <v>4.5999999999999996</v>
      </c>
      <c r="Y65" s="15">
        <f>+ROUND((C65+D65)*H65*X65,2)</f>
        <v>772.8</v>
      </c>
      <c r="Z65" s="71">
        <f t="shared" ref="Z65:Z111" si="114">+W65+Y65</f>
        <v>1625.06</v>
      </c>
      <c r="AA65" s="36">
        <f t="shared" ref="AA65:AA111" si="115">+U65+Z65</f>
        <v>5736.84</v>
      </c>
      <c r="AB65" s="34">
        <v>0.23</v>
      </c>
      <c r="AC65" s="35">
        <f>+ROUND(AA65*AB65,2)</f>
        <v>1319.47</v>
      </c>
      <c r="AD65" s="37">
        <f>+AC65+AA65</f>
        <v>7056.31</v>
      </c>
    </row>
    <row r="66" spans="2:30" ht="30.75" customHeight="1" x14ac:dyDescent="0.2">
      <c r="B66" s="54" t="s">
        <v>47</v>
      </c>
      <c r="C66" s="13">
        <v>1</v>
      </c>
      <c r="D66" s="13">
        <v>0</v>
      </c>
      <c r="E66" s="31">
        <v>0.95599999999999996</v>
      </c>
      <c r="F66" s="31">
        <f t="shared" ref="F66:F111" si="116">100%-E66</f>
        <v>4.4000000000000039E-2</v>
      </c>
      <c r="G66" s="30" t="s">
        <v>4</v>
      </c>
      <c r="H66" s="13">
        <v>12</v>
      </c>
      <c r="I66" s="13" t="s">
        <v>40</v>
      </c>
      <c r="J66" s="24">
        <v>344</v>
      </c>
      <c r="K66" s="24">
        <v>16</v>
      </c>
      <c r="L66" s="24">
        <v>0</v>
      </c>
      <c r="M66" s="24">
        <v>0</v>
      </c>
      <c r="N66" s="47">
        <f>+J66+K66+L66+M66</f>
        <v>360</v>
      </c>
      <c r="O66" s="38">
        <v>23.965</v>
      </c>
      <c r="P66" s="39"/>
      <c r="Q66" s="39">
        <v>24.355</v>
      </c>
      <c r="R66" s="39"/>
      <c r="S66" s="21">
        <v>6.49</v>
      </c>
      <c r="T66" s="21"/>
      <c r="U66" s="46">
        <f t="shared" ref="U66:U111" si="117">+ROUND((J66*O66/100+K66*P66/100+L66*Q66/100+M66*R66/100+C66*H66*S66+D66*H66*T66),2)</f>
        <v>160.32</v>
      </c>
      <c r="V66" s="49">
        <f>VLOOKUP($B66,'Taryfa PSG'!$B$4:$D$10,2,0)</f>
        <v>6.7640000000000002</v>
      </c>
      <c r="W66" s="27">
        <f t="shared" ref="W66:W111" si="118">+ROUND(N66*V66/100,2)</f>
        <v>24.35</v>
      </c>
      <c r="X66" s="26">
        <f>VLOOKUP($B66,'Taryfa PSG'!$B$4:$D$10,3,0)</f>
        <v>4.5999999999999996</v>
      </c>
      <c r="Y66" s="15">
        <f t="shared" ref="Y66:Y106" si="119">+ROUND((C66+D66)*H66*X66,2)</f>
        <v>55.2</v>
      </c>
      <c r="Z66" s="71">
        <f t="shared" si="114"/>
        <v>79.550000000000011</v>
      </c>
      <c r="AA66" s="36">
        <f t="shared" si="115"/>
        <v>239.87</v>
      </c>
      <c r="AB66" s="34">
        <v>0.23</v>
      </c>
      <c r="AC66" s="35">
        <f t="shared" ref="AC66:AC111" si="120">+ROUND(AA66*AB66,2)</f>
        <v>55.17</v>
      </c>
      <c r="AD66" s="37">
        <f t="shared" ref="AD66:AD111" si="121">+AC66+AA66</f>
        <v>295.04000000000002</v>
      </c>
    </row>
    <row r="67" spans="2:30" ht="30.75" customHeight="1" x14ac:dyDescent="0.2">
      <c r="B67" s="54" t="s">
        <v>47</v>
      </c>
      <c r="C67" s="13">
        <v>0</v>
      </c>
      <c r="D67" s="13">
        <v>7</v>
      </c>
      <c r="E67" s="31">
        <v>0</v>
      </c>
      <c r="F67" s="31">
        <f t="shared" si="116"/>
        <v>1</v>
      </c>
      <c r="G67" s="30" t="s">
        <v>4</v>
      </c>
      <c r="H67" s="13">
        <v>12</v>
      </c>
      <c r="I67" s="13" t="s">
        <v>40</v>
      </c>
      <c r="J67" s="24">
        <v>0</v>
      </c>
      <c r="K67" s="24">
        <v>6480</v>
      </c>
      <c r="L67" s="24">
        <v>0</v>
      </c>
      <c r="M67" s="24">
        <v>240</v>
      </c>
      <c r="N67" s="47">
        <f>+J67+K67+L67+M67</f>
        <v>6720</v>
      </c>
      <c r="O67" s="38">
        <v>23.965</v>
      </c>
      <c r="P67" s="39"/>
      <c r="Q67" s="39">
        <v>24.355</v>
      </c>
      <c r="R67" s="39"/>
      <c r="S67" s="21">
        <v>6.49</v>
      </c>
      <c r="T67" s="21"/>
      <c r="U67" s="46">
        <f t="shared" si="117"/>
        <v>0</v>
      </c>
      <c r="V67" s="49">
        <f>VLOOKUP($B67,'Taryfa PSG'!$B$4:$D$10,2,0)</f>
        <v>6.7640000000000002</v>
      </c>
      <c r="W67" s="27">
        <f t="shared" si="118"/>
        <v>454.54</v>
      </c>
      <c r="X67" s="26">
        <f>VLOOKUP($B67,'Taryfa PSG'!$B$4:$D$10,3,0)</f>
        <v>4.5999999999999996</v>
      </c>
      <c r="Y67" s="15">
        <f t="shared" si="119"/>
        <v>386.4</v>
      </c>
      <c r="Z67" s="71">
        <f t="shared" si="114"/>
        <v>840.94</v>
      </c>
      <c r="AA67" s="36">
        <f t="shared" si="115"/>
        <v>840.94</v>
      </c>
      <c r="AB67" s="34">
        <v>0.23</v>
      </c>
      <c r="AC67" s="35">
        <f t="shared" si="120"/>
        <v>193.42</v>
      </c>
      <c r="AD67" s="37">
        <f t="shared" si="121"/>
        <v>1034.3600000000001</v>
      </c>
    </row>
    <row r="68" spans="2:30" ht="30.75" customHeight="1" x14ac:dyDescent="0.2">
      <c r="B68" s="42" t="s">
        <v>48</v>
      </c>
      <c r="C68" s="13">
        <v>28</v>
      </c>
      <c r="D68" s="13">
        <v>0</v>
      </c>
      <c r="E68" s="31">
        <v>1</v>
      </c>
      <c r="F68" s="31">
        <f t="shared" si="116"/>
        <v>0</v>
      </c>
      <c r="G68" s="30" t="s">
        <v>4</v>
      </c>
      <c r="H68" s="13">
        <v>12</v>
      </c>
      <c r="I68" s="13" t="s">
        <v>40</v>
      </c>
      <c r="J68" s="24">
        <v>207280</v>
      </c>
      <c r="K68" s="24">
        <v>0</v>
      </c>
      <c r="L68" s="24">
        <v>32690</v>
      </c>
      <c r="M68" s="24">
        <v>0</v>
      </c>
      <c r="N68" s="47">
        <f t="shared" ref="N68:N111" si="122">+J68+K68+L68+M68</f>
        <v>239970</v>
      </c>
      <c r="O68" s="38">
        <v>23.965</v>
      </c>
      <c r="P68" s="39"/>
      <c r="Q68" s="39">
        <v>24.355</v>
      </c>
      <c r="R68" s="39"/>
      <c r="S68" s="21">
        <v>8.81</v>
      </c>
      <c r="T68" s="21"/>
      <c r="U68" s="46">
        <f t="shared" si="117"/>
        <v>60596.46</v>
      </c>
      <c r="V68" s="49">
        <f>VLOOKUP($B68,'Taryfa PSG'!$B$4:$D$10,2,0)</f>
        <v>4.92</v>
      </c>
      <c r="W68" s="27">
        <f t="shared" si="118"/>
        <v>11806.52</v>
      </c>
      <c r="X68" s="26">
        <f>VLOOKUP($B68,'Taryfa PSG'!$B$4:$D$10,3,0)</f>
        <v>11.7</v>
      </c>
      <c r="Y68" s="15">
        <f t="shared" si="119"/>
        <v>3931.2</v>
      </c>
      <c r="Z68" s="71">
        <f t="shared" si="114"/>
        <v>15737.720000000001</v>
      </c>
      <c r="AA68" s="36">
        <f t="shared" si="115"/>
        <v>76334.179999999993</v>
      </c>
      <c r="AB68" s="34">
        <v>0.23</v>
      </c>
      <c r="AC68" s="35">
        <f t="shared" si="120"/>
        <v>17556.86</v>
      </c>
      <c r="AD68" s="37">
        <f t="shared" si="121"/>
        <v>93891.04</v>
      </c>
    </row>
    <row r="69" spans="2:30" ht="30.75" customHeight="1" x14ac:dyDescent="0.2">
      <c r="B69" s="42" t="s">
        <v>48</v>
      </c>
      <c r="C69" s="13">
        <v>1</v>
      </c>
      <c r="D69" s="13">
        <v>0</v>
      </c>
      <c r="E69" s="31">
        <v>0.8</v>
      </c>
      <c r="F69" s="31">
        <f t="shared" si="116"/>
        <v>0.19999999999999996</v>
      </c>
      <c r="G69" s="30" t="s">
        <v>4</v>
      </c>
      <c r="H69" s="13">
        <v>12</v>
      </c>
      <c r="I69" s="13" t="s">
        <v>40</v>
      </c>
      <c r="J69" s="24">
        <v>10368</v>
      </c>
      <c r="K69" s="24">
        <v>2592</v>
      </c>
      <c r="L69" s="24">
        <v>0</v>
      </c>
      <c r="M69" s="24">
        <v>0</v>
      </c>
      <c r="N69" s="47">
        <f t="shared" si="122"/>
        <v>12960</v>
      </c>
      <c r="O69" s="38">
        <v>23.965</v>
      </c>
      <c r="P69" s="39"/>
      <c r="Q69" s="39">
        <v>24.355</v>
      </c>
      <c r="R69" s="39"/>
      <c r="S69" s="21">
        <v>8.81</v>
      </c>
      <c r="T69" s="21"/>
      <c r="U69" s="46">
        <f t="shared" si="117"/>
        <v>2590.41</v>
      </c>
      <c r="V69" s="49">
        <f>VLOOKUP($B69,'Taryfa PSG'!$B$4:$D$10,2,0)</f>
        <v>4.92</v>
      </c>
      <c r="W69" s="27">
        <f t="shared" si="118"/>
        <v>637.63</v>
      </c>
      <c r="X69" s="26">
        <f>VLOOKUP($B69,'Taryfa PSG'!$B$4:$D$10,3,0)</f>
        <v>11.7</v>
      </c>
      <c r="Y69" s="15">
        <f t="shared" si="119"/>
        <v>140.4</v>
      </c>
      <c r="Z69" s="71">
        <f t="shared" si="114"/>
        <v>778.03</v>
      </c>
      <c r="AA69" s="36">
        <f t="shared" si="115"/>
        <v>3368.4399999999996</v>
      </c>
      <c r="AB69" s="34">
        <v>0.23</v>
      </c>
      <c r="AC69" s="35">
        <f t="shared" si="120"/>
        <v>774.74</v>
      </c>
      <c r="AD69" s="37">
        <f t="shared" si="121"/>
        <v>4143.1799999999994</v>
      </c>
    </row>
    <row r="70" spans="2:30" ht="30.75" customHeight="1" x14ac:dyDescent="0.2">
      <c r="B70" s="42" t="s">
        <v>48</v>
      </c>
      <c r="C70" s="13">
        <v>1</v>
      </c>
      <c r="D70" s="13">
        <v>0</v>
      </c>
      <c r="E70" s="31">
        <v>0.76449999999999996</v>
      </c>
      <c r="F70" s="31">
        <f t="shared" si="116"/>
        <v>0.23550000000000004</v>
      </c>
      <c r="G70" s="30" t="s">
        <v>4</v>
      </c>
      <c r="H70" s="13">
        <v>12</v>
      </c>
      <c r="I70" s="13" t="s">
        <v>40</v>
      </c>
      <c r="J70" s="24">
        <v>3211</v>
      </c>
      <c r="K70" s="24">
        <v>989</v>
      </c>
      <c r="L70" s="24">
        <v>0</v>
      </c>
      <c r="M70" s="24">
        <v>0</v>
      </c>
      <c r="N70" s="47">
        <f t="shared" si="122"/>
        <v>4200</v>
      </c>
      <c r="O70" s="38">
        <v>23.965</v>
      </c>
      <c r="P70" s="39"/>
      <c r="Q70" s="39">
        <v>24.355</v>
      </c>
      <c r="R70" s="39"/>
      <c r="S70" s="21">
        <v>8.81</v>
      </c>
      <c r="T70" s="21"/>
      <c r="U70" s="46">
        <f t="shared" si="117"/>
        <v>875.24</v>
      </c>
      <c r="V70" s="49">
        <f>VLOOKUP($B70,'Taryfa PSG'!$B$4:$D$10,2,0)</f>
        <v>4.92</v>
      </c>
      <c r="W70" s="27">
        <f t="shared" si="118"/>
        <v>206.64</v>
      </c>
      <c r="X70" s="26">
        <f>VLOOKUP($B70,'Taryfa PSG'!$B$4:$D$10,3,0)</f>
        <v>11.7</v>
      </c>
      <c r="Y70" s="15">
        <f t="shared" si="119"/>
        <v>140.4</v>
      </c>
      <c r="Z70" s="71">
        <f t="shared" si="114"/>
        <v>347.03999999999996</v>
      </c>
      <c r="AA70" s="36">
        <f t="shared" si="115"/>
        <v>1222.28</v>
      </c>
      <c r="AB70" s="34">
        <v>0.23</v>
      </c>
      <c r="AC70" s="35">
        <f t="shared" si="120"/>
        <v>281.12</v>
      </c>
      <c r="AD70" s="37">
        <f t="shared" si="121"/>
        <v>1503.4</v>
      </c>
    </row>
    <row r="71" spans="2:30" ht="30.75" customHeight="1" x14ac:dyDescent="0.2">
      <c r="B71" s="42" t="s">
        <v>48</v>
      </c>
      <c r="C71" s="13">
        <v>1</v>
      </c>
      <c r="D71" s="13">
        <v>0</v>
      </c>
      <c r="E71" s="31">
        <v>0.56599999999999995</v>
      </c>
      <c r="F71" s="31">
        <f t="shared" si="116"/>
        <v>0.43400000000000005</v>
      </c>
      <c r="G71" s="30" t="s">
        <v>4</v>
      </c>
      <c r="H71" s="13">
        <v>12</v>
      </c>
      <c r="I71" s="13" t="s">
        <v>40</v>
      </c>
      <c r="J71" s="24">
        <v>0</v>
      </c>
      <c r="K71" s="24">
        <v>0</v>
      </c>
      <c r="L71" s="24">
        <v>6724</v>
      </c>
      <c r="M71" s="24">
        <v>5156</v>
      </c>
      <c r="N71" s="47">
        <f t="shared" si="122"/>
        <v>11880</v>
      </c>
      <c r="O71" s="38">
        <v>23.965</v>
      </c>
      <c r="P71" s="39"/>
      <c r="Q71" s="39">
        <v>24.355</v>
      </c>
      <c r="R71" s="39"/>
      <c r="S71" s="21">
        <v>8.81</v>
      </c>
      <c r="T71" s="21"/>
      <c r="U71" s="46">
        <f t="shared" si="117"/>
        <v>1743.35</v>
      </c>
      <c r="V71" s="49">
        <f>VLOOKUP($B71,'Taryfa PSG'!$B$4:$D$10,2,0)</f>
        <v>4.92</v>
      </c>
      <c r="W71" s="27">
        <f t="shared" si="118"/>
        <v>584.5</v>
      </c>
      <c r="X71" s="26">
        <f>VLOOKUP($B71,'Taryfa PSG'!$B$4:$D$10,3,0)</f>
        <v>11.7</v>
      </c>
      <c r="Y71" s="15">
        <f t="shared" si="119"/>
        <v>140.4</v>
      </c>
      <c r="Z71" s="71">
        <f t="shared" si="114"/>
        <v>724.9</v>
      </c>
      <c r="AA71" s="36">
        <f t="shared" si="115"/>
        <v>2468.25</v>
      </c>
      <c r="AB71" s="34">
        <v>0.23</v>
      </c>
      <c r="AC71" s="35">
        <f t="shared" si="120"/>
        <v>567.70000000000005</v>
      </c>
      <c r="AD71" s="37">
        <f t="shared" si="121"/>
        <v>3035.95</v>
      </c>
    </row>
    <row r="72" spans="2:30" ht="30.75" customHeight="1" x14ac:dyDescent="0.2">
      <c r="B72" s="42" t="s">
        <v>48</v>
      </c>
      <c r="C72" s="13">
        <v>1</v>
      </c>
      <c r="D72" s="13">
        <v>0</v>
      </c>
      <c r="E72" s="31">
        <v>0.22</v>
      </c>
      <c r="F72" s="31">
        <f t="shared" si="116"/>
        <v>0.78</v>
      </c>
      <c r="G72" s="30" t="s">
        <v>4</v>
      </c>
      <c r="H72" s="13">
        <v>12</v>
      </c>
      <c r="I72" s="13" t="s">
        <v>40</v>
      </c>
      <c r="J72" s="24">
        <v>0</v>
      </c>
      <c r="K72" s="24">
        <v>0</v>
      </c>
      <c r="L72" s="24">
        <v>792</v>
      </c>
      <c r="M72" s="24">
        <v>2808</v>
      </c>
      <c r="N72" s="47">
        <f t="shared" si="122"/>
        <v>3600</v>
      </c>
      <c r="O72" s="38">
        <v>23.965</v>
      </c>
      <c r="P72" s="39"/>
      <c r="Q72" s="39">
        <v>24.355</v>
      </c>
      <c r="R72" s="39"/>
      <c r="S72" s="21">
        <v>8.81</v>
      </c>
      <c r="T72" s="21"/>
      <c r="U72" s="46">
        <f t="shared" si="117"/>
        <v>298.61</v>
      </c>
      <c r="V72" s="49">
        <f>VLOOKUP($B72,'Taryfa PSG'!$B$4:$D$10,2,0)</f>
        <v>4.92</v>
      </c>
      <c r="W72" s="27">
        <f t="shared" si="118"/>
        <v>177.12</v>
      </c>
      <c r="X72" s="26">
        <f>VLOOKUP($B72,'Taryfa PSG'!$B$4:$D$10,3,0)</f>
        <v>11.7</v>
      </c>
      <c r="Y72" s="15">
        <f t="shared" si="119"/>
        <v>140.4</v>
      </c>
      <c r="Z72" s="71">
        <f t="shared" si="114"/>
        <v>317.52</v>
      </c>
      <c r="AA72" s="36">
        <f t="shared" si="115"/>
        <v>616.13</v>
      </c>
      <c r="AB72" s="34">
        <v>0.23</v>
      </c>
      <c r="AC72" s="35">
        <f t="shared" si="120"/>
        <v>141.71</v>
      </c>
      <c r="AD72" s="37">
        <f t="shared" si="121"/>
        <v>757.84</v>
      </c>
    </row>
    <row r="73" spans="2:30" ht="30.75" customHeight="1" x14ac:dyDescent="0.2">
      <c r="B73" s="42" t="s">
        <v>48</v>
      </c>
      <c r="C73" s="13">
        <v>1</v>
      </c>
      <c r="D73" s="13">
        <v>0</v>
      </c>
      <c r="E73" s="31">
        <v>0.16400000000000001</v>
      </c>
      <c r="F73" s="31">
        <f t="shared" si="116"/>
        <v>0.83599999999999997</v>
      </c>
      <c r="G73" s="30" t="s">
        <v>4</v>
      </c>
      <c r="H73" s="13">
        <v>12</v>
      </c>
      <c r="I73" s="13" t="s">
        <v>40</v>
      </c>
      <c r="J73" s="24">
        <v>0</v>
      </c>
      <c r="K73" s="24">
        <v>0</v>
      </c>
      <c r="L73" s="24">
        <v>1909</v>
      </c>
      <c r="M73" s="24">
        <v>9731</v>
      </c>
      <c r="N73" s="47">
        <f t="shared" si="122"/>
        <v>11640</v>
      </c>
      <c r="O73" s="38">
        <v>23.965</v>
      </c>
      <c r="P73" s="39"/>
      <c r="Q73" s="39">
        <v>24.355</v>
      </c>
      <c r="R73" s="39"/>
      <c r="S73" s="21">
        <v>8.81</v>
      </c>
      <c r="T73" s="21"/>
      <c r="U73" s="46">
        <f t="shared" si="117"/>
        <v>570.66</v>
      </c>
      <c r="V73" s="49">
        <f>VLOOKUP($B73,'Taryfa PSG'!$B$4:$D$10,2,0)</f>
        <v>4.92</v>
      </c>
      <c r="W73" s="27">
        <f t="shared" si="118"/>
        <v>572.69000000000005</v>
      </c>
      <c r="X73" s="26">
        <f>VLOOKUP($B73,'Taryfa PSG'!$B$4:$D$10,3,0)</f>
        <v>11.7</v>
      </c>
      <c r="Y73" s="15">
        <f t="shared" si="119"/>
        <v>140.4</v>
      </c>
      <c r="Z73" s="71">
        <f t="shared" si="114"/>
        <v>713.09</v>
      </c>
      <c r="AA73" s="36">
        <f t="shared" si="115"/>
        <v>1283.75</v>
      </c>
      <c r="AB73" s="34">
        <v>0.23</v>
      </c>
      <c r="AC73" s="35">
        <f t="shared" si="120"/>
        <v>295.26</v>
      </c>
      <c r="AD73" s="37">
        <f t="shared" si="121"/>
        <v>1579.01</v>
      </c>
    </row>
    <row r="74" spans="2:30" ht="30.75" customHeight="1" x14ac:dyDescent="0.2">
      <c r="B74" s="42" t="s">
        <v>48</v>
      </c>
      <c r="C74" s="13">
        <v>0</v>
      </c>
      <c r="D74" s="13">
        <v>5</v>
      </c>
      <c r="E74" s="31">
        <v>0</v>
      </c>
      <c r="F74" s="31">
        <f t="shared" si="116"/>
        <v>1</v>
      </c>
      <c r="G74" s="30" t="s">
        <v>4</v>
      </c>
      <c r="H74" s="13">
        <v>12</v>
      </c>
      <c r="I74" s="13" t="s">
        <v>40</v>
      </c>
      <c r="J74" s="24">
        <v>0</v>
      </c>
      <c r="K74" s="24">
        <v>23350</v>
      </c>
      <c r="L74" s="24">
        <v>0</v>
      </c>
      <c r="M74" s="24">
        <v>29330</v>
      </c>
      <c r="N74" s="47">
        <f t="shared" si="122"/>
        <v>52680</v>
      </c>
      <c r="O74" s="38">
        <v>23.965</v>
      </c>
      <c r="P74" s="39"/>
      <c r="Q74" s="39">
        <v>24.355</v>
      </c>
      <c r="R74" s="39"/>
      <c r="S74" s="21">
        <v>8.81</v>
      </c>
      <c r="T74" s="21"/>
      <c r="U74" s="46">
        <f t="shared" si="117"/>
        <v>0</v>
      </c>
      <c r="V74" s="49">
        <f>VLOOKUP($B74,'Taryfa PSG'!$B$4:$D$10,2,0)</f>
        <v>4.92</v>
      </c>
      <c r="W74" s="27">
        <f t="shared" si="118"/>
        <v>2591.86</v>
      </c>
      <c r="X74" s="26">
        <f>VLOOKUP($B74,'Taryfa PSG'!$B$4:$D$10,3,0)</f>
        <v>11.7</v>
      </c>
      <c r="Y74" s="15">
        <f t="shared" si="119"/>
        <v>702</v>
      </c>
      <c r="Z74" s="71">
        <f t="shared" si="114"/>
        <v>3293.86</v>
      </c>
      <c r="AA74" s="36">
        <f t="shared" si="115"/>
        <v>3293.86</v>
      </c>
      <c r="AB74" s="34">
        <v>0.23</v>
      </c>
      <c r="AC74" s="35">
        <f t="shared" si="120"/>
        <v>757.59</v>
      </c>
      <c r="AD74" s="37">
        <f t="shared" si="121"/>
        <v>4051.4500000000003</v>
      </c>
    </row>
    <row r="75" spans="2:30" ht="30.75" customHeight="1" x14ac:dyDescent="0.2">
      <c r="B75" s="41" t="s">
        <v>49</v>
      </c>
      <c r="C75" s="103">
        <v>44</v>
      </c>
      <c r="D75" s="13">
        <v>0</v>
      </c>
      <c r="E75" s="31">
        <v>1</v>
      </c>
      <c r="F75" s="31">
        <f t="shared" si="116"/>
        <v>0</v>
      </c>
      <c r="G75" s="30" t="s">
        <v>4</v>
      </c>
      <c r="H75" s="13">
        <v>12</v>
      </c>
      <c r="I75" s="13" t="s">
        <v>40</v>
      </c>
      <c r="J75" s="104">
        <v>1685590</v>
      </c>
      <c r="K75" s="104">
        <v>0</v>
      </c>
      <c r="L75" s="104">
        <v>389870</v>
      </c>
      <c r="M75" s="104">
        <v>0</v>
      </c>
      <c r="N75" s="105">
        <f t="shared" si="122"/>
        <v>2075460</v>
      </c>
      <c r="O75" s="38">
        <v>23.965</v>
      </c>
      <c r="P75" s="39"/>
      <c r="Q75" s="39">
        <v>24.355</v>
      </c>
      <c r="R75" s="39"/>
      <c r="S75" s="21">
        <v>10.02</v>
      </c>
      <c r="T75" s="21"/>
      <c r="U75" s="46">
        <f t="shared" si="117"/>
        <v>504195.04</v>
      </c>
      <c r="V75" s="49">
        <f>VLOOKUP($B75,'Taryfa PSG'!$B$4:$D$10,2,0)</f>
        <v>3.6890000000000001</v>
      </c>
      <c r="W75" s="27">
        <f t="shared" si="118"/>
        <v>76563.72</v>
      </c>
      <c r="X75" s="26">
        <f>VLOOKUP($B75,'Taryfa PSG'!$B$4:$D$10,3,0)</f>
        <v>45.19</v>
      </c>
      <c r="Y75" s="15">
        <f t="shared" si="119"/>
        <v>23860.32</v>
      </c>
      <c r="Z75" s="71">
        <f t="shared" si="114"/>
        <v>100424.04000000001</v>
      </c>
      <c r="AA75" s="36">
        <f t="shared" si="115"/>
        <v>604619.07999999996</v>
      </c>
      <c r="AB75" s="34">
        <v>0.23</v>
      </c>
      <c r="AC75" s="35">
        <f t="shared" si="120"/>
        <v>139062.39000000001</v>
      </c>
      <c r="AD75" s="37">
        <f t="shared" si="121"/>
        <v>743681.47</v>
      </c>
    </row>
    <row r="76" spans="2:30" ht="30.75" customHeight="1" x14ac:dyDescent="0.2">
      <c r="B76" s="41" t="s">
        <v>49</v>
      </c>
      <c r="C76" s="13">
        <v>1</v>
      </c>
      <c r="D76" s="13">
        <v>0</v>
      </c>
      <c r="E76" s="31">
        <v>0.99990000000000001</v>
      </c>
      <c r="F76" s="31">
        <f t="shared" si="116"/>
        <v>9.9999999999988987E-5</v>
      </c>
      <c r="G76" s="30" t="s">
        <v>4</v>
      </c>
      <c r="H76" s="13">
        <v>12</v>
      </c>
      <c r="I76" s="13" t="s">
        <v>40</v>
      </c>
      <c r="J76" s="24">
        <v>0</v>
      </c>
      <c r="K76" s="24">
        <v>0</v>
      </c>
      <c r="L76" s="24">
        <v>23178</v>
      </c>
      <c r="M76" s="24">
        <v>2</v>
      </c>
      <c r="N76" s="47">
        <f t="shared" si="122"/>
        <v>23180</v>
      </c>
      <c r="O76" s="38">
        <v>23.965</v>
      </c>
      <c r="P76" s="39"/>
      <c r="Q76" s="39">
        <v>24.355</v>
      </c>
      <c r="R76" s="39"/>
      <c r="S76" s="21">
        <v>10.02</v>
      </c>
      <c r="T76" s="21"/>
      <c r="U76" s="46">
        <f t="shared" si="117"/>
        <v>5765.24</v>
      </c>
      <c r="V76" s="49">
        <f>VLOOKUP($B76,'Taryfa PSG'!$B$4:$D$10,2,0)</f>
        <v>3.6890000000000001</v>
      </c>
      <c r="W76" s="27">
        <f t="shared" si="118"/>
        <v>855.11</v>
      </c>
      <c r="X76" s="26">
        <f>VLOOKUP($B76,'Taryfa PSG'!$B$4:$D$10,3,0)</f>
        <v>45.19</v>
      </c>
      <c r="Y76" s="15">
        <f t="shared" si="119"/>
        <v>542.28</v>
      </c>
      <c r="Z76" s="71">
        <f t="shared" si="114"/>
        <v>1397.3899999999999</v>
      </c>
      <c r="AA76" s="36">
        <f t="shared" si="115"/>
        <v>7162.6299999999992</v>
      </c>
      <c r="AB76" s="34">
        <v>0.23</v>
      </c>
      <c r="AC76" s="35">
        <f t="shared" si="120"/>
        <v>1647.4</v>
      </c>
      <c r="AD76" s="37">
        <f t="shared" si="121"/>
        <v>8810.0299999999988</v>
      </c>
    </row>
    <row r="77" spans="2:30" ht="30.75" customHeight="1" x14ac:dyDescent="0.2">
      <c r="B77" s="41" t="s">
        <v>49</v>
      </c>
      <c r="C77" s="13">
        <v>1</v>
      </c>
      <c r="D77" s="13">
        <v>0</v>
      </c>
      <c r="E77" s="51">
        <v>0.99970000000000003</v>
      </c>
      <c r="F77" s="31">
        <f t="shared" si="116"/>
        <v>2.9999999999996696E-4</v>
      </c>
      <c r="G77" s="30" t="s">
        <v>4</v>
      </c>
      <c r="H77" s="13">
        <v>12</v>
      </c>
      <c r="I77" s="13" t="s">
        <v>40</v>
      </c>
      <c r="J77" s="24">
        <v>0</v>
      </c>
      <c r="K77" s="24">
        <v>0</v>
      </c>
      <c r="L77" s="24">
        <v>38239</v>
      </c>
      <c r="M77" s="24">
        <v>11</v>
      </c>
      <c r="N77" s="47">
        <f t="shared" si="122"/>
        <v>38250</v>
      </c>
      <c r="O77" s="38">
        <v>23.965</v>
      </c>
      <c r="P77" s="39"/>
      <c r="Q77" s="39">
        <v>24.355</v>
      </c>
      <c r="R77" s="39"/>
      <c r="S77" s="21">
        <v>10.02</v>
      </c>
      <c r="T77" s="21"/>
      <c r="U77" s="46">
        <f t="shared" si="117"/>
        <v>9433.35</v>
      </c>
      <c r="V77" s="49">
        <f>VLOOKUP($B77,'Taryfa PSG'!$B$4:$D$10,2,0)</f>
        <v>3.6890000000000001</v>
      </c>
      <c r="W77" s="27">
        <f t="shared" si="118"/>
        <v>1411.04</v>
      </c>
      <c r="X77" s="26">
        <f>VLOOKUP($B77,'Taryfa PSG'!$B$4:$D$10,3,0)</f>
        <v>45.19</v>
      </c>
      <c r="Y77" s="15">
        <f t="shared" si="119"/>
        <v>542.28</v>
      </c>
      <c r="Z77" s="71">
        <f t="shared" si="114"/>
        <v>1953.32</v>
      </c>
      <c r="AA77" s="36">
        <f t="shared" si="115"/>
        <v>11386.67</v>
      </c>
      <c r="AB77" s="34">
        <v>0.23</v>
      </c>
      <c r="AC77" s="35">
        <f t="shared" si="120"/>
        <v>2618.9299999999998</v>
      </c>
      <c r="AD77" s="37">
        <f t="shared" si="121"/>
        <v>14005.6</v>
      </c>
    </row>
    <row r="78" spans="2:30" ht="30.75" customHeight="1" x14ac:dyDescent="0.2">
      <c r="B78" s="41" t="s">
        <v>49</v>
      </c>
      <c r="C78" s="13">
        <v>1</v>
      </c>
      <c r="D78" s="13">
        <v>0</v>
      </c>
      <c r="E78" s="51">
        <v>0.97</v>
      </c>
      <c r="F78" s="31">
        <f t="shared" si="116"/>
        <v>3.0000000000000027E-2</v>
      </c>
      <c r="G78" s="30" t="s">
        <v>4</v>
      </c>
      <c r="H78" s="13">
        <v>12</v>
      </c>
      <c r="I78" s="13" t="s">
        <v>40</v>
      </c>
      <c r="J78" s="24">
        <v>0</v>
      </c>
      <c r="K78" s="24">
        <v>0</v>
      </c>
      <c r="L78" s="24">
        <v>33960</v>
      </c>
      <c r="M78" s="24">
        <v>1050</v>
      </c>
      <c r="N78" s="47">
        <f t="shared" si="122"/>
        <v>35010</v>
      </c>
      <c r="O78" s="38">
        <v>23.965</v>
      </c>
      <c r="P78" s="39"/>
      <c r="Q78" s="39">
        <v>24.355</v>
      </c>
      <c r="R78" s="39"/>
      <c r="S78" s="21">
        <v>10.02</v>
      </c>
      <c r="T78" s="21"/>
      <c r="U78" s="46">
        <f t="shared" si="117"/>
        <v>8391.2000000000007</v>
      </c>
      <c r="V78" s="49">
        <f>VLOOKUP($B78,'Taryfa PSG'!$B$4:$D$10,2,0)</f>
        <v>3.6890000000000001</v>
      </c>
      <c r="W78" s="27">
        <f t="shared" si="118"/>
        <v>1291.52</v>
      </c>
      <c r="X78" s="26">
        <f>VLOOKUP($B78,'Taryfa PSG'!$B$4:$D$10,3,0)</f>
        <v>45.19</v>
      </c>
      <c r="Y78" s="15">
        <f t="shared" si="119"/>
        <v>542.28</v>
      </c>
      <c r="Z78" s="71">
        <f t="shared" si="114"/>
        <v>1833.8</v>
      </c>
      <c r="AA78" s="36">
        <f t="shared" si="115"/>
        <v>10225</v>
      </c>
      <c r="AB78" s="34">
        <v>0.23</v>
      </c>
      <c r="AC78" s="35">
        <f t="shared" si="120"/>
        <v>2351.75</v>
      </c>
      <c r="AD78" s="37">
        <f t="shared" si="121"/>
        <v>12576.75</v>
      </c>
    </row>
    <row r="79" spans="2:30" ht="30.75" customHeight="1" x14ac:dyDescent="0.2">
      <c r="B79" s="41" t="s">
        <v>49</v>
      </c>
      <c r="C79" s="13">
        <v>1</v>
      </c>
      <c r="D79" s="13">
        <v>0</v>
      </c>
      <c r="E79" s="51">
        <v>0.96760000000000002</v>
      </c>
      <c r="F79" s="31">
        <f t="shared" si="116"/>
        <v>3.2399999999999984E-2</v>
      </c>
      <c r="G79" s="30" t="s">
        <v>4</v>
      </c>
      <c r="H79" s="13">
        <v>12</v>
      </c>
      <c r="I79" s="13" t="s">
        <v>40</v>
      </c>
      <c r="J79" s="24">
        <v>0</v>
      </c>
      <c r="K79" s="24">
        <v>0</v>
      </c>
      <c r="L79" s="24">
        <v>63823</v>
      </c>
      <c r="M79" s="24">
        <v>2137</v>
      </c>
      <c r="N79" s="47">
        <f t="shared" si="122"/>
        <v>65960</v>
      </c>
      <c r="O79" s="38">
        <v>23.965</v>
      </c>
      <c r="P79" s="39"/>
      <c r="Q79" s="39">
        <v>24.355</v>
      </c>
      <c r="R79" s="39"/>
      <c r="S79" s="21">
        <v>10.02</v>
      </c>
      <c r="T79" s="21"/>
      <c r="U79" s="46">
        <f t="shared" si="117"/>
        <v>15664.33</v>
      </c>
      <c r="V79" s="49">
        <f>VLOOKUP($B79,'Taryfa PSG'!$B$4:$D$10,2,0)</f>
        <v>3.6890000000000001</v>
      </c>
      <c r="W79" s="27">
        <f t="shared" si="118"/>
        <v>2433.2600000000002</v>
      </c>
      <c r="X79" s="26">
        <f>VLOOKUP($B79,'Taryfa PSG'!$B$4:$D$10,3,0)</f>
        <v>45.19</v>
      </c>
      <c r="Y79" s="15">
        <f t="shared" si="119"/>
        <v>542.28</v>
      </c>
      <c r="Z79" s="71">
        <f t="shared" si="114"/>
        <v>2975.54</v>
      </c>
      <c r="AA79" s="36">
        <f t="shared" si="115"/>
        <v>18639.87</v>
      </c>
      <c r="AB79" s="34">
        <v>0.23</v>
      </c>
      <c r="AC79" s="35">
        <f t="shared" si="120"/>
        <v>4287.17</v>
      </c>
      <c r="AD79" s="37">
        <f t="shared" si="121"/>
        <v>22927.040000000001</v>
      </c>
    </row>
    <row r="80" spans="2:30" ht="30.75" customHeight="1" x14ac:dyDescent="0.2">
      <c r="B80" s="41" t="s">
        <v>49</v>
      </c>
      <c r="C80" s="13">
        <v>1</v>
      </c>
      <c r="D80" s="13">
        <v>0</v>
      </c>
      <c r="E80" s="51">
        <v>0.89910000000000001</v>
      </c>
      <c r="F80" s="31">
        <f t="shared" si="116"/>
        <v>0.10089999999999999</v>
      </c>
      <c r="G80" s="30" t="s">
        <v>4</v>
      </c>
      <c r="H80" s="13">
        <v>12</v>
      </c>
      <c r="I80" s="13" t="s">
        <v>40</v>
      </c>
      <c r="J80" s="24">
        <v>72701</v>
      </c>
      <c r="K80" s="24">
        <v>8159</v>
      </c>
      <c r="L80" s="24">
        <v>0</v>
      </c>
      <c r="M80" s="24">
        <v>0</v>
      </c>
      <c r="N80" s="47">
        <f t="shared" si="122"/>
        <v>80860</v>
      </c>
      <c r="O80" s="38">
        <v>23.965</v>
      </c>
      <c r="P80" s="39"/>
      <c r="Q80" s="39">
        <v>24.355</v>
      </c>
      <c r="R80" s="39"/>
      <c r="S80" s="21">
        <v>10.02</v>
      </c>
      <c r="T80" s="21"/>
      <c r="U80" s="46">
        <f t="shared" si="117"/>
        <v>17543.03</v>
      </c>
      <c r="V80" s="49">
        <f>VLOOKUP($B80,'Taryfa PSG'!$B$4:$D$10,2,0)</f>
        <v>3.6890000000000001</v>
      </c>
      <c r="W80" s="27">
        <f t="shared" si="118"/>
        <v>2982.93</v>
      </c>
      <c r="X80" s="26">
        <f>VLOOKUP($B80,'Taryfa PSG'!$B$4:$D$10,3,0)</f>
        <v>45.19</v>
      </c>
      <c r="Y80" s="15">
        <f t="shared" si="119"/>
        <v>542.28</v>
      </c>
      <c r="Z80" s="71">
        <f t="shared" si="114"/>
        <v>3525.21</v>
      </c>
      <c r="AA80" s="36">
        <f t="shared" si="115"/>
        <v>21068.239999999998</v>
      </c>
      <c r="AB80" s="34">
        <v>0.23</v>
      </c>
      <c r="AC80" s="35">
        <f t="shared" si="120"/>
        <v>4845.7</v>
      </c>
      <c r="AD80" s="37">
        <f t="shared" si="121"/>
        <v>25913.94</v>
      </c>
    </row>
    <row r="81" spans="2:30" ht="30.75" customHeight="1" x14ac:dyDescent="0.2">
      <c r="B81" s="41" t="s">
        <v>49</v>
      </c>
      <c r="C81" s="13">
        <v>2</v>
      </c>
      <c r="D81" s="13">
        <v>0</v>
      </c>
      <c r="E81" s="51">
        <v>0.8</v>
      </c>
      <c r="F81" s="31">
        <f t="shared" si="116"/>
        <v>0.19999999999999996</v>
      </c>
      <c r="G81" s="30" t="s">
        <v>4</v>
      </c>
      <c r="H81" s="13">
        <v>12</v>
      </c>
      <c r="I81" s="13" t="s">
        <v>40</v>
      </c>
      <c r="J81" s="24">
        <v>36880</v>
      </c>
      <c r="K81" s="24">
        <v>9220</v>
      </c>
      <c r="L81" s="24">
        <v>0</v>
      </c>
      <c r="M81" s="24">
        <v>0</v>
      </c>
      <c r="N81" s="47">
        <f t="shared" si="122"/>
        <v>46100</v>
      </c>
      <c r="O81" s="38">
        <v>23.965</v>
      </c>
      <c r="P81" s="39"/>
      <c r="Q81" s="39">
        <v>24.355</v>
      </c>
      <c r="R81" s="39"/>
      <c r="S81" s="21">
        <v>10.02</v>
      </c>
      <c r="T81" s="21"/>
      <c r="U81" s="46">
        <f t="shared" si="117"/>
        <v>9078.77</v>
      </c>
      <c r="V81" s="49">
        <f>VLOOKUP($B81,'Taryfa PSG'!$B$4:$D$10,2,0)</f>
        <v>3.6890000000000001</v>
      </c>
      <c r="W81" s="27">
        <f t="shared" si="118"/>
        <v>1700.63</v>
      </c>
      <c r="X81" s="26">
        <f>VLOOKUP($B81,'Taryfa PSG'!$B$4:$D$10,3,0)</f>
        <v>45.19</v>
      </c>
      <c r="Y81" s="15">
        <f t="shared" si="119"/>
        <v>1084.56</v>
      </c>
      <c r="Z81" s="71">
        <f t="shared" si="114"/>
        <v>2785.19</v>
      </c>
      <c r="AA81" s="36">
        <f t="shared" si="115"/>
        <v>11863.960000000001</v>
      </c>
      <c r="AB81" s="34">
        <v>0.23</v>
      </c>
      <c r="AC81" s="35">
        <f t="shared" si="120"/>
        <v>2728.71</v>
      </c>
      <c r="AD81" s="37">
        <f t="shared" si="121"/>
        <v>14592.670000000002</v>
      </c>
    </row>
    <row r="82" spans="2:30" ht="30.75" customHeight="1" x14ac:dyDescent="0.2">
      <c r="B82" s="41" t="s">
        <v>49</v>
      </c>
      <c r="C82" s="13">
        <v>1</v>
      </c>
      <c r="D82" s="13">
        <v>0</v>
      </c>
      <c r="E82" s="51">
        <v>0.71950000000000003</v>
      </c>
      <c r="F82" s="31">
        <f t="shared" si="116"/>
        <v>0.28049999999999997</v>
      </c>
      <c r="G82" s="30" t="s">
        <v>4</v>
      </c>
      <c r="H82" s="13">
        <v>12</v>
      </c>
      <c r="I82" s="13" t="s">
        <v>40</v>
      </c>
      <c r="J82" s="24">
        <v>18282</v>
      </c>
      <c r="K82" s="24">
        <v>7128</v>
      </c>
      <c r="L82" s="24">
        <v>0</v>
      </c>
      <c r="M82" s="24">
        <v>0</v>
      </c>
      <c r="N82" s="47">
        <f t="shared" si="122"/>
        <v>25410</v>
      </c>
      <c r="O82" s="38">
        <v>23.965</v>
      </c>
      <c r="P82" s="39"/>
      <c r="Q82" s="39">
        <v>24.355</v>
      </c>
      <c r="R82" s="39"/>
      <c r="S82" s="21">
        <v>10.02</v>
      </c>
      <c r="T82" s="21"/>
      <c r="U82" s="46">
        <f t="shared" si="117"/>
        <v>4501.5200000000004</v>
      </c>
      <c r="V82" s="49">
        <f>VLOOKUP($B82,'Taryfa PSG'!$B$4:$D$10,2,0)</f>
        <v>3.6890000000000001</v>
      </c>
      <c r="W82" s="27">
        <f t="shared" si="118"/>
        <v>937.37</v>
      </c>
      <c r="X82" s="26">
        <f>VLOOKUP($B82,'Taryfa PSG'!$B$4:$D$10,3,0)</f>
        <v>45.19</v>
      </c>
      <c r="Y82" s="15">
        <f t="shared" si="119"/>
        <v>542.28</v>
      </c>
      <c r="Z82" s="71">
        <f t="shared" si="114"/>
        <v>1479.65</v>
      </c>
      <c r="AA82" s="36">
        <f t="shared" si="115"/>
        <v>5981.17</v>
      </c>
      <c r="AB82" s="34">
        <v>0.23</v>
      </c>
      <c r="AC82" s="35">
        <f t="shared" si="120"/>
        <v>1375.67</v>
      </c>
      <c r="AD82" s="37">
        <f t="shared" si="121"/>
        <v>7356.84</v>
      </c>
    </row>
    <row r="83" spans="2:30" ht="30.75" customHeight="1" x14ac:dyDescent="0.2">
      <c r="B83" s="41" t="s">
        <v>49</v>
      </c>
      <c r="C83" s="13">
        <v>1</v>
      </c>
      <c r="D83" s="13">
        <v>0</v>
      </c>
      <c r="E83" s="51">
        <v>0.61009999999999998</v>
      </c>
      <c r="F83" s="31">
        <f t="shared" si="116"/>
        <v>0.38990000000000002</v>
      </c>
      <c r="G83" s="30" t="s">
        <v>4</v>
      </c>
      <c r="H83" s="13">
        <v>12</v>
      </c>
      <c r="I83" s="13" t="s">
        <v>40</v>
      </c>
      <c r="J83" s="24">
        <v>14325</v>
      </c>
      <c r="K83" s="24">
        <v>9155</v>
      </c>
      <c r="L83" s="24">
        <v>0</v>
      </c>
      <c r="M83" s="24">
        <v>0</v>
      </c>
      <c r="N83" s="47">
        <f t="shared" si="122"/>
        <v>23480</v>
      </c>
      <c r="O83" s="38">
        <v>23.965</v>
      </c>
      <c r="P83" s="39"/>
      <c r="Q83" s="39">
        <v>24.355</v>
      </c>
      <c r="R83" s="39"/>
      <c r="S83" s="21">
        <v>10.02</v>
      </c>
      <c r="T83" s="21"/>
      <c r="U83" s="46">
        <f t="shared" si="117"/>
        <v>3553.23</v>
      </c>
      <c r="V83" s="49">
        <f>VLOOKUP($B83,'Taryfa PSG'!$B$4:$D$10,2,0)</f>
        <v>3.6890000000000001</v>
      </c>
      <c r="W83" s="27">
        <f t="shared" si="118"/>
        <v>866.18</v>
      </c>
      <c r="X83" s="26">
        <f>VLOOKUP($B83,'Taryfa PSG'!$B$4:$D$10,3,0)</f>
        <v>45.19</v>
      </c>
      <c r="Y83" s="15">
        <f t="shared" si="119"/>
        <v>542.28</v>
      </c>
      <c r="Z83" s="71">
        <f t="shared" si="114"/>
        <v>1408.46</v>
      </c>
      <c r="AA83" s="36">
        <f t="shared" si="115"/>
        <v>4961.6900000000005</v>
      </c>
      <c r="AB83" s="34">
        <v>0.23</v>
      </c>
      <c r="AC83" s="35">
        <f t="shared" si="120"/>
        <v>1141.19</v>
      </c>
      <c r="AD83" s="37">
        <f t="shared" si="121"/>
        <v>6102.880000000001</v>
      </c>
    </row>
    <row r="84" spans="2:30" ht="30.75" customHeight="1" x14ac:dyDescent="0.2">
      <c r="B84" s="41" t="s">
        <v>49</v>
      </c>
      <c r="C84" s="13">
        <v>1</v>
      </c>
      <c r="D84" s="13">
        <v>0</v>
      </c>
      <c r="E84" s="51">
        <v>0.6</v>
      </c>
      <c r="F84" s="31">
        <f t="shared" si="116"/>
        <v>0.4</v>
      </c>
      <c r="G84" s="30" t="s">
        <v>4</v>
      </c>
      <c r="H84" s="13">
        <v>12</v>
      </c>
      <c r="I84" s="13" t="s">
        <v>40</v>
      </c>
      <c r="J84" s="24">
        <v>11922</v>
      </c>
      <c r="K84" s="24">
        <v>7948</v>
      </c>
      <c r="L84" s="24">
        <v>0</v>
      </c>
      <c r="M84" s="24">
        <v>0</v>
      </c>
      <c r="N84" s="47">
        <f t="shared" si="122"/>
        <v>19870</v>
      </c>
      <c r="O84" s="38">
        <v>23.965</v>
      </c>
      <c r="P84" s="39"/>
      <c r="Q84" s="39">
        <v>24.355</v>
      </c>
      <c r="R84" s="39"/>
      <c r="S84" s="21">
        <v>10.02</v>
      </c>
      <c r="T84" s="21"/>
      <c r="U84" s="46">
        <f t="shared" si="117"/>
        <v>2977.35</v>
      </c>
      <c r="V84" s="49">
        <f>VLOOKUP($B84,'Taryfa PSG'!$B$4:$D$10,2,0)</f>
        <v>3.6890000000000001</v>
      </c>
      <c r="W84" s="27">
        <f t="shared" si="118"/>
        <v>733</v>
      </c>
      <c r="X84" s="26">
        <f>VLOOKUP($B84,'Taryfa PSG'!$B$4:$D$10,3,0)</f>
        <v>45.19</v>
      </c>
      <c r="Y84" s="15">
        <f t="shared" si="119"/>
        <v>542.28</v>
      </c>
      <c r="Z84" s="71">
        <f t="shared" si="114"/>
        <v>1275.28</v>
      </c>
      <c r="AA84" s="36">
        <f t="shared" si="115"/>
        <v>4252.63</v>
      </c>
      <c r="AB84" s="34">
        <v>0.23</v>
      </c>
      <c r="AC84" s="35">
        <f t="shared" si="120"/>
        <v>978.1</v>
      </c>
      <c r="AD84" s="37">
        <f t="shared" si="121"/>
        <v>5230.7300000000005</v>
      </c>
    </row>
    <row r="85" spans="2:30" ht="30.75" customHeight="1" x14ac:dyDescent="0.2">
      <c r="B85" s="41" t="s">
        <v>49</v>
      </c>
      <c r="C85" s="13">
        <v>1</v>
      </c>
      <c r="D85" s="13">
        <v>0</v>
      </c>
      <c r="E85" s="51">
        <v>0.49340000000000001</v>
      </c>
      <c r="F85" s="31">
        <f t="shared" si="116"/>
        <v>0.50659999999999994</v>
      </c>
      <c r="G85" s="30" t="s">
        <v>4</v>
      </c>
      <c r="H85" s="13">
        <v>12</v>
      </c>
      <c r="I85" s="13" t="s">
        <v>40</v>
      </c>
      <c r="J85" s="24">
        <v>16563</v>
      </c>
      <c r="K85" s="24">
        <v>17007</v>
      </c>
      <c r="L85" s="24">
        <v>0</v>
      </c>
      <c r="M85" s="24">
        <v>0</v>
      </c>
      <c r="N85" s="47">
        <f t="shared" si="122"/>
        <v>33570</v>
      </c>
      <c r="O85" s="38">
        <v>23.965</v>
      </c>
      <c r="P85" s="39"/>
      <c r="Q85" s="39">
        <v>24.355</v>
      </c>
      <c r="R85" s="39"/>
      <c r="S85" s="21">
        <v>10.02</v>
      </c>
      <c r="T85" s="21"/>
      <c r="U85" s="46">
        <f t="shared" si="117"/>
        <v>4089.56</v>
      </c>
      <c r="V85" s="49">
        <f>VLOOKUP($B85,'Taryfa PSG'!$B$4:$D$10,2,0)</f>
        <v>3.6890000000000001</v>
      </c>
      <c r="W85" s="27">
        <f t="shared" si="118"/>
        <v>1238.4000000000001</v>
      </c>
      <c r="X85" s="26">
        <f>VLOOKUP($B85,'Taryfa PSG'!$B$4:$D$10,3,0)</f>
        <v>45.19</v>
      </c>
      <c r="Y85" s="15">
        <f t="shared" si="119"/>
        <v>542.28</v>
      </c>
      <c r="Z85" s="71">
        <f t="shared" si="114"/>
        <v>1780.68</v>
      </c>
      <c r="AA85" s="36">
        <f t="shared" si="115"/>
        <v>5870.24</v>
      </c>
      <c r="AB85" s="34">
        <v>0.23</v>
      </c>
      <c r="AC85" s="35">
        <f t="shared" si="120"/>
        <v>1350.16</v>
      </c>
      <c r="AD85" s="37">
        <f t="shared" si="121"/>
        <v>7220.4</v>
      </c>
    </row>
    <row r="86" spans="2:30" ht="30.75" customHeight="1" x14ac:dyDescent="0.2">
      <c r="B86" s="41" t="s">
        <v>49</v>
      </c>
      <c r="C86" s="13">
        <v>1</v>
      </c>
      <c r="D86" s="13">
        <v>0</v>
      </c>
      <c r="E86" s="51">
        <v>0.48699999999999999</v>
      </c>
      <c r="F86" s="31">
        <f t="shared" si="116"/>
        <v>0.51300000000000001</v>
      </c>
      <c r="G86" s="30" t="s">
        <v>4</v>
      </c>
      <c r="H86" s="13">
        <v>12</v>
      </c>
      <c r="I86" s="13" t="s">
        <v>40</v>
      </c>
      <c r="J86" s="24">
        <v>8298</v>
      </c>
      <c r="K86" s="24">
        <v>8742</v>
      </c>
      <c r="L86" s="24">
        <v>0</v>
      </c>
      <c r="M86" s="24">
        <v>0</v>
      </c>
      <c r="N86" s="47">
        <f t="shared" si="122"/>
        <v>17040</v>
      </c>
      <c r="O86" s="38">
        <v>23.965</v>
      </c>
      <c r="P86" s="39"/>
      <c r="Q86" s="39">
        <v>24.355</v>
      </c>
      <c r="R86" s="39"/>
      <c r="S86" s="21">
        <v>10.02</v>
      </c>
      <c r="T86" s="21"/>
      <c r="U86" s="46">
        <f t="shared" si="117"/>
        <v>2108.86</v>
      </c>
      <c r="V86" s="49">
        <f>VLOOKUP($B86,'Taryfa PSG'!$B$4:$D$10,2,0)</f>
        <v>3.6890000000000001</v>
      </c>
      <c r="W86" s="27">
        <f t="shared" si="118"/>
        <v>628.61</v>
      </c>
      <c r="X86" s="26">
        <f>VLOOKUP($B86,'Taryfa PSG'!$B$4:$D$10,3,0)</f>
        <v>45.19</v>
      </c>
      <c r="Y86" s="15">
        <f t="shared" si="119"/>
        <v>542.28</v>
      </c>
      <c r="Z86" s="71">
        <f t="shared" si="114"/>
        <v>1170.8899999999999</v>
      </c>
      <c r="AA86" s="36">
        <f t="shared" si="115"/>
        <v>3279.75</v>
      </c>
      <c r="AB86" s="34">
        <v>0.23</v>
      </c>
      <c r="AC86" s="35">
        <f t="shared" si="120"/>
        <v>754.34</v>
      </c>
      <c r="AD86" s="37">
        <f t="shared" si="121"/>
        <v>4034.09</v>
      </c>
    </row>
    <row r="87" spans="2:30" ht="30.75" customHeight="1" x14ac:dyDescent="0.2">
      <c r="B87" s="41" t="s">
        <v>49</v>
      </c>
      <c r="C87" s="13">
        <v>1</v>
      </c>
      <c r="D87" s="13">
        <v>0</v>
      </c>
      <c r="E87" s="51">
        <v>0.42</v>
      </c>
      <c r="F87" s="31">
        <f t="shared" si="116"/>
        <v>0.58000000000000007</v>
      </c>
      <c r="G87" s="30" t="s">
        <v>4</v>
      </c>
      <c r="H87" s="13">
        <v>12</v>
      </c>
      <c r="I87" s="13" t="s">
        <v>40</v>
      </c>
      <c r="J87" s="24">
        <v>0</v>
      </c>
      <c r="K87" s="24">
        <v>0</v>
      </c>
      <c r="L87" s="24">
        <v>20941</v>
      </c>
      <c r="M87" s="24">
        <v>28919</v>
      </c>
      <c r="N87" s="47">
        <f t="shared" si="122"/>
        <v>49860</v>
      </c>
      <c r="O87" s="38">
        <v>23.965</v>
      </c>
      <c r="P87" s="39"/>
      <c r="Q87" s="39">
        <v>24.355</v>
      </c>
      <c r="R87" s="39"/>
      <c r="S87" s="21">
        <v>10.02</v>
      </c>
      <c r="T87" s="21"/>
      <c r="U87" s="46">
        <f t="shared" si="117"/>
        <v>5220.42</v>
      </c>
      <c r="V87" s="49">
        <f>VLOOKUP($B87,'Taryfa PSG'!$B$4:$D$10,2,0)</f>
        <v>3.6890000000000001</v>
      </c>
      <c r="W87" s="27">
        <f t="shared" si="118"/>
        <v>1839.34</v>
      </c>
      <c r="X87" s="26">
        <f>VLOOKUP($B87,'Taryfa PSG'!$B$4:$D$10,3,0)</f>
        <v>45.19</v>
      </c>
      <c r="Y87" s="15">
        <f t="shared" si="119"/>
        <v>542.28</v>
      </c>
      <c r="Z87" s="71">
        <f t="shared" si="114"/>
        <v>2381.62</v>
      </c>
      <c r="AA87" s="36">
        <f t="shared" si="115"/>
        <v>7602.04</v>
      </c>
      <c r="AB87" s="34">
        <v>0.23</v>
      </c>
      <c r="AC87" s="35">
        <f t="shared" si="120"/>
        <v>1748.47</v>
      </c>
      <c r="AD87" s="37">
        <f t="shared" si="121"/>
        <v>9350.51</v>
      </c>
    </row>
    <row r="88" spans="2:30" ht="30.75" customHeight="1" x14ac:dyDescent="0.2">
      <c r="B88" s="41" t="s">
        <v>49</v>
      </c>
      <c r="C88" s="13">
        <v>1</v>
      </c>
      <c r="D88" s="13">
        <v>0</v>
      </c>
      <c r="E88" s="51">
        <v>0.38500000000000001</v>
      </c>
      <c r="F88" s="31">
        <f t="shared" si="116"/>
        <v>0.61499999999999999</v>
      </c>
      <c r="G88" s="30" t="s">
        <v>4</v>
      </c>
      <c r="H88" s="13">
        <v>12</v>
      </c>
      <c r="I88" s="13" t="s">
        <v>40</v>
      </c>
      <c r="J88" s="24">
        <v>0</v>
      </c>
      <c r="K88" s="24">
        <v>0</v>
      </c>
      <c r="L88" s="24">
        <v>12270</v>
      </c>
      <c r="M88" s="24">
        <v>19600</v>
      </c>
      <c r="N88" s="47">
        <f t="shared" si="122"/>
        <v>31870</v>
      </c>
      <c r="O88" s="38">
        <v>23.965</v>
      </c>
      <c r="P88" s="39"/>
      <c r="Q88" s="39">
        <v>24.355</v>
      </c>
      <c r="R88" s="39"/>
      <c r="S88" s="21">
        <v>10.02</v>
      </c>
      <c r="T88" s="21"/>
      <c r="U88" s="46">
        <f t="shared" si="117"/>
        <v>3108.6</v>
      </c>
      <c r="V88" s="49">
        <f>VLOOKUP($B88,'Taryfa PSG'!$B$4:$D$10,2,0)</f>
        <v>3.6890000000000001</v>
      </c>
      <c r="W88" s="27">
        <f t="shared" si="118"/>
        <v>1175.68</v>
      </c>
      <c r="X88" s="26">
        <f>VLOOKUP($B88,'Taryfa PSG'!$B$4:$D$10,3,0)</f>
        <v>45.19</v>
      </c>
      <c r="Y88" s="15">
        <f t="shared" si="119"/>
        <v>542.28</v>
      </c>
      <c r="Z88" s="71">
        <f t="shared" si="114"/>
        <v>1717.96</v>
      </c>
      <c r="AA88" s="36">
        <f t="shared" si="115"/>
        <v>4826.5599999999995</v>
      </c>
      <c r="AB88" s="34">
        <v>0.23</v>
      </c>
      <c r="AC88" s="35">
        <f t="shared" si="120"/>
        <v>1110.1099999999999</v>
      </c>
      <c r="AD88" s="37">
        <f t="shared" si="121"/>
        <v>5936.6699999999992</v>
      </c>
    </row>
    <row r="89" spans="2:30" ht="30.75" customHeight="1" x14ac:dyDescent="0.2">
      <c r="B89" s="41" t="s">
        <v>49</v>
      </c>
      <c r="C89" s="13">
        <v>1</v>
      </c>
      <c r="D89" s="13">
        <v>0</v>
      </c>
      <c r="E89" s="51">
        <v>0.37359999999999999</v>
      </c>
      <c r="F89" s="31">
        <f t="shared" si="116"/>
        <v>0.62640000000000007</v>
      </c>
      <c r="G89" s="30" t="s">
        <v>4</v>
      </c>
      <c r="H89" s="13">
        <v>12</v>
      </c>
      <c r="I89" s="13" t="s">
        <v>40</v>
      </c>
      <c r="J89" s="24">
        <v>22801</v>
      </c>
      <c r="K89" s="24">
        <v>38229</v>
      </c>
      <c r="L89" s="24">
        <v>0</v>
      </c>
      <c r="M89" s="24">
        <v>0</v>
      </c>
      <c r="N89" s="47">
        <f t="shared" si="122"/>
        <v>61030</v>
      </c>
      <c r="O89" s="38">
        <v>23.965</v>
      </c>
      <c r="P89" s="39"/>
      <c r="Q89" s="39">
        <v>24.355</v>
      </c>
      <c r="R89" s="39"/>
      <c r="S89" s="21">
        <v>10.02</v>
      </c>
      <c r="T89" s="21"/>
      <c r="U89" s="46">
        <f t="shared" si="117"/>
        <v>5584.5</v>
      </c>
      <c r="V89" s="49">
        <f>VLOOKUP($B89,'Taryfa PSG'!$B$4:$D$10,2,0)</f>
        <v>3.6890000000000001</v>
      </c>
      <c r="W89" s="27">
        <f t="shared" si="118"/>
        <v>2251.4</v>
      </c>
      <c r="X89" s="26">
        <f>VLOOKUP($B89,'Taryfa PSG'!$B$4:$D$10,3,0)</f>
        <v>45.19</v>
      </c>
      <c r="Y89" s="15">
        <f t="shared" si="119"/>
        <v>542.28</v>
      </c>
      <c r="Z89" s="71">
        <f t="shared" si="114"/>
        <v>2793.6800000000003</v>
      </c>
      <c r="AA89" s="36">
        <f t="shared" si="115"/>
        <v>8378.18</v>
      </c>
      <c r="AB89" s="34">
        <v>0.23</v>
      </c>
      <c r="AC89" s="35">
        <f t="shared" si="120"/>
        <v>1926.98</v>
      </c>
      <c r="AD89" s="37">
        <f t="shared" si="121"/>
        <v>10305.16</v>
      </c>
    </row>
    <row r="90" spans="2:30" ht="30.75" customHeight="1" x14ac:dyDescent="0.2">
      <c r="B90" s="41" t="s">
        <v>49</v>
      </c>
      <c r="C90" s="13">
        <v>1</v>
      </c>
      <c r="D90" s="13">
        <v>0</v>
      </c>
      <c r="E90" s="51">
        <v>0.37</v>
      </c>
      <c r="F90" s="31">
        <f t="shared" si="116"/>
        <v>0.63</v>
      </c>
      <c r="G90" s="30" t="s">
        <v>4</v>
      </c>
      <c r="H90" s="13">
        <v>12</v>
      </c>
      <c r="I90" s="13" t="s">
        <v>40</v>
      </c>
      <c r="J90" s="24">
        <v>0</v>
      </c>
      <c r="K90" s="24">
        <v>0</v>
      </c>
      <c r="L90" s="24">
        <v>25700</v>
      </c>
      <c r="M90" s="24">
        <v>43760</v>
      </c>
      <c r="N90" s="47">
        <f t="shared" si="122"/>
        <v>69460</v>
      </c>
      <c r="O90" s="38">
        <v>23.965</v>
      </c>
      <c r="P90" s="39"/>
      <c r="Q90" s="39">
        <v>24.355</v>
      </c>
      <c r="R90" s="39"/>
      <c r="S90" s="21">
        <v>10.02</v>
      </c>
      <c r="T90" s="21"/>
      <c r="U90" s="46">
        <f t="shared" si="117"/>
        <v>6379.48</v>
      </c>
      <c r="V90" s="49">
        <f>VLOOKUP($B90,'Taryfa PSG'!$B$4:$D$10,2,0)</f>
        <v>3.6890000000000001</v>
      </c>
      <c r="W90" s="27">
        <f t="shared" si="118"/>
        <v>2562.38</v>
      </c>
      <c r="X90" s="26">
        <f>VLOOKUP($B90,'Taryfa PSG'!$B$4:$D$10,3,0)</f>
        <v>45.19</v>
      </c>
      <c r="Y90" s="15">
        <f t="shared" si="119"/>
        <v>542.28</v>
      </c>
      <c r="Z90" s="71">
        <f t="shared" si="114"/>
        <v>3104.66</v>
      </c>
      <c r="AA90" s="36">
        <f t="shared" si="115"/>
        <v>9484.14</v>
      </c>
      <c r="AB90" s="34">
        <v>0.23</v>
      </c>
      <c r="AC90" s="35">
        <f t="shared" si="120"/>
        <v>2181.35</v>
      </c>
      <c r="AD90" s="37">
        <f t="shared" si="121"/>
        <v>11665.49</v>
      </c>
    </row>
    <row r="91" spans="2:30" ht="30.75" customHeight="1" x14ac:dyDescent="0.2">
      <c r="B91" s="41" t="s">
        <v>49</v>
      </c>
      <c r="C91" s="13">
        <v>1</v>
      </c>
      <c r="D91" s="13">
        <v>0</v>
      </c>
      <c r="E91" s="51">
        <v>0.28000000000000003</v>
      </c>
      <c r="F91" s="31">
        <f t="shared" si="116"/>
        <v>0.72</v>
      </c>
      <c r="G91" s="30" t="s">
        <v>4</v>
      </c>
      <c r="H91" s="13">
        <v>12</v>
      </c>
      <c r="I91" s="13" t="s">
        <v>40</v>
      </c>
      <c r="J91" s="24">
        <v>0</v>
      </c>
      <c r="K91" s="24">
        <v>0</v>
      </c>
      <c r="L91" s="24">
        <v>20143</v>
      </c>
      <c r="M91" s="24">
        <v>51797</v>
      </c>
      <c r="N91" s="47">
        <f t="shared" si="122"/>
        <v>71940</v>
      </c>
      <c r="O91" s="38">
        <v>23.965</v>
      </c>
      <c r="P91" s="39"/>
      <c r="Q91" s="39">
        <v>24.355</v>
      </c>
      <c r="R91" s="39"/>
      <c r="S91" s="21">
        <v>10.02</v>
      </c>
      <c r="T91" s="21"/>
      <c r="U91" s="46">
        <f t="shared" si="117"/>
        <v>5026.07</v>
      </c>
      <c r="V91" s="49">
        <f>VLOOKUP($B91,'Taryfa PSG'!$B$4:$D$10,2,0)</f>
        <v>3.6890000000000001</v>
      </c>
      <c r="W91" s="27">
        <f t="shared" si="118"/>
        <v>2653.87</v>
      </c>
      <c r="X91" s="26">
        <f>VLOOKUP($B91,'Taryfa PSG'!$B$4:$D$10,3,0)</f>
        <v>45.19</v>
      </c>
      <c r="Y91" s="15">
        <f t="shared" si="119"/>
        <v>542.28</v>
      </c>
      <c r="Z91" s="71">
        <f t="shared" si="114"/>
        <v>3196.1499999999996</v>
      </c>
      <c r="AA91" s="36">
        <f t="shared" si="115"/>
        <v>8222.2199999999993</v>
      </c>
      <c r="AB91" s="34">
        <v>0.23</v>
      </c>
      <c r="AC91" s="35">
        <f t="shared" si="120"/>
        <v>1891.11</v>
      </c>
      <c r="AD91" s="37">
        <f t="shared" si="121"/>
        <v>10113.33</v>
      </c>
    </row>
    <row r="92" spans="2:30" ht="30.75" customHeight="1" x14ac:dyDescent="0.2">
      <c r="B92" s="41" t="s">
        <v>49</v>
      </c>
      <c r="C92" s="13">
        <v>1</v>
      </c>
      <c r="D92" s="13">
        <v>0</v>
      </c>
      <c r="E92" s="51">
        <v>0.26300000000000001</v>
      </c>
      <c r="F92" s="31">
        <f t="shared" si="116"/>
        <v>0.73699999999999999</v>
      </c>
      <c r="G92" s="30" t="s">
        <v>4</v>
      </c>
      <c r="H92" s="13">
        <v>12</v>
      </c>
      <c r="I92" s="13" t="s">
        <v>40</v>
      </c>
      <c r="J92" s="24">
        <v>0</v>
      </c>
      <c r="K92" s="24">
        <v>0</v>
      </c>
      <c r="L92" s="24">
        <v>7795</v>
      </c>
      <c r="M92" s="24">
        <v>21845</v>
      </c>
      <c r="N92" s="47">
        <f t="shared" si="122"/>
        <v>29640</v>
      </c>
      <c r="O92" s="38">
        <v>23.965</v>
      </c>
      <c r="P92" s="39"/>
      <c r="Q92" s="39">
        <v>24.355</v>
      </c>
      <c r="R92" s="39"/>
      <c r="S92" s="21">
        <v>10.02</v>
      </c>
      <c r="T92" s="21"/>
      <c r="U92" s="46">
        <f t="shared" si="117"/>
        <v>2018.71</v>
      </c>
      <c r="V92" s="49">
        <f>VLOOKUP($B92,'Taryfa PSG'!$B$4:$D$10,2,0)</f>
        <v>3.6890000000000001</v>
      </c>
      <c r="W92" s="27">
        <f t="shared" si="118"/>
        <v>1093.42</v>
      </c>
      <c r="X92" s="26">
        <f>VLOOKUP($B92,'Taryfa PSG'!$B$4:$D$10,3,0)</f>
        <v>45.19</v>
      </c>
      <c r="Y92" s="15">
        <f t="shared" si="119"/>
        <v>542.28</v>
      </c>
      <c r="Z92" s="71">
        <f t="shared" si="114"/>
        <v>1635.7</v>
      </c>
      <c r="AA92" s="36">
        <f t="shared" si="115"/>
        <v>3654.41</v>
      </c>
      <c r="AB92" s="34">
        <v>0.23</v>
      </c>
      <c r="AC92" s="35">
        <f t="shared" si="120"/>
        <v>840.51</v>
      </c>
      <c r="AD92" s="37">
        <f t="shared" si="121"/>
        <v>4494.92</v>
      </c>
    </row>
    <row r="93" spans="2:30" ht="30.75" customHeight="1" x14ac:dyDescent="0.2">
      <c r="B93" s="41" t="s">
        <v>49</v>
      </c>
      <c r="C93" s="13">
        <v>1</v>
      </c>
      <c r="D93" s="13">
        <v>0</v>
      </c>
      <c r="E93" s="51">
        <v>0.2276</v>
      </c>
      <c r="F93" s="31">
        <f t="shared" si="116"/>
        <v>0.77239999999999998</v>
      </c>
      <c r="G93" s="30" t="s">
        <v>4</v>
      </c>
      <c r="H93" s="13">
        <v>12</v>
      </c>
      <c r="I93" s="13" t="s">
        <v>40</v>
      </c>
      <c r="J93" s="24">
        <v>0</v>
      </c>
      <c r="K93" s="24">
        <v>0</v>
      </c>
      <c r="L93" s="24">
        <v>5813</v>
      </c>
      <c r="M93" s="24">
        <v>19727</v>
      </c>
      <c r="N93" s="47">
        <f t="shared" si="122"/>
        <v>25540</v>
      </c>
      <c r="O93" s="38">
        <v>23.965</v>
      </c>
      <c r="P93" s="39"/>
      <c r="Q93" s="39">
        <v>24.355</v>
      </c>
      <c r="R93" s="39"/>
      <c r="S93" s="21">
        <v>10.02</v>
      </c>
      <c r="T93" s="21"/>
      <c r="U93" s="46">
        <f t="shared" si="117"/>
        <v>1536</v>
      </c>
      <c r="V93" s="49">
        <f>VLOOKUP($B93,'Taryfa PSG'!$B$4:$D$10,2,0)</f>
        <v>3.6890000000000001</v>
      </c>
      <c r="W93" s="27">
        <f t="shared" si="118"/>
        <v>942.17</v>
      </c>
      <c r="X93" s="26">
        <f>VLOOKUP($B93,'Taryfa PSG'!$B$4:$D$10,3,0)</f>
        <v>45.19</v>
      </c>
      <c r="Y93" s="15">
        <f t="shared" si="119"/>
        <v>542.28</v>
      </c>
      <c r="Z93" s="71">
        <f t="shared" si="114"/>
        <v>1484.4499999999998</v>
      </c>
      <c r="AA93" s="36">
        <f t="shared" si="115"/>
        <v>3020.45</v>
      </c>
      <c r="AB93" s="34">
        <v>0.23</v>
      </c>
      <c r="AC93" s="35">
        <f t="shared" si="120"/>
        <v>694.7</v>
      </c>
      <c r="AD93" s="37">
        <f t="shared" si="121"/>
        <v>3715.1499999999996</v>
      </c>
    </row>
    <row r="94" spans="2:30" ht="30.75" customHeight="1" x14ac:dyDescent="0.2">
      <c r="B94" s="41" t="s">
        <v>49</v>
      </c>
      <c r="C94" s="13">
        <v>1</v>
      </c>
      <c r="D94" s="13">
        <v>0</v>
      </c>
      <c r="E94" s="51">
        <v>0.161</v>
      </c>
      <c r="F94" s="31">
        <f t="shared" si="116"/>
        <v>0.83899999999999997</v>
      </c>
      <c r="G94" s="30" t="s">
        <v>4</v>
      </c>
      <c r="H94" s="13">
        <v>12</v>
      </c>
      <c r="I94" s="13" t="s">
        <v>40</v>
      </c>
      <c r="J94" s="24">
        <v>0</v>
      </c>
      <c r="K94" s="24">
        <v>0</v>
      </c>
      <c r="L94" s="24">
        <v>5501</v>
      </c>
      <c r="M94" s="24">
        <v>28669</v>
      </c>
      <c r="N94" s="47">
        <f t="shared" si="122"/>
        <v>34170</v>
      </c>
      <c r="O94" s="38">
        <v>23.965</v>
      </c>
      <c r="P94" s="39"/>
      <c r="Q94" s="39">
        <v>24.355</v>
      </c>
      <c r="R94" s="39"/>
      <c r="S94" s="21">
        <v>10.02</v>
      </c>
      <c r="T94" s="21"/>
      <c r="U94" s="46">
        <f t="shared" si="117"/>
        <v>1460.01</v>
      </c>
      <c r="V94" s="49">
        <f>VLOOKUP($B94,'Taryfa PSG'!$B$4:$D$10,2,0)</f>
        <v>3.6890000000000001</v>
      </c>
      <c r="W94" s="27">
        <f t="shared" si="118"/>
        <v>1260.53</v>
      </c>
      <c r="X94" s="26">
        <f>VLOOKUP($B94,'Taryfa PSG'!$B$4:$D$10,3,0)</f>
        <v>45.19</v>
      </c>
      <c r="Y94" s="15">
        <f t="shared" si="119"/>
        <v>542.28</v>
      </c>
      <c r="Z94" s="71">
        <f t="shared" si="114"/>
        <v>1802.81</v>
      </c>
      <c r="AA94" s="36">
        <f t="shared" si="115"/>
        <v>3262.8199999999997</v>
      </c>
      <c r="AB94" s="34">
        <v>0.23</v>
      </c>
      <c r="AC94" s="35">
        <f t="shared" si="120"/>
        <v>750.45</v>
      </c>
      <c r="AD94" s="37">
        <f t="shared" si="121"/>
        <v>4013.2699999999995</v>
      </c>
    </row>
    <row r="95" spans="2:30" ht="30.75" customHeight="1" x14ac:dyDescent="0.2">
      <c r="B95" s="41" t="s">
        <v>49</v>
      </c>
      <c r="C95" s="13">
        <v>1</v>
      </c>
      <c r="D95" s="13">
        <v>0</v>
      </c>
      <c r="E95" s="51">
        <v>0.12939999999999999</v>
      </c>
      <c r="F95" s="31">
        <f t="shared" si="116"/>
        <v>0.87060000000000004</v>
      </c>
      <c r="G95" s="30" t="s">
        <v>4</v>
      </c>
      <c r="H95" s="13">
        <v>12</v>
      </c>
      <c r="I95" s="13" t="s">
        <v>40</v>
      </c>
      <c r="J95" s="24">
        <v>0</v>
      </c>
      <c r="K95" s="24">
        <v>0</v>
      </c>
      <c r="L95" s="24">
        <v>5185</v>
      </c>
      <c r="M95" s="24">
        <v>34885</v>
      </c>
      <c r="N95" s="47">
        <f t="shared" si="122"/>
        <v>40070</v>
      </c>
      <c r="O95" s="38">
        <v>23.965</v>
      </c>
      <c r="P95" s="39"/>
      <c r="Q95" s="39">
        <v>24.355</v>
      </c>
      <c r="R95" s="39"/>
      <c r="S95" s="21">
        <v>10.02</v>
      </c>
      <c r="T95" s="21"/>
      <c r="U95" s="46">
        <f t="shared" si="117"/>
        <v>1383.05</v>
      </c>
      <c r="V95" s="49">
        <f>VLOOKUP($B95,'Taryfa PSG'!$B$4:$D$10,2,0)</f>
        <v>3.6890000000000001</v>
      </c>
      <c r="W95" s="27">
        <f t="shared" si="118"/>
        <v>1478.18</v>
      </c>
      <c r="X95" s="26">
        <f>VLOOKUP($B95,'Taryfa PSG'!$B$4:$D$10,3,0)</f>
        <v>45.19</v>
      </c>
      <c r="Y95" s="15">
        <f t="shared" si="119"/>
        <v>542.28</v>
      </c>
      <c r="Z95" s="71">
        <f t="shared" si="114"/>
        <v>2020.46</v>
      </c>
      <c r="AA95" s="36">
        <f t="shared" si="115"/>
        <v>3403.51</v>
      </c>
      <c r="AB95" s="34">
        <v>0.23</v>
      </c>
      <c r="AC95" s="35">
        <f t="shared" si="120"/>
        <v>782.81</v>
      </c>
      <c r="AD95" s="37">
        <f t="shared" si="121"/>
        <v>4186.32</v>
      </c>
    </row>
    <row r="96" spans="2:30" ht="30.75" customHeight="1" x14ac:dyDescent="0.2">
      <c r="B96" s="41" t="s">
        <v>49</v>
      </c>
      <c r="C96" s="13">
        <v>1</v>
      </c>
      <c r="D96" s="13">
        <v>0</v>
      </c>
      <c r="E96" s="51">
        <v>0.10970000000000001</v>
      </c>
      <c r="F96" s="31">
        <f t="shared" si="116"/>
        <v>0.89029999999999998</v>
      </c>
      <c r="G96" s="30" t="s">
        <v>4</v>
      </c>
      <c r="H96" s="13">
        <v>12</v>
      </c>
      <c r="I96" s="13" t="s">
        <v>40</v>
      </c>
      <c r="J96" s="24">
        <v>0</v>
      </c>
      <c r="K96" s="24">
        <v>0</v>
      </c>
      <c r="L96" s="24">
        <v>4877</v>
      </c>
      <c r="M96" s="24">
        <v>39583</v>
      </c>
      <c r="N96" s="47">
        <f t="shared" si="122"/>
        <v>44460</v>
      </c>
      <c r="O96" s="38">
        <v>23.965</v>
      </c>
      <c r="P96" s="39"/>
      <c r="Q96" s="39">
        <v>24.355</v>
      </c>
      <c r="R96" s="39"/>
      <c r="S96" s="21">
        <v>10.02</v>
      </c>
      <c r="T96" s="21"/>
      <c r="U96" s="46">
        <f t="shared" si="117"/>
        <v>1308.03</v>
      </c>
      <c r="V96" s="49">
        <f>VLOOKUP($B96,'Taryfa PSG'!$B$4:$D$10,2,0)</f>
        <v>3.6890000000000001</v>
      </c>
      <c r="W96" s="27">
        <f t="shared" si="118"/>
        <v>1640.13</v>
      </c>
      <c r="X96" s="26">
        <f>VLOOKUP($B96,'Taryfa PSG'!$B$4:$D$10,3,0)</f>
        <v>45.19</v>
      </c>
      <c r="Y96" s="15">
        <f t="shared" si="119"/>
        <v>542.28</v>
      </c>
      <c r="Z96" s="71">
        <f t="shared" si="114"/>
        <v>2182.41</v>
      </c>
      <c r="AA96" s="36">
        <f t="shared" si="115"/>
        <v>3490.4399999999996</v>
      </c>
      <c r="AB96" s="34">
        <v>0.23</v>
      </c>
      <c r="AC96" s="35">
        <f t="shared" si="120"/>
        <v>802.8</v>
      </c>
      <c r="AD96" s="37">
        <f t="shared" si="121"/>
        <v>4293.24</v>
      </c>
    </row>
    <row r="97" spans="2:30" ht="30.75" customHeight="1" x14ac:dyDescent="0.2">
      <c r="B97" s="41" t="s">
        <v>49</v>
      </c>
      <c r="C97" s="13">
        <v>0</v>
      </c>
      <c r="D97" s="13">
        <v>16</v>
      </c>
      <c r="E97" s="51">
        <v>0</v>
      </c>
      <c r="F97" s="31">
        <f t="shared" si="116"/>
        <v>1</v>
      </c>
      <c r="G97" s="30" t="s">
        <v>4</v>
      </c>
      <c r="H97" s="13">
        <v>12</v>
      </c>
      <c r="I97" s="13" t="s">
        <v>40</v>
      </c>
      <c r="J97" s="24">
        <v>0</v>
      </c>
      <c r="K97" s="24">
        <v>258890</v>
      </c>
      <c r="L97" s="24">
        <v>0</v>
      </c>
      <c r="M97" s="24">
        <v>380220</v>
      </c>
      <c r="N97" s="47">
        <f t="shared" si="122"/>
        <v>639110</v>
      </c>
      <c r="O97" s="38">
        <v>23.965</v>
      </c>
      <c r="P97" s="39"/>
      <c r="Q97" s="39">
        <v>24.355</v>
      </c>
      <c r="R97" s="39"/>
      <c r="S97" s="21">
        <v>10.02</v>
      </c>
      <c r="T97" s="21"/>
      <c r="U97" s="46">
        <f t="shared" si="117"/>
        <v>0</v>
      </c>
      <c r="V97" s="49">
        <f>VLOOKUP($B97,'Taryfa PSG'!$B$4:$D$10,2,0)</f>
        <v>3.6890000000000001</v>
      </c>
      <c r="W97" s="27">
        <f t="shared" si="118"/>
        <v>23576.77</v>
      </c>
      <c r="X97" s="26">
        <f>VLOOKUP($B97,'Taryfa PSG'!$B$4:$D$10,3,0)</f>
        <v>45.19</v>
      </c>
      <c r="Y97" s="15">
        <f t="shared" si="119"/>
        <v>8676.48</v>
      </c>
      <c r="Z97" s="71">
        <f t="shared" si="114"/>
        <v>32253.25</v>
      </c>
      <c r="AA97" s="36">
        <f t="shared" si="115"/>
        <v>32253.25</v>
      </c>
      <c r="AB97" s="34">
        <v>0.23</v>
      </c>
      <c r="AC97" s="35">
        <f t="shared" si="120"/>
        <v>7418.25</v>
      </c>
      <c r="AD97" s="37">
        <f t="shared" si="121"/>
        <v>39671.5</v>
      </c>
    </row>
    <row r="98" spans="2:30" ht="30.75" customHeight="1" x14ac:dyDescent="0.2">
      <c r="B98" s="76" t="s">
        <v>78</v>
      </c>
      <c r="C98" s="13">
        <v>0</v>
      </c>
      <c r="D98" s="13">
        <v>2</v>
      </c>
      <c r="E98" s="51">
        <v>0</v>
      </c>
      <c r="F98" s="31">
        <f t="shared" si="116"/>
        <v>1</v>
      </c>
      <c r="G98" s="30" t="s">
        <v>4</v>
      </c>
      <c r="H98" s="13">
        <v>12</v>
      </c>
      <c r="I98" s="13" t="s">
        <v>40</v>
      </c>
      <c r="J98" s="24">
        <v>0</v>
      </c>
      <c r="K98" s="24">
        <v>72830</v>
      </c>
      <c r="L98" s="24">
        <v>0</v>
      </c>
      <c r="M98" s="24">
        <v>35900</v>
      </c>
      <c r="N98" s="47">
        <f t="shared" si="122"/>
        <v>108730</v>
      </c>
      <c r="O98" s="38">
        <v>23.965</v>
      </c>
      <c r="P98" s="39"/>
      <c r="Q98" s="39">
        <v>24.355</v>
      </c>
      <c r="R98" s="39"/>
      <c r="S98" s="21">
        <v>10.02</v>
      </c>
      <c r="T98" s="21"/>
      <c r="U98" s="46">
        <f t="shared" si="117"/>
        <v>0</v>
      </c>
      <c r="V98" s="49">
        <f>VLOOKUP($B98,'Taryfa PSG'!$B$4:$D$10,2,0)</f>
        <v>3.6890000000000001</v>
      </c>
      <c r="W98" s="27">
        <f t="shared" si="118"/>
        <v>4011.05</v>
      </c>
      <c r="X98" s="26">
        <f>VLOOKUP($B98,'Taryfa PSG'!$B$4:$D$10,3,0)</f>
        <v>48.54</v>
      </c>
      <c r="Y98" s="15">
        <f t="shared" si="119"/>
        <v>1164.96</v>
      </c>
      <c r="Z98" s="71">
        <f t="shared" si="114"/>
        <v>5176.01</v>
      </c>
      <c r="AA98" s="36">
        <f t="shared" si="115"/>
        <v>5176.01</v>
      </c>
      <c r="AB98" s="34">
        <v>0.23</v>
      </c>
      <c r="AC98" s="35">
        <f t="shared" si="120"/>
        <v>1190.48</v>
      </c>
      <c r="AD98" s="37">
        <f t="shared" si="121"/>
        <v>6366.49</v>
      </c>
    </row>
    <row r="99" spans="2:30" ht="30.75" customHeight="1" x14ac:dyDescent="0.2">
      <c r="B99" s="40" t="s">
        <v>19</v>
      </c>
      <c r="C99" s="13">
        <v>19</v>
      </c>
      <c r="D99" s="13">
        <v>0</v>
      </c>
      <c r="E99" s="43">
        <v>1</v>
      </c>
      <c r="F99" s="31">
        <f t="shared" si="116"/>
        <v>0</v>
      </c>
      <c r="G99" s="30" t="s">
        <v>4</v>
      </c>
      <c r="H99" s="13">
        <v>12</v>
      </c>
      <c r="I99" s="13" t="s">
        <v>40</v>
      </c>
      <c r="J99" s="24">
        <v>2373850</v>
      </c>
      <c r="K99" s="24">
        <v>0</v>
      </c>
      <c r="L99" s="24">
        <v>109030</v>
      </c>
      <c r="M99" s="24">
        <v>0</v>
      </c>
      <c r="N99" s="47">
        <f t="shared" si="122"/>
        <v>2482880</v>
      </c>
      <c r="O99" s="38">
        <v>23.965</v>
      </c>
      <c r="P99" s="39"/>
      <c r="Q99" s="39">
        <v>24.355</v>
      </c>
      <c r="R99" s="39"/>
      <c r="S99" s="21">
        <v>16.11</v>
      </c>
      <c r="T99" s="21"/>
      <c r="U99" s="46">
        <f t="shared" si="117"/>
        <v>599120.49</v>
      </c>
      <c r="V99" s="49">
        <f>VLOOKUP($B99,'Taryfa PSG'!$B$4:$D$10,2,0)</f>
        <v>3.6150000000000002</v>
      </c>
      <c r="W99" s="27">
        <f t="shared" si="118"/>
        <v>89756.11</v>
      </c>
      <c r="X99" s="26">
        <f>VLOOKUP($B99,'Taryfa PSG'!$B$4:$D$10,3,0)</f>
        <v>252.42</v>
      </c>
      <c r="Y99" s="15">
        <f t="shared" si="119"/>
        <v>57551.76</v>
      </c>
      <c r="Z99" s="71">
        <f t="shared" si="114"/>
        <v>147307.87</v>
      </c>
      <c r="AA99" s="36">
        <f t="shared" si="115"/>
        <v>746428.36</v>
      </c>
      <c r="AB99" s="34">
        <v>0.23</v>
      </c>
      <c r="AC99" s="35">
        <f t="shared" si="120"/>
        <v>171678.52</v>
      </c>
      <c r="AD99" s="37">
        <f t="shared" si="121"/>
        <v>918106.88</v>
      </c>
    </row>
    <row r="100" spans="2:30" ht="30.75" customHeight="1" x14ac:dyDescent="0.2">
      <c r="B100" s="40" t="s">
        <v>19</v>
      </c>
      <c r="C100" s="13">
        <v>1</v>
      </c>
      <c r="D100" s="13">
        <v>0</v>
      </c>
      <c r="E100" s="43">
        <v>0.94</v>
      </c>
      <c r="F100" s="31">
        <f t="shared" si="116"/>
        <v>6.0000000000000053E-2</v>
      </c>
      <c r="G100" s="30" t="s">
        <v>4</v>
      </c>
      <c r="H100" s="13">
        <v>12</v>
      </c>
      <c r="I100" s="13" t="s">
        <v>40</v>
      </c>
      <c r="J100" s="24">
        <v>0</v>
      </c>
      <c r="K100" s="24">
        <v>0</v>
      </c>
      <c r="L100" s="24">
        <v>91800</v>
      </c>
      <c r="M100" s="24">
        <v>5860</v>
      </c>
      <c r="N100" s="47">
        <f t="shared" si="122"/>
        <v>97660</v>
      </c>
      <c r="O100" s="38">
        <v>23.965</v>
      </c>
      <c r="P100" s="39"/>
      <c r="Q100" s="39">
        <v>24.355</v>
      </c>
      <c r="R100" s="39"/>
      <c r="S100" s="21">
        <v>16.11</v>
      </c>
      <c r="T100" s="21"/>
      <c r="U100" s="46">
        <f t="shared" si="117"/>
        <v>22551.21</v>
      </c>
      <c r="V100" s="49">
        <f>VLOOKUP($B100,'Taryfa PSG'!$B$4:$D$10,2,0)</f>
        <v>3.6150000000000002</v>
      </c>
      <c r="W100" s="27">
        <f t="shared" si="118"/>
        <v>3530.41</v>
      </c>
      <c r="X100" s="26">
        <f>VLOOKUP($B100,'Taryfa PSG'!$B$4:$D$10,3,0)</f>
        <v>252.42</v>
      </c>
      <c r="Y100" s="15">
        <f t="shared" si="119"/>
        <v>3029.04</v>
      </c>
      <c r="Z100" s="71">
        <f t="shared" si="114"/>
        <v>6559.45</v>
      </c>
      <c r="AA100" s="36">
        <f t="shared" si="115"/>
        <v>29110.66</v>
      </c>
      <c r="AB100" s="34">
        <v>0.23</v>
      </c>
      <c r="AC100" s="35">
        <f t="shared" si="120"/>
        <v>6695.45</v>
      </c>
      <c r="AD100" s="37">
        <f t="shared" si="121"/>
        <v>35806.11</v>
      </c>
    </row>
    <row r="101" spans="2:30" ht="30.75" customHeight="1" x14ac:dyDescent="0.2">
      <c r="B101" s="40" t="s">
        <v>19</v>
      </c>
      <c r="C101" s="13">
        <v>1</v>
      </c>
      <c r="D101" s="13">
        <v>0</v>
      </c>
      <c r="E101" s="43">
        <v>0.90569999999999995</v>
      </c>
      <c r="F101" s="31">
        <f t="shared" si="116"/>
        <v>9.430000000000005E-2</v>
      </c>
      <c r="G101" s="30" t="s">
        <v>4</v>
      </c>
      <c r="H101" s="13">
        <v>12</v>
      </c>
      <c r="I101" s="13" t="s">
        <v>40</v>
      </c>
      <c r="J101" s="24">
        <v>127722</v>
      </c>
      <c r="K101" s="24">
        <v>13298</v>
      </c>
      <c r="L101" s="24">
        <v>0</v>
      </c>
      <c r="M101" s="24">
        <v>0</v>
      </c>
      <c r="N101" s="47">
        <f t="shared" si="122"/>
        <v>141020</v>
      </c>
      <c r="O101" s="38">
        <v>23.965</v>
      </c>
      <c r="P101" s="39"/>
      <c r="Q101" s="39">
        <v>24.355</v>
      </c>
      <c r="R101" s="39"/>
      <c r="S101" s="21">
        <v>16.11</v>
      </c>
      <c r="T101" s="21"/>
      <c r="U101" s="46">
        <f t="shared" si="117"/>
        <v>30801.9</v>
      </c>
      <c r="V101" s="49">
        <f>VLOOKUP($B101,'Taryfa PSG'!$B$4:$D$10,2,0)</f>
        <v>3.6150000000000002</v>
      </c>
      <c r="W101" s="27">
        <f t="shared" si="118"/>
        <v>5097.87</v>
      </c>
      <c r="X101" s="26">
        <f>VLOOKUP($B101,'Taryfa PSG'!$B$4:$D$10,3,0)</f>
        <v>252.42</v>
      </c>
      <c r="Y101" s="15">
        <f t="shared" si="119"/>
        <v>3029.04</v>
      </c>
      <c r="Z101" s="71">
        <f t="shared" si="114"/>
        <v>8126.91</v>
      </c>
      <c r="AA101" s="36">
        <f t="shared" si="115"/>
        <v>38928.81</v>
      </c>
      <c r="AB101" s="34">
        <v>0.23</v>
      </c>
      <c r="AC101" s="35">
        <f t="shared" si="120"/>
        <v>8953.6299999999992</v>
      </c>
      <c r="AD101" s="37">
        <f t="shared" si="121"/>
        <v>47882.439999999995</v>
      </c>
    </row>
    <row r="102" spans="2:30" ht="30.75" customHeight="1" x14ac:dyDescent="0.2">
      <c r="B102" s="40" t="s">
        <v>19</v>
      </c>
      <c r="C102" s="13">
        <v>1</v>
      </c>
      <c r="D102" s="13">
        <v>0</v>
      </c>
      <c r="E102" s="43">
        <v>0.80820000000000003</v>
      </c>
      <c r="F102" s="31">
        <f t="shared" si="116"/>
        <v>0.19179999999999997</v>
      </c>
      <c r="G102" s="30" t="s">
        <v>4</v>
      </c>
      <c r="H102" s="13">
        <v>12</v>
      </c>
      <c r="I102" s="13" t="s">
        <v>40</v>
      </c>
      <c r="J102" s="24">
        <v>124536</v>
      </c>
      <c r="K102" s="24">
        <v>29554</v>
      </c>
      <c r="L102" s="24">
        <v>0</v>
      </c>
      <c r="M102" s="24">
        <v>0</v>
      </c>
      <c r="N102" s="47">
        <f t="shared" si="122"/>
        <v>154090</v>
      </c>
      <c r="O102" s="38">
        <v>23.965</v>
      </c>
      <c r="P102" s="39"/>
      <c r="Q102" s="39">
        <v>24.355</v>
      </c>
      <c r="R102" s="39"/>
      <c r="S102" s="21">
        <v>16.11</v>
      </c>
      <c r="T102" s="21"/>
      <c r="U102" s="46">
        <f t="shared" si="117"/>
        <v>30038.37</v>
      </c>
      <c r="V102" s="49">
        <f>VLOOKUP($B102,'Taryfa PSG'!$B$4:$D$10,2,0)</f>
        <v>3.6150000000000002</v>
      </c>
      <c r="W102" s="27">
        <f t="shared" si="118"/>
        <v>5570.35</v>
      </c>
      <c r="X102" s="26">
        <f>VLOOKUP($B102,'Taryfa PSG'!$B$4:$D$10,3,0)</f>
        <v>252.42</v>
      </c>
      <c r="Y102" s="15">
        <f t="shared" si="119"/>
        <v>3029.04</v>
      </c>
      <c r="Z102" s="71">
        <f t="shared" si="114"/>
        <v>8599.39</v>
      </c>
      <c r="AA102" s="36">
        <f t="shared" si="115"/>
        <v>38637.759999999995</v>
      </c>
      <c r="AB102" s="34">
        <v>0.23</v>
      </c>
      <c r="AC102" s="35">
        <f t="shared" si="120"/>
        <v>8886.68</v>
      </c>
      <c r="AD102" s="37">
        <f t="shared" si="121"/>
        <v>47524.439999999995</v>
      </c>
    </row>
    <row r="103" spans="2:30" ht="30.75" customHeight="1" x14ac:dyDescent="0.2">
      <c r="B103" s="40" t="s">
        <v>19</v>
      </c>
      <c r="C103" s="13">
        <v>1</v>
      </c>
      <c r="D103" s="13">
        <v>0</v>
      </c>
      <c r="E103" s="43">
        <v>0.70809999999999995</v>
      </c>
      <c r="F103" s="31">
        <f t="shared" si="116"/>
        <v>0.29190000000000005</v>
      </c>
      <c r="G103" s="30" t="s">
        <v>4</v>
      </c>
      <c r="H103" s="13">
        <v>12</v>
      </c>
      <c r="I103" s="13" t="s">
        <v>40</v>
      </c>
      <c r="J103" s="24">
        <v>70824</v>
      </c>
      <c r="K103" s="24">
        <v>29196</v>
      </c>
      <c r="L103" s="24">
        <v>0</v>
      </c>
      <c r="M103" s="24">
        <v>0</v>
      </c>
      <c r="N103" s="47">
        <f t="shared" si="122"/>
        <v>100020</v>
      </c>
      <c r="O103" s="38">
        <v>23.965</v>
      </c>
      <c r="P103" s="39"/>
      <c r="Q103" s="39">
        <v>24.355</v>
      </c>
      <c r="R103" s="39"/>
      <c r="S103" s="21">
        <v>16.11</v>
      </c>
      <c r="T103" s="21"/>
      <c r="U103" s="46">
        <f t="shared" si="117"/>
        <v>17166.29</v>
      </c>
      <c r="V103" s="49">
        <f>VLOOKUP($B103,'Taryfa PSG'!$B$4:$D$10,2,0)</f>
        <v>3.6150000000000002</v>
      </c>
      <c r="W103" s="27">
        <f t="shared" si="118"/>
        <v>3615.72</v>
      </c>
      <c r="X103" s="26">
        <f>VLOOKUP($B103,'Taryfa PSG'!$B$4:$D$10,3,0)</f>
        <v>252.42</v>
      </c>
      <c r="Y103" s="15">
        <f t="shared" si="119"/>
        <v>3029.04</v>
      </c>
      <c r="Z103" s="71">
        <f t="shared" si="114"/>
        <v>6644.76</v>
      </c>
      <c r="AA103" s="36">
        <f t="shared" si="115"/>
        <v>23811.050000000003</v>
      </c>
      <c r="AB103" s="34">
        <v>0.23</v>
      </c>
      <c r="AC103" s="35">
        <f t="shared" si="120"/>
        <v>5476.54</v>
      </c>
      <c r="AD103" s="37">
        <f t="shared" si="121"/>
        <v>29287.590000000004</v>
      </c>
    </row>
    <row r="104" spans="2:30" ht="30.75" customHeight="1" x14ac:dyDescent="0.2">
      <c r="B104" s="40" t="s">
        <v>19</v>
      </c>
      <c r="C104" s="13">
        <v>1</v>
      </c>
      <c r="D104" s="13">
        <v>0</v>
      </c>
      <c r="E104" s="43">
        <v>0.54420000000000002</v>
      </c>
      <c r="F104" s="31">
        <f t="shared" si="116"/>
        <v>0.45579999999999998</v>
      </c>
      <c r="G104" s="30" t="s">
        <v>4</v>
      </c>
      <c r="H104" s="13">
        <v>12</v>
      </c>
      <c r="I104" s="13" t="s">
        <v>40</v>
      </c>
      <c r="J104" s="24">
        <v>48450</v>
      </c>
      <c r="K104" s="24">
        <v>40580</v>
      </c>
      <c r="L104" s="24">
        <v>0</v>
      </c>
      <c r="M104" s="24">
        <v>0</v>
      </c>
      <c r="N104" s="47">
        <f t="shared" si="122"/>
        <v>89030</v>
      </c>
      <c r="O104" s="38">
        <v>23.965</v>
      </c>
      <c r="P104" s="39"/>
      <c r="Q104" s="39">
        <v>24.355</v>
      </c>
      <c r="R104" s="39"/>
      <c r="S104" s="21">
        <v>16.11</v>
      </c>
      <c r="T104" s="21"/>
      <c r="U104" s="46">
        <f t="shared" si="117"/>
        <v>11804.36</v>
      </c>
      <c r="V104" s="49">
        <f>VLOOKUP($B104,'Taryfa PSG'!$B$4:$D$10,2,0)</f>
        <v>3.6150000000000002</v>
      </c>
      <c r="W104" s="27">
        <f t="shared" si="118"/>
        <v>3218.43</v>
      </c>
      <c r="X104" s="26">
        <f>VLOOKUP($B104,'Taryfa PSG'!$B$4:$D$10,3,0)</f>
        <v>252.42</v>
      </c>
      <c r="Y104" s="15">
        <f t="shared" si="119"/>
        <v>3029.04</v>
      </c>
      <c r="Z104" s="71">
        <f t="shared" si="114"/>
        <v>6247.4699999999993</v>
      </c>
      <c r="AA104" s="36">
        <f t="shared" si="115"/>
        <v>18051.830000000002</v>
      </c>
      <c r="AB104" s="34">
        <v>0.23</v>
      </c>
      <c r="AC104" s="35">
        <f t="shared" si="120"/>
        <v>4151.92</v>
      </c>
      <c r="AD104" s="37">
        <f t="shared" si="121"/>
        <v>22203.75</v>
      </c>
    </row>
    <row r="105" spans="2:30" ht="30.75" customHeight="1" x14ac:dyDescent="0.2">
      <c r="B105" s="40" t="s">
        <v>19</v>
      </c>
      <c r="C105" s="13">
        <v>1</v>
      </c>
      <c r="D105" s="13">
        <v>0</v>
      </c>
      <c r="E105" s="43">
        <v>0.17100000000000001</v>
      </c>
      <c r="F105" s="31">
        <f t="shared" si="116"/>
        <v>0.82899999999999996</v>
      </c>
      <c r="G105" s="30" t="s">
        <v>4</v>
      </c>
      <c r="H105" s="13">
        <v>12</v>
      </c>
      <c r="I105" s="13" t="s">
        <v>40</v>
      </c>
      <c r="J105" s="24">
        <v>18820</v>
      </c>
      <c r="K105" s="24">
        <v>91240</v>
      </c>
      <c r="L105" s="24">
        <v>0</v>
      </c>
      <c r="M105" s="24">
        <v>0</v>
      </c>
      <c r="N105" s="47">
        <f t="shared" si="122"/>
        <v>110060</v>
      </c>
      <c r="O105" s="38">
        <v>23.965</v>
      </c>
      <c r="P105" s="39"/>
      <c r="Q105" s="39">
        <v>24.355</v>
      </c>
      <c r="R105" s="39"/>
      <c r="S105" s="21">
        <v>16.11</v>
      </c>
      <c r="T105" s="21"/>
      <c r="U105" s="46">
        <f t="shared" si="117"/>
        <v>4703.53</v>
      </c>
      <c r="V105" s="49">
        <f>VLOOKUP($B105,'Taryfa PSG'!$B$4:$D$10,2,0)</f>
        <v>3.6150000000000002</v>
      </c>
      <c r="W105" s="27">
        <f t="shared" si="118"/>
        <v>3978.67</v>
      </c>
      <c r="X105" s="26">
        <f>VLOOKUP($B105,'Taryfa PSG'!$B$4:$D$10,3,0)</f>
        <v>252.42</v>
      </c>
      <c r="Y105" s="15">
        <f t="shared" si="119"/>
        <v>3029.04</v>
      </c>
      <c r="Z105" s="71">
        <f t="shared" si="114"/>
        <v>7007.71</v>
      </c>
      <c r="AA105" s="36">
        <f t="shared" si="115"/>
        <v>11711.24</v>
      </c>
      <c r="AB105" s="34">
        <v>0.23</v>
      </c>
      <c r="AC105" s="35">
        <f t="shared" si="120"/>
        <v>2693.59</v>
      </c>
      <c r="AD105" s="37">
        <f t="shared" si="121"/>
        <v>14404.83</v>
      </c>
    </row>
    <row r="106" spans="2:30" ht="30.75" customHeight="1" x14ac:dyDescent="0.2">
      <c r="B106" s="40" t="s">
        <v>19</v>
      </c>
      <c r="C106" s="13">
        <v>1</v>
      </c>
      <c r="D106" s="13">
        <v>0</v>
      </c>
      <c r="E106" s="43">
        <v>0.13300000000000001</v>
      </c>
      <c r="F106" s="31">
        <f t="shared" si="116"/>
        <v>0.86699999999999999</v>
      </c>
      <c r="G106" s="30" t="s">
        <v>4</v>
      </c>
      <c r="H106" s="13">
        <v>12</v>
      </c>
      <c r="I106" s="13" t="s">
        <v>40</v>
      </c>
      <c r="J106" s="24">
        <v>14486</v>
      </c>
      <c r="K106" s="24">
        <v>94434</v>
      </c>
      <c r="L106" s="24">
        <v>0</v>
      </c>
      <c r="M106" s="24">
        <v>0</v>
      </c>
      <c r="N106" s="47">
        <f t="shared" si="122"/>
        <v>108920</v>
      </c>
      <c r="O106" s="38">
        <v>23.965</v>
      </c>
      <c r="P106" s="39"/>
      <c r="Q106" s="39">
        <v>24.355</v>
      </c>
      <c r="R106" s="39"/>
      <c r="S106" s="21">
        <v>16.11</v>
      </c>
      <c r="T106" s="21"/>
      <c r="U106" s="46">
        <f t="shared" si="117"/>
        <v>3664.89</v>
      </c>
      <c r="V106" s="49">
        <f>VLOOKUP($B106,'Taryfa PSG'!$B$4:$D$10,2,0)</f>
        <v>3.6150000000000002</v>
      </c>
      <c r="W106" s="27">
        <f t="shared" si="118"/>
        <v>3937.46</v>
      </c>
      <c r="X106" s="26">
        <f>VLOOKUP($B106,'Taryfa PSG'!$B$4:$D$10,3,0)</f>
        <v>252.42</v>
      </c>
      <c r="Y106" s="15">
        <f t="shared" si="119"/>
        <v>3029.04</v>
      </c>
      <c r="Z106" s="71">
        <f t="shared" si="114"/>
        <v>6966.5</v>
      </c>
      <c r="AA106" s="36">
        <f t="shared" si="115"/>
        <v>10631.39</v>
      </c>
      <c r="AB106" s="34">
        <v>0.23</v>
      </c>
      <c r="AC106" s="35">
        <f t="shared" si="120"/>
        <v>2445.2199999999998</v>
      </c>
      <c r="AD106" s="37">
        <f t="shared" si="121"/>
        <v>13076.609999999999</v>
      </c>
    </row>
    <row r="107" spans="2:30" ht="30.75" customHeight="1" x14ac:dyDescent="0.2">
      <c r="B107" s="55" t="s">
        <v>18</v>
      </c>
      <c r="C107" s="103">
        <v>26</v>
      </c>
      <c r="D107" s="13">
        <v>0</v>
      </c>
      <c r="E107" s="43">
        <v>1</v>
      </c>
      <c r="F107" s="31">
        <f t="shared" si="116"/>
        <v>0</v>
      </c>
      <c r="G107" s="103">
        <v>4436</v>
      </c>
      <c r="H107" s="13">
        <v>12</v>
      </c>
      <c r="I107" s="13">
        <v>8760</v>
      </c>
      <c r="J107" s="104">
        <v>5773660</v>
      </c>
      <c r="K107" s="104">
        <v>0</v>
      </c>
      <c r="L107" s="104">
        <v>341040</v>
      </c>
      <c r="M107" s="104">
        <v>0</v>
      </c>
      <c r="N107" s="105">
        <f t="shared" si="122"/>
        <v>6114700</v>
      </c>
      <c r="O107" s="38">
        <v>23.917999999999999</v>
      </c>
      <c r="P107" s="39"/>
      <c r="Q107" s="39">
        <v>24.308</v>
      </c>
      <c r="R107" s="39"/>
      <c r="S107" s="21">
        <v>123</v>
      </c>
      <c r="T107" s="21"/>
      <c r="U107" s="46">
        <f t="shared" si="117"/>
        <v>1502220</v>
      </c>
      <c r="V107" s="49">
        <f>VLOOKUP($B107,'Taryfa PSG'!$B$4:$D$10,2,0)</f>
        <v>3.278</v>
      </c>
      <c r="W107" s="27">
        <f t="shared" si="118"/>
        <v>200439.87</v>
      </c>
      <c r="X107" s="26">
        <f>VLOOKUP($B107,'Taryfa PSG'!$B$4:$D$10,3,0)</f>
        <v>0.65400000000000003</v>
      </c>
      <c r="Y107" s="15">
        <f>+ROUND(G107*I107*X107/100,2)</f>
        <v>254140.21</v>
      </c>
      <c r="Z107" s="71">
        <f t="shared" si="114"/>
        <v>454580.07999999996</v>
      </c>
      <c r="AA107" s="36">
        <f t="shared" si="115"/>
        <v>1956800.08</v>
      </c>
      <c r="AB107" s="34">
        <v>0.23</v>
      </c>
      <c r="AC107" s="35">
        <f t="shared" si="120"/>
        <v>450064.02</v>
      </c>
      <c r="AD107" s="37">
        <f t="shared" si="121"/>
        <v>2406864.1</v>
      </c>
    </row>
    <row r="108" spans="2:30" ht="30.75" customHeight="1" x14ac:dyDescent="0.2">
      <c r="B108" s="55" t="s">
        <v>18</v>
      </c>
      <c r="C108" s="13">
        <v>1</v>
      </c>
      <c r="D108" s="13">
        <v>0</v>
      </c>
      <c r="E108" s="43">
        <v>0.98260000000000003</v>
      </c>
      <c r="F108" s="31">
        <f t="shared" si="116"/>
        <v>1.7399999999999971E-2</v>
      </c>
      <c r="G108" s="13">
        <v>300</v>
      </c>
      <c r="H108" s="13">
        <v>12</v>
      </c>
      <c r="I108" s="13">
        <v>8760</v>
      </c>
      <c r="J108" s="24">
        <v>520483</v>
      </c>
      <c r="K108" s="24">
        <v>9217</v>
      </c>
      <c r="L108" s="24">
        <v>0</v>
      </c>
      <c r="M108" s="24">
        <v>0</v>
      </c>
      <c r="N108" s="47">
        <f t="shared" si="122"/>
        <v>529700</v>
      </c>
      <c r="O108" s="38">
        <v>23.917999999999999</v>
      </c>
      <c r="P108" s="39"/>
      <c r="Q108" s="39">
        <v>24.308</v>
      </c>
      <c r="R108" s="39"/>
      <c r="S108" s="21">
        <v>123</v>
      </c>
      <c r="T108" s="21"/>
      <c r="U108" s="46">
        <f t="shared" si="117"/>
        <v>125965.12</v>
      </c>
      <c r="V108" s="49">
        <f>VLOOKUP($B108,'Taryfa PSG'!$B$4:$D$10,2,0)</f>
        <v>3.278</v>
      </c>
      <c r="W108" s="27">
        <f t="shared" si="118"/>
        <v>17363.57</v>
      </c>
      <c r="X108" s="26">
        <f>VLOOKUP($B108,'Taryfa PSG'!$B$4:$D$10,3,0)</f>
        <v>0.65400000000000003</v>
      </c>
      <c r="Y108" s="15">
        <f t="shared" ref="Y108:Y111" si="123">+ROUND(G108*I108*X108/100,2)</f>
        <v>17187.12</v>
      </c>
      <c r="Z108" s="71">
        <f t="shared" si="114"/>
        <v>34550.69</v>
      </c>
      <c r="AA108" s="36">
        <f t="shared" si="115"/>
        <v>160515.81</v>
      </c>
      <c r="AB108" s="34">
        <v>0.23</v>
      </c>
      <c r="AC108" s="35">
        <f t="shared" si="120"/>
        <v>36918.639999999999</v>
      </c>
      <c r="AD108" s="37">
        <f t="shared" si="121"/>
        <v>197434.45</v>
      </c>
    </row>
    <row r="109" spans="2:30" ht="30.75" customHeight="1" x14ac:dyDescent="0.2">
      <c r="B109" s="55" t="s">
        <v>18</v>
      </c>
      <c r="C109" s="13">
        <v>1</v>
      </c>
      <c r="D109" s="13">
        <v>0</v>
      </c>
      <c r="E109" s="43">
        <v>0.95599999999999996</v>
      </c>
      <c r="F109" s="31">
        <f t="shared" si="116"/>
        <v>4.4000000000000039E-2</v>
      </c>
      <c r="G109" s="13">
        <v>250</v>
      </c>
      <c r="H109" s="13">
        <v>12</v>
      </c>
      <c r="I109" s="13">
        <v>8760</v>
      </c>
      <c r="J109" s="24">
        <v>434072</v>
      </c>
      <c r="K109" s="24">
        <v>19978</v>
      </c>
      <c r="L109" s="24">
        <v>0</v>
      </c>
      <c r="M109" s="24">
        <v>0</v>
      </c>
      <c r="N109" s="47">
        <f t="shared" si="122"/>
        <v>454050</v>
      </c>
      <c r="O109" s="38">
        <v>23.917999999999999</v>
      </c>
      <c r="P109" s="39"/>
      <c r="Q109" s="39">
        <v>24.308</v>
      </c>
      <c r="R109" s="39"/>
      <c r="S109" s="21">
        <v>123</v>
      </c>
      <c r="T109" s="21"/>
      <c r="U109" s="46">
        <f t="shared" si="117"/>
        <v>105297.34</v>
      </c>
      <c r="V109" s="49">
        <f>VLOOKUP($B109,'Taryfa PSG'!$B$4:$D$10,2,0)</f>
        <v>3.278</v>
      </c>
      <c r="W109" s="27">
        <f t="shared" si="118"/>
        <v>14883.76</v>
      </c>
      <c r="X109" s="26">
        <f>VLOOKUP($B109,'Taryfa PSG'!$B$4:$D$10,3,0)</f>
        <v>0.65400000000000003</v>
      </c>
      <c r="Y109" s="15">
        <f t="shared" si="123"/>
        <v>14322.6</v>
      </c>
      <c r="Z109" s="71">
        <f t="shared" si="114"/>
        <v>29206.36</v>
      </c>
      <c r="AA109" s="36">
        <f t="shared" si="115"/>
        <v>134503.70000000001</v>
      </c>
      <c r="AB109" s="34">
        <v>0.23</v>
      </c>
      <c r="AC109" s="35">
        <f t="shared" si="120"/>
        <v>30935.85</v>
      </c>
      <c r="AD109" s="37">
        <f t="shared" si="121"/>
        <v>165439.55000000002</v>
      </c>
    </row>
    <row r="110" spans="2:30" ht="30.75" customHeight="1" x14ac:dyDescent="0.2">
      <c r="B110" s="55" t="s">
        <v>18</v>
      </c>
      <c r="C110" s="13">
        <v>1</v>
      </c>
      <c r="D110" s="13">
        <v>0</v>
      </c>
      <c r="E110" s="43">
        <v>0.1081</v>
      </c>
      <c r="F110" s="31">
        <f t="shared" si="116"/>
        <v>0.89190000000000003</v>
      </c>
      <c r="G110" s="13">
        <v>121</v>
      </c>
      <c r="H110" s="13">
        <v>12</v>
      </c>
      <c r="I110" s="13">
        <v>8760</v>
      </c>
      <c r="J110" s="24">
        <v>7990</v>
      </c>
      <c r="K110" s="24">
        <v>65920</v>
      </c>
      <c r="L110" s="24">
        <v>0</v>
      </c>
      <c r="M110" s="24">
        <v>0</v>
      </c>
      <c r="N110" s="47">
        <f t="shared" si="122"/>
        <v>73910</v>
      </c>
      <c r="O110" s="38">
        <v>23.917999999999999</v>
      </c>
      <c r="P110" s="39"/>
      <c r="Q110" s="39">
        <v>24.308</v>
      </c>
      <c r="R110" s="39"/>
      <c r="S110" s="21">
        <v>123</v>
      </c>
      <c r="T110" s="21"/>
      <c r="U110" s="46">
        <f t="shared" si="117"/>
        <v>3387.05</v>
      </c>
      <c r="V110" s="49">
        <f>VLOOKUP($B110,'Taryfa PSG'!$B$4:$D$10,2,0)</f>
        <v>3.278</v>
      </c>
      <c r="W110" s="27">
        <f t="shared" si="118"/>
        <v>2422.77</v>
      </c>
      <c r="X110" s="26">
        <f>VLOOKUP($B110,'Taryfa PSG'!$B$4:$D$10,3,0)</f>
        <v>0.65400000000000003</v>
      </c>
      <c r="Y110" s="15">
        <f t="shared" si="123"/>
        <v>6932.14</v>
      </c>
      <c r="Z110" s="71">
        <f t="shared" si="114"/>
        <v>9354.91</v>
      </c>
      <c r="AA110" s="36">
        <f t="shared" si="115"/>
        <v>12741.96</v>
      </c>
      <c r="AB110" s="34">
        <v>0.23</v>
      </c>
      <c r="AC110" s="35">
        <f t="shared" si="120"/>
        <v>2930.65</v>
      </c>
      <c r="AD110" s="37">
        <f t="shared" si="121"/>
        <v>15672.609999999999</v>
      </c>
    </row>
    <row r="111" spans="2:30" ht="30.75" customHeight="1" thickBot="1" x14ac:dyDescent="0.25">
      <c r="B111" s="98" t="s">
        <v>18</v>
      </c>
      <c r="C111" s="14">
        <v>0</v>
      </c>
      <c r="D111" s="14">
        <v>1</v>
      </c>
      <c r="E111" s="44">
        <v>0</v>
      </c>
      <c r="F111" s="62">
        <f t="shared" si="116"/>
        <v>1</v>
      </c>
      <c r="G111" s="14">
        <v>165</v>
      </c>
      <c r="H111" s="14">
        <v>12</v>
      </c>
      <c r="I111" s="14">
        <v>8760</v>
      </c>
      <c r="J111" s="25">
        <v>0</v>
      </c>
      <c r="K111" s="25">
        <v>0</v>
      </c>
      <c r="L111" s="25">
        <v>0</v>
      </c>
      <c r="M111" s="25">
        <v>155010</v>
      </c>
      <c r="N111" s="48">
        <f t="shared" si="122"/>
        <v>155010</v>
      </c>
      <c r="O111" s="63">
        <v>23.917999999999999</v>
      </c>
      <c r="P111" s="64"/>
      <c r="Q111" s="64">
        <v>24.308</v>
      </c>
      <c r="R111" s="64"/>
      <c r="S111" s="65">
        <v>123</v>
      </c>
      <c r="T111" s="65"/>
      <c r="U111" s="45">
        <f t="shared" si="117"/>
        <v>0</v>
      </c>
      <c r="V111" s="50">
        <f>VLOOKUP($B111,'Taryfa PSG'!$B$4:$D$10,2,0)</f>
        <v>3.278</v>
      </c>
      <c r="W111" s="29">
        <f t="shared" si="118"/>
        <v>5081.2299999999996</v>
      </c>
      <c r="X111" s="28">
        <f>VLOOKUP($B111,'Taryfa PSG'!$B$4:$D$10,3,0)</f>
        <v>0.65400000000000003</v>
      </c>
      <c r="Y111" s="16">
        <f t="shared" si="123"/>
        <v>9452.92</v>
      </c>
      <c r="Z111" s="72">
        <f t="shared" si="114"/>
        <v>14534.15</v>
      </c>
      <c r="AA111" s="99">
        <f t="shared" si="115"/>
        <v>14534.15</v>
      </c>
      <c r="AB111" s="100">
        <v>0.23</v>
      </c>
      <c r="AC111" s="101">
        <f t="shared" si="120"/>
        <v>3342.85</v>
      </c>
      <c r="AD111" s="102">
        <f t="shared" si="121"/>
        <v>17877</v>
      </c>
    </row>
    <row r="112" spans="2:30" ht="39" customHeight="1" thickBot="1" x14ac:dyDescent="0.25"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9"/>
      <c r="W112" s="10"/>
      <c r="X112" s="11"/>
      <c r="Y112" s="12"/>
      <c r="Z112" s="12"/>
      <c r="AA112" s="66">
        <f>SUM(AA65:AA111)</f>
        <v>4093896.3</v>
      </c>
      <c r="AB112" s="67">
        <v>0.23</v>
      </c>
      <c r="AC112" s="68">
        <f>SUM(AC65:AC111)</f>
        <v>941596.13000000012</v>
      </c>
      <c r="AD112" s="69">
        <f>SUM(AD65:AD111)</f>
        <v>5035492.4300000006</v>
      </c>
    </row>
    <row r="113" spans="2:30" ht="25.5" customHeight="1" x14ac:dyDescent="0.2">
      <c r="B113" s="19" t="s">
        <v>46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9"/>
      <c r="W113" s="10"/>
      <c r="X113" s="11"/>
      <c r="Y113" s="12"/>
      <c r="Z113" s="12"/>
      <c r="AA113" s="56"/>
      <c r="AB113" s="57"/>
      <c r="AC113" s="56"/>
      <c r="AD113" s="56"/>
    </row>
    <row r="114" spans="2:30" ht="51" customHeight="1" x14ac:dyDescent="0.2">
      <c r="B114" s="175" t="s">
        <v>79</v>
      </c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AA114" s="167" t="s">
        <v>75</v>
      </c>
      <c r="AB114" s="167"/>
      <c r="AC114" s="176">
        <f>AA56+AA112</f>
        <v>8187792.5999999996</v>
      </c>
      <c r="AD114" s="176"/>
    </row>
    <row r="115" spans="2:30" ht="27" customHeight="1" x14ac:dyDescent="0.2">
      <c r="B115" s="20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73"/>
      <c r="AA115" s="177" t="s">
        <v>74</v>
      </c>
      <c r="AB115" s="177"/>
      <c r="AC115" s="168">
        <f>AC56+AC112</f>
        <v>1883192.2600000002</v>
      </c>
      <c r="AD115" s="168"/>
    </row>
    <row r="116" spans="2:30" ht="51" customHeight="1" x14ac:dyDescent="0.2">
      <c r="B116" s="20"/>
      <c r="J116" s="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2"/>
      <c r="AA116" s="167" t="s">
        <v>76</v>
      </c>
      <c r="AB116" s="167"/>
      <c r="AC116" s="168">
        <f>AD56+AD112</f>
        <v>10070984.860000001</v>
      </c>
      <c r="AD116" s="168"/>
    </row>
    <row r="117" spans="2:30" ht="18" customHeight="1" thickBot="1" x14ac:dyDescent="0.25">
      <c r="B117" s="20"/>
      <c r="J117" s="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2"/>
      <c r="AA117" s="75"/>
      <c r="AB117" s="75"/>
      <c r="AC117" s="74"/>
      <c r="AD117" s="74" t="s">
        <v>77</v>
      </c>
    </row>
    <row r="118" spans="2:30" ht="18" customHeight="1" x14ac:dyDescent="0.2">
      <c r="B118" s="80" t="s">
        <v>80</v>
      </c>
      <c r="C118" s="81"/>
      <c r="D118" s="81"/>
      <c r="E118" s="81"/>
      <c r="F118" s="81"/>
      <c r="G118" s="81"/>
      <c r="H118" s="81"/>
      <c r="I118" s="81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3"/>
      <c r="W118" s="81"/>
      <c r="X118" s="81"/>
      <c r="Y118" s="81"/>
      <c r="Z118" s="81"/>
      <c r="AA118" s="84"/>
      <c r="AB118" s="84"/>
      <c r="AC118" s="84"/>
      <c r="AD118" s="85"/>
    </row>
    <row r="119" spans="2:30" ht="18" customHeight="1" x14ac:dyDescent="0.2">
      <c r="B119" s="169" t="s">
        <v>81</v>
      </c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71"/>
    </row>
    <row r="120" spans="2:30" ht="24.75" customHeight="1" x14ac:dyDescent="0.2">
      <c r="B120" s="169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0"/>
      <c r="AD120" s="171"/>
    </row>
    <row r="121" spans="2:30" ht="24.75" customHeight="1" x14ac:dyDescent="0.2">
      <c r="B121" s="86" t="s">
        <v>82</v>
      </c>
      <c r="C121" s="87"/>
      <c r="D121" s="87"/>
      <c r="E121" s="87"/>
      <c r="F121" s="87"/>
      <c r="G121" s="87"/>
      <c r="H121" s="87"/>
      <c r="I121" s="87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7"/>
      <c r="X121" s="87"/>
      <c r="Y121" s="87"/>
      <c r="Z121" s="87"/>
      <c r="AA121" s="87"/>
      <c r="AB121" s="87"/>
      <c r="AC121" s="87"/>
      <c r="AD121" s="89"/>
    </row>
    <row r="122" spans="2:30" ht="24.75" customHeight="1" x14ac:dyDescent="0.2">
      <c r="B122" s="90" t="s">
        <v>83</v>
      </c>
      <c r="C122" s="87"/>
      <c r="D122" s="87"/>
      <c r="E122" s="87"/>
      <c r="F122" s="87"/>
      <c r="G122" s="87"/>
      <c r="H122" s="87"/>
      <c r="I122" s="87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7"/>
      <c r="X122" s="87"/>
      <c r="Y122" s="87"/>
      <c r="Z122" s="87"/>
      <c r="AA122" s="87"/>
      <c r="AB122" s="87"/>
      <c r="AC122" s="87"/>
      <c r="AD122" s="89"/>
    </row>
    <row r="123" spans="2:30" ht="24.75" customHeight="1" x14ac:dyDescent="0.2">
      <c r="B123" s="172" t="s">
        <v>84</v>
      </c>
      <c r="C123" s="173"/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173"/>
      <c r="AD123" s="174"/>
    </row>
    <row r="124" spans="2:30" ht="24.75" customHeight="1" thickBot="1" x14ac:dyDescent="0.25">
      <c r="B124" s="91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3"/>
    </row>
    <row r="128" spans="2:30" ht="24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</sheetData>
  <mergeCells count="61">
    <mergeCell ref="AA116:AB116"/>
    <mergeCell ref="AC116:AD116"/>
    <mergeCell ref="B119:AD120"/>
    <mergeCell ref="B123:AD123"/>
    <mergeCell ref="B114:Y114"/>
    <mergeCell ref="AA114:AB114"/>
    <mergeCell ref="AC114:AD114"/>
    <mergeCell ref="AA115:AB115"/>
    <mergeCell ref="AC115:AD115"/>
    <mergeCell ref="AD62:AD63"/>
    <mergeCell ref="B60:AD60"/>
    <mergeCell ref="B61:N61"/>
    <mergeCell ref="O61:U61"/>
    <mergeCell ref="V61:Z61"/>
    <mergeCell ref="AA61:AD61"/>
    <mergeCell ref="B62:B63"/>
    <mergeCell ref="C62:F62"/>
    <mergeCell ref="G62:G63"/>
    <mergeCell ref="H62:H63"/>
    <mergeCell ref="I62:I63"/>
    <mergeCell ref="J62:K62"/>
    <mergeCell ref="L62:M62"/>
    <mergeCell ref="N62:N63"/>
    <mergeCell ref="O62:P62"/>
    <mergeCell ref="Q62:R62"/>
    <mergeCell ref="Y62:Y63"/>
    <mergeCell ref="Z62:Z63"/>
    <mergeCell ref="AA62:AA63"/>
    <mergeCell ref="AB62:AB63"/>
    <mergeCell ref="AC62:AC63"/>
    <mergeCell ref="S62:T62"/>
    <mergeCell ref="U62:U63"/>
    <mergeCell ref="V62:V63"/>
    <mergeCell ref="W62:W63"/>
    <mergeCell ref="X62:X63"/>
    <mergeCell ref="AA5:AD5"/>
    <mergeCell ref="B4:AD4"/>
    <mergeCell ref="AA6:AA7"/>
    <mergeCell ref="AB6:AB7"/>
    <mergeCell ref="V5:Z5"/>
    <mergeCell ref="W6:W7"/>
    <mergeCell ref="Z6:Z7"/>
    <mergeCell ref="AC6:AC7"/>
    <mergeCell ref="AD6:AD7"/>
    <mergeCell ref="B5:N5"/>
    <mergeCell ref="O6:P6"/>
    <mergeCell ref="Q6:R6"/>
    <mergeCell ref="U6:U7"/>
    <mergeCell ref="O5:U5"/>
    <mergeCell ref="L6:M6"/>
    <mergeCell ref="N6:N7"/>
    <mergeCell ref="C6:F6"/>
    <mergeCell ref="Y6:Y7"/>
    <mergeCell ref="J6:K6"/>
    <mergeCell ref="B6:B7"/>
    <mergeCell ref="G6:G7"/>
    <mergeCell ref="H6:H7"/>
    <mergeCell ref="I6:I7"/>
    <mergeCell ref="S6:T6"/>
    <mergeCell ref="V6:V7"/>
    <mergeCell ref="X6:X7"/>
  </mergeCells>
  <pageMargins left="0.25" right="0.26" top="0.28999999999999998" bottom="0.22" header="0.19" footer="0.14000000000000001"/>
  <pageSetup paperSize="9" scale="34" fitToHeight="0" orientation="landscape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workbookViewId="0">
      <selection activeCell="D4" sqref="D4"/>
    </sheetView>
  </sheetViews>
  <sheetFormatPr defaultRowHeight="12.75" x14ac:dyDescent="0.2"/>
  <cols>
    <col min="1" max="1" width="4.625" style="58" customWidth="1"/>
    <col min="2" max="2" width="10.25" style="58" bestFit="1" customWidth="1"/>
    <col min="3" max="3" width="14.75" style="58" customWidth="1"/>
    <col min="4" max="4" width="21.5" style="58" customWidth="1"/>
    <col min="5" max="16384" width="9" style="58"/>
  </cols>
  <sheetData>
    <row r="2" spans="2:4" ht="36" customHeight="1" x14ac:dyDescent="0.2">
      <c r="B2" s="178" t="s">
        <v>69</v>
      </c>
      <c r="C2" s="178"/>
      <c r="D2" s="178"/>
    </row>
    <row r="3" spans="2:4" ht="114.75" customHeight="1" x14ac:dyDescent="0.2">
      <c r="B3" s="59" t="s">
        <v>70</v>
      </c>
      <c r="C3" s="78" t="s">
        <v>72</v>
      </c>
      <c r="D3" s="79" t="s">
        <v>62</v>
      </c>
    </row>
    <row r="4" spans="2:4" ht="17.25" customHeight="1" x14ac:dyDescent="0.2">
      <c r="B4" s="59" t="s">
        <v>47</v>
      </c>
      <c r="C4" s="59">
        <v>6.7640000000000002</v>
      </c>
      <c r="D4" s="60">
        <v>4.5999999999999996</v>
      </c>
    </row>
    <row r="5" spans="2:4" ht="17.25" customHeight="1" x14ac:dyDescent="0.2">
      <c r="B5" s="59" t="s">
        <v>48</v>
      </c>
      <c r="C5" s="61">
        <v>4.92</v>
      </c>
      <c r="D5" s="60">
        <v>11.7</v>
      </c>
    </row>
    <row r="6" spans="2:4" ht="17.25" customHeight="1" x14ac:dyDescent="0.2">
      <c r="B6" s="59" t="s">
        <v>49</v>
      </c>
      <c r="C6" s="59">
        <v>3.6890000000000001</v>
      </c>
      <c r="D6" s="60">
        <v>45.19</v>
      </c>
    </row>
    <row r="7" spans="2:4" ht="17.25" customHeight="1" x14ac:dyDescent="0.2">
      <c r="B7" s="59" t="s">
        <v>78</v>
      </c>
      <c r="C7" s="59">
        <v>3.6890000000000001</v>
      </c>
      <c r="D7" s="60">
        <v>48.54</v>
      </c>
    </row>
    <row r="8" spans="2:4" ht="17.25" customHeight="1" x14ac:dyDescent="0.2">
      <c r="B8" s="59" t="s">
        <v>19</v>
      </c>
      <c r="C8" s="59">
        <v>3.6150000000000002</v>
      </c>
      <c r="D8" s="60">
        <v>252.42</v>
      </c>
    </row>
    <row r="9" spans="2:4" ht="17.25" customHeight="1" x14ac:dyDescent="0.2">
      <c r="B9" s="59" t="s">
        <v>18</v>
      </c>
      <c r="C9" s="59">
        <v>3.278</v>
      </c>
      <c r="D9" s="59">
        <v>0.65400000000000003</v>
      </c>
    </row>
    <row r="10" spans="2:4" ht="17.25" customHeight="1" x14ac:dyDescent="0.2">
      <c r="B10" s="59" t="s">
        <v>71</v>
      </c>
      <c r="C10" s="59">
        <v>3.0880000000000001</v>
      </c>
      <c r="D10" s="59">
        <v>0.60099999999999998</v>
      </c>
    </row>
  </sheetData>
  <mergeCells count="1">
    <mergeCell ref="B2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</vt:lpstr>
      <vt:lpstr>Taryfa PSG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2024-08-19T19:15:11Z</cp:lastPrinted>
  <dcterms:created xsi:type="dcterms:W3CDTF">2015-09-16T11:15:51Z</dcterms:created>
  <dcterms:modified xsi:type="dcterms:W3CDTF">2024-10-17T07:14:36Z</dcterms:modified>
</cp:coreProperties>
</file>