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ZPiFZ1\02. PRZETARGI\2021\Rewitalizacja Placu Jana Pawła II\"/>
    </mc:Choice>
  </mc:AlternateContent>
  <bookViews>
    <workbookView xWindow="0" yWindow="0" windowWidth="28800" windowHeight="12435"/>
  </bookViews>
  <sheets>
    <sheet name="ZZK_zestawienie" sheetId="11" r:id="rId1"/>
    <sheet name="Plac JPII" sheetId="10" r:id="rId2"/>
    <sheet name="drogi wojewódzkie" sheetId="1" r:id="rId3"/>
    <sheet name="parking gminny" sheetId="2" r:id="rId4"/>
    <sheet name="Ulanska" sheetId="18" r:id="rId5"/>
    <sheet name="SOR" sheetId="17" r:id="rId6"/>
  </sheets>
  <definedNames>
    <definedName name="_xlnm.Print_Area" localSheetId="3">'parking gminny'!$A$1:$G$110</definedName>
    <definedName name="_xlnm.Print_Area" localSheetId="1">'Plac JPII'!$A$1:$G$247</definedName>
    <definedName name="_xlnm.Print_Area" localSheetId="4">Ulanska!$A$1:$G$164</definedName>
    <definedName name="_xlnm.Print_Titles" localSheetId="2">'drogi wojewódzkie'!$1:$1</definedName>
    <definedName name="_xlnm.Print_Titles" localSheetId="3">'parking gminny'!$1:$1</definedName>
    <definedName name="_xlnm.Print_Titles" localSheetId="1">'Plac JPII'!$1:$1</definedName>
    <definedName name="_xlnm.Print_Titles" localSheetId="4">Ulanska!$1:$1</definedName>
    <definedName name="_xlnm.Print_Titles" localSheetId="0">ZZK_zestawienie!$1:$2</definedName>
  </definedNames>
  <calcPr calcId="152511" fullPrecision="0"/>
</workbook>
</file>

<file path=xl/calcChain.xml><?xml version="1.0" encoding="utf-8"?>
<calcChain xmlns="http://schemas.openxmlformats.org/spreadsheetml/2006/main">
  <c r="G160" i="18" l="1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1" i="18"/>
  <c r="G140" i="18"/>
  <c r="G139" i="18"/>
  <c r="G138" i="18"/>
  <c r="G137" i="18"/>
  <c r="G136" i="18"/>
  <c r="G135" i="18"/>
  <c r="G134" i="18"/>
  <c r="G132" i="18"/>
  <c r="E131" i="18"/>
  <c r="G131" i="18" s="1"/>
  <c r="E130" i="18"/>
  <c r="G130" i="18" s="1"/>
  <c r="E129" i="18"/>
  <c r="G129" i="18" s="1"/>
  <c r="E128" i="18"/>
  <c r="G128" i="18" s="1"/>
  <c r="E127" i="18"/>
  <c r="G127" i="18" s="1"/>
  <c r="E126" i="18"/>
  <c r="G126" i="18" s="1"/>
  <c r="E125" i="18"/>
  <c r="G125" i="18" s="1"/>
  <c r="E124" i="18"/>
  <c r="G124" i="18" s="1"/>
  <c r="G121" i="18"/>
  <c r="E120" i="18"/>
  <c r="G120" i="18" s="1"/>
  <c r="G119" i="18"/>
  <c r="G118" i="18"/>
  <c r="G117" i="18"/>
  <c r="G116" i="18"/>
  <c r="G115" i="18"/>
  <c r="G114" i="18"/>
  <c r="G113" i="18"/>
  <c r="G112" i="18"/>
  <c r="G111" i="18"/>
  <c r="G110" i="18"/>
  <c r="G108" i="18"/>
  <c r="E107" i="18"/>
  <c r="G107" i="18" s="1"/>
  <c r="E106" i="18"/>
  <c r="G106" i="18" s="1"/>
  <c r="G105" i="18"/>
  <c r="G104" i="18"/>
  <c r="G103" i="18"/>
  <c r="G102" i="18"/>
  <c r="G101" i="18"/>
  <c r="G100" i="18"/>
  <c r="E99" i="18"/>
  <c r="G99" i="18" s="1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5" i="18"/>
  <c r="G74" i="18"/>
  <c r="G73" i="18"/>
  <c r="G72" i="18"/>
  <c r="G71" i="18"/>
  <c r="G69" i="18"/>
  <c r="G68" i="18"/>
  <c r="G67" i="18"/>
  <c r="G65" i="18"/>
  <c r="G64" i="18"/>
  <c r="G63" i="18"/>
  <c r="G61" i="18"/>
  <c r="G60" i="18"/>
  <c r="G59" i="18"/>
  <c r="G57" i="18"/>
  <c r="G56" i="18"/>
  <c r="G55" i="18"/>
  <c r="G54" i="18"/>
  <c r="G53" i="18"/>
  <c r="G52" i="18"/>
  <c r="G49" i="18"/>
  <c r="E48" i="18"/>
  <c r="G48" i="18" s="1"/>
  <c r="G47" i="18"/>
  <c r="G46" i="18"/>
  <c r="G44" i="18"/>
  <c r="G43" i="18"/>
  <c r="G42" i="18"/>
  <c r="E41" i="18"/>
  <c r="G41" i="18" s="1"/>
  <c r="G40" i="18"/>
  <c r="G39" i="18"/>
  <c r="G38" i="18"/>
  <c r="G37" i="18"/>
  <c r="G36" i="18"/>
  <c r="G35" i="18"/>
  <c r="G34" i="18"/>
  <c r="G33" i="18"/>
  <c r="G32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4" i="18"/>
  <c r="G13" i="18"/>
  <c r="G12" i="18"/>
  <c r="G11" i="18"/>
  <c r="G10" i="18"/>
  <c r="G8" i="18"/>
  <c r="G7" i="18"/>
  <c r="G6" i="18"/>
  <c r="G5" i="18"/>
  <c r="G142" i="18" l="1"/>
  <c r="G76" i="18"/>
  <c r="G133" i="18"/>
  <c r="G15" i="18"/>
  <c r="G58" i="18"/>
  <c r="G31" i="18"/>
  <c r="G4" i="18"/>
  <c r="G51" i="18"/>
  <c r="G66" i="18"/>
  <c r="G62" i="18"/>
  <c r="G123" i="18"/>
  <c r="G9" i="18"/>
  <c r="G45" i="18"/>
  <c r="G70" i="18"/>
  <c r="G109" i="18"/>
  <c r="G98" i="18"/>
  <c r="G122" i="18" l="1"/>
  <c r="G50" i="18"/>
  <c r="G30" i="18" s="1"/>
  <c r="G97" i="18"/>
  <c r="G3" i="18"/>
  <c r="C12" i="11" l="1"/>
  <c r="D12" i="11" s="1"/>
  <c r="G96" i="18"/>
  <c r="G161" i="18" s="1"/>
  <c r="B10" i="11"/>
  <c r="B11" i="11"/>
  <c r="B9" i="11"/>
  <c r="D15" i="11"/>
  <c r="D16" i="11"/>
  <c r="E16" i="11" s="1"/>
  <c r="D17" i="11"/>
  <c r="E17" i="11" s="1"/>
  <c r="D18" i="11"/>
  <c r="E18" i="11" s="1"/>
  <c r="D19" i="11"/>
  <c r="E19" i="11" s="1"/>
  <c r="D20" i="11"/>
  <c r="E20" i="11" s="1"/>
  <c r="D21" i="11"/>
  <c r="E21" i="11" s="1"/>
  <c r="D22" i="11"/>
  <c r="E22" i="11" s="1"/>
  <c r="D16" i="17"/>
  <c r="F16" i="17" s="1"/>
  <c r="D15" i="17"/>
  <c r="F15" i="17" s="1"/>
  <c r="F11" i="17"/>
  <c r="F12" i="17"/>
  <c r="F13" i="17"/>
  <c r="F14" i="17"/>
  <c r="F17" i="17"/>
  <c r="F18" i="17"/>
  <c r="F10" i="17"/>
  <c r="F6" i="17"/>
  <c r="F7" i="17"/>
  <c r="F8" i="17"/>
  <c r="F5" i="17"/>
  <c r="F4" i="17" l="1"/>
  <c r="F9" i="17"/>
  <c r="E12" i="11"/>
  <c r="E15" i="11"/>
  <c r="G152" i="10"/>
  <c r="G35" i="10"/>
  <c r="F19" i="17" l="1"/>
  <c r="C13" i="11" s="1"/>
  <c r="D13" i="11" s="1"/>
  <c r="E13" i="11" s="1"/>
  <c r="C14" i="11"/>
  <c r="G225" i="10"/>
  <c r="G224" i="10" s="1"/>
  <c r="G159" i="1"/>
  <c r="E160" i="1"/>
  <c r="G160" i="1" s="1"/>
  <c r="G161" i="1"/>
  <c r="G165" i="1"/>
  <c r="G166" i="1"/>
  <c r="G168" i="1"/>
  <c r="G169" i="1"/>
  <c r="E170" i="1"/>
  <c r="G170" i="1" s="1"/>
  <c r="G171" i="1"/>
  <c r="G173" i="1"/>
  <c r="G174" i="1"/>
  <c r="G176" i="1"/>
  <c r="G177" i="1"/>
  <c r="G178" i="1"/>
  <c r="G179" i="1"/>
  <c r="G180" i="1"/>
  <c r="G181" i="1"/>
  <c r="G182" i="1"/>
  <c r="G183" i="1"/>
  <c r="E184" i="1"/>
  <c r="G184" i="1" s="1"/>
  <c r="E162" i="1" l="1"/>
  <c r="E163" i="1" s="1"/>
  <c r="G163" i="1" s="1"/>
  <c r="D14" i="11"/>
  <c r="G167" i="1"/>
  <c r="G175" i="1"/>
  <c r="G172" i="1"/>
  <c r="G162" i="1" l="1"/>
  <c r="E164" i="1"/>
  <c r="G164" i="1" s="1"/>
  <c r="E14" i="11"/>
  <c r="G185" i="1" l="1"/>
  <c r="G158" i="1"/>
  <c r="G48" i="10"/>
  <c r="G67" i="10"/>
  <c r="G218" i="10"/>
  <c r="E40" i="10"/>
  <c r="G40" i="10" s="1"/>
  <c r="E24" i="10"/>
  <c r="E25" i="10" s="1"/>
  <c r="E19" i="10"/>
  <c r="E20" i="10" s="1"/>
  <c r="E33" i="2" l="1"/>
  <c r="E32" i="2"/>
  <c r="E31" i="2"/>
  <c r="E91" i="1"/>
  <c r="E92" i="1" s="1"/>
  <c r="E19" i="1"/>
  <c r="E18" i="1"/>
  <c r="E17" i="1"/>
  <c r="E76" i="10"/>
  <c r="E75" i="10"/>
  <c r="E20" i="1" l="1"/>
  <c r="E21" i="1" s="1"/>
  <c r="E22" i="1" s="1"/>
  <c r="E34" i="2"/>
  <c r="E35" i="2" s="1"/>
  <c r="E36" i="2" s="1"/>
  <c r="E77" i="10"/>
  <c r="E78" i="10" s="1"/>
  <c r="E94" i="1"/>
  <c r="E93" i="1"/>
  <c r="E23" i="1" l="1"/>
  <c r="G23" i="1" s="1"/>
  <c r="E37" i="2"/>
  <c r="G37" i="2" s="1"/>
  <c r="E79" i="10"/>
  <c r="G79" i="10" s="1"/>
  <c r="G114" i="10"/>
  <c r="E113" i="10"/>
  <c r="G113" i="10" s="1"/>
  <c r="G111" i="10"/>
  <c r="G110" i="10"/>
  <c r="E109" i="10"/>
  <c r="G109" i="10" s="1"/>
  <c r="G108" i="10"/>
  <c r="G106" i="10"/>
  <c r="G105" i="10"/>
  <c r="E104" i="10"/>
  <c r="G104" i="10" s="1"/>
  <c r="G103" i="10"/>
  <c r="G102" i="10"/>
  <c r="G100" i="10"/>
  <c r="G99" i="10"/>
  <c r="G98" i="10"/>
  <c r="E97" i="10"/>
  <c r="G97" i="10" s="1"/>
  <c r="G96" i="10"/>
  <c r="G94" i="10"/>
  <c r="G93" i="10"/>
  <c r="G92" i="10"/>
  <c r="G91" i="10"/>
  <c r="G90" i="10"/>
  <c r="G89" i="10"/>
  <c r="E87" i="10"/>
  <c r="G87" i="10" s="1"/>
  <c r="E86" i="10"/>
  <c r="G86" i="10" s="1"/>
  <c r="G85" i="10"/>
  <c r="G83" i="10"/>
  <c r="G82" i="10"/>
  <c r="G81" i="10"/>
  <c r="G80" i="10"/>
  <c r="G78" i="10"/>
  <c r="G77" i="10"/>
  <c r="G76" i="10"/>
  <c r="G75" i="10"/>
  <c r="G74" i="10"/>
  <c r="G73" i="10"/>
  <c r="G72" i="10"/>
  <c r="G118" i="1"/>
  <c r="G117" i="1"/>
  <c r="E116" i="1"/>
  <c r="G116" i="1" s="1"/>
  <c r="E115" i="1"/>
  <c r="G115" i="1" s="1"/>
  <c r="G113" i="1"/>
  <c r="G112" i="1"/>
  <c r="G111" i="1"/>
  <c r="G109" i="1"/>
  <c r="G108" i="1"/>
  <c r="G107" i="1"/>
  <c r="G105" i="1"/>
  <c r="G104" i="1"/>
  <c r="G103" i="1"/>
  <c r="G102" i="1"/>
  <c r="E100" i="1"/>
  <c r="G100" i="1" s="1"/>
  <c r="E99" i="1"/>
  <c r="G99" i="1" s="1"/>
  <c r="E98" i="1"/>
  <c r="G98" i="1" s="1"/>
  <c r="G97" i="1"/>
  <c r="G96" i="1"/>
  <c r="G94" i="1"/>
  <c r="G93" i="1"/>
  <c r="G92" i="1"/>
  <c r="G91" i="1"/>
  <c r="G90" i="1"/>
  <c r="G89" i="1"/>
  <c r="G88" i="1"/>
  <c r="G87" i="1"/>
  <c r="G50" i="1"/>
  <c r="G49" i="1"/>
  <c r="E48" i="1"/>
  <c r="G48" i="1" s="1"/>
  <c r="E47" i="1"/>
  <c r="G47" i="1" s="1"/>
  <c r="G45" i="1"/>
  <c r="G44" i="1"/>
  <c r="G43" i="1"/>
  <c r="G41" i="1"/>
  <c r="G40" i="1"/>
  <c r="G39" i="1"/>
  <c r="G37" i="1"/>
  <c r="G36" i="1"/>
  <c r="G35" i="1"/>
  <c r="G33" i="1"/>
  <c r="G32" i="1"/>
  <c r="G31" i="1"/>
  <c r="G30" i="1"/>
  <c r="E28" i="1"/>
  <c r="G28" i="1" s="1"/>
  <c r="E27" i="1"/>
  <c r="G27" i="1" s="1"/>
  <c r="G26" i="1"/>
  <c r="G25" i="1"/>
  <c r="G22" i="1"/>
  <c r="G21" i="1"/>
  <c r="G20" i="1"/>
  <c r="G19" i="1"/>
  <c r="G18" i="1"/>
  <c r="G17" i="1"/>
  <c r="G16" i="1"/>
  <c r="G52" i="1"/>
  <c r="G53" i="1"/>
  <c r="G54" i="1"/>
  <c r="G55" i="1"/>
  <c r="G56" i="1"/>
  <c r="G57" i="1"/>
  <c r="G121" i="1"/>
  <c r="G122" i="1"/>
  <c r="G123" i="1"/>
  <c r="G124" i="1"/>
  <c r="G125" i="1"/>
  <c r="G126" i="1"/>
  <c r="G127" i="1"/>
  <c r="G128" i="1"/>
  <c r="G129" i="1"/>
  <c r="G130" i="1"/>
  <c r="G132" i="1"/>
  <c r="G133" i="1"/>
  <c r="G134" i="1"/>
  <c r="G135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62" i="2"/>
  <c r="G61" i="2"/>
  <c r="G60" i="2"/>
  <c r="E59" i="2"/>
  <c r="G59" i="2" s="1"/>
  <c r="E58" i="2"/>
  <c r="G58" i="2" s="1"/>
  <c r="G56" i="2"/>
  <c r="G55" i="2"/>
  <c r="G54" i="2"/>
  <c r="G52" i="2"/>
  <c r="G51" i="2"/>
  <c r="G50" i="2"/>
  <c r="G48" i="2"/>
  <c r="G47" i="2"/>
  <c r="G46" i="2"/>
  <c r="G45" i="2"/>
  <c r="E43" i="2"/>
  <c r="G43" i="2" s="1"/>
  <c r="E42" i="2"/>
  <c r="G42" i="2" s="1"/>
  <c r="E41" i="2"/>
  <c r="G41" i="2" s="1"/>
  <c r="G40" i="2"/>
  <c r="G39" i="2"/>
  <c r="G36" i="2"/>
  <c r="G35" i="2"/>
  <c r="G34" i="2"/>
  <c r="G33" i="2"/>
  <c r="G32" i="2"/>
  <c r="G31" i="2"/>
  <c r="G30" i="2"/>
  <c r="G49" i="2" l="1"/>
  <c r="G106" i="1"/>
  <c r="G110" i="1"/>
  <c r="G95" i="10"/>
  <c r="G101" i="10"/>
  <c r="G88" i="10"/>
  <c r="G107" i="10"/>
  <c r="G112" i="10"/>
  <c r="G71" i="10"/>
  <c r="G84" i="10"/>
  <c r="G86" i="1"/>
  <c r="G95" i="1"/>
  <c r="G101" i="1"/>
  <c r="G114" i="1"/>
  <c r="G29" i="1"/>
  <c r="G42" i="1"/>
  <c r="G38" i="1"/>
  <c r="G46" i="1"/>
  <c r="G24" i="1"/>
  <c r="G34" i="1"/>
  <c r="G15" i="1"/>
  <c r="G131" i="1"/>
  <c r="G120" i="1"/>
  <c r="G38" i="2"/>
  <c r="G44" i="2"/>
  <c r="G53" i="2"/>
  <c r="G29" i="2"/>
  <c r="G57" i="2"/>
  <c r="G28" i="2" l="1"/>
  <c r="G85" i="1"/>
  <c r="G14" i="1"/>
  <c r="G115" i="10"/>
  <c r="G151" i="10"/>
  <c r="G141" i="10"/>
  <c r="G140" i="10"/>
  <c r="E90" i="2"/>
  <c r="G90" i="2" s="1"/>
  <c r="E89" i="2"/>
  <c r="G89" i="2" s="1"/>
  <c r="G106" i="2"/>
  <c r="G105" i="2"/>
  <c r="G104" i="2"/>
  <c r="G103" i="2"/>
  <c r="G102" i="2"/>
  <c r="G101" i="2"/>
  <c r="G100" i="2"/>
  <c r="G99" i="2"/>
  <c r="G98" i="2"/>
  <c r="G96" i="2"/>
  <c r="G95" i="2"/>
  <c r="G94" i="2"/>
  <c r="G93" i="2"/>
  <c r="G92" i="2"/>
  <c r="G91" i="2"/>
  <c r="G88" i="2"/>
  <c r="E172" i="10"/>
  <c r="E171" i="10"/>
  <c r="G171" i="10" s="1"/>
  <c r="G87" i="2" l="1"/>
  <c r="G97" i="2"/>
  <c r="G66" i="1"/>
  <c r="G67" i="1"/>
  <c r="G68" i="1"/>
  <c r="G69" i="1"/>
  <c r="G70" i="1"/>
  <c r="G71" i="1"/>
  <c r="G72" i="1"/>
  <c r="E196" i="10"/>
  <c r="G196" i="10" s="1"/>
  <c r="G197" i="10"/>
  <c r="G198" i="10"/>
  <c r="G199" i="10"/>
  <c r="E200" i="10"/>
  <c r="G200" i="10" s="1"/>
  <c r="G201" i="10"/>
  <c r="G202" i="10"/>
  <c r="E203" i="10"/>
  <c r="G203" i="10" s="1"/>
  <c r="E204" i="10"/>
  <c r="G204" i="10" s="1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9" i="10"/>
  <c r="G220" i="10"/>
  <c r="G221" i="10"/>
  <c r="G222" i="10"/>
  <c r="E223" i="10"/>
  <c r="G223" i="10" s="1"/>
  <c r="G27" i="2"/>
  <c r="G26" i="2"/>
  <c r="G25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9" i="2"/>
  <c r="G8" i="2"/>
  <c r="G7" i="2"/>
  <c r="G6" i="2"/>
  <c r="G5" i="2"/>
  <c r="G154" i="1"/>
  <c r="G58" i="1"/>
  <c r="G59" i="1"/>
  <c r="G60" i="1"/>
  <c r="G61" i="1"/>
  <c r="G62" i="1"/>
  <c r="G63" i="1"/>
  <c r="G64" i="1"/>
  <c r="G242" i="10"/>
  <c r="G241" i="10"/>
  <c r="G240" i="10"/>
  <c r="G239" i="10"/>
  <c r="G238" i="10"/>
  <c r="G237" i="10"/>
  <c r="G236" i="10"/>
  <c r="G235" i="10"/>
  <c r="G234" i="10"/>
  <c r="G233" i="10"/>
  <c r="G232" i="10"/>
  <c r="G231" i="10"/>
  <c r="G193" i="10"/>
  <c r="G192" i="10"/>
  <c r="G191" i="10"/>
  <c r="G190" i="10"/>
  <c r="E189" i="10"/>
  <c r="G189" i="10" s="1"/>
  <c r="G188" i="10"/>
  <c r="G187" i="10"/>
  <c r="G186" i="10"/>
  <c r="G185" i="10"/>
  <c r="G184" i="10"/>
  <c r="E183" i="10"/>
  <c r="G183" i="10" s="1"/>
  <c r="G182" i="10"/>
  <c r="G181" i="10"/>
  <c r="G180" i="10"/>
  <c r="G178" i="10"/>
  <c r="G177" i="10"/>
  <c r="G176" i="10"/>
  <c r="G175" i="10"/>
  <c r="G174" i="10"/>
  <c r="G173" i="10"/>
  <c r="G172" i="10"/>
  <c r="G170" i="10"/>
  <c r="G119" i="10"/>
  <c r="G120" i="10"/>
  <c r="G121" i="10"/>
  <c r="G122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2" i="10"/>
  <c r="G143" i="10"/>
  <c r="G144" i="10"/>
  <c r="G145" i="10"/>
  <c r="G146" i="10"/>
  <c r="G147" i="10"/>
  <c r="G148" i="10"/>
  <c r="G149" i="10"/>
  <c r="G150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49" i="10"/>
  <c r="G47" i="10"/>
  <c r="G46" i="10"/>
  <c r="G45" i="10"/>
  <c r="G44" i="10"/>
  <c r="G43" i="10"/>
  <c r="G42" i="10"/>
  <c r="G41" i="10"/>
  <c r="G39" i="10"/>
  <c r="G38" i="10"/>
  <c r="G37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2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65" i="2"/>
  <c r="G64" i="2"/>
  <c r="G84" i="1"/>
  <c r="G83" i="1" s="1"/>
  <c r="G79" i="1"/>
  <c r="G80" i="1"/>
  <c r="G81" i="1"/>
  <c r="G82" i="1"/>
  <c r="G78" i="1"/>
  <c r="G13" i="1"/>
  <c r="G12" i="1"/>
  <c r="G8" i="1"/>
  <c r="G9" i="1"/>
  <c r="G10" i="1"/>
  <c r="G7" i="1"/>
  <c r="G6" i="1"/>
  <c r="G86" i="2" l="1"/>
  <c r="G63" i="2"/>
  <c r="G51" i="1"/>
  <c r="G65" i="1"/>
  <c r="G50" i="10"/>
  <c r="G24" i="2"/>
  <c r="G4" i="2"/>
  <c r="G10" i="2"/>
  <c r="G205" i="10"/>
  <c r="G195" i="10"/>
  <c r="G230" i="10"/>
  <c r="G243" i="10" s="1"/>
  <c r="G136" i="1"/>
  <c r="G119" i="1" s="1"/>
  <c r="G11" i="1"/>
  <c r="G77" i="1"/>
  <c r="G76" i="1" s="1"/>
  <c r="G5" i="1"/>
  <c r="G123" i="10"/>
  <c r="G118" i="10"/>
  <c r="G179" i="10"/>
  <c r="G169" i="10"/>
  <c r="G4" i="10"/>
  <c r="G21" i="10"/>
  <c r="G36" i="10"/>
  <c r="G155" i="1" l="1"/>
  <c r="G107" i="2"/>
  <c r="G3" i="2"/>
  <c r="G4" i="1"/>
  <c r="G73" i="1" s="1"/>
  <c r="G194" i="10"/>
  <c r="G168" i="10"/>
  <c r="G165" i="10"/>
  <c r="G68" i="10"/>
  <c r="G186" i="1" l="1"/>
  <c r="C11" i="11"/>
  <c r="D11" i="11" s="1"/>
  <c r="E11" i="11" s="1"/>
  <c r="C10" i="11"/>
  <c r="G227" i="10"/>
  <c r="G244" i="10" s="1"/>
  <c r="C24" i="11" l="1"/>
  <c r="D10" i="11"/>
  <c r="D9" i="11"/>
  <c r="E10" i="11" l="1"/>
  <c r="D24" i="11"/>
  <c r="E9" i="11"/>
  <c r="E24" i="11" l="1"/>
</calcChain>
</file>

<file path=xl/sharedStrings.xml><?xml version="1.0" encoding="utf-8"?>
<sst xmlns="http://schemas.openxmlformats.org/spreadsheetml/2006/main" count="2630" uniqueCount="1018">
  <si>
    <t>Lp.</t>
  </si>
  <si>
    <t>Podstawa</t>
  </si>
  <si>
    <t>Opis</t>
  </si>
  <si>
    <t>Ilość</t>
  </si>
  <si>
    <t>Cena jedn.</t>
  </si>
  <si>
    <t>Wartość</t>
  </si>
  <si>
    <t>BUDOWA PLACU JANA PAWŁA II</t>
  </si>
  <si>
    <t>1.1</t>
  </si>
  <si>
    <t>ROBOTY ZIEMNE I PRZYGOTOWAWCZE</t>
  </si>
  <si>
    <t>KNR 2-21 0107-04</t>
  </si>
  <si>
    <t>Zabezpieczenie drzew o średnicy ponad 30 cm na okres wykonywania robót ziemnych</t>
  </si>
  <si>
    <t>szt.</t>
  </si>
  <si>
    <t>KNR 2-21 0111-03</t>
  </si>
  <si>
    <t>Ścinanie drzew miękkich</t>
  </si>
  <si>
    <t>KNR 2-21 0110-02</t>
  </si>
  <si>
    <t>Karczowanie drzew</t>
  </si>
  <si>
    <t>KNR 2-21 0112-02 analogia</t>
  </si>
  <si>
    <t>Wykaszanie krzewów</t>
  </si>
  <si>
    <t>m2</t>
  </si>
  <si>
    <t xml:space="preserve">KNR 2-01 0110-01 0110-04 </t>
  </si>
  <si>
    <t>Wywożenie dłużyc na odległość 5 km</t>
  </si>
  <si>
    <t>m3</t>
  </si>
  <si>
    <t xml:space="preserve">KNR 2-01 0110-03 0110-05 </t>
  </si>
  <si>
    <t>Wywożenie gałęzi na odległość 5 km</t>
  </si>
  <si>
    <t>mp</t>
  </si>
  <si>
    <t>KNR 2-31 0807-01</t>
  </si>
  <si>
    <t>Rozebranie nawierzchni z kostki betonowej - podest</t>
  </si>
  <si>
    <t>KNR 2-31 0802-07 0802-08</t>
  </si>
  <si>
    <t>Mechaniczne rozebranie podbudowy z kruszywa kamiennego o grubości 45 cm - podest</t>
  </si>
  <si>
    <t>KNR 4-04 0104-05</t>
  </si>
  <si>
    <t>Rozebranie murów z pustaków typu 'Alfa' w budynkach o wysokości do 9 m (do 2 kondygnacji) na zaprawie cementowo-wapiennej - podest i tablica murowana</t>
  </si>
  <si>
    <t>KNR 4-04 0101-06</t>
  </si>
  <si>
    <t>Rozebranie murów z bloczków na zaprawie cementowo-wapiennej poniżej terenu - podest i tablica murowana</t>
  </si>
  <si>
    <t>KNR 4-04 0302-01</t>
  </si>
  <si>
    <t>Rozebranie ław, stóp i fundamentów pod maszyny betonowych o grubości (wysokości) do 70 cm - fundament infomatu</t>
  </si>
  <si>
    <t>KNR 2-31 0818-08 analogia</t>
  </si>
  <si>
    <t xml:space="preserve">KNR 4-04 1103-04 1103-05 </t>
  </si>
  <si>
    <t>Wywiezienie gruzu z terenu rozbiórki przy mechanicznym załadowaniu i wyładowaniu samochodem samowyładowczym na odległość 10 km</t>
  </si>
  <si>
    <t xml:space="preserve"> wycena indywidualna</t>
  </si>
  <si>
    <t>Koszt utylizacji</t>
  </si>
  <si>
    <t>t</t>
  </si>
  <si>
    <t>1.2</t>
  </si>
  <si>
    <t>TERENY ZIELENI</t>
  </si>
  <si>
    <t>KNR 2-21 0101-04</t>
  </si>
  <si>
    <t>Oczyszczenie terenu z resztek budowlanych, gruzu i śmieci - wywiezienie zanieczyszczeń samochodami na odległość do 1.0 km</t>
  </si>
  <si>
    <t>KNR 2-21 0207-01</t>
  </si>
  <si>
    <t>Orka glebogryzarką przyczepną, kat. gruntu I-II</t>
  </si>
  <si>
    <t xml:space="preserve"> kalk. własna</t>
  </si>
  <si>
    <t>Ziemia urodzajna wraz z przywozem</t>
  </si>
  <si>
    <t>KNR 2-21 0218-02</t>
  </si>
  <si>
    <t>Rozścielenie ziemi urodzajnej ręczne z transportem taczkami na terenie płaskim</t>
  </si>
  <si>
    <t>KNR 2-21 0401-04</t>
  </si>
  <si>
    <t>Wykonanie trawników dywanowych siewem na gruncie kat. I-II z nawożeniem</t>
  </si>
  <si>
    <t>KNR 2-21 0413-03</t>
  </si>
  <si>
    <t>Obsadzenie kwietników roślinami kwietnikowymi przy ilości 6 szt./m2  Rozplenica japońska Black Beauty (Pennisetum alopecuroides 'Black Beauty')</t>
  </si>
  <si>
    <t>KNR 2-21 0413-04</t>
  </si>
  <si>
    <t>Obsadzenie kwietników roślinami kwietnikowymi przy ilości 9 szt./m2  Imperata cylindryczna Red Baron (Imperata cylindrica 'Red Baron')</t>
  </si>
  <si>
    <t>Obsadzenie kwietników roślinami kwietnikowymi przy ilości 5 szt./m2  Miłka okazała (Eragrostis spectabilis)</t>
  </si>
  <si>
    <t>Obsadzenie kwietników roślinami kwietnikowymi przy ilości 9 szt./m2  Perłówka orzęsiona  (Melica ciliata)</t>
  </si>
  <si>
    <t>Obsadzenie kwietników roślinami kwietnikowymi przy ilości 9 szt./m2  Turzyca Buchanana (Carex buchananii)</t>
  </si>
  <si>
    <t>Obsadzenie kwietników roślinami kwietnikowymi przy ilości 6 szt./m2  Owsiczka wieczniezielona 'Pendula' (Helictotrichon sempervirens 'Pendula')</t>
  </si>
  <si>
    <t>Obsadzenie kwietników roślinami kwietnikowymi przy ilości 6 szt./m2  Sesleria błyszcząca  (Sesleria nitida)</t>
  </si>
  <si>
    <t>3.7</t>
  </si>
  <si>
    <t>KNR 2-21 0413-01</t>
  </si>
  <si>
    <t>Obsadzenie kwietników roślinami kwietnikowymi przy ilości 2 szt./m2 Miskant chiński Herman Mussel  (Miscanthus sinensis ‘Herman Mussel’)</t>
  </si>
  <si>
    <t>1.3</t>
  </si>
  <si>
    <t xml:space="preserve">KNR 2-01 0206-02 0214-02 </t>
  </si>
  <si>
    <t>Roboty ziemne wykonywane koparkami podsiębiernymi o poj. łyżki 0.40 m3 w gruncie kat. III z transportem urobku samochodami samowyładowczymi na odległość 5 km</t>
  </si>
  <si>
    <t>KNR 2-01 0217-04</t>
  </si>
  <si>
    <t>Wykopy oraz przekopy wykonywane koparkami podsiębiernymi 0.25 m3 na odkład w gruncie kat. III - odkłady</t>
  </si>
  <si>
    <t>KNR 2-02 1101-01</t>
  </si>
  <si>
    <t>Podkłady betonowe na podłożu gruntowym</t>
  </si>
  <si>
    <t>KNR 2-02 0205-01</t>
  </si>
  <si>
    <t>Płyty fundamentowe żelbetowe - z zastosowaniem pompy do betonu. Beton B37</t>
  </si>
  <si>
    <t xml:space="preserve">KNR 2-02 0207-01 0207-07 </t>
  </si>
  <si>
    <t>Ściany żelbetowe proste grubości 25 cm wysokości do 3 m - z zastosowaniem pompy do betonu.Beton B37</t>
  </si>
  <si>
    <t>Ściany żelbetowe proste grubości 12 cm wysokości do 3 m - z zastosowaniem pompy do betonu - cokół</t>
  </si>
  <si>
    <t>KNR 2-02 1219-04</t>
  </si>
  <si>
    <t>Klamry włazowe typowe</t>
  </si>
  <si>
    <t>KNR AT-27 0502-01 analogia</t>
  </si>
  <si>
    <t>Uszczelnienie dylatacji taśmą wklejaną na szlam lub żywicę reaktywną</t>
  </si>
  <si>
    <t>m</t>
  </si>
  <si>
    <t>KNR 2-02 0290-02</t>
  </si>
  <si>
    <t>Przygotowanie i montaż zbrojenia elementów budynków i budowli - pręty żebrowane o śr. do 7 mm</t>
  </si>
  <si>
    <t>kg</t>
  </si>
  <si>
    <t>Przygotowanie i montaż zbrojenia elementów budynków i budowli - pręty żebrowane o śr. 8-14 mm</t>
  </si>
  <si>
    <t>1.4</t>
  </si>
  <si>
    <t>Kosz na śmieci</t>
  </si>
  <si>
    <t>kpl.</t>
  </si>
  <si>
    <t>Ławka z oparciem i  dwoma podłokietnikami, na podwyższonym cokole dł. 200 cm, długości siedziska 190cm</t>
  </si>
  <si>
    <t>Ławka z oparciem i  dwoma podłokietnikami, na podwyższonym cokole dł. 160 cm, długości siedziska 140cm</t>
  </si>
  <si>
    <t>Ławka z oparciem o cokole dł. 280 cm, długości siedziska 260cm</t>
  </si>
  <si>
    <t>Ławka z oparciem o cokole dł. 175 cm, długości siedziska 140cm</t>
  </si>
  <si>
    <t>Ławka z oparciem o cokole dł. 160 cm, długości siedziska 140cm</t>
  </si>
  <si>
    <t>Ławka z oparciem o cokole dł. 120 cm, długości siedziska 110cm</t>
  </si>
  <si>
    <t>Ławka z oparciem o cokole dł. 130 cm, długości siedziska 110cm</t>
  </si>
  <si>
    <t>Ławka z oparciem i  dwoma podłokietnikami, na podwyższonym cokole dł. 80 cm, długości siedziska 60cm</t>
  </si>
  <si>
    <t>Ławka z oparciem na podwyższonym cokole, dł. cokołu 120cm, dł siedziska 110cm</t>
  </si>
  <si>
    <t>Ławka bez oparcia na cokole dł. 200cm, dł siedziska 180cm</t>
  </si>
  <si>
    <t>Ławka bez oparcia na cokole dł. 160cm, dł siedziska 140cm</t>
  </si>
  <si>
    <t>Ławka bez oparcia na cokole dł. 150cm, dł siedziska 140cm</t>
  </si>
  <si>
    <t>Ławka z oparciem o cokole dł. 80 cm, długości siedziska 60cm</t>
  </si>
  <si>
    <t>Stolik szachowy</t>
  </si>
  <si>
    <t>Stojak na rowery</t>
  </si>
  <si>
    <t>BUDOWA ZATOKI AUTOBUSOWEJ ORAZ POSTOJU TAXI PRZY UL. T. KOŚCIUSZKI</t>
  </si>
  <si>
    <t>WIATY PRZYSTANKOWE</t>
  </si>
  <si>
    <t>Demontaż istniejącej wiaty przystankowej wraz z wywozem i utylizacją</t>
  </si>
  <si>
    <t>BUDOWA ZATOKI AUTOBUSOWEJ UL. TORUŃSKIEJ</t>
  </si>
  <si>
    <t>3.1</t>
  </si>
  <si>
    <t>3.2</t>
  </si>
  <si>
    <t>BALUSTRADY, WIATY PRZYSTANKOWE</t>
  </si>
  <si>
    <t>Demontaż istniejącej wiaty przystankowej razem z montażem w innym miejscu wraz z ławką oraz koszem</t>
  </si>
  <si>
    <t>BUDOWA PARKINGU PRZY UL. TORUŃSKIEJ I WOLNOŚCI</t>
  </si>
  <si>
    <t>4.1</t>
  </si>
  <si>
    <t>4.2</t>
  </si>
  <si>
    <t>KNR 2-21 0319-04</t>
  </si>
  <si>
    <t>KNR 2-21 0331-05</t>
  </si>
  <si>
    <t>Sadzenie krzewów tawuły japońskiej "Spiraea Japonica" w rowach o szerokości do 45 cm w gruncie kat. III z całkowitą zaprawą rowów</t>
  </si>
  <si>
    <t>Sadzenie krzewów irgii szwedzkiej Cotoneaster Dammeri "Coral Beuty" w rowach o szerokości do 45 cm w gruncie kat. III z całkowitą zaprawą rowów</t>
  </si>
  <si>
    <t>Sadzenie krzewów trzemieliny Fortune'a "Emerald Gaiety" w rowach o szerokości do 45 cm w gruncie kat. III z całkowitą zaprawą rowów</t>
  </si>
  <si>
    <t>Sadzenie krzewów Trzmielina Fortune'a 'Sunspot' w rowach o szerokości do 45 cm w gruncie kat. III z całkowitą zaprawą rowów</t>
  </si>
  <si>
    <t xml:space="preserve"> analiza indywidualna</t>
  </si>
  <si>
    <t>Ekran zabezpieczający antykorzenny</t>
  </si>
  <si>
    <t>4.3</t>
  </si>
  <si>
    <t>BALUSTRADY</t>
  </si>
  <si>
    <t>KNR 2-01 0312-06</t>
  </si>
  <si>
    <t>Wykopanie dołów o powierzchni dna do 0,2 m2 i głębokości do 0.7 m (kat. gruntu III) - balustrada schodów</t>
  </si>
  <si>
    <t>dół.</t>
  </si>
  <si>
    <t>KNR 2-02 0203-01</t>
  </si>
  <si>
    <t>Stopy fundamentowe betonowe, o objętości do 0,5 m3 - ręczne układanie betonu - balustrada schodów</t>
  </si>
  <si>
    <t>KNR 2-02 1209-01</t>
  </si>
  <si>
    <t>Balustrady podjazdu i schodów z pochwytem stalowym</t>
  </si>
  <si>
    <t xml:space="preserve">   Likwidacja oświetlenia w obrębie Placu Jana Pawła II  do SST-E.01</t>
  </si>
  <si>
    <t>KNR-W 4-03 1151-03</t>
  </si>
  <si>
    <t>Ręczny demontaż słupów oświetleniowych typu WZ-11</t>
  </si>
  <si>
    <t>słup</t>
  </si>
  <si>
    <t>KNNR-W 9 1006-03</t>
  </si>
  <si>
    <t>Demontaż tabliczek zaciskowych słupowych oświetlenia zewnętrznego</t>
  </si>
  <si>
    <t>szt</t>
  </si>
  <si>
    <t>KNNR-W 9 1002-06</t>
  </si>
  <si>
    <t>Demontaż wysięgników rurowych o ciężarze do 30 kg mocowanych na słupie lub ścianie</t>
  </si>
  <si>
    <t>KNNR 9 1005-03</t>
  </si>
  <si>
    <t>Demontaż opraw oświetlenia zewnętrznego na trzpieniu słupa lub wysięgniku</t>
  </si>
  <si>
    <t>kpl</t>
  </si>
  <si>
    <t xml:space="preserve">  Budowa oświetlenia i zasilania na Placu Jana Pawła II</t>
  </si>
  <si>
    <t>KNNR 4 1206-02 cena zakładowa</t>
  </si>
  <si>
    <t>Przewierty o długości do 20 m maszyną do wierceń poziomych WP 15/25 rurami o śr.150-250mm w gruntach kat.III-IV</t>
  </si>
  <si>
    <t>KNKRB 1 0309-02</t>
  </si>
  <si>
    <t>Wykopy o głębokości do 0.6 m w gruncie kat. III wraz z zasypaniem urobku dla kabli energetycznych</t>
  </si>
  <si>
    <t>KNKRB 1 0309-05</t>
  </si>
  <si>
    <t>Wykopy o głębokości do 0.8 m w gruncie kat. III wraz z zasypaniem urobku dla kabli energetycznych</t>
  </si>
  <si>
    <t>KNR-W 2-01 0308-06</t>
  </si>
  <si>
    <t>Wykopanie dołów o powierzchni dna do 0.2 m2 i głębokości do 0.7 m (kat. gruntu III)</t>
  </si>
  <si>
    <t xml:space="preserve">KNNR 5 0705-01 z.sz.2.14. 9902-01 </t>
  </si>
  <si>
    <t>Ułożenie rur osłonowych z PCW o śr.do 140 mm - roboty obok czynnego pasa jezdni (26-75 poj/h)</t>
  </si>
  <si>
    <t>KNNR 5 0706-01</t>
  </si>
  <si>
    <t>Nasypanie warstwy piasku na dnie rowu kablowego o szerokości do 0.4 m</t>
  </si>
  <si>
    <t>Układanie  Folia 20/0,08 100m niebieska</t>
  </si>
  <si>
    <t xml:space="preserve">KNNR 5 0719-08 z.sz.2.14. 9902-03 </t>
  </si>
  <si>
    <t>Ręczne rozebranie nawierzchni chodników z płyt chodnikowych betonowych 50x50x7 cm na podsypce piaskowej - roboty obok czynnego pasa jezdni (131-230 poj/h)</t>
  </si>
  <si>
    <t>KNNR 5 0726-10</t>
  </si>
  <si>
    <t>Zarobienie na sucho końca kabla 5-żyłowego o przekroju żył do 50 mm2 na napięcie do 1 kV o izolacji i powłoce z tworzyw sztucznych</t>
  </si>
  <si>
    <t>KNR-W 5-10 1004-03</t>
  </si>
  <si>
    <t>Wciąganie przewodów w wysięgnik na ziemi</t>
  </si>
  <si>
    <t>m-1 przew</t>
  </si>
  <si>
    <t xml:space="preserve">KNNR 5 0707-02 z.sz.2.14. 9902-03 </t>
  </si>
  <si>
    <t>Układanie kabli o masie do 1.0 kg/m w rowach kablowych ręcznie - roboty obok czynnego pasa</t>
  </si>
  <si>
    <t xml:space="preserve">KNR-W 5-10 0708-01 z.o.3.  z.o.3. </t>
  </si>
  <si>
    <t>Ręczne stawianie słupów oświetleniowych o masie do 250 kg w gruncie kat.I-III (odcinek linii do 300 m) - grunt oblepiający</t>
  </si>
  <si>
    <t>KNR-W 5-08 0504-08</t>
  </si>
  <si>
    <t>Montaż na gotowym podłożu opraw oświetleniowych led w fontannie</t>
  </si>
  <si>
    <t>KNNR 5 1204-03</t>
  </si>
  <si>
    <t>Montaż końcówek kablowych przez zaciskanie - przekrój żył do 50 mm2</t>
  </si>
  <si>
    <t xml:space="preserve">KNNR 5 0720-05 z.sz.2.14. 9902-03 </t>
  </si>
  <si>
    <t>Nawierzchnie po robotach kablowych na chodnikach, wjazdach, placach z płyt betonowych 50x50x7 cm na podsypce cementowo-piaskowej - roboty obok czynnego pasa jezdni (131-230 poj/h)</t>
  </si>
  <si>
    <t>KSNR 5 0101-02 kalk. warsztatowa</t>
  </si>
  <si>
    <t>KNR-W 5-08 0404-09 kalk. warsztatowa</t>
  </si>
  <si>
    <t>Montaż skrzynek i rozdzielnic skrzynkowych o masie do 50kg wraz z konstrukcją - mocowanie przez przykręcenie do gotowego podłoża</t>
  </si>
  <si>
    <t>KNR-W 5-08 0613-10</t>
  </si>
  <si>
    <t>Montaż uziomu rurowego lub ze stali profilowej wykonanego przez wbijanie mechaniczne - głębokość pogrążenia uziomu do 3 m - grunt kat. III</t>
  </si>
  <si>
    <t>KSNR 5 0101-04</t>
  </si>
  <si>
    <t xml:space="preserve">KNR 5-10 0503-04 z.o.3.1. </t>
  </si>
  <si>
    <t>Montaż w rowach muf żeliwnych przelotowych na kablach wielożyłowych z żyłami Cu o przekroju do 25 mm2 na napięcie do 6 kV o izolacji i powłoce z tworzyw sztucznych - trudne warunki</t>
  </si>
  <si>
    <t>KNR 5-10 0502-05</t>
  </si>
  <si>
    <t>Montaż w rowach muf żeliwnych przelotowych na kablach wielożyłowych z żyłami Cu o przekroju do 35 mm2 na napięcie do 1 kV o izolacji i powłoce z tworzyw sztucznych</t>
  </si>
  <si>
    <t>KNR-W 5-10 0503-03</t>
  </si>
  <si>
    <t>Montaż w rowach muf żeliwnych przelotowych na kablach wielożyłowych z żyłami aluminiowymi o przekroju do 240 mm2 na napięcie do 6 kV o izolacji i powłoce z tworzyw sztucznych</t>
  </si>
  <si>
    <t>KSNR 5 0203-01</t>
  </si>
  <si>
    <t>Montaż aparatów elektrycznych o masie do 2.5 kg</t>
  </si>
  <si>
    <t>KNP 18 4606-02.01</t>
  </si>
  <si>
    <t>Badanie linii kablowej NN</t>
  </si>
  <si>
    <t>pomiar</t>
  </si>
  <si>
    <t>KNNR-W 9 1201-02</t>
  </si>
  <si>
    <t>Pomiar natężenia oświetlenia wnętrz na wyznaczonych punktach pomiarowych płaszczyzny roboczej - pomiar pierwszy</t>
  </si>
  <si>
    <t>punkt</t>
  </si>
  <si>
    <t>KNP 18 4611-01.01</t>
  </si>
  <si>
    <t>Wypisanie protokołu pomiaru badanej instalacji za pierwszy punkt lub urządzenie</t>
  </si>
  <si>
    <t>KNR-W 5-08 0901-01</t>
  </si>
  <si>
    <t>Pomiar rezystancji izolacji instalacji elektrycznych - obwód 1-fazowy, pierwszy pomiar</t>
  </si>
  <si>
    <t>KNR-W 5-08 0901-03</t>
  </si>
  <si>
    <t>Pomiar rezystancji izolacji instalacji elektrycznych - obwód 3-fazowy, pierwszy pomiar</t>
  </si>
  <si>
    <t>KNR-W 5-08 0902-03</t>
  </si>
  <si>
    <t>Sprawdzenie samoczynnego wyłączenia zasilania - pomiar rezystancji uziemienia - pierwszy</t>
  </si>
  <si>
    <t>KNR-W 5-08 0902-05</t>
  </si>
  <si>
    <t>Sprawdzenie samoczynnego wyłączenia zasilania - próby działania wyłącznika różnicowoprądowego - pierwszy</t>
  </si>
  <si>
    <t>KNR-W 4-03 1151-02</t>
  </si>
  <si>
    <t>Ręczny demontaż słupów oświetleniowych typu WZ-9</t>
  </si>
  <si>
    <t>KSNR 1 0205-04 kalk. własna</t>
  </si>
  <si>
    <t>KNR-W 5-10 0801-02</t>
  </si>
  <si>
    <t>Montaż poprzeczników narożnych lub krańcowych na słupach leżących dla linii niskiego napięcia</t>
  </si>
  <si>
    <t>KNR-W 5-10 0802-06</t>
  </si>
  <si>
    <t>Montaż izolatorów stojących na słupie leżącym dla linii niskiego napiecia</t>
  </si>
  <si>
    <t xml:space="preserve">KNR-W 5-10 0701-04 z.o.3. </t>
  </si>
  <si>
    <t>Montaż i ręczne stawianie słupów pojedynczych o długości do 10 m ( bez belek ustojowych ) (odcinek linii do 300 m)</t>
  </si>
  <si>
    <t>KNR-W 5-10 0803-04</t>
  </si>
  <si>
    <t>Montaż z wejściem na słup odgromników dla linii niskiego napiecia</t>
  </si>
  <si>
    <t xml:space="preserve">KNR-W 5-10 0906-04 z.o.3. </t>
  </si>
  <si>
    <t>Montaż przyłączy lub przerzutów z udziałem podnośnika samochodowego (przewód izolowany-samonośny o przekr.do 4x25 mm2) dla linii niskiego napięcia (odcinek linii do 300 m)</t>
  </si>
  <si>
    <t>przylacz.</t>
  </si>
  <si>
    <t xml:space="preserve">KNR-W 5-10 0908-01 z.o.3. </t>
  </si>
  <si>
    <t>Montaż przewodów izolowanych linii napowietrznej nn typu AsXSn lub podobnycho przekroju do 4x50 mm2 (odcinek linii do 300 m)</t>
  </si>
  <si>
    <t>km</t>
  </si>
  <si>
    <t xml:space="preserve">KNR-W 4-03 1155-02 z.o.3.1. 9901-5 </t>
  </si>
  <si>
    <t>Demontaż przewodów linii niskiego napięcia o przekroju do 35-50 mm2 bez demontażu izolacji - budowle o wys.do 12 m</t>
  </si>
  <si>
    <t>km.przew.</t>
  </si>
  <si>
    <t xml:space="preserve">KNR-W 4-03 1150-07 z.o.3.1. 9901-11 </t>
  </si>
  <si>
    <t>Demontaż mechaniczny słupów betonowych rozkracznych o dł. do 10 m - roboty w budowlach na wys. 4-12 m</t>
  </si>
  <si>
    <t xml:space="preserve">KNR-W 4-03 1144-08 z.o.3.1. 9901-5 </t>
  </si>
  <si>
    <t>Demontaż przewodów przyłączy i przerzutów 4-przewodowych o długości do 20 m z samochodu specjalnego - budowle o wys.do 12 m przyłacze kablowe 4x120mm</t>
  </si>
  <si>
    <t xml:space="preserve">KNR-W 4-03 1155-05 z.o.3.1. 9901-11 </t>
  </si>
  <si>
    <t>Demontaż przewodów linii niskiego napięcia o przekroju do 35-50 mm2 z demontażem izolacji - roboty w budowlach na wys. 4-12 m</t>
  </si>
  <si>
    <t xml:space="preserve">  Likwidacja kolizji ZK przy ul. Toruńskiej</t>
  </si>
  <si>
    <t>KNR-W 5-10 0514-03</t>
  </si>
  <si>
    <t>Łączenie w rowach kabli wielożyłowych z żyłami Al o przekroju do 150 mm2 na napięcie do 1 kV z kablami jednożyłowych o izolacji i powłoce z tworzyw sztucznych z zastosowaniem taśm izolacyjnych</t>
  </si>
  <si>
    <t>KNNR 5 0707-05</t>
  </si>
  <si>
    <t>Układanie kabli o masie do 5.5 kg/m w rowach kablowych ręcznie</t>
  </si>
  <si>
    <t>KSNR 5 0805-01</t>
  </si>
  <si>
    <t>Rozebranie chodników z płyt betonowych na podsypce piaskowej, szerokość wykopu do 0.5 m przy robotach kablowych</t>
  </si>
  <si>
    <t>KSNR 5 0801-08</t>
  </si>
  <si>
    <t>Układanie ręczne kabli wielożyłowych o masie 3.0-5.5 kg/m w rowie o przekroju poprzecznym do 0.8x0.4 m w gruncie kat. III</t>
  </si>
  <si>
    <t>Budowa oświetlenia zatoki przy ul. Toruńskiej</t>
  </si>
  <si>
    <t>KNR-W 2-01 0704-02</t>
  </si>
  <si>
    <t>Ręczne zasypywanie rowów dla kabli o głębokości do 0.6 m i szerokości dna do 0.4 m w gruncie kat. III</t>
  </si>
  <si>
    <t>KNR-W 5-10 1005-07</t>
  </si>
  <si>
    <t>Montaż na zamontowanym wysięgniku opraw do lamp LED</t>
  </si>
  <si>
    <t>E 0510 0510-47-09</t>
  </si>
  <si>
    <t>Fundamenty prefabrykowane betonowe pod słupy o obj. w wykopie do 0,40 m3; grunt kat IV</t>
  </si>
  <si>
    <t>KNNR-W 9 1202-05</t>
  </si>
  <si>
    <t>Sprawdzenie stanu izolacji instalacji elektrycznych - obwody oświetleniowe instalacji odbiorczej - pierwszy pomiar</t>
  </si>
  <si>
    <t>KNR-W 5-08 0902-01</t>
  </si>
  <si>
    <t>Sprawdzenie samoczynnego wyłączenia zasilania - pomiar impedancji pętli zwarciowej - pierwszy</t>
  </si>
  <si>
    <t>Montaż złączy kablowych (rozdzielnia ZP-2)</t>
  </si>
  <si>
    <t>KSNR 5 0101-02</t>
  </si>
  <si>
    <t>Montaż złączy kablowych SKP3-1P</t>
  </si>
  <si>
    <t xml:space="preserve">KNNR 5 0707-05 z.sz.2.14. 9902-03 </t>
  </si>
  <si>
    <t>Układanie kabli o masie do 5.5 kg/m w rowach kablowych ręcznie - roboty obok czynnego pasa jezdni (131-230 poj/h)</t>
  </si>
  <si>
    <t>Roboty ziemne</t>
  </si>
  <si>
    <t>KNR-W 2-01 0113-03</t>
  </si>
  <si>
    <t>Roboty pomiarowe przy liniowych robotach ziemnych - trasa dróg w terenie równinnym</t>
  </si>
  <si>
    <t>KNNR 1 0210-03</t>
  </si>
  <si>
    <t>Wykopy oraz przekopy o głęb.do 3.0 m wyk.na odkład koparkami podsiębiernymi o poj.łyżki 0.25 - 0.60 m3 w gr.kat. III-IV - przyjęto 80% wykopu</t>
  </si>
  <si>
    <t>KNNR 1 0307-04</t>
  </si>
  <si>
    <t>Wykopy liniowe o szerokości 0,8-2,5 m i głębokości do 3,0 m o ścianach pionowych w gruntach suchych kat. III-IV - przyjęto 20% wykopu</t>
  </si>
  <si>
    <t>KNNR 1 0313-01</t>
  </si>
  <si>
    <t>Pełne umocenienie ścian wykopów wraz z rozbiórką palami szalunkowymi stalowymi (wypraskami) w gruntach suchych ; wyk.o szer.do 1 m i głęb.do 3.0 m; grunt kat. I-IV - (pierwszy odcinek)</t>
  </si>
  <si>
    <t>Pełne umocenienie ścian wykopów wraz z rozbiórką palami szalunkowymi stalowymi (wypraskami) w gruntach suchych ; wyk.o szer.do 1 m i głęb.do 3.0 m; grunt kat. I-IV - (dalszy odcinek)</t>
  </si>
  <si>
    <t>KNNR 1 0608-02</t>
  </si>
  <si>
    <t>Podsypka filtracyjna w gotowym wykopie wyk.z gotowego kruszywa.</t>
  </si>
  <si>
    <t>KNNR 11 0501-04</t>
  </si>
  <si>
    <t>Podłoża i obsypki z kruszyw naturalnych z wykopu z ich przesianiem</t>
  </si>
  <si>
    <t>KNNR 1 0318-03</t>
  </si>
  <si>
    <t>Zasypywanie wykopów o ścianach pionowych o szerokości 0.8-2.5 m i głęb.do 3.0 m w gr.kat. I-III</t>
  </si>
  <si>
    <t>KNR 2-01 0236-02</t>
  </si>
  <si>
    <t>Zagęszczenie nasypów ubijakami mechanicznymi; grunty spoiste kat. III-IV</t>
  </si>
  <si>
    <t>Geodezyjny pomiar powykonawczy</t>
  </si>
  <si>
    <t>Roboty montażowe</t>
  </si>
  <si>
    <t>KNR 2-18 0911-02 cena zakładowa</t>
  </si>
  <si>
    <t>KNR-W 2-18 0408-04</t>
  </si>
  <si>
    <t>Kanały z rur PVC łączonych na wcisk o śr. zewn. 250 mm</t>
  </si>
  <si>
    <t>KNR-W 2-18 0408-03</t>
  </si>
  <si>
    <t>Kanały z rur PVC łączonych na wcisk o śr. zewn. 200 mm</t>
  </si>
  <si>
    <t>KNR-W 2-18 0408-02</t>
  </si>
  <si>
    <t>Kanały z rur PVC łączonych na wcisk o śr. zewn. 160 mm</t>
  </si>
  <si>
    <t>KNR-W 2-18 0109-01 analogia</t>
  </si>
  <si>
    <t>Montaż rurociągów z rur polietylenowych (PE, PEHD) o śr.zewnętrznej 50 mm</t>
  </si>
  <si>
    <t>KNR-W 2-18 0527-01</t>
  </si>
  <si>
    <t>Przejście szczelne strukturalne dla rury o średnicy DN250</t>
  </si>
  <si>
    <t>Przejście szczelne strukturalne dla rury o średnicy DN200</t>
  </si>
  <si>
    <t>Przejście szczelne strukturalne dla rury o średnicy DN160</t>
  </si>
  <si>
    <t>Przejście szczelne strukturalne dla rury o średnicy DN50</t>
  </si>
  <si>
    <t>KNR-W 2-18 0530-01</t>
  </si>
  <si>
    <t>Wykonanie różnych elementów drobnowymiarowych o objętości do 1.5 m3 - podbudowa betonowa pod studnie Krotność = 16</t>
  </si>
  <si>
    <t>KNR-W 2-18 0513-01</t>
  </si>
  <si>
    <t>Studnie rewizyjne z kręgów betonowych o śr. 600 mm w gotowym wykopie o głębok. 3m</t>
  </si>
  <si>
    <t>stud.</t>
  </si>
  <si>
    <t>KNR-W 2-18 0513-02</t>
  </si>
  <si>
    <t>Studnie rewizyjne z kręgów betonowych o śr. 600 mm w gotowym wykopie za każde 0.5 m różnicy głęb.</t>
  </si>
  <si>
    <t>[0.5 m] stud.</t>
  </si>
  <si>
    <t>KNR-W 2-18 0524-01</t>
  </si>
  <si>
    <t>Wpusty ściekowe uliczne betonowe o śr.500 mm z koszem osadczym</t>
  </si>
  <si>
    <t>KNR-W 2-18 0706-02</t>
  </si>
  <si>
    <t>Próba wodna szczelności kanałów rurowych o śr.nominalnej do 200 mm</t>
  </si>
  <si>
    <t>odc. -1 prób.</t>
  </si>
  <si>
    <t>KNR-W 2-18 0802-04 analogia</t>
  </si>
  <si>
    <t>Podłączenie instalacji do sieci wodociągowej - armatura do nawiercania z zaworem 350/11/2''</t>
  </si>
  <si>
    <t>KNR-W 2-18 0109-01</t>
  </si>
  <si>
    <t>Sieci wodociągowe - montaż rurociągów z rur polietylenowych (PE, PEHD) o śr.zewnętrznej 50 mm - zasilanie dysz</t>
  </si>
  <si>
    <t>Sieci wodociągowe - montaż rurociągów z rur polietylenowych (PE, PEHD) o śr.zewnętrznej 40 mm</t>
  </si>
  <si>
    <t>Sieci wodociągowe - montaż rurociągów z rur polietylenowych (PE, PEHD) o śr.zewnętrznej 32 mm</t>
  </si>
  <si>
    <t>KNR-W 2-18 0513-03</t>
  </si>
  <si>
    <t>KNR-W 2-18 0513-04</t>
  </si>
  <si>
    <t>Studnie rewizyjne z kręgów betonowych o śr. 1200 mm w gotowym wykopie za każde 0.5 m różnicy głęb.</t>
  </si>
  <si>
    <t>KNR-W 2-15 0140-03</t>
  </si>
  <si>
    <t>Wodomierze skrzydełkowe domowe o śr. nominalnej 25 mm</t>
  </si>
  <si>
    <t>KNR-W 2-15 0140-02</t>
  </si>
  <si>
    <t>Wodomierze skrzydełkowe domowe o śr. nominalnej 20 mm</t>
  </si>
  <si>
    <t>KNR-W 2-15 0130-03</t>
  </si>
  <si>
    <t>Zawór antyskażeniowy EA o śr. nominalnej 25 mm</t>
  </si>
  <si>
    <t>KNR-W 2-15 0132-05</t>
  </si>
  <si>
    <t>Zawory odcinające o śr. nominalnej 40 mm (zasilanie dysz)</t>
  </si>
  <si>
    <t>KNR 0-38 0103-03</t>
  </si>
  <si>
    <t>Montaż grzejnika elektrycznego w komorze fontanny</t>
  </si>
  <si>
    <t>KNR-W 2-18 0704-01 analogia</t>
  </si>
  <si>
    <t>Próba wodna szczelności sieci wodociągowych z rur typu HOBAS, PCW, PVC, PE, PEHD o śr.nominalnej 90-110 mm</t>
  </si>
  <si>
    <t>200m -1 prób.</t>
  </si>
  <si>
    <t>KNR-W 2-18 0707-01</t>
  </si>
  <si>
    <t>Dezynfekcja rurociągów sieci wodociągowych o śr.nominalnej do 150 mm</t>
  </si>
  <si>
    <t>odc.200m</t>
  </si>
  <si>
    <t>KNR-W 2-18 0708-01</t>
  </si>
  <si>
    <t>Jednokrotne płukanie sieci wodociągowej o śr. nominalnej do 150 mm Krotność = 2</t>
  </si>
  <si>
    <t>KNR-W 2-19 0102-01 analogia</t>
  </si>
  <si>
    <t>Oznakowanie trasy sieci wodociągowej ułożonej w ziemi taśmą z tworzywa sztucznego w kolorze niebieskim o szerokości 200mm</t>
  </si>
  <si>
    <t>Przebudowa gminnej sieci telekomunikacyjnej</t>
  </si>
  <si>
    <t>KNNR  005 0701-0200</t>
  </si>
  <si>
    <t>Ręczne kopanie rowów dla kabli, w gruncie : kat. III</t>
  </si>
  <si>
    <t>KNNR  005 0702-0200</t>
  </si>
  <si>
    <t>Ręczne zasypywanie rowów dla kabli, w gruncie : kat. III</t>
  </si>
  <si>
    <t>KNNR  005 0706-0100</t>
  </si>
  <si>
    <t>Nasypanie warstwy piasku na dnie rowu kablowego o szerokości: do 0,4 m</t>
  </si>
  <si>
    <t>KNNR  001 0408-0200</t>
  </si>
  <si>
    <t>Zagęszczanie nasypów ubijakami mechanicznymi, w gruncie: spoistym kat. III</t>
  </si>
  <si>
    <t>KNR  401 0108-0600</t>
  </si>
  <si>
    <t>Wywóz ziemi samochodami samowyładowczymi na odległość do 1 km, z załadowaniem i wyładowaniem gruntu kategorii: III</t>
  </si>
  <si>
    <t>3.6</t>
  </si>
  <si>
    <t>KNNR  005 0705-0100</t>
  </si>
  <si>
    <t>Ułożenie rur osłonowych Rura RHDPE 110/6.3</t>
  </si>
  <si>
    <t>Ułożenie rur osłonowychRura polietylenowa RHDPE 40/3,7</t>
  </si>
  <si>
    <t>KNR  501 0301-0100</t>
  </si>
  <si>
    <t>Studnie studnia SKR-1</t>
  </si>
  <si>
    <t>studnia</t>
  </si>
  <si>
    <t>Studnie studnia SKR-2</t>
  </si>
  <si>
    <t>KNNR  005 0606-0500</t>
  </si>
  <si>
    <t>Montaż metodą udarową uziomu ze stali profilowanej, w gruncie: kat.III  - długość uziomu 4,5 m</t>
  </si>
  <si>
    <t>uziom</t>
  </si>
  <si>
    <t>Przełożenie kabla światłowodowego z kanalizacji, rurociagu</t>
  </si>
  <si>
    <t>Zawieszanie kabli napowietrznych na podbudowie słupowej,</t>
  </si>
  <si>
    <t>Montaż osprzętu do podwieszania kabli nadziemnych</t>
  </si>
  <si>
    <t>Krosowanie obwodów na przełącznicy, w szafie kablowej, w skrzynce, w słupku rozdzielczym</t>
  </si>
  <si>
    <t>Demontaż obwodów na przełącznicy, w szafie kablowej, skrzynce, słupku</t>
  </si>
  <si>
    <t>Montaż zespołów łączówek (głowic) o 10 parach,</t>
  </si>
  <si>
    <t>Demontaż</t>
  </si>
  <si>
    <t>ROBOTY ROZBIÓRKOWE</t>
  </si>
  <si>
    <t>Rozebranie ogrodzeń z siatki stalowej wraz z podmurówką i bramą. Wywóz i utylizacja.</t>
  </si>
  <si>
    <t>KNR 4-04 0102-08</t>
  </si>
  <si>
    <t>Rozebranie murów i słupów wolnostojących o wysokości do 9 m na zaprawie cementowo-wapiennej. Rozebranie murów: ceglany i betonowy</t>
  </si>
  <si>
    <t>KNR 2-21 0111-09</t>
  </si>
  <si>
    <t>Ścinanie drzew twardych</t>
  </si>
  <si>
    <t>Przygotowanie terenu pod budowę: rozbiórka elementów małej architektury</t>
  </si>
  <si>
    <t>KNR 2-21 0218-03</t>
  </si>
  <si>
    <t>Rozścielenie ziemi urodzajnej spycharkami na terenie płaskim  w tym rekultywacja wokół budynku po pracach budowlanych.</t>
  </si>
  <si>
    <t>KNR 2-21 0702-03</t>
  </si>
  <si>
    <t>Ręczna pielęgnacja trawników parkowych</t>
  </si>
  <si>
    <t>KNR 2-21 0301-06</t>
  </si>
  <si>
    <t>Sadzenie drzew i krzewów liściastych form naturalnych na terenie płaskim w gruncie kat. I-II z całkowitą zaprawą dołów; średnica/głębokość : 0.7 m. Wiśnia osobliwa Umbraculifera</t>
  </si>
  <si>
    <t>Sadzenie krzewów trzemieliny Fortune'a "Sunspot" w rowach o szerokości do 45 cm w gruncie kat. III z całkowitą zaprawą rowów</t>
  </si>
  <si>
    <t>Sadzenie krzewów jałowiec pospolity "Repanda" w rowach o szerokości do 45 cm w gruncie kat. III z całkowitą zaprawą rowów</t>
  </si>
  <si>
    <t>KNR 2-21 0413-02 analogia</t>
  </si>
  <si>
    <t>Obsadzenie krzewami przy ilości 4 szt./m2. Tawuła japońska</t>
  </si>
  <si>
    <t>Obsadzenie krzewami przy ilości 2 szt./m2. Irga szwedzka</t>
  </si>
  <si>
    <t>Obsadzenie krzewami - berberys thunberga "Orange Sun"</t>
  </si>
  <si>
    <t>KNR-W 5-10 1002-01</t>
  </si>
  <si>
    <t>Montaż wysięgników rurowych o ciężarze do 15 kg na słupie</t>
  </si>
  <si>
    <t xml:space="preserve"> Sieć kanalizacji deszczowej</t>
  </si>
  <si>
    <t>Podłącz.instalacji do istniejącej studni D6</t>
  </si>
  <si>
    <t>Studnie rewizyjne z kręgów betonowych o śr. 1000 mm w gotowym wykopie o głębok. 3m - studnia D27</t>
  </si>
  <si>
    <t>Studnie rewizyjne z kręgów betonowych o śr. 1000 mm w gotowym wykopie za każde 0.5 m różnicy głęb.</t>
  </si>
  <si>
    <t>Wykonanie różnych elementów drobnowymiarowych o objętości do 1.5 m3 - podbudowa betonowa pod studnie Krotność = 5</t>
  </si>
  <si>
    <t>Sieć wodociągowa</t>
  </si>
  <si>
    <t>Pełne umocenienie ścian wykopów wraz z rozbiórką palami szalunkowymi stalowymi (wypraskami) w gruntach suchych ; wyk.o szer.do 1 m i głęb.do 3.0 m; grunt kat. I-IV</t>
  </si>
  <si>
    <t>3.3</t>
  </si>
  <si>
    <t>KNR 4-05I 0227-03</t>
  </si>
  <si>
    <t>Demontaż hydrantu nadziemnego o śr.nom. 80 mm</t>
  </si>
  <si>
    <t>KNR-W 2-18 0219-03</t>
  </si>
  <si>
    <t>Hydranty pożarowe nadziemne o śr. 80 mm - montaż istniejącego hydrantu</t>
  </si>
  <si>
    <t>KNR-W 2-18 0105-01</t>
  </si>
  <si>
    <t>Sieci wodociągowe - rury stalowe o złaczach spawanych o śr.zewnętrznej i grub. ścianek 89/4.0 mm</t>
  </si>
  <si>
    <t>KNR-W 2-18 0701-01</t>
  </si>
  <si>
    <t>Próba wodna szczelności sieci wodociągowych z rur żeliwnych ciśnieniowych i stalowych o śr.nominalnej do 100 mm</t>
  </si>
  <si>
    <t>KNR-W 2-19 0134-02 analogia</t>
  </si>
  <si>
    <t>Oznakowanie trasy sieci wodociągowej na słupku stalowym - tabliczki orientacyjne dla zasów</t>
  </si>
  <si>
    <t>KNR  501 0701-0600</t>
  </si>
  <si>
    <t>Montaż i ustawianie słupów kabl.wys.7 m,drewn.poj. ze szczudłem żelbet.,belkami ustojowymi i podporą odporową w szczudle żelbet. oraz belką ustojową w gruncie: kat. III</t>
  </si>
  <si>
    <t>Ułożenie Rura dwudzielna A125PS</t>
  </si>
  <si>
    <t>Kabel miejscowy XzTKMXpw 25x4x0,5</t>
  </si>
  <si>
    <t>Kabel miejscowy XzTKMXpwn 3x2x0,5</t>
  </si>
  <si>
    <t>Poprzecznik PSD/13</t>
  </si>
  <si>
    <t>Skrzynka kablowa SS30A przystosowana do zamka ABLOY</t>
  </si>
  <si>
    <t>Jedn. obm.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</si>
  <si>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</si>
  <si>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</si>
  <si>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</si>
  <si>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</si>
  <si>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</si>
  <si>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</si>
  <si>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</si>
  <si>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</si>
  <si>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</si>
  <si>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</si>
  <si>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</si>
  <si>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</si>
  <si>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</si>
  <si>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</si>
  <si>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</si>
  <si>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</si>
  <si>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</si>
  <si>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</si>
  <si>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</si>
  <si>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</si>
  <si>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</si>
  <si>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</si>
  <si>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</si>
  <si>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</si>
  <si>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</si>
  <si>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</si>
  <si>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</si>
  <si>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</si>
  <si>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</si>
  <si>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</si>
  <si>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</si>
  <si>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</si>
  <si>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</si>
  <si>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</si>
  <si>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</si>
  <si>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</si>
  <si>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</si>
  <si>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</si>
  <si>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</si>
  <si>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</si>
  <si>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</si>
  <si>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</si>
  <si>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</si>
  <si>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</si>
  <si>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</si>
  <si>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</si>
  <si>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</si>
  <si>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</si>
  <si>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</si>
  <si>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</si>
  <si>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</si>
  <si>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</si>
  <si>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</si>
  <si>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</si>
  <si>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</si>
  <si>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</si>
  <si>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3.1.1</t>
  </si>
  <si>
    <t>3.1.2</t>
  </si>
  <si>
    <t>3.1.3</t>
  </si>
  <si>
    <t>3.1.4</t>
  </si>
  <si>
    <t>3.1.5</t>
  </si>
  <si>
    <t>4.1.1</t>
  </si>
  <si>
    <t>4.1.2</t>
  </si>
  <si>
    <t>4.1.3</t>
  </si>
  <si>
    <t>4.2.1</t>
  </si>
  <si>
    <t>4.2.2</t>
  </si>
  <si>
    <t>4.2.3</t>
  </si>
  <si>
    <t>Jedn.
obm.</t>
  </si>
  <si>
    <t>Cena 
jedn.</t>
  </si>
  <si>
    <t>3.4</t>
  </si>
  <si>
    <t>4.4</t>
  </si>
  <si>
    <t>4.5</t>
  </si>
  <si>
    <t>4.6</t>
  </si>
  <si>
    <t>4.7</t>
  </si>
  <si>
    <t>5.1</t>
  </si>
  <si>
    <t>kalk. ind.</t>
  </si>
  <si>
    <t>ROBOTY ELEKTRYCZNE</t>
  </si>
  <si>
    <t xml:space="preserve">1. </t>
  </si>
  <si>
    <t>ZAGOSPODAROWANIE TERENU</t>
  </si>
  <si>
    <t>3.</t>
  </si>
  <si>
    <t>3.1.1.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</si>
  <si>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</si>
  <si>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</si>
  <si>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</si>
  <si>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</si>
  <si>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</si>
  <si>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</si>
  <si>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</si>
  <si>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</si>
  <si>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</si>
  <si>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</si>
  <si>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</si>
  <si>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</si>
  <si>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</si>
  <si>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</si>
  <si>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</si>
  <si>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</si>
  <si>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</si>
  <si>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3.2.18</t>
  </si>
  <si>
    <t>3.2.19</t>
  </si>
  <si>
    <t>3.2.20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</si>
  <si>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</si>
  <si>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</si>
  <si>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</si>
  <si>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</si>
  <si>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</si>
  <si>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</si>
  <si>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</si>
  <si>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</si>
  <si>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</si>
  <si>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</si>
  <si>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</si>
  <si>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</si>
  <si>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</si>
  <si>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</si>
  <si>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</si>
  <si>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</si>
  <si>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</si>
  <si>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4.</t>
  </si>
  <si>
    <t>ROBOTY SANITARNE</t>
  </si>
  <si>
    <t>5.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</si>
  <si>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</si>
  <si>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</si>
  <si>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</si>
  <si>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</si>
  <si>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</si>
  <si>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</si>
  <si>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</si>
  <si>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</si>
  <si>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</si>
  <si>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</si>
  <si>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5.1.12</t>
  </si>
  <si>
    <t>5.1.13</t>
  </si>
  <si>
    <t>2.</t>
  </si>
  <si>
    <t>ROBOTY DROGOWE</t>
  </si>
  <si>
    <t>PRZEBUDOWA DRÓG WOJEWÓDZKICH</t>
  </si>
  <si>
    <t>1.</t>
  </si>
  <si>
    <t>3.1.6</t>
  </si>
  <si>
    <t>3.1.7</t>
  </si>
  <si>
    <t>3.1.8</t>
  </si>
  <si>
    <t>3.1.9</t>
  </si>
  <si>
    <t>3.1.10</t>
  </si>
  <si>
    <t>ROBOTY ELETRYCZNE</t>
  </si>
  <si>
    <t>Sieć kanalizacji deszczowej</t>
  </si>
  <si>
    <t>4.1.1.1</t>
  </si>
  <si>
    <t>4.1.1.2</t>
  </si>
  <si>
    <t>4.1.1.3</t>
  </si>
  <si>
    <t>4.1.1.4</t>
  </si>
  <si>
    <t>4.1.2.1</t>
  </si>
  <si>
    <t>4.1.2.2</t>
  </si>
  <si>
    <t>4.1.2.3</t>
  </si>
  <si>
    <t>4.1.2.4</t>
  </si>
  <si>
    <t>4.1.2.5</t>
  </si>
  <si>
    <t>4.1.2.6</t>
  </si>
  <si>
    <t>4.1.2.7</t>
  </si>
  <si>
    <t>4.1.2.8</t>
  </si>
  <si>
    <t>4.1.2.9</t>
  </si>
  <si>
    <t>4.1.2.10</t>
  </si>
  <si>
    <t>Przyłącza wody</t>
  </si>
  <si>
    <t>4.2.1.1</t>
  </si>
  <si>
    <t>4.2.1.2</t>
  </si>
  <si>
    <t>4.2.1.3</t>
  </si>
  <si>
    <t>4.2.1.4</t>
  </si>
  <si>
    <t>4.2.1.5</t>
  </si>
  <si>
    <t>4.2.1.6</t>
  </si>
  <si>
    <t>4.2.2.1</t>
  </si>
  <si>
    <t>4.2.2.2</t>
  </si>
  <si>
    <t>4.2.2.3</t>
  </si>
  <si>
    <t>4.2.2.4</t>
  </si>
  <si>
    <t>4.2.2.5</t>
  </si>
  <si>
    <t>4.2.2.6</t>
  </si>
  <si>
    <t>4.2.2.7</t>
  </si>
  <si>
    <t>4.2.2.8</t>
  </si>
  <si>
    <t>4.2.2.9</t>
  </si>
  <si>
    <t>4.2.2.10</t>
  </si>
  <si>
    <t>RAZEM ROBOTY SANITARNE</t>
  </si>
  <si>
    <t>RAZEM ROBOTY ELEKTRYCZNE</t>
  </si>
  <si>
    <t>RAZEM ROBOTY DROGOWE</t>
  </si>
  <si>
    <t>RAZEM ZAGOSPODAROWANIE TERENU</t>
  </si>
  <si>
    <t>RAZEM ROBOTY TELEKOMUNIKACYJNE</t>
  </si>
  <si>
    <t>3.5</t>
  </si>
  <si>
    <t>3.8</t>
  </si>
  <si>
    <t>3.9</t>
  </si>
  <si>
    <t>3.10</t>
  </si>
  <si>
    <t>3.11</t>
  </si>
  <si>
    <t>3.12</t>
  </si>
  <si>
    <t>3.13</t>
  </si>
  <si>
    <t>ROBOTY TELETECHNICZNE: Przebudowa sieci telekomunikacyjnych Orange Polska S.A. ul. Kościuszki</t>
  </si>
  <si>
    <t>RAZEM: BUDOWA ZATOKI AUTOBUSOWEJ ORAZ POSTOJU TAXI PRZY UL. T. KOŚCIUSZKI</t>
  </si>
  <si>
    <t>3.3.1</t>
  </si>
  <si>
    <t>3.3.2</t>
  </si>
  <si>
    <t>3.3.3</t>
  </si>
  <si>
    <t>3.3.4</t>
  </si>
  <si>
    <t>3.3.5</t>
  </si>
  <si>
    <t>3.3.7</t>
  </si>
  <si>
    <t>3.3.8</t>
  </si>
  <si>
    <t>3.3.9</t>
  </si>
  <si>
    <t>3.3.10</t>
  </si>
  <si>
    <t>3.3.11</t>
  </si>
  <si>
    <t>3.3.12</t>
  </si>
  <si>
    <t>3.3.13</t>
  </si>
  <si>
    <t>3.3.15</t>
  </si>
  <si>
    <t>3.3.16</t>
  </si>
  <si>
    <t>3.3.17</t>
  </si>
  <si>
    <t>3.3.18</t>
  </si>
  <si>
    <t>3.3.19</t>
  </si>
  <si>
    <t>3.3.20</t>
  </si>
  <si>
    <t>RAZEM: BUDOWA ZATOKI AUTOBUSOWEJ UL. TORUŃSKIEJ</t>
  </si>
  <si>
    <t>ROBOTY ELEKTRYCZNE: Budowa oświetlenia parkingu razem z oświetleniem przejścia dla pieszych  do SST-E.01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</si>
  <si>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</si>
  <si>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</si>
  <si>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</si>
  <si>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</si>
  <si>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</si>
  <si>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</si>
  <si>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</si>
  <si>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</si>
  <si>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</si>
  <si>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Cena
 jedn.</t>
  </si>
  <si>
    <t>I.</t>
  </si>
  <si>
    <t>II.</t>
  </si>
  <si>
    <t>1.3.12</t>
  </si>
  <si>
    <t>1.3.13</t>
  </si>
  <si>
    <t>1.3.14</t>
  </si>
  <si>
    <t>PRZEBUDOWA UL. UŁAŃSKIEJ</t>
  </si>
  <si>
    <t>ROBOTY TELETECHNICZNE</t>
  </si>
  <si>
    <t>kalk.wł.</t>
  </si>
  <si>
    <t>Podłącz.instalacji do istniejącej studni  Di1</t>
  </si>
  <si>
    <t>Podłącz.instalacji do istniejącej studni D2, D3, D4</t>
  </si>
  <si>
    <t>Montaż zestawów oświetleniowych ze słupami oświetleniowymi o wys. 7 m (X-1 do X-8) na fundamentach, z oprawami led asymatrycznymi</t>
  </si>
  <si>
    <t>Ręczne stawianie słupów oświetleniowych o wys. 8 m (X-9 do X-12) wraz z wysięgnikami i oprawami led 48W, na fundamentach prefabrykowanych</t>
  </si>
  <si>
    <t>Wykonanie uziomów punktowych o wartości max 20 Omów</t>
  </si>
  <si>
    <t xml:space="preserve">Złącza słupowe TB-12 + wciąganie przewodów YDYżo3x2,5mm2 w wysięgnik </t>
  </si>
  <si>
    <t>Wykonanie punktów przyłączenia oświetlenia dekoracyjnego wraz z montażem z podłączeniem opraw doziemnych oświetlenia dekoracyjnego zieleni - lokalizacja do uzgodnienia na etapie realizacji</t>
  </si>
  <si>
    <t>Montaż rozdzielnic chowanych w studni EK 800 wraz z wyposażeniem wg PW (ST-1 do ST-4)</t>
  </si>
  <si>
    <t xml:space="preserve">Montaż złączy kablowych (rozdzielnia ZP-1) </t>
  </si>
  <si>
    <t>kalk. Ind.</t>
  </si>
  <si>
    <t>Dostawa i montaż szafy sterującej pracą fontanny wraz z rozdzielnią sterowniczą</t>
  </si>
  <si>
    <t>Demontaż wysięgników rurowych o ciężarze do 30 kg mocowanych na słupie (4  szt.) i na ścianie (2 szt.)</t>
  </si>
  <si>
    <t>3.2.38</t>
  </si>
  <si>
    <t>3.2.39</t>
  </si>
  <si>
    <t>3.2.40</t>
  </si>
  <si>
    <t>Montaż wysięgników i  opraw do lamp LED</t>
  </si>
  <si>
    <t>Przeniesienie  złącza kablowego typu ZK-3a poza obszar kolizji</t>
  </si>
  <si>
    <t>Montaż na zamontowanym wysięgniku opraw do lamp LED wraz z montażem wysięgnika</t>
  </si>
  <si>
    <t xml:space="preserve">  Likwidacja oświetlenia zatoki przy ul. Toruńskiej; materiały z demontażu przekazać do właściciela: ENEA Oświetlenie sp. z o.o. w Bydgoszczy</t>
  </si>
  <si>
    <t>ROBOTY ELEKTRYCZNE: Przebudowa słupa lini napowietrznej (likwidacja kolizji) ul. Kościuszki</t>
  </si>
  <si>
    <t>Ścieki uliczne z 2 rzędów kostki bet. 20x10x8 cm, 40 cm szerokości</t>
  </si>
  <si>
    <t>KNNR 6 0607-04</t>
  </si>
  <si>
    <t>Krawężniki betonowe bez ław na podsypce cementowo-piaskowej</t>
  </si>
  <si>
    <t>KNNR 6 0401-03</t>
  </si>
  <si>
    <t>Obrzeża betonowe o wymiarach 30x8 cm na podsypce cementowo-piaskowej, spoiny wypełnione zaprawą cementową</t>
  </si>
  <si>
    <t>KNNR 6 0404-05</t>
  </si>
  <si>
    <t>Ława pod krawężniki, obrzeża i ściek, C12/15 z oporem</t>
  </si>
  <si>
    <t>KNR 2-31 0402-04</t>
  </si>
  <si>
    <t>Podsypka piaskowa z zagęszczeniem mechanicznym pod obrzeża - 3 cm grubość warstwy po zagęszczeniu  Łącznie 5 cm Krotność = 1.67</t>
  </si>
  <si>
    <t>KNR 2-31 0105-03</t>
  </si>
  <si>
    <t xml:space="preserve">KRAWĘŻNIKI, OBRZEŻA I ŚCIEKI   </t>
  </si>
  <si>
    <t>Nawierzchnia z płyt betonowych ażurowych 40x60x10 cm na podsypce z miału</t>
  </si>
  <si>
    <t>KNNR 6 0503-06</t>
  </si>
  <si>
    <t>Warstwa podbudowy z kruszyw łamanych gr. 20 cm</t>
  </si>
  <si>
    <t>KNNR 6 0113-02</t>
  </si>
  <si>
    <t>Warstwy odsączające zagęszczane mechanicznie o gr.20 cm z pospółki  Łącznie 30 cm Krotność = 1.5</t>
  </si>
  <si>
    <t>KNNR 6 0104-02</t>
  </si>
  <si>
    <t xml:space="preserve">MIEJSCA POSTOJOWE NA PARKINGU Z PŁYT BET. AŻUROWYCH </t>
  </si>
  <si>
    <t>Chodniki z kostki brukowej betonowej grubości 8 cm na podsypce cementowo-piaskowej z wypełnieniem spoin piaskiem</t>
  </si>
  <si>
    <t>KNNR 6 0502-03</t>
  </si>
  <si>
    <t>Warstwa dolna podbudowy z kruszyw łamanych gr. 15 cm  Łącznie 18 cm Krotność = 1.2</t>
  </si>
  <si>
    <t>KNNR 6 0113-01</t>
  </si>
  <si>
    <t xml:space="preserve">MIEJSCA POSTOJOWE DLA NIEPEŁNOSPRAWNYCH - PEŁNA KOSTKA BETONOWA </t>
  </si>
  <si>
    <t>Warstwa górna podbudowy z kruszyw łamanych gr. 7 cm</t>
  </si>
  <si>
    <t>KNNR 6 0113-04</t>
  </si>
  <si>
    <t>Warstwy odsączające zagęszczane mechanicznie o gr.20 cm z pospółki  Łącznie 55 cm Krotność = 2.75</t>
  </si>
  <si>
    <t xml:space="preserve">JEZDNIA NA PARKINGU </t>
  </si>
  <si>
    <t>Profilowanie i zagęszczanie podłoża wykonywane mechanicznie w gruncie kat. II-IV pod warstwy konstrukcyjne nawierzchni</t>
  </si>
  <si>
    <t>KNNR 6 0103-03</t>
  </si>
  <si>
    <t>Utylizacja gruntu</t>
  </si>
  <si>
    <t>Dane rynkowe</t>
  </si>
  <si>
    <t>WYWÓZ GRUNTU - nakłady uzupełniające za każde dalsze rozpoczęte 0.5 km transportu ponad 1 km samochodami samowyładowczymi  Łącznie do 10 km Krotność = 18</t>
  </si>
  <si>
    <t>KNR-W 2-01 0210-04</t>
  </si>
  <si>
    <t>Formowanie i zagęszczanie nasypów o wys. do 3.0 m spycharkami w gruncie kat. III</t>
  </si>
  <si>
    <t>KNR-W 2-01 0227-02</t>
  </si>
  <si>
    <t>Roboty ziemne wykonywane koparkami przedsiębiernymi o pojemności łyżki 0.60 m3 w gruncie kat. III z transportem urobku samochodami samowyładowczymi na odległość do 1 km - WYKOPY</t>
  </si>
  <si>
    <t>KNR-W 2-01 0201-11</t>
  </si>
  <si>
    <t xml:space="preserve">ROBOTY ZIEMNE </t>
  </si>
  <si>
    <t>Utylizacja odpadów  Załadunek i wywóz gruzu na składowisko</t>
  </si>
  <si>
    <t>Wywiezienie gruzu z terenu rozbiórki przy mechanicznym załadowaniu i wyładowaniu samochodem samowyładowczym - dodatek za każdy następny rozpoczęty 1 km. Łącznie do 10 km Krotność = 9</t>
  </si>
  <si>
    <t>KNR 4-04 1103-05</t>
  </si>
  <si>
    <t>Wywiezienie gruzu z terenu rozbiórki przy mechanicznym załadowaniu i wyładowaniu samochodem samowyładowczym na odległość 1 km</t>
  </si>
  <si>
    <t>KNR 4-04 1103-04</t>
  </si>
  <si>
    <t>Rozebranie ław pod krawężniki i obrzeża z betonu - w całości do utylizacji</t>
  </si>
  <si>
    <t>KNR 2-31 0812-03</t>
  </si>
  <si>
    <t>Rozebranie obrzeży betonowych</t>
  </si>
  <si>
    <t>KNR 2-31 0814-02</t>
  </si>
  <si>
    <t>Rozebranie krawężników betonowych na podsypce cementowo-piaskowej</t>
  </si>
  <si>
    <t>KNR 2-31 0813-03</t>
  </si>
  <si>
    <t>Ręczne rozebranie nawierzchni z kostki bet. na podsypce cem-piaskowej</t>
  </si>
  <si>
    <t>KNNR 6 0803-08</t>
  </si>
  <si>
    <t>ha</t>
  </si>
  <si>
    <t>Roboty pomiarowe przy powierzchniowych robotach ziemnych - koryta pod nawierzchnie placów postojowych</t>
  </si>
  <si>
    <t>KNR 2-01 0121-02</t>
  </si>
  <si>
    <t xml:space="preserve">ROBOTY PRZYGOTOWAWCZE I ROZBIÓRKOWE </t>
  </si>
  <si>
    <t>KRAWĘŻNIKI, OBRZEŻA</t>
  </si>
  <si>
    <t>Warstwa górna podbudowy z kruszyw łamanych gr. 10 cm</t>
  </si>
  <si>
    <t>KNNR 6 0113-05</t>
  </si>
  <si>
    <t>Warstwy odsączające zagęszczane mechanicznie o gr.20 cm z pospółki</t>
  </si>
  <si>
    <t xml:space="preserve">CHODNIKI Z KOSTKI BET. </t>
  </si>
  <si>
    <t xml:space="preserve">ZJAZDY Z KOSTKI BET. </t>
  </si>
  <si>
    <t>Nawierzchnia z kostki betonowej 16x16x16 cm na podsypce cementowo-piaskowej</t>
  </si>
  <si>
    <t>KNNR 6 0303-03</t>
  </si>
  <si>
    <t>Podbudowy betonowe gr.20 cm C16/20</t>
  </si>
  <si>
    <t>KNNR 6 0109-03</t>
  </si>
  <si>
    <t>Warstwy odsączające zagęszczane mechanicznie o gr.20 cm z pospółki  Łącznie 28 cm Krotność = 1.4</t>
  </si>
  <si>
    <t>Piasek stabilizowany cementmem Rm=2,5 MPa   Łącznie 25 cm Krotność = 1.25</t>
  </si>
  <si>
    <t xml:space="preserve">NAWIERZCHNIA ZATOKI AUTOBUSOWEJ </t>
  </si>
  <si>
    <t>Roboty pomiarowe przy liniowych robotach ziemnych - trasa drogi w terenie równinnym</t>
  </si>
  <si>
    <t>KNR 2-01 0119-03</t>
  </si>
  <si>
    <t xml:space="preserve">POSTÓJ TAXI </t>
  </si>
  <si>
    <t>Rozebranie nawierzchni z płytek betonowych 50x50x7</t>
  </si>
  <si>
    <t>KNR 2-31 0815-02</t>
  </si>
  <si>
    <t>Nawierzchnie z mieszanek mineralno-bitumicznych asfaltowych o grubości 4 cm (warstwa ścieralna)</t>
  </si>
  <si>
    <t>KNNR 6 0309-02</t>
  </si>
  <si>
    <t>Mechaniczne oczyszczenie i skropienie emulsją asfaltową nawierzchni bitumicznej</t>
  </si>
  <si>
    <t>KNR AT-03 0202-02</t>
  </si>
  <si>
    <t>Nawierzchnie z mieszanek mineralno-bitumicznych asfaltowych o grubości 5 cm (warstwa wiążąca)</t>
  </si>
  <si>
    <t>KNNR 6 0308-02</t>
  </si>
  <si>
    <t>Podbudowy z mieszanek mineralno-bitumicznych asfaltowych gr. 6 cm  Łącznie 7 cm Krotność = 1.14</t>
  </si>
  <si>
    <t>KNNR 6 0110-02</t>
  </si>
  <si>
    <t>Mechaniczne oczyszczenie i skropienie emulsją asfaltową podbudowy tłuczniowej</t>
  </si>
  <si>
    <t>KNR AT-03 0202-01</t>
  </si>
  <si>
    <t xml:space="preserve">JEZDNIA BITUMICZNA - KR3  </t>
  </si>
  <si>
    <t>2.4</t>
  </si>
  <si>
    <t xml:space="preserve">DYWANIK NA ULICY WOLNOŚCI </t>
  </si>
  <si>
    <t>2.3</t>
  </si>
  <si>
    <t>2.2</t>
  </si>
  <si>
    <t>Regulacja pionowa studzienek dla zaworów wodociągowych i gazowych</t>
  </si>
  <si>
    <t>KNR 2-31 1406-04</t>
  </si>
  <si>
    <t>Regulacja pionowa studzienek dla włazów kanałowych</t>
  </si>
  <si>
    <t>KNR 2-31 1406-03</t>
  </si>
  <si>
    <t>Frezowanie nawierzchni bitumicznej o gr. do 4 cm</t>
  </si>
  <si>
    <t>KNR AT-03 0102-01</t>
  </si>
  <si>
    <t>2.1</t>
  </si>
  <si>
    <t xml:space="preserve">WYMIANA NAWIERZCHNI DRÓG WOJEWÓDZKICH </t>
  </si>
  <si>
    <t>Krawężniki kamienne bez ław na podsypce cementowo-piaskowej</t>
  </si>
  <si>
    <t>KNNR 6 0402-03</t>
  </si>
  <si>
    <t>Ława pod krawężniki oraz przy terenach zielonych na Rynku, beton C12/15</t>
  </si>
  <si>
    <t>Nawierzchnie z kostki kamiennej ciętej 15/17 cm na podsypce cementowo-piaskowej</t>
  </si>
  <si>
    <t>KNNR 6 0302-02</t>
  </si>
  <si>
    <t>Nawierzchnie z kostki kamiennej 15/17 cm na podsypce cementowo-piaskowej</t>
  </si>
  <si>
    <t xml:space="preserve">ZATOKI POSTOJOWE PRZY RYNKU </t>
  </si>
  <si>
    <t xml:space="preserve">JEZDNIE WZDŁUŻ RYNKU </t>
  </si>
  <si>
    <t>Chodniki z płyt kamiennych 39,5x39,5x6 cm</t>
  </si>
  <si>
    <t>KNNR 6 0503-08</t>
  </si>
  <si>
    <t>Nawierzchnie z kostki kamiennej ciętej 7/9 cm na podsypce cementowo-piaskowej</t>
  </si>
  <si>
    <t>KNNR 6 0302-04</t>
  </si>
  <si>
    <t>Nawierzchnie z kostki kamiennej obtaczanej 7/9 cm na podsypce cementowo-piaskowej</t>
  </si>
  <si>
    <t xml:space="preserve">PŁYTA RYNKU </t>
  </si>
  <si>
    <t>Nawierzchnie z kostki kamiennej łupanej 7/9 cm na podsypce cementowo-piaskowej</t>
  </si>
  <si>
    <t xml:space="preserve">CHODNIKI WZDŁUŻ RYNKU Z KOSTKI KAMIENNEJ I PŁYT KAMIENNYCH </t>
  </si>
  <si>
    <t>Wymiana pokryw studni na wypełnioną kostką kamienną</t>
  </si>
  <si>
    <t>KNR 5-01 0505-02</t>
  </si>
  <si>
    <t>Regulacja pionowa studzienek dla studzienek telefonicznych</t>
  </si>
  <si>
    <t>KNR 2-31 1406-05</t>
  </si>
  <si>
    <t>Montaż i regulacja pokrywy nadstudzienna wypełniona kostką kamienną</t>
  </si>
  <si>
    <t>KNR 2-18 0626-06</t>
  </si>
  <si>
    <t>Mechaniczne rozebranie nawierzchni z mieszanek mineralno-bitumicznych o grubości 3 cm  Łącznie 12 cm Krotność = 4</t>
  </si>
  <si>
    <t>KNR 2-31 0803-03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</si>
  <si>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</si>
  <si>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</si>
  <si>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</si>
  <si>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</si>
  <si>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</si>
  <si>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</si>
  <si>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</si>
  <si>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</si>
  <si>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</si>
  <si>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</si>
  <si>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</si>
  <si>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2.2.4</t>
  </si>
  <si>
    <t>2.2.5</t>
  </si>
  <si>
    <t>2.3.1</t>
  </si>
  <si>
    <t>2.3.2</t>
  </si>
  <si>
    <t>2.3.3</t>
  </si>
  <si>
    <t>2.3.4</t>
  </si>
  <si>
    <t>2.4.1</t>
  </si>
  <si>
    <t>2.4.2</t>
  </si>
  <si>
    <t>2.4.3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</si>
  <si>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</si>
  <si>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</si>
  <si>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</si>
  <si>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</si>
  <si>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</si>
  <si>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</si>
  <si>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</si>
  <si>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</si>
  <si>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</si>
  <si>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2.6.5</t>
  </si>
  <si>
    <t>Ułożenie rur osłonowych Rura polietylenowa RHDPE 40/3,7</t>
  </si>
  <si>
    <t>BRANŻA SANITARNA - KANALIZACJA DESZCZOWA</t>
  </si>
  <si>
    <t>4.2.4</t>
  </si>
  <si>
    <t>4.2.5</t>
  </si>
  <si>
    <t>4.2.6</t>
  </si>
  <si>
    <t>4.2.7</t>
  </si>
  <si>
    <t>4.2.8</t>
  </si>
  <si>
    <t>4.2.9</t>
  </si>
  <si>
    <t>4.3.1</t>
  </si>
  <si>
    <t>Nazwa</t>
  </si>
  <si>
    <t>VAT</t>
  </si>
  <si>
    <t>Wartość brutto</t>
  </si>
  <si>
    <t>Wartość netto</t>
  </si>
  <si>
    <t>ROBOTY ELEKTRYCZNE - przebudowa oświetlenia</t>
  </si>
  <si>
    <t xml:space="preserve"> PRZEBUDOWA ULICY UŁAŃSKIEJ</t>
  </si>
  <si>
    <t>Rozebranie obrzeży betonowych m</t>
  </si>
  <si>
    <t>Mechaniczne rozebranie nawierzchni z mieszanek mineralno-bitumicznych o grubości 3 cm</t>
  </si>
  <si>
    <t>Mechaniczne rozebranie nawierzchni z mieszanek mineralno-bitumicznych o grubości 3 cm łącznie 9 cm krotność = 3</t>
  </si>
  <si>
    <t xml:space="preserve">KNR 2-01 0119-03 </t>
  </si>
  <si>
    <t xml:space="preserve">KNR 2-31 0813-03 </t>
  </si>
  <si>
    <t>Utylizacja odpadów. Załadunek i wywóz gruzu na składowisko</t>
  </si>
  <si>
    <t>Regulacja pionowa studzienek dla zaworów wodociągowych i gazowych szt. 3</t>
  </si>
  <si>
    <t>Regulacja pionowa studzienek dla włazów kanałowych szt. 1</t>
  </si>
  <si>
    <t>Regulacja pionowa studzienek dla studzienek telefonicznych szt. 1</t>
  </si>
  <si>
    <t>WYWÓZ GRUNTU - nakłady uzupełniające za każde dalsze rozpoczęte 0.5 km transportu ponad 1 km samochodami samowyładowczymi Łącznie do 10 km Krotność = 18</t>
  </si>
  <si>
    <t>NAWIERZCHNIE DROGOWE</t>
  </si>
  <si>
    <t>JEZDNIA BITUMICZNA - KR2</t>
  </si>
  <si>
    <t>ROBOTY PRZYGOTOWAWCZE I ROZBIÓRKOWE</t>
  </si>
  <si>
    <t>Warstwy odsączające zagęszczane mechanicznie o gr.20 cm z pospółki Łącznie 55 cm Krotność = 2,75</t>
  </si>
  <si>
    <t xml:space="preserve">Warstwa podbudowy z kruszyw łamanych gr. 20 cm </t>
  </si>
  <si>
    <t>Mechaniczne oczyszczenie i skropienie emulsją asfaltową podbudowy  tłuczniowej</t>
  </si>
  <si>
    <t>KNNR 6 0308-03</t>
  </si>
  <si>
    <t>Nawierzchnie z mieszanek mineralno-bitumicznych asfaltowych o grubości 6 cm (warstwa wiążąca) Łącznie 8 cm Krotność = 1,33</t>
  </si>
  <si>
    <t>CHODNIKI Z KOSTKI BETONOWEJ</t>
  </si>
  <si>
    <t>ZJAZDY Z KOSTKI BETONOWEJ</t>
  </si>
  <si>
    <t>Warstwy odsączające zagęszczane mechanicznie o gr.20 cm z pospółki Łąćznie 30 cm Krotność 1,5</t>
  </si>
  <si>
    <t>Warstwa dolna podbudowy z kruszyw łamanych gr. 15 cm Łącznie 18 cm Krotność = 1,2</t>
  </si>
  <si>
    <t>ZATOKA POSTOJOWA</t>
  </si>
  <si>
    <t>Warstwy odsączające zagęszczane mechanicznie o gr.20 cm z pospółki Łącznie 30 cm Krotność = 1,5</t>
  </si>
  <si>
    <t>KRAWĘŻNIKI, OBRZEŻA I ŚCIEKI</t>
  </si>
  <si>
    <t>Podsypka piaskowa z zagęszczeniem mechanicznym pod obrzeża - 3 cm grubość warstwy po zagęszczeniu Łącznie 5 cm Krotność = 1,67</t>
  </si>
  <si>
    <t>Obrzeża betonowe o wymiarach 30x8 cm na podsypce cementowopiaskowej, spoiny wypełnione zaprawą cementową</t>
  </si>
  <si>
    <t xml:space="preserve">Ścieki uliczne z 2 rzędów kostki bet. 20x10x8 cm, 40 cm szerokości </t>
  </si>
  <si>
    <t>2.1.9</t>
  </si>
  <si>
    <t>2.1.10</t>
  </si>
  <si>
    <t>2.1.11</t>
  </si>
  <si>
    <t>2.1.12</t>
  </si>
  <si>
    <t>2.1.13</t>
  </si>
  <si>
    <t>2.3.1.1</t>
  </si>
  <si>
    <t>2.3.1.2</t>
  </si>
  <si>
    <t>2.3.1.3</t>
  </si>
  <si>
    <t>2.3.1.4</t>
  </si>
  <si>
    <t>2.3.1.5</t>
  </si>
  <si>
    <t>2.3.1.6</t>
  </si>
  <si>
    <t>2.3.2.1</t>
  </si>
  <si>
    <t>2.3.2.2</t>
  </si>
  <si>
    <t>2.3.2.3</t>
  </si>
  <si>
    <t>2.3.3.1</t>
  </si>
  <si>
    <t>2.3.3.2</t>
  </si>
  <si>
    <t>2.3.3.3</t>
  </si>
  <si>
    <t>2.3.4.1</t>
  </si>
  <si>
    <t>2.3.4.2</t>
  </si>
  <si>
    <t>2.3.4.3</t>
  </si>
  <si>
    <t>2.4.4</t>
  </si>
  <si>
    <t>2.4.5</t>
  </si>
  <si>
    <t>Przeniesienie infomatu z wykonaniem fundamentu w nowej lokalizacji.</t>
  </si>
  <si>
    <t>wycena indywidualna</t>
  </si>
  <si>
    <t>Instalacja nawadniania, zgodnie z PW sanitarny, pkt. 1.6 "Układ nawadniania": z rur PE100 (De40 - 70 mb, De32 - 61 mb, De25 - 145 mb), składająca się z 8 sekcji, w tym3 sekcje zraszaczy statycznych (11 dysz 17' + 1 dysza 26')+ 5 sekcji linii kroplującej De20mm (81 mb) wraz ze sterownikiem, elektrozaworami w skrzynkach zaworowych, bezprzewodowym wyłacznikiem, okablowaniem elektrycznym (ok. 150 m)</t>
  </si>
  <si>
    <t>Studnie rewizyjne z kręgów betonowych o śr. 1200 mm w gotowym wykopie o głębok. 3m - studnia wodomierzowa</t>
  </si>
  <si>
    <t>Demontaż ławek z przewiezieniem w miejsce wskazane przez Inwestora (do 5 km)</t>
  </si>
  <si>
    <t>Demontaż koszy na śmieci z przewiezieniem w miejsce wskazane przez Inwestora (do 5 km)</t>
  </si>
  <si>
    <t>Demontaż wieży kwiatowych z przewiezieniem w miejsce wskazane przez Inwestora (do 5 km)</t>
  </si>
  <si>
    <t>WYKONANIE KONSTRUKCJI FONTANNY</t>
  </si>
  <si>
    <t>Przejścia szczelne strukturalne dla rur o średnicy DN 32, DN40</t>
  </si>
  <si>
    <t>1.4.17</t>
  </si>
  <si>
    <t xml:space="preserve">Dostawa i montaż płyty pamiątkowej granitowej z wyrytym tekstem (treść poda Inwestor) </t>
  </si>
  <si>
    <t>MAŁA ARCHITEKTURA - wszystkie urządzenia dostarczać z fundamentami</t>
  </si>
  <si>
    <t>kalk. Własna</t>
  </si>
  <si>
    <t>Izolacja z papy termozgrzewalnej 2x z przygotowaniem podłoża</t>
  </si>
  <si>
    <t>kalk. własna</t>
  </si>
  <si>
    <t>Izolacja powłokowa (2x) stropu i powierzchni pionowych komory z przygotowaniem powierzchni</t>
  </si>
  <si>
    <t>Dostawa i montaż płyt granitowych ryflowanych (granit płomieniowany) wraz z wykonaniem otworów na dysze oraz oświetlenie</t>
  </si>
  <si>
    <t>2.7</t>
  </si>
  <si>
    <t>2.7.1</t>
  </si>
  <si>
    <t>2.7.2</t>
  </si>
  <si>
    <t>2.7.3</t>
  </si>
  <si>
    <t>2.7.4</t>
  </si>
  <si>
    <t>III.</t>
  </si>
  <si>
    <t>1.5</t>
  </si>
  <si>
    <t>1.6</t>
  </si>
  <si>
    <t>1.7</t>
  </si>
  <si>
    <t>1.8</t>
  </si>
  <si>
    <t>4.8</t>
  </si>
  <si>
    <t>4.9</t>
  </si>
  <si>
    <t>ROBOTY DROGOWE PLAC JANA PAWŁA II</t>
  </si>
  <si>
    <t>2.3.5</t>
  </si>
  <si>
    <t>2.3.6</t>
  </si>
  <si>
    <t>2.5.4</t>
  </si>
  <si>
    <t>2.5.5</t>
  </si>
  <si>
    <t>Podłączenie odwodnienia dachu budynku nr 4 przy PL.JPII do kan.deszczowej wraz z rozwiązaniem projektowym</t>
  </si>
  <si>
    <t>Koszty zajęcia pasa drogowego dróg (wojewódzkiej i gminnych)</t>
  </si>
  <si>
    <t xml:space="preserve">Opracowanie dokumentacji powykonawczej w 2 egz. "papierowych" </t>
  </si>
  <si>
    <t>Dostawa i montaż nowej wiaty przystankowej</t>
  </si>
  <si>
    <t>Przewierty w gruncie</t>
  </si>
  <si>
    <t>4.2.1.7</t>
  </si>
  <si>
    <t>4.2.1.8</t>
  </si>
  <si>
    <t>4.2.1.9</t>
  </si>
  <si>
    <t>4.2.2.11</t>
  </si>
  <si>
    <t>4.2.2.12</t>
  </si>
  <si>
    <t>4.2.2.13</t>
  </si>
  <si>
    <t>4.2.2.14</t>
  </si>
  <si>
    <t>4.2.2.15</t>
  </si>
  <si>
    <t>4.2.2.16</t>
  </si>
  <si>
    <t>4.2.2.17</t>
  </si>
  <si>
    <t>4.2.2.18</t>
  </si>
  <si>
    <t>4.1.1.5</t>
  </si>
  <si>
    <t>4.1.1.6</t>
  </si>
  <si>
    <t>4.1.1.7</t>
  </si>
  <si>
    <t>4.1.1.8</t>
  </si>
  <si>
    <t>4.1.1.9</t>
  </si>
  <si>
    <t>4.1.2.11</t>
  </si>
  <si>
    <t>4.1.2.12</t>
  </si>
  <si>
    <t>4.1.2.13</t>
  </si>
  <si>
    <t>4.1.2.14</t>
  </si>
  <si>
    <t>4.1.4</t>
  </si>
  <si>
    <t>4.1.5</t>
  </si>
  <si>
    <t>4.1.6</t>
  </si>
  <si>
    <t>4.1.7</t>
  </si>
  <si>
    <t>4.1.8</t>
  </si>
  <si>
    <t>4.1.9</t>
  </si>
  <si>
    <t>4.1.1.10</t>
  </si>
  <si>
    <t>1.2.14</t>
  </si>
  <si>
    <t>Wywiezienie gruzu z terenu rozbiórki przy mechanicznym załadowaniu i wyładowaniu samochodem samowyładowczym na odległość do 10 km</t>
  </si>
  <si>
    <t>Roboty ziemne wykonywane koparkami przedsiębiernymi o pojemności łyżki 0.60 m3 w gruncie kat. III z transportem urobku samochodami samowyładowczymi na odległość do 10 km - WYKOPY</t>
  </si>
  <si>
    <t>3.2.41</t>
  </si>
  <si>
    <t>Montaż fontanny, wg wytycznych PW sanitarnego - "Technologia fontanny" oraz wg wymagań wybranego dostawcy technologii</t>
  </si>
  <si>
    <t>Oświetlenie niecki -  paski LED o odporności IP68.w posadzce, w niecce  fontanny; oświetlenie o barwie białej, ciepłej.(długość łączna ok.. 30,0 m)</t>
  </si>
  <si>
    <t>Sadzenie drzew o średnicy 18-20 cm - wierzba płacząca Chrysocoma, obwód pnia od 18 do 20 cm, wysokość od 400 do 450 cm</t>
  </si>
  <si>
    <t>Wycinka drzew o średnicy pow. 30 cm (wierzba)</t>
  </si>
  <si>
    <t>Sadzenie drzew klonu czerwonego o średnicy co najmniej 8-10 cm na wys. 100 cm, z bryłą korzeniową o śr. 1.2 m w gruncie kat. I-II z zaprawą dołów )decyzja OŚ-V.613.10.21.2018)</t>
  </si>
  <si>
    <t>Sadzenie drzew głogu jednoszyjkowego o średnicy co najmniej 8-10 cm na wys. 100 cm, z bryłą korzeniową o śr. 1.2 m w gruncie kat. I-II z zaprawą dołów )decyzja OŚ-V.613.10.21.2018)</t>
  </si>
  <si>
    <t>Sadzenie drzew robinii białej o średnicy co najmniej 8-10 cm na wys. 100 cm, z bryłą korzeniową o śr. 1.2 m w gruncie kat. I-II z zaprawą dołów )decyzja OŚ-V.613.10.21.2018)</t>
  </si>
  <si>
    <t>Oznakowania i zabezpieczenie wykopów w trakcie prowadzenia robót sieciowych (słupki do znaków drogowych + znaki drogowe płaskie A-14, A-30, barierki ochronne U-20a itp..) - montaż i demontaż</t>
  </si>
  <si>
    <t>STAŁA ORGANIZACJA RUCHU</t>
  </si>
  <si>
    <t>DEMONTAŻ ZNAKÓW I ICH POWTÓRNY MONTAŻ</t>
  </si>
  <si>
    <t>Demontaż słupków do znaków</t>
  </si>
  <si>
    <t>Pionowe znaki drogowe - zdjęcie znaków lub drogowskazów</t>
  </si>
  <si>
    <t>Tabliczki znaków drogowych - powtórny montaż</t>
  </si>
  <si>
    <t>Pionowe znaki drogowe - słupki z rur stalowych - ponowny montaż</t>
  </si>
  <si>
    <t>ORGANIZACJA RUCHU DOCELOWEGO</t>
  </si>
  <si>
    <t>Pionowe znaki drogowe - słupki z rur stalowych (dostawa i montaż)</t>
  </si>
  <si>
    <t>2.8</t>
  </si>
  <si>
    <t>Tabliczki znaków drogowych - tablice A,B,C,D,F</t>
  </si>
  <si>
    <t>Tabliczki znakó drogowych - tabliczki T</t>
  </si>
  <si>
    <t>Montaż słupka U-5b</t>
  </si>
  <si>
    <t>Montaż separatora ruchu - element L=1,0 m</t>
  </si>
  <si>
    <t>Oznakowanie poziome grubowarstwowe nawierzchni bitumicznej
P-3b 0,18*49 m+P-7a 0,12*312 m+P-7b 0,24*1448 m+P-12 0,5*10 m+P-13 15*0,2625 m+P-14 0,375*21 m+P-19 0,12*282 m+P-20 0,12*135 m+P-21 225*0,38m2</t>
  </si>
  <si>
    <t>Oznakowanie poziome nawierzchni bitumicznych -na zimno, za pomocą mas chemoutwardzalnych grubowarstwowe wykonywane sprzętem ręcznym
P-23 14*0,662+P-24 4*0,76</t>
  </si>
  <si>
    <t>Oznakowanie poziome nawierzchni bitumicznych -na zimno, za pomocą mas chemoutwardzalnych grubowarstwowe wykonywane mechanicznie - oznakowanie gładkie czerwone</t>
  </si>
  <si>
    <t>Oznakowanie poziome nawierzchni bitumicznych -na zimno, za pomocą mas chemoutwardzalnych grubowarstwowe wykonywane mechanicznie - oznakowanie gładkie - niebieskie</t>
  </si>
  <si>
    <t>PRZEBUDOWA PLACU JANA PAWŁA II netto</t>
  </si>
  <si>
    <t>BUDOWA PARKINGU PRZY UL. TORUŃSKIEJ i UL.WOLNOŚCI netto</t>
  </si>
  <si>
    <t>Razem wprowadzenie stałej organizacji ruchu netto</t>
  </si>
  <si>
    <t>WPROWADZENIE STAŁEJ ORGANIZACJI RUCHU</t>
  </si>
  <si>
    <t>Opracowanie, uzgodnienie, wprowadzenie, utrzymanie i demontaż  tymczasowej organizacji ruchu na czas prowadzenia robót</t>
  </si>
  <si>
    <t>Opracowanie, zarejestrowanie i dostarczenie Zamawiającemu dwóch egz. inwentaryzacji powykonawczej geodezyjnej</t>
  </si>
  <si>
    <t>Koszty odbiorów przyłączy przez gestorów (w tym m.in.. koszt badania wody)</t>
  </si>
  <si>
    <t>Koszty odbiorów robót z zarządcą drogi wojewódzkiej</t>
  </si>
  <si>
    <r>
      <t xml:space="preserve">Sadzenie 3 szt. drzew </t>
    </r>
    <r>
      <rPr>
        <b/>
        <sz val="11"/>
        <color theme="1"/>
        <rFont val="Calibri"/>
        <family val="2"/>
        <charset val="238"/>
        <scheme val="minor"/>
      </rPr>
      <t>wiśnia osobliwa</t>
    </r>
    <r>
      <rPr>
        <sz val="11"/>
        <color theme="1"/>
        <rFont val="Calibri"/>
        <family val="2"/>
        <charset val="238"/>
        <scheme val="minor"/>
      </rPr>
      <t xml:space="preserve"> o średnicy co najmniej 8-10 cm na wys. 100 cm, z bryłą korzeniową o śr. 1.2 m w gruncie kat. I-II z zaprawą dołów - w miejscu wskazanym przez Zamawiającego, w odległości do 5 km od placu budowy - wg decyzji OŚ-V.613.10.21.2018 z dn. 11.02.2019</t>
    </r>
  </si>
  <si>
    <t>RAZEM WYMIANA NAWIERZCHNI DRÓG WOJEWÓDZKICH</t>
  </si>
  <si>
    <t>RAZEM PRZEBUDOWA DRÓG WOJEWÓDZKICH netto</t>
  </si>
  <si>
    <t>A.I</t>
  </si>
  <si>
    <t>A.II</t>
  </si>
  <si>
    <t>A.III</t>
  </si>
  <si>
    <t>A.IV</t>
  </si>
  <si>
    <t>A.V</t>
  </si>
  <si>
    <t>Zadanie:</t>
  </si>
  <si>
    <t>Zamwiający: Gmina Solec Kujawski</t>
  </si>
  <si>
    <t>Wykonawca: …………………………………………………………………..</t>
  </si>
  <si>
    <t>ZESTAWIENIE KOSZTÓW ZADANIA:</t>
  </si>
  <si>
    <t>Rewitalizacja Placu Jana Pawła II i przyległych ulic.</t>
  </si>
  <si>
    <t>………………………………………</t>
  </si>
  <si>
    <t>podpis upoważnionego przedstawiciela Wykonawcy</t>
  </si>
  <si>
    <t xml:space="preserve">Ceny jednostkowe lub kwoty ryczałtowe Robót muszą obejmować: </t>
  </si>
  <si>
    <r>
      <t>-  </t>
    </r>
    <r>
      <rPr>
        <sz val="10"/>
        <color rgb="FF000000"/>
        <rFont val="Calibri"/>
        <family val="2"/>
        <charset val="238"/>
      </rPr>
      <t xml:space="preserve">robociznę bezpośrednią wraz z kosztami towarzyszącymi,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</si>
  <si>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użytych materiałów wraz z kosztami zakupu, magazynowania, ewentualnych ubytków i transportu na teren budowy,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</si>
  <si>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wartość pracy sprzętu wraz z kosztami towarzyszącymi, </t>
    </r>
  </si>
  <si>
    <r>
      <t>-  </t>
    </r>
    <r>
      <rPr>
        <sz val="10"/>
        <color rgb="FF000000"/>
        <rFont val="Calibri"/>
        <family val="2"/>
        <charset val="238"/>
      </rPr>
      <t xml:space="preserve">koszty pośrednie, zysk kalkulacyjny i ryzyko, </t>
    </r>
  </si>
  <si>
    <r>
      <t xml:space="preserve">-  </t>
    </r>
    <r>
      <rPr>
        <sz val="10"/>
        <color rgb="FF000000"/>
        <rFont val="Calibri"/>
        <family val="2"/>
        <charset val="238"/>
      </rPr>
      <t xml:space="preserve">podatki obliczone zgodnie z obowiązującymi przepisami. </t>
    </r>
  </si>
  <si>
    <r>
      <t xml:space="preserve">Do cen jednostkowych </t>
    </r>
    <r>
      <rPr>
        <u/>
        <sz val="11"/>
        <color theme="1"/>
        <rFont val="Calibri"/>
        <family val="2"/>
        <charset val="238"/>
      </rPr>
      <t>nie należy wliczać podatku VAT</t>
    </r>
    <r>
      <rPr>
        <sz val="11"/>
        <color theme="1"/>
        <rFont val="Calibri"/>
        <family val="2"/>
        <charset val="238"/>
      </rPr>
      <t>.</t>
    </r>
  </si>
  <si>
    <t xml:space="preserve"> Zamawiający nie odpowiada za prawidłowość formuł w pliku EXCEL  Wykonawca jest zobowiązany do ich sprawdzenia.</t>
  </si>
  <si>
    <t>ŁĄCZNIE WARTOŚĆ ZAMÓWIENIA</t>
  </si>
  <si>
    <t>a)</t>
  </si>
  <si>
    <t>b)</t>
  </si>
  <si>
    <t>c)</t>
  </si>
  <si>
    <t>d)</t>
  </si>
  <si>
    <t>e)</t>
  </si>
  <si>
    <t>f)</t>
  </si>
  <si>
    <t>g)</t>
  </si>
  <si>
    <t>h)</t>
  </si>
  <si>
    <t>Podłączenie odwodnienia dachu budynku (2 rury spustowe od strony południowej budynku)</t>
  </si>
  <si>
    <t>OPŁATY I KOSZTY POMOCNICZE - wg analizy własnej</t>
  </si>
  <si>
    <t>analiza własna</t>
  </si>
  <si>
    <t>Rozebranie budynku przy granicy dz. nr 780/1. Wywóz i utylizacja Obmiar z kubatury.</t>
  </si>
  <si>
    <t>A.VI</t>
  </si>
  <si>
    <t>Data: …………………………………</t>
  </si>
  <si>
    <t>PRZEBUDOWA ULICY UŁAŃSKIEJ</t>
  </si>
  <si>
    <t>Data: ………………………………</t>
  </si>
  <si>
    <t>Data: ……………………………</t>
  </si>
  <si>
    <t>Data: ………………………………..</t>
  </si>
  <si>
    <t>Data: ……………………………..</t>
  </si>
  <si>
    <t>Data: …………………………….</t>
  </si>
  <si>
    <t xml:space="preserve">Zbiorcze Zestawienie Kosztów (ZZK) sporządzić dla wszystkich elementów objętych zamówieniem, wyceniając  pozycje zawarte w arkuszach: pn.: "Plac JPII", "drogi wojewódzkie", "parking gminny", "Ułańska", "SOR"
Wykonawca ma prawo do zmiany podstaw wyceny poszczególnych pozycji w ZZK, podane podstawy mają charakter przykładowy. 
Cena jednostkowa lub kwota ryczałtowa pozycji kosztorysowej winna uwzględniać wszystkie czynności, wymagania i badania składające się na jej wykonanie, określone dla tej roboty w Specyfikacjach Technicznych Wykonania i Odbioru Robót i w Dokumentacji Projektowej.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</si>
</sst>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.000\ _z_ł_-;\-* #,##0.000\ _z_ł_-;_-* &quot;-&quot;??\ _z_ł_-;_-@_-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u/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</cellStyleXfs>
  <cellXfs count="207">
    <xf numFmtId="0" fontId="0" fillId="0" borderId="0" xfId="0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43" fontId="10" fillId="0" borderId="0" xfId="1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2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2" fillId="0" borderId="1" xfId="0" applyFont="1" applyBorder="1" applyAlignment="1">
      <alignment horizontal="right" vertical="center"/>
    </xf>
    <xf numFmtId="43" fontId="10" fillId="0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3" fontId="8" fillId="0" borderId="0" xfId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3" fontId="8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12" fillId="0" borderId="1" xfId="1" applyFont="1" applyFill="1" applyBorder="1" applyAlignment="1">
      <alignment vertical="center"/>
    </xf>
    <xf numFmtId="43" fontId="12" fillId="2" borderId="1" xfId="1" applyFont="1" applyFill="1" applyBorder="1" applyAlignment="1">
      <alignment vertical="center"/>
    </xf>
    <xf numFmtId="43" fontId="12" fillId="3" borderId="1" xfId="1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/>
    </xf>
    <xf numFmtId="0" fontId="12" fillId="3" borderId="1" xfId="0" applyFont="1" applyFill="1" applyBorder="1" applyAlignment="1">
      <alignment vertical="center"/>
    </xf>
    <xf numFmtId="43" fontId="12" fillId="3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43" fontId="8" fillId="0" borderId="1" xfId="0" applyNumberFormat="1" applyFont="1" applyBorder="1" applyAlignment="1">
      <alignment vertical="center"/>
    </xf>
    <xf numFmtId="43" fontId="8" fillId="0" borderId="1" xfId="0" applyNumberFormat="1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43" fontId="16" fillId="3" borderId="1" xfId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3" fontId="10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/>
    </xf>
    <xf numFmtId="16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2" fillId="0" borderId="1" xfId="0" quotePrefix="1" applyFont="1" applyBorder="1" applyAlignment="1">
      <alignment horizontal="center" vertical="center"/>
    </xf>
    <xf numFmtId="14" fontId="12" fillId="0" borderId="1" xfId="0" quotePrefix="1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justify"/>
    </xf>
    <xf numFmtId="0" fontId="22" fillId="0" borderId="0" xfId="0" applyFont="1"/>
    <xf numFmtId="0" fontId="4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43" fontId="3" fillId="0" borderId="1" xfId="1" applyFont="1" applyBorder="1" applyAlignment="1">
      <alignment vertical="center"/>
    </xf>
    <xf numFmtId="43" fontId="3" fillId="0" borderId="0" xfId="1" applyFont="1" applyAlignment="1">
      <alignment vertical="center"/>
    </xf>
    <xf numFmtId="43" fontId="12" fillId="2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/>
    </xf>
    <xf numFmtId="43" fontId="3" fillId="0" borderId="1" xfId="0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24" fillId="0" borderId="0" xfId="0" applyFont="1"/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3" fontId="17" fillId="0" borderId="0" xfId="1" applyFont="1" applyAlignment="1">
      <alignment vertical="center"/>
    </xf>
    <xf numFmtId="0" fontId="30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3" fillId="0" borderId="0" xfId="1" applyFont="1" applyBorder="1" applyAlignment="1">
      <alignment vertical="center"/>
    </xf>
    <xf numFmtId="0" fontId="29" fillId="0" borderId="0" xfId="0" quotePrefix="1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43" fontId="16" fillId="0" borderId="0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16" fillId="5" borderId="1" xfId="0" applyFont="1" applyFill="1" applyBorder="1" applyAlignment="1">
      <alignment horizontal="center" vertical="center"/>
    </xf>
    <xf numFmtId="43" fontId="16" fillId="5" borderId="1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vertical="center"/>
    </xf>
    <xf numFmtId="16" fontId="12" fillId="0" borderId="1" xfId="0" quotePrefix="1" applyNumberFormat="1" applyFont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 wrapText="1"/>
    </xf>
    <xf numFmtId="43" fontId="34" fillId="5" borderId="1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43" fontId="12" fillId="5" borderId="1" xfId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 wrapText="1"/>
    </xf>
    <xf numFmtId="43" fontId="12" fillId="5" borderId="1" xfId="1" applyFont="1" applyFill="1" applyBorder="1" applyAlignment="1">
      <alignment vertical="center"/>
    </xf>
    <xf numFmtId="43" fontId="12" fillId="2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43" fontId="12" fillId="2" borderId="1" xfId="0" applyNumberFormat="1" applyFont="1" applyFill="1" applyBorder="1" applyAlignment="1">
      <alignment vertical="center"/>
    </xf>
    <xf numFmtId="43" fontId="15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43" fontId="16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43" fontId="3" fillId="0" borderId="1" xfId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4" fillId="0" borderId="0" xfId="0" applyFont="1" applyFill="1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2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12" fillId="3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4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</cellXfs>
  <cellStyles count="5">
    <cellStyle name="Dziesiętny" xfId="1" builtinId="3"/>
    <cellStyle name="Normalny" xfId="0" builtinId="0"/>
    <cellStyle name="Normalny 2 2" xfId="2"/>
    <cellStyle name="Normalny 3" xfId="3"/>
    <cellStyle name="Procentowy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4"/>
  <sheetViews>
    <sheetView tabSelected="1" view="pageBreakPreview" topLeftCell="A19" zoomScaleNormal="100" zoomScaleSheetLayoutView="100" workbookViewId="0">
      <selection activeCell="B28" sqref="B28:E28"/>
    </sheetView>
  </sheetViews>
  <sheetFormatPr defaultRowHeight="15"/>
  <cols>
    <col min="1" max="1" width="5.375" style="30" customWidth="1"/>
    <col min="2" max="2" width="76.625" style="28" customWidth="1"/>
    <col min="3" max="3" width="14.625" style="28" customWidth="1"/>
    <col min="4" max="4" width="13.375" style="30" customWidth="1"/>
    <col min="5" max="5" width="14.25" style="28" customWidth="1"/>
    <col min="6" max="6" width="9.875" style="28" bestFit="1" customWidth="1"/>
    <col min="7" max="7" width="12.75" style="29" customWidth="1"/>
    <col min="8" max="16384" width="9" style="28"/>
  </cols>
  <sheetData>
    <row r="1" spans="1:6" ht="15.75">
      <c r="B1" s="100" t="s">
        <v>981</v>
      </c>
      <c r="C1" s="100"/>
      <c r="D1" s="146"/>
      <c r="E1" s="146"/>
    </row>
    <row r="2" spans="1:6">
      <c r="B2" s="151" t="s">
        <v>985</v>
      </c>
      <c r="C2" s="151"/>
      <c r="D2" s="151"/>
      <c r="E2" s="151"/>
    </row>
    <row r="3" spans="1:6" ht="15.75">
      <c r="B3" s="100" t="s">
        <v>982</v>
      </c>
      <c r="C3" s="100"/>
      <c r="D3" s="100"/>
      <c r="E3" s="100"/>
    </row>
    <row r="4" spans="1:6" ht="15.75">
      <c r="B4" s="100" t="s">
        <v>983</v>
      </c>
      <c r="C4" s="100"/>
      <c r="D4" s="100"/>
      <c r="E4" s="100"/>
    </row>
    <row r="5" spans="1:6" ht="11.25" customHeight="1">
      <c r="B5" s="100"/>
      <c r="C5" s="100"/>
      <c r="D5" s="100"/>
      <c r="E5" s="100"/>
    </row>
    <row r="6" spans="1:6" ht="18.75">
      <c r="B6" s="155" t="s">
        <v>984</v>
      </c>
      <c r="C6" s="155"/>
      <c r="D6" s="155"/>
      <c r="E6" s="100"/>
    </row>
    <row r="7" spans="1:6" ht="6" customHeight="1"/>
    <row r="8" spans="1:6" ht="31.5" customHeight="1">
      <c r="A8" s="76" t="s">
        <v>0</v>
      </c>
      <c r="B8" s="76" t="s">
        <v>814</v>
      </c>
      <c r="C8" s="112" t="s">
        <v>817</v>
      </c>
      <c r="D8" s="76" t="s">
        <v>815</v>
      </c>
      <c r="E8" s="112" t="s">
        <v>816</v>
      </c>
    </row>
    <row r="9" spans="1:6" ht="18.75" customHeight="1">
      <c r="A9" s="83" t="s">
        <v>976</v>
      </c>
      <c r="B9" s="32" t="str">
        <f>'Plac JPII'!B2:C2</f>
        <v>BUDOWA PLACU JANA PAWŁA II</v>
      </c>
      <c r="C9" s="49"/>
      <c r="D9" s="50">
        <f>C9*23%</f>
        <v>0</v>
      </c>
      <c r="E9" s="49">
        <f>C9+D9</f>
        <v>0</v>
      </c>
    </row>
    <row r="10" spans="1:6" ht="19.5" customHeight="1">
      <c r="A10" s="83" t="s">
        <v>977</v>
      </c>
      <c r="B10" s="32" t="str">
        <f>'drogi wojewódzkie'!B2:C2</f>
        <v>PRZEBUDOWA DRÓG WOJEWÓDZKICH</v>
      </c>
      <c r="C10" s="49">
        <f>'drogi wojewódzkie'!G186</f>
        <v>0</v>
      </c>
      <c r="D10" s="50">
        <f t="shared" ref="D10:D11" si="0">C10*23%</f>
        <v>0</v>
      </c>
      <c r="E10" s="49">
        <f t="shared" ref="E10:E11" si="1">C10+D10</f>
        <v>0</v>
      </c>
    </row>
    <row r="11" spans="1:6" ht="19.5" customHeight="1">
      <c r="A11" s="83" t="s">
        <v>978</v>
      </c>
      <c r="B11" s="32" t="str">
        <f>'parking gminny'!B2:C2</f>
        <v>BUDOWA PARKINGU PRZY UL. TORUŃSKIEJ I WOLNOŚCI</v>
      </c>
      <c r="C11" s="49">
        <f>'parking gminny'!G107</f>
        <v>0</v>
      </c>
      <c r="D11" s="50">
        <f t="shared" si="0"/>
        <v>0</v>
      </c>
      <c r="E11" s="49">
        <f t="shared" si="1"/>
        <v>0</v>
      </c>
      <c r="F11" s="29"/>
    </row>
    <row r="12" spans="1:6" ht="21" customHeight="1">
      <c r="A12" s="83" t="s">
        <v>979</v>
      </c>
      <c r="B12" s="88" t="s">
        <v>1011</v>
      </c>
      <c r="C12" s="49">
        <f>Ulanska!G161</f>
        <v>0</v>
      </c>
      <c r="D12" s="50">
        <f t="shared" ref="D12" si="2">C12*23%</f>
        <v>0</v>
      </c>
      <c r="E12" s="49">
        <f t="shared" ref="E12" si="3">C12+D12</f>
        <v>0</v>
      </c>
      <c r="F12" s="29"/>
    </row>
    <row r="13" spans="1:6" ht="21" customHeight="1">
      <c r="A13" s="83" t="s">
        <v>980</v>
      </c>
      <c r="B13" s="88" t="s">
        <v>968</v>
      </c>
      <c r="C13" s="49">
        <f>SOR!F19</f>
        <v>0</v>
      </c>
      <c r="D13" s="50">
        <f t="shared" ref="D13" si="4">C13*23%</f>
        <v>0</v>
      </c>
      <c r="E13" s="49">
        <f t="shared" ref="E13" si="5">C13+D13</f>
        <v>0</v>
      </c>
      <c r="F13" s="29"/>
    </row>
    <row r="14" spans="1:6" ht="20.25" customHeight="1">
      <c r="A14" s="83" t="s">
        <v>1009</v>
      </c>
      <c r="B14" s="88" t="s">
        <v>1006</v>
      </c>
      <c r="C14" s="49">
        <f>SUM(C15:C21)</f>
        <v>0</v>
      </c>
      <c r="D14" s="50">
        <f t="shared" ref="D14:D22" si="6">C14*23%</f>
        <v>0</v>
      </c>
      <c r="E14" s="49">
        <f t="shared" ref="E14:E22" si="7">C14+D14</f>
        <v>0</v>
      </c>
      <c r="F14" s="29"/>
    </row>
    <row r="15" spans="1:6" ht="30">
      <c r="A15" s="83" t="s">
        <v>997</v>
      </c>
      <c r="B15" s="82" t="s">
        <v>969</v>
      </c>
      <c r="C15" s="49"/>
      <c r="D15" s="50">
        <f t="shared" si="6"/>
        <v>0</v>
      </c>
      <c r="E15" s="49">
        <f t="shared" si="7"/>
        <v>0</v>
      </c>
      <c r="F15" s="29"/>
    </row>
    <row r="16" spans="1:6">
      <c r="A16" s="83" t="s">
        <v>998</v>
      </c>
      <c r="B16" s="73" t="s">
        <v>905</v>
      </c>
      <c r="C16" s="49"/>
      <c r="D16" s="50">
        <f t="shared" si="6"/>
        <v>0</v>
      </c>
      <c r="E16" s="49">
        <f t="shared" si="7"/>
        <v>0</v>
      </c>
      <c r="F16" s="29"/>
    </row>
    <row r="17" spans="1:6" ht="30">
      <c r="A17" s="83" t="s">
        <v>999</v>
      </c>
      <c r="B17" s="82" t="s">
        <v>970</v>
      </c>
      <c r="C17" s="49"/>
      <c r="D17" s="50">
        <f t="shared" si="6"/>
        <v>0</v>
      </c>
      <c r="E17" s="49">
        <f t="shared" si="7"/>
        <v>0</v>
      </c>
      <c r="F17" s="29"/>
    </row>
    <row r="18" spans="1:6">
      <c r="A18" s="83" t="s">
        <v>1000</v>
      </c>
      <c r="B18" s="82" t="s">
        <v>971</v>
      </c>
      <c r="C18" s="49"/>
      <c r="D18" s="50">
        <f t="shared" si="6"/>
        <v>0</v>
      </c>
      <c r="E18" s="49">
        <f t="shared" si="7"/>
        <v>0</v>
      </c>
      <c r="F18" s="29"/>
    </row>
    <row r="19" spans="1:6">
      <c r="A19" s="83" t="s">
        <v>1001</v>
      </c>
      <c r="B19" s="82" t="s">
        <v>972</v>
      </c>
      <c r="C19" s="49"/>
      <c r="D19" s="50">
        <f t="shared" si="6"/>
        <v>0</v>
      </c>
      <c r="E19" s="49">
        <f t="shared" si="7"/>
        <v>0</v>
      </c>
      <c r="F19" s="29"/>
    </row>
    <row r="20" spans="1:6">
      <c r="A20" s="83" t="s">
        <v>1002</v>
      </c>
      <c r="B20" s="71" t="s">
        <v>906</v>
      </c>
      <c r="C20" s="49"/>
      <c r="D20" s="50">
        <f t="shared" si="6"/>
        <v>0</v>
      </c>
      <c r="E20" s="49">
        <f t="shared" si="7"/>
        <v>0</v>
      </c>
      <c r="F20" s="29"/>
    </row>
    <row r="21" spans="1:6" ht="45">
      <c r="A21" s="83" t="s">
        <v>1003</v>
      </c>
      <c r="B21" s="82" t="s">
        <v>947</v>
      </c>
      <c r="C21" s="49"/>
      <c r="D21" s="50">
        <f t="shared" si="6"/>
        <v>0</v>
      </c>
      <c r="E21" s="49">
        <f t="shared" si="7"/>
        <v>0</v>
      </c>
      <c r="F21" s="29"/>
    </row>
    <row r="22" spans="1:6" ht="60">
      <c r="A22" s="83" t="s">
        <v>1004</v>
      </c>
      <c r="B22" s="82" t="s">
        <v>973</v>
      </c>
      <c r="C22" s="49"/>
      <c r="D22" s="50">
        <f t="shared" si="6"/>
        <v>0</v>
      </c>
      <c r="E22" s="49">
        <f t="shared" si="7"/>
        <v>0</v>
      </c>
      <c r="F22" s="29"/>
    </row>
    <row r="23" spans="1:6" ht="13.5" customHeight="1">
      <c r="A23" s="110"/>
      <c r="B23" s="110"/>
      <c r="C23" s="111"/>
      <c r="D23" s="111"/>
      <c r="E23" s="111"/>
      <c r="F23" s="29"/>
    </row>
    <row r="24" spans="1:6" ht="20.25" customHeight="1">
      <c r="A24" s="114"/>
      <c r="B24" s="114" t="s">
        <v>996</v>
      </c>
      <c r="C24" s="115">
        <f>SUM(C13,C9:C14)</f>
        <v>0</v>
      </c>
      <c r="D24" s="115">
        <f>SUM(D13,D9:D14)</f>
        <v>0</v>
      </c>
      <c r="E24" s="115">
        <f>SUM(E13,E9:E14)</f>
        <v>0</v>
      </c>
      <c r="F24" s="29"/>
    </row>
    <row r="25" spans="1:6" ht="30" customHeight="1">
      <c r="B25" s="100"/>
      <c r="C25" s="153" t="s">
        <v>986</v>
      </c>
      <c r="D25" s="153"/>
      <c r="E25" s="153"/>
      <c r="F25" s="29"/>
    </row>
    <row r="26" spans="1:6" ht="15.75" customHeight="1">
      <c r="A26" s="147" t="s">
        <v>1010</v>
      </c>
      <c r="B26" s="100"/>
      <c r="C26" s="154" t="s">
        <v>987</v>
      </c>
      <c r="D26" s="154"/>
      <c r="E26" s="154"/>
      <c r="F26" s="29"/>
    </row>
    <row r="27" spans="1:6" ht="15.75" customHeight="1">
      <c r="B27" s="100"/>
      <c r="C27" s="113"/>
      <c r="D27" s="113"/>
      <c r="E27" s="113"/>
      <c r="F27" s="29"/>
    </row>
    <row r="28" spans="1:6" ht="102" customHeight="1">
      <c r="B28" s="152" t="s">
        <v>1017</v>
      </c>
      <c r="C28" s="152"/>
      <c r="D28" s="152"/>
      <c r="E28" s="152"/>
      <c r="F28" s="29"/>
    </row>
    <row r="29" spans="1:6">
      <c r="B29" s="101" t="s">
        <v>988</v>
      </c>
      <c r="C29" s="102"/>
      <c r="D29" s="103"/>
      <c r="E29" s="104"/>
      <c r="F29" s="29"/>
    </row>
    <row r="30" spans="1:6">
      <c r="B30" s="109" t="s">
        <v>989</v>
      </c>
      <c r="C30" s="109"/>
      <c r="D30" s="109"/>
      <c r="F30" s="29"/>
    </row>
    <row r="31" spans="1:6" ht="25.5">
      <c r="B31" s="109" t="s">
        <v>990</v>
      </c>
      <c r="C31" s="109"/>
      <c r="D31" s="109"/>
      <c r="F31" s="29"/>
    </row>
    <row r="32" spans="1:6">
      <c r="B32" s="109" t="s">
        <v>991</v>
      </c>
      <c r="C32" s="109"/>
      <c r="D32" s="109"/>
      <c r="F32" s="29"/>
    </row>
    <row r="33" spans="2:6">
      <c r="B33" s="109" t="s">
        <v>992</v>
      </c>
      <c r="C33" s="109"/>
      <c r="D33" s="109"/>
      <c r="F33" s="29"/>
    </row>
    <row r="34" spans="2:6">
      <c r="B34" s="109" t="s">
        <v>993</v>
      </c>
      <c r="C34" s="109"/>
      <c r="D34" s="109"/>
      <c r="F34" s="29"/>
    </row>
    <row r="35" spans="2:6">
      <c r="B35" s="86"/>
      <c r="C35" s="86"/>
      <c r="D35" s="105"/>
      <c r="E35" s="91"/>
      <c r="F35" s="29"/>
    </row>
    <row r="36" spans="2:6">
      <c r="B36" s="106" t="s">
        <v>994</v>
      </c>
      <c r="C36" s="107"/>
      <c r="D36" s="107"/>
      <c r="E36" s="108"/>
      <c r="F36" s="29"/>
    </row>
    <row r="37" spans="2:6">
      <c r="B37" s="150" t="s">
        <v>995</v>
      </c>
      <c r="C37" s="150"/>
      <c r="D37" s="150"/>
      <c r="E37" s="150"/>
      <c r="F37" s="29"/>
    </row>
    <row r="38" spans="2:6">
      <c r="E38" s="29"/>
      <c r="F38" s="29"/>
    </row>
    <row r="39" spans="2:6">
      <c r="E39" s="29"/>
      <c r="F39" s="29"/>
    </row>
    <row r="40" spans="2:6">
      <c r="E40" s="29"/>
      <c r="F40" s="29"/>
    </row>
    <row r="41" spans="2:6">
      <c r="E41" s="29"/>
      <c r="F41" s="29"/>
    </row>
    <row r="42" spans="2:6">
      <c r="E42" s="29"/>
      <c r="F42" s="29"/>
    </row>
    <row r="43" spans="2:6">
      <c r="E43" s="29"/>
      <c r="F43" s="29"/>
    </row>
    <row r="44" spans="2:6">
      <c r="E44" s="29"/>
      <c r="F44" s="29"/>
    </row>
    <row r="45" spans="2:6">
      <c r="E45" s="29"/>
      <c r="F45" s="29"/>
    </row>
    <row r="46" spans="2:6">
      <c r="E46" s="29"/>
      <c r="F46" s="29"/>
    </row>
    <row r="47" spans="2:6">
      <c r="E47" s="29"/>
      <c r="F47" s="29"/>
    </row>
    <row r="48" spans="2:6">
      <c r="E48" s="29"/>
      <c r="F48" s="29"/>
    </row>
    <row r="49" spans="5:6">
      <c r="E49" s="29"/>
      <c r="F49" s="29"/>
    </row>
    <row r="50" spans="5:6">
      <c r="E50" s="29"/>
      <c r="F50" s="29"/>
    </row>
    <row r="51" spans="5:6">
      <c r="E51" s="29"/>
      <c r="F51" s="29"/>
    </row>
    <row r="52" spans="5:6">
      <c r="E52" s="29"/>
      <c r="F52" s="29"/>
    </row>
    <row r="53" spans="5:6">
      <c r="E53" s="29"/>
      <c r="F53" s="29"/>
    </row>
    <row r="54" spans="5:6">
      <c r="E54" s="29"/>
      <c r="F54" s="29"/>
    </row>
    <row r="55" spans="5:6">
      <c r="E55" s="29"/>
      <c r="F55" s="29"/>
    </row>
    <row r="56" spans="5:6">
      <c r="E56" s="29"/>
      <c r="F56" s="29"/>
    </row>
    <row r="57" spans="5:6">
      <c r="E57" s="29"/>
      <c r="F57" s="29"/>
    </row>
    <row r="58" spans="5:6">
      <c r="E58" s="29"/>
      <c r="F58" s="29"/>
    </row>
    <row r="59" spans="5:6">
      <c r="E59" s="29"/>
      <c r="F59" s="29"/>
    </row>
    <row r="60" spans="5:6">
      <c r="E60" s="29"/>
      <c r="F60" s="29"/>
    </row>
    <row r="61" spans="5:6">
      <c r="E61" s="29"/>
      <c r="F61" s="29"/>
    </row>
    <row r="62" spans="5:6">
      <c r="E62" s="29"/>
      <c r="F62" s="29"/>
    </row>
    <row r="63" spans="5:6">
      <c r="E63" s="29"/>
      <c r="F63" s="29"/>
    </row>
    <row r="64" spans="5:6">
      <c r="E64" s="29"/>
      <c r="F64" s="29"/>
    </row>
    <row r="65" spans="5:6">
      <c r="E65" s="29"/>
      <c r="F65" s="29"/>
    </row>
    <row r="66" spans="5:6">
      <c r="E66" s="29"/>
      <c r="F66" s="29"/>
    </row>
    <row r="67" spans="5:6">
      <c r="E67" s="29"/>
      <c r="F67" s="29"/>
    </row>
    <row r="68" spans="5:6">
      <c r="E68" s="29"/>
      <c r="F68" s="29"/>
    </row>
    <row r="69" spans="5:6">
      <c r="E69" s="29"/>
      <c r="F69" s="29"/>
    </row>
    <row r="70" spans="5:6">
      <c r="E70" s="29"/>
      <c r="F70" s="29"/>
    </row>
    <row r="71" spans="5:6">
      <c r="E71" s="29"/>
      <c r="F71" s="29"/>
    </row>
    <row r="72" spans="5:6">
      <c r="E72" s="29"/>
      <c r="F72" s="29"/>
    </row>
    <row r="73" spans="5:6">
      <c r="E73" s="29"/>
      <c r="F73" s="29"/>
    </row>
    <row r="74" spans="5:6">
      <c r="E74" s="29"/>
      <c r="F74" s="29"/>
    </row>
    <row r="75" spans="5:6">
      <c r="E75" s="29"/>
      <c r="F75" s="29"/>
    </row>
    <row r="76" spans="5:6">
      <c r="E76" s="29"/>
      <c r="F76" s="29"/>
    </row>
    <row r="77" spans="5:6">
      <c r="E77" s="29"/>
      <c r="F77" s="29"/>
    </row>
    <row r="78" spans="5:6">
      <c r="E78" s="29"/>
      <c r="F78" s="29"/>
    </row>
    <row r="79" spans="5:6">
      <c r="E79" s="29"/>
      <c r="F79" s="29"/>
    </row>
    <row r="80" spans="5:6">
      <c r="E80" s="29"/>
      <c r="F80" s="29"/>
    </row>
    <row r="81" spans="5:6">
      <c r="E81" s="29"/>
      <c r="F81" s="29"/>
    </row>
    <row r="82" spans="5:6">
      <c r="E82" s="29"/>
      <c r="F82" s="29"/>
    </row>
    <row r="83" spans="5:6">
      <c r="E83" s="29"/>
      <c r="F83" s="29"/>
    </row>
    <row r="84" spans="5:6">
      <c r="E84" s="29"/>
      <c r="F84" s="29"/>
    </row>
    <row r="85" spans="5:6">
      <c r="E85" s="29"/>
      <c r="F85" s="29"/>
    </row>
    <row r="86" spans="5:6">
      <c r="E86" s="29"/>
      <c r="F86" s="29"/>
    </row>
    <row r="87" spans="5:6">
      <c r="E87" s="29"/>
      <c r="F87" s="29"/>
    </row>
    <row r="88" spans="5:6">
      <c r="E88" s="29"/>
      <c r="F88" s="29"/>
    </row>
    <row r="89" spans="5:6">
      <c r="E89" s="29"/>
      <c r="F89" s="29"/>
    </row>
    <row r="90" spans="5:6">
      <c r="E90" s="29"/>
      <c r="F90" s="29"/>
    </row>
    <row r="91" spans="5:6">
      <c r="E91" s="29"/>
      <c r="F91" s="29"/>
    </row>
    <row r="92" spans="5:6">
      <c r="E92" s="29"/>
      <c r="F92" s="29"/>
    </row>
    <row r="93" spans="5:6">
      <c r="E93" s="29"/>
      <c r="F93" s="29"/>
    </row>
    <row r="94" spans="5:6">
      <c r="E94" s="29"/>
      <c r="F94" s="29"/>
    </row>
    <row r="95" spans="5:6">
      <c r="E95" s="29"/>
      <c r="F95" s="29"/>
    </row>
    <row r="96" spans="5:6">
      <c r="E96" s="29"/>
      <c r="F96" s="29"/>
    </row>
    <row r="97" spans="5:6">
      <c r="E97" s="29"/>
      <c r="F97" s="29"/>
    </row>
    <row r="98" spans="5:6">
      <c r="E98" s="29"/>
      <c r="F98" s="29"/>
    </row>
    <row r="99" spans="5:6">
      <c r="E99" s="29"/>
      <c r="F99" s="29"/>
    </row>
    <row r="100" spans="5:6">
      <c r="E100" s="29"/>
      <c r="F100" s="29"/>
    </row>
    <row r="101" spans="5:6">
      <c r="E101" s="29"/>
      <c r="F101" s="29"/>
    </row>
    <row r="102" spans="5:6">
      <c r="E102" s="29"/>
      <c r="F102" s="29"/>
    </row>
    <row r="103" spans="5:6">
      <c r="E103" s="29"/>
      <c r="F103" s="29"/>
    </row>
    <row r="104" spans="5:6">
      <c r="E104" s="29"/>
      <c r="F104" s="29"/>
    </row>
    <row r="105" spans="5:6">
      <c r="E105" s="29"/>
      <c r="F105" s="29"/>
    </row>
    <row r="106" spans="5:6">
      <c r="E106" s="29"/>
      <c r="F106" s="29"/>
    </row>
    <row r="107" spans="5:6">
      <c r="E107" s="29"/>
      <c r="F107" s="29"/>
    </row>
    <row r="108" spans="5:6">
      <c r="E108" s="29"/>
      <c r="F108" s="29"/>
    </row>
    <row r="109" spans="5:6">
      <c r="E109" s="29"/>
      <c r="F109" s="29"/>
    </row>
    <row r="110" spans="5:6">
      <c r="E110" s="29"/>
      <c r="F110" s="29"/>
    </row>
    <row r="111" spans="5:6">
      <c r="E111" s="29"/>
      <c r="F111" s="29"/>
    </row>
    <row r="112" spans="5:6">
      <c r="E112" s="29"/>
      <c r="F112" s="29"/>
    </row>
    <row r="113" spans="5:6">
      <c r="E113" s="29"/>
      <c r="F113" s="29"/>
    </row>
    <row r="114" spans="5:6">
      <c r="E114" s="29"/>
      <c r="F114" s="29"/>
    </row>
    <row r="115" spans="5:6">
      <c r="E115" s="29"/>
      <c r="F115" s="29"/>
    </row>
    <row r="116" spans="5:6">
      <c r="E116" s="29"/>
      <c r="F116" s="29"/>
    </row>
    <row r="117" spans="5:6">
      <c r="E117" s="29"/>
      <c r="F117" s="29"/>
    </row>
    <row r="118" spans="5:6">
      <c r="E118" s="29"/>
      <c r="F118" s="29"/>
    </row>
    <row r="119" spans="5:6">
      <c r="E119" s="29"/>
      <c r="F119" s="29"/>
    </row>
    <row r="120" spans="5:6">
      <c r="E120" s="29"/>
      <c r="F120" s="29"/>
    </row>
    <row r="121" spans="5:6">
      <c r="E121" s="29"/>
      <c r="F121" s="29"/>
    </row>
    <row r="122" spans="5:6">
      <c r="E122" s="29"/>
      <c r="F122" s="29"/>
    </row>
    <row r="123" spans="5:6">
      <c r="E123" s="29"/>
      <c r="F123" s="29"/>
    </row>
    <row r="124" spans="5:6">
      <c r="E124" s="29"/>
      <c r="F124" s="29"/>
    </row>
    <row r="125" spans="5:6">
      <c r="E125" s="29"/>
      <c r="F125" s="29"/>
    </row>
    <row r="126" spans="5:6">
      <c r="E126" s="29"/>
      <c r="F126" s="29"/>
    </row>
    <row r="127" spans="5:6">
      <c r="E127" s="29"/>
      <c r="F127" s="29"/>
    </row>
    <row r="128" spans="5:6">
      <c r="E128" s="29"/>
      <c r="F128" s="29"/>
    </row>
    <row r="129" spans="5:6">
      <c r="E129" s="29"/>
      <c r="F129" s="29"/>
    </row>
    <row r="130" spans="5:6">
      <c r="E130" s="29"/>
      <c r="F130" s="29"/>
    </row>
    <row r="131" spans="5:6">
      <c r="E131" s="29"/>
      <c r="F131" s="29"/>
    </row>
    <row r="132" spans="5:6">
      <c r="E132" s="29"/>
      <c r="F132" s="29"/>
    </row>
    <row r="133" spans="5:6">
      <c r="E133" s="29"/>
      <c r="F133" s="29"/>
    </row>
    <row r="134" spans="5:6">
      <c r="E134" s="29"/>
      <c r="F134" s="29"/>
    </row>
    <row r="135" spans="5:6">
      <c r="E135" s="29"/>
      <c r="F135" s="29"/>
    </row>
    <row r="136" spans="5:6">
      <c r="E136" s="29"/>
      <c r="F136" s="29"/>
    </row>
    <row r="137" spans="5:6">
      <c r="E137" s="29"/>
      <c r="F137" s="29"/>
    </row>
    <row r="138" spans="5:6">
      <c r="E138" s="29"/>
      <c r="F138" s="29"/>
    </row>
    <row r="139" spans="5:6">
      <c r="E139" s="29"/>
      <c r="F139" s="29"/>
    </row>
    <row r="140" spans="5:6">
      <c r="E140" s="29"/>
      <c r="F140" s="29"/>
    </row>
    <row r="141" spans="5:6">
      <c r="E141" s="29"/>
      <c r="F141" s="29"/>
    </row>
    <row r="142" spans="5:6">
      <c r="E142" s="29"/>
      <c r="F142" s="29"/>
    </row>
    <row r="143" spans="5:6">
      <c r="E143" s="29"/>
      <c r="F143" s="29"/>
    </row>
    <row r="144" spans="5:6">
      <c r="E144" s="29"/>
      <c r="F144" s="29"/>
    </row>
    <row r="145" spans="5:6">
      <c r="E145" s="29"/>
      <c r="F145" s="29"/>
    </row>
    <row r="146" spans="5:6">
      <c r="E146" s="29"/>
      <c r="F146" s="29"/>
    </row>
    <row r="147" spans="5:6">
      <c r="E147" s="29"/>
      <c r="F147" s="29"/>
    </row>
    <row r="148" spans="5:6">
      <c r="E148" s="29"/>
      <c r="F148" s="29"/>
    </row>
    <row r="149" spans="5:6">
      <c r="E149" s="29"/>
      <c r="F149" s="29"/>
    </row>
    <row r="150" spans="5:6">
      <c r="E150" s="29"/>
      <c r="F150" s="29"/>
    </row>
    <row r="151" spans="5:6">
      <c r="E151" s="29"/>
      <c r="F151" s="29"/>
    </row>
    <row r="152" spans="5:6">
      <c r="E152" s="29"/>
      <c r="F152" s="29"/>
    </row>
    <row r="153" spans="5:6">
      <c r="E153" s="29"/>
      <c r="F153" s="29"/>
    </row>
    <row r="154" spans="5:6">
      <c r="E154" s="29"/>
      <c r="F154" s="29"/>
    </row>
    <row r="155" spans="5:6">
      <c r="E155" s="29"/>
      <c r="F155" s="29"/>
    </row>
    <row r="156" spans="5:6">
      <c r="E156" s="29"/>
      <c r="F156" s="29"/>
    </row>
    <row r="157" spans="5:6">
      <c r="E157" s="29"/>
      <c r="F157" s="29"/>
    </row>
    <row r="158" spans="5:6">
      <c r="E158" s="29"/>
      <c r="F158" s="29"/>
    </row>
    <row r="159" spans="5:6">
      <c r="E159" s="29"/>
      <c r="F159" s="29"/>
    </row>
    <row r="160" spans="5:6">
      <c r="E160" s="29"/>
      <c r="F160" s="29"/>
    </row>
    <row r="161" spans="5:6">
      <c r="E161" s="29"/>
      <c r="F161" s="29"/>
    </row>
    <row r="162" spans="5:6">
      <c r="E162" s="29"/>
      <c r="F162" s="29"/>
    </row>
    <row r="163" spans="5:6">
      <c r="E163" s="29"/>
      <c r="F163" s="29"/>
    </row>
    <row r="164" spans="5:6">
      <c r="E164" s="29"/>
      <c r="F164" s="29"/>
    </row>
    <row r="165" spans="5:6">
      <c r="E165" s="29"/>
      <c r="F165" s="29"/>
    </row>
    <row r="166" spans="5:6">
      <c r="E166" s="29"/>
      <c r="F166" s="29"/>
    </row>
    <row r="167" spans="5:6">
      <c r="E167" s="29"/>
      <c r="F167" s="29"/>
    </row>
    <row r="168" spans="5:6">
      <c r="E168" s="29"/>
      <c r="F168" s="29"/>
    </row>
    <row r="169" spans="5:6">
      <c r="E169" s="29"/>
      <c r="F169" s="29"/>
    </row>
    <row r="170" spans="5:6">
      <c r="E170" s="29"/>
      <c r="F170" s="29"/>
    </row>
    <row r="171" spans="5:6">
      <c r="E171" s="29"/>
      <c r="F171" s="29"/>
    </row>
    <row r="172" spans="5:6">
      <c r="E172" s="29"/>
      <c r="F172" s="29"/>
    </row>
    <row r="173" spans="5:6">
      <c r="E173" s="29"/>
      <c r="F173" s="29"/>
    </row>
    <row r="174" spans="5:6">
      <c r="E174" s="29"/>
      <c r="F174" s="29"/>
    </row>
    <row r="175" spans="5:6">
      <c r="E175" s="29"/>
      <c r="F175" s="29"/>
    </row>
    <row r="176" spans="5:6">
      <c r="E176" s="29"/>
      <c r="F176" s="29"/>
    </row>
    <row r="177" spans="5:6">
      <c r="E177" s="29"/>
      <c r="F177" s="29"/>
    </row>
    <row r="178" spans="5:6">
      <c r="E178" s="29"/>
      <c r="F178" s="29"/>
    </row>
    <row r="179" spans="5:6">
      <c r="E179" s="29"/>
      <c r="F179" s="29"/>
    </row>
    <row r="180" spans="5:6">
      <c r="E180" s="29"/>
      <c r="F180" s="29"/>
    </row>
    <row r="181" spans="5:6">
      <c r="E181" s="29"/>
      <c r="F181" s="29"/>
    </row>
    <row r="182" spans="5:6">
      <c r="E182" s="29"/>
      <c r="F182" s="29"/>
    </row>
    <row r="183" spans="5:6">
      <c r="E183" s="29"/>
      <c r="F183" s="29"/>
    </row>
    <row r="184" spans="5:6">
      <c r="E184" s="29"/>
      <c r="F184" s="29"/>
    </row>
    <row r="185" spans="5:6">
      <c r="E185" s="29"/>
      <c r="F185" s="29"/>
    </row>
    <row r="186" spans="5:6">
      <c r="E186" s="29"/>
      <c r="F186" s="29"/>
    </row>
    <row r="187" spans="5:6">
      <c r="E187" s="29"/>
      <c r="F187" s="29"/>
    </row>
    <row r="188" spans="5:6">
      <c r="E188" s="29"/>
      <c r="F188" s="29"/>
    </row>
    <row r="189" spans="5:6">
      <c r="E189" s="29"/>
      <c r="F189" s="29"/>
    </row>
    <row r="190" spans="5:6">
      <c r="E190" s="29"/>
      <c r="F190" s="29"/>
    </row>
    <row r="191" spans="5:6">
      <c r="E191" s="29"/>
      <c r="F191" s="29"/>
    </row>
    <row r="192" spans="5:6">
      <c r="E192" s="29"/>
      <c r="F192" s="29"/>
    </row>
    <row r="193" spans="5:6">
      <c r="E193" s="29"/>
      <c r="F193" s="29"/>
    </row>
    <row r="194" spans="5:6">
      <c r="E194" s="29"/>
      <c r="F194" s="29"/>
    </row>
    <row r="195" spans="5:6">
      <c r="E195" s="29"/>
      <c r="F195" s="29"/>
    </row>
    <row r="196" spans="5:6">
      <c r="E196" s="29"/>
      <c r="F196" s="29"/>
    </row>
    <row r="197" spans="5:6">
      <c r="E197" s="29"/>
      <c r="F197" s="29"/>
    </row>
    <row r="198" spans="5:6">
      <c r="E198" s="29"/>
      <c r="F198" s="29"/>
    </row>
    <row r="199" spans="5:6">
      <c r="E199" s="29"/>
      <c r="F199" s="29"/>
    </row>
    <row r="200" spans="5:6">
      <c r="E200" s="29"/>
      <c r="F200" s="29"/>
    </row>
    <row r="201" spans="5:6">
      <c r="E201" s="29"/>
      <c r="F201" s="29"/>
    </row>
    <row r="202" spans="5:6">
      <c r="E202" s="29"/>
      <c r="F202" s="29"/>
    </row>
    <row r="203" spans="5:6">
      <c r="E203" s="29"/>
      <c r="F203" s="29"/>
    </row>
    <row r="204" spans="5:6">
      <c r="E204" s="29"/>
      <c r="F204" s="29"/>
    </row>
    <row r="205" spans="5:6">
      <c r="E205" s="29"/>
      <c r="F205" s="29"/>
    </row>
    <row r="206" spans="5:6">
      <c r="E206" s="29"/>
      <c r="F206" s="29"/>
    </row>
    <row r="207" spans="5:6">
      <c r="E207" s="29"/>
      <c r="F207" s="29"/>
    </row>
    <row r="208" spans="5:6">
      <c r="E208" s="29"/>
      <c r="F208" s="29"/>
    </row>
    <row r="209" spans="5:6">
      <c r="E209" s="29"/>
      <c r="F209" s="29"/>
    </row>
    <row r="210" spans="5:6">
      <c r="E210" s="29"/>
      <c r="F210" s="29"/>
    </row>
    <row r="211" spans="5:6">
      <c r="E211" s="29"/>
      <c r="F211" s="29"/>
    </row>
    <row r="212" spans="5:6">
      <c r="E212" s="29"/>
      <c r="F212" s="29"/>
    </row>
    <row r="213" spans="5:6">
      <c r="E213" s="29"/>
      <c r="F213" s="29"/>
    </row>
    <row r="214" spans="5:6">
      <c r="E214" s="29"/>
      <c r="F214" s="29"/>
    </row>
    <row r="215" spans="5:6">
      <c r="E215" s="29"/>
      <c r="F215" s="29"/>
    </row>
    <row r="216" spans="5:6">
      <c r="E216" s="29"/>
      <c r="F216" s="29"/>
    </row>
    <row r="217" spans="5:6">
      <c r="E217" s="29"/>
      <c r="F217" s="29"/>
    </row>
    <row r="218" spans="5:6">
      <c r="E218" s="29"/>
      <c r="F218" s="29"/>
    </row>
    <row r="219" spans="5:6">
      <c r="E219" s="29"/>
      <c r="F219" s="29"/>
    </row>
    <row r="220" spans="5:6">
      <c r="E220" s="29"/>
      <c r="F220" s="29"/>
    </row>
    <row r="221" spans="5:6">
      <c r="E221" s="29"/>
      <c r="F221" s="29"/>
    </row>
    <row r="222" spans="5:6">
      <c r="E222" s="29"/>
      <c r="F222" s="29"/>
    </row>
    <row r="223" spans="5:6">
      <c r="E223" s="29"/>
      <c r="F223" s="29"/>
    </row>
    <row r="224" spans="5:6">
      <c r="E224" s="29"/>
      <c r="F224" s="29"/>
    </row>
    <row r="225" spans="5:6">
      <c r="E225" s="29"/>
      <c r="F225" s="29"/>
    </row>
    <row r="226" spans="5:6">
      <c r="E226" s="29"/>
      <c r="F226" s="29"/>
    </row>
    <row r="227" spans="5:6">
      <c r="E227" s="29"/>
      <c r="F227" s="29"/>
    </row>
    <row r="228" spans="5:6">
      <c r="E228" s="29"/>
      <c r="F228" s="29"/>
    </row>
    <row r="229" spans="5:6">
      <c r="E229" s="29"/>
      <c r="F229" s="29"/>
    </row>
    <row r="230" spans="5:6">
      <c r="E230" s="29"/>
      <c r="F230" s="29"/>
    </row>
    <row r="231" spans="5:6">
      <c r="E231" s="29"/>
      <c r="F231" s="29"/>
    </row>
    <row r="232" spans="5:6">
      <c r="E232" s="29"/>
      <c r="F232" s="29"/>
    </row>
    <row r="233" spans="5:6">
      <c r="E233" s="29"/>
      <c r="F233" s="29"/>
    </row>
    <row r="234" spans="5:6">
      <c r="E234" s="29"/>
      <c r="F234" s="29"/>
    </row>
    <row r="235" spans="5:6">
      <c r="E235" s="29"/>
      <c r="F235" s="29"/>
    </row>
    <row r="236" spans="5:6">
      <c r="E236" s="29"/>
      <c r="F236" s="29"/>
    </row>
    <row r="237" spans="5:6">
      <c r="E237" s="29"/>
      <c r="F237" s="29"/>
    </row>
    <row r="238" spans="5:6">
      <c r="E238" s="29"/>
      <c r="F238" s="29"/>
    </row>
    <row r="239" spans="5:6">
      <c r="E239" s="29"/>
      <c r="F239" s="29"/>
    </row>
    <row r="240" spans="5:6">
      <c r="E240" s="29"/>
      <c r="F240" s="29"/>
    </row>
    <row r="241" spans="5:6">
      <c r="E241" s="29"/>
      <c r="F241" s="29"/>
    </row>
    <row r="242" spans="5:6">
      <c r="E242" s="29"/>
      <c r="F242" s="29"/>
    </row>
    <row r="243" spans="5:6">
      <c r="E243" s="29"/>
      <c r="F243" s="29"/>
    </row>
    <row r="244" spans="5:6">
      <c r="E244" s="29"/>
      <c r="F244" s="29"/>
    </row>
    <row r="245" spans="5:6">
      <c r="E245" s="29"/>
      <c r="F245" s="29"/>
    </row>
    <row r="246" spans="5:6">
      <c r="E246" s="29"/>
      <c r="F246" s="29"/>
    </row>
    <row r="247" spans="5:6">
      <c r="E247" s="29"/>
      <c r="F247" s="29"/>
    </row>
    <row r="248" spans="5:6">
      <c r="E248" s="29"/>
      <c r="F248" s="29"/>
    </row>
    <row r="249" spans="5:6">
      <c r="E249" s="29"/>
      <c r="F249" s="29"/>
    </row>
    <row r="250" spans="5:6">
      <c r="E250" s="29"/>
      <c r="F250" s="29"/>
    </row>
    <row r="251" spans="5:6">
      <c r="E251" s="29"/>
      <c r="F251" s="29"/>
    </row>
    <row r="252" spans="5:6">
      <c r="E252" s="29"/>
      <c r="F252" s="29"/>
    </row>
    <row r="253" spans="5:6">
      <c r="E253" s="29"/>
      <c r="F253" s="29"/>
    </row>
    <row r="254" spans="5:6">
      <c r="E254" s="29"/>
      <c r="F254" s="29"/>
    </row>
  </sheetData>
  <mergeCells count="6">
    <mergeCell ref="B37:E37"/>
    <mergeCell ref="B2:E2"/>
    <mergeCell ref="B28:E28"/>
    <mergeCell ref="C25:E25"/>
    <mergeCell ref="C26:E26"/>
    <mergeCell ref="B6:D6"/>
  </mergeCells>
  <pageMargins left="0.70866141732283472" right="0.27559055118110237" top="0.55000000000000004" bottom="0.55118110236220474" header="0.28000000000000003" footer="0.23622047244094491"/>
  <pageSetup paperSize="9" orientation="landscape" r:id="rId1"/>
  <headerFooter>
    <oddHeader>&amp;RZałącznik nr 8 do SWZ - Zestawienie kosztów</oddHeader>
    <oddFooter>&amp;LNr sprawy: WIPP.ZP.272.1.2021&amp;R&amp;P/&amp;N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view="pageBreakPreview" topLeftCell="A31" zoomScaleNormal="100" zoomScaleSheetLayoutView="100" workbookViewId="0">
      <selection activeCell="B36" sqref="B36:C36"/>
    </sheetView>
  </sheetViews>
  <sheetFormatPr defaultRowHeight="15"/>
  <cols>
    <col min="1" max="1" width="6.875" style="1" customWidth="1"/>
    <col min="2" max="2" width="14.875" style="3" customWidth="1"/>
    <col min="3" max="3" width="46.5" style="3" customWidth="1"/>
    <col min="4" max="4" width="9.875" style="1" customWidth="1"/>
    <col min="5" max="5" width="9.75" style="4" customWidth="1"/>
    <col min="6" max="6" width="12.375" style="4" customWidth="1"/>
    <col min="7" max="7" width="13.125" style="4" customWidth="1"/>
    <col min="8" max="16384" width="9" style="2"/>
  </cols>
  <sheetData>
    <row r="1" spans="1:7" s="1" customFormat="1" ht="24" customHeight="1">
      <c r="A1" s="8" t="s">
        <v>0</v>
      </c>
      <c r="B1" s="41" t="s">
        <v>1</v>
      </c>
      <c r="C1" s="41" t="s">
        <v>2</v>
      </c>
      <c r="D1" s="41" t="s">
        <v>407</v>
      </c>
      <c r="E1" s="143" t="s">
        <v>3</v>
      </c>
      <c r="F1" s="143" t="s">
        <v>4</v>
      </c>
      <c r="G1" s="143" t="s">
        <v>5</v>
      </c>
    </row>
    <row r="2" spans="1:7" ht="22.5" customHeight="1">
      <c r="A2" s="40" t="s">
        <v>976</v>
      </c>
      <c r="B2" s="163" t="s">
        <v>6</v>
      </c>
      <c r="C2" s="163"/>
      <c r="D2" s="40"/>
      <c r="E2" s="36"/>
      <c r="F2" s="36"/>
      <c r="G2" s="36"/>
    </row>
    <row r="3" spans="1:7" ht="22.5" customHeight="1">
      <c r="A3" s="116" t="s">
        <v>485</v>
      </c>
      <c r="B3" s="169" t="s">
        <v>486</v>
      </c>
      <c r="C3" s="169"/>
      <c r="D3" s="116"/>
      <c r="E3" s="117"/>
      <c r="F3" s="117"/>
      <c r="G3" s="117"/>
    </row>
    <row r="4" spans="1:7" ht="19.5" customHeight="1">
      <c r="A4" s="8" t="s">
        <v>7</v>
      </c>
      <c r="B4" s="159" t="s">
        <v>8</v>
      </c>
      <c r="C4" s="159"/>
      <c r="D4" s="8"/>
      <c r="E4" s="9"/>
      <c r="F4" s="9"/>
      <c r="G4" s="9">
        <f>SUM(G5:G20)</f>
        <v>0</v>
      </c>
    </row>
    <row r="5" spans="1:7">
      <c r="A5" s="18" t="s">
        <v>408</v>
      </c>
      <c r="B5" s="10" t="s">
        <v>9</v>
      </c>
      <c r="C5" s="82" t="s">
        <v>943</v>
      </c>
      <c r="D5" s="18" t="s">
        <v>11</v>
      </c>
      <c r="E5" s="11">
        <v>1</v>
      </c>
      <c r="F5" s="11"/>
      <c r="G5" s="11">
        <f>E5*F5</f>
        <v>0</v>
      </c>
    </row>
    <row r="6" spans="1:7">
      <c r="A6" s="18" t="s">
        <v>409</v>
      </c>
      <c r="B6" s="10" t="s">
        <v>12</v>
      </c>
      <c r="C6" s="10" t="s">
        <v>13</v>
      </c>
      <c r="D6" s="18" t="s">
        <v>11</v>
      </c>
      <c r="E6" s="11">
        <v>60</v>
      </c>
      <c r="F6" s="11"/>
      <c r="G6" s="11">
        <f t="shared" ref="G6:G20" si="0">E6*F6</f>
        <v>0</v>
      </c>
    </row>
    <row r="7" spans="1:7">
      <c r="A7" s="18" t="s">
        <v>410</v>
      </c>
      <c r="B7" s="10" t="s">
        <v>14</v>
      </c>
      <c r="C7" s="10" t="s">
        <v>15</v>
      </c>
      <c r="D7" s="18" t="s">
        <v>11</v>
      </c>
      <c r="E7" s="11">
        <v>61</v>
      </c>
      <c r="F7" s="11"/>
      <c r="G7" s="11">
        <f t="shared" si="0"/>
        <v>0</v>
      </c>
    </row>
    <row r="8" spans="1:7" ht="30">
      <c r="A8" s="18" t="s">
        <v>411</v>
      </c>
      <c r="B8" s="10" t="s">
        <v>16</v>
      </c>
      <c r="C8" s="10" t="s">
        <v>17</v>
      </c>
      <c r="D8" s="18" t="s">
        <v>18</v>
      </c>
      <c r="E8" s="11">
        <v>45</v>
      </c>
      <c r="F8" s="11"/>
      <c r="G8" s="11">
        <f t="shared" si="0"/>
        <v>0</v>
      </c>
    </row>
    <row r="9" spans="1:7" ht="30">
      <c r="A9" s="18" t="s">
        <v>412</v>
      </c>
      <c r="B9" s="10" t="s">
        <v>19</v>
      </c>
      <c r="C9" s="10" t="s">
        <v>20</v>
      </c>
      <c r="D9" s="18" t="s">
        <v>21</v>
      </c>
      <c r="E9" s="11">
        <v>25.5</v>
      </c>
      <c r="F9" s="11"/>
      <c r="G9" s="11">
        <f t="shared" si="0"/>
        <v>0</v>
      </c>
    </row>
    <row r="10" spans="1:7" ht="30">
      <c r="A10" s="18" t="s">
        <v>413</v>
      </c>
      <c r="B10" s="10" t="s">
        <v>22</v>
      </c>
      <c r="C10" s="10" t="s">
        <v>23</v>
      </c>
      <c r="D10" s="18" t="s">
        <v>24</v>
      </c>
      <c r="E10" s="11">
        <v>45.9</v>
      </c>
      <c r="F10" s="11"/>
      <c r="G10" s="11">
        <f t="shared" si="0"/>
        <v>0</v>
      </c>
    </row>
    <row r="11" spans="1:7">
      <c r="A11" s="18" t="s">
        <v>414</v>
      </c>
      <c r="B11" s="10" t="s">
        <v>25</v>
      </c>
      <c r="C11" s="10" t="s">
        <v>26</v>
      </c>
      <c r="D11" s="18" t="s">
        <v>18</v>
      </c>
      <c r="E11" s="11">
        <v>52.2</v>
      </c>
      <c r="F11" s="11"/>
      <c r="G11" s="11">
        <f t="shared" si="0"/>
        <v>0</v>
      </c>
    </row>
    <row r="12" spans="1:7" ht="30">
      <c r="A12" s="18" t="s">
        <v>415</v>
      </c>
      <c r="B12" s="10" t="s">
        <v>27</v>
      </c>
      <c r="C12" s="10" t="s">
        <v>28</v>
      </c>
      <c r="D12" s="18" t="s">
        <v>18</v>
      </c>
      <c r="E12" s="11">
        <v>52.2</v>
      </c>
      <c r="F12" s="11"/>
      <c r="G12" s="11">
        <f t="shared" si="0"/>
        <v>0</v>
      </c>
    </row>
    <row r="13" spans="1:7" ht="45">
      <c r="A13" s="18" t="s">
        <v>416</v>
      </c>
      <c r="B13" s="10" t="s">
        <v>29</v>
      </c>
      <c r="C13" s="10" t="s">
        <v>30</v>
      </c>
      <c r="D13" s="18" t="s">
        <v>21</v>
      </c>
      <c r="E13" s="11">
        <v>3.65</v>
      </c>
      <c r="F13" s="11"/>
      <c r="G13" s="11">
        <f t="shared" si="0"/>
        <v>0</v>
      </c>
    </row>
    <row r="14" spans="1:7" ht="30">
      <c r="A14" s="18" t="s">
        <v>417</v>
      </c>
      <c r="B14" s="10" t="s">
        <v>31</v>
      </c>
      <c r="C14" s="10" t="s">
        <v>32</v>
      </c>
      <c r="D14" s="18" t="s">
        <v>21</v>
      </c>
      <c r="E14" s="11">
        <v>4.41</v>
      </c>
      <c r="F14" s="11"/>
      <c r="G14" s="11">
        <f t="shared" si="0"/>
        <v>0</v>
      </c>
    </row>
    <row r="15" spans="1:7" ht="45">
      <c r="A15" s="18" t="s">
        <v>418</v>
      </c>
      <c r="B15" s="10" t="s">
        <v>33</v>
      </c>
      <c r="C15" s="10" t="s">
        <v>34</v>
      </c>
      <c r="D15" s="18" t="s">
        <v>21</v>
      </c>
      <c r="E15" s="11">
        <v>0.13</v>
      </c>
      <c r="F15" s="11"/>
      <c r="G15" s="11">
        <f t="shared" si="0"/>
        <v>0</v>
      </c>
    </row>
    <row r="16" spans="1:7" ht="30">
      <c r="A16" s="18" t="s">
        <v>419</v>
      </c>
      <c r="B16" s="10" t="s">
        <v>35</v>
      </c>
      <c r="C16" s="59" t="s">
        <v>874</v>
      </c>
      <c r="D16" s="18" t="s">
        <v>11</v>
      </c>
      <c r="E16" s="11">
        <v>6</v>
      </c>
      <c r="F16" s="11"/>
      <c r="G16" s="11">
        <f t="shared" si="0"/>
        <v>0</v>
      </c>
    </row>
    <row r="17" spans="1:7" ht="30">
      <c r="A17" s="18" t="s">
        <v>420</v>
      </c>
      <c r="B17" s="10" t="s">
        <v>35</v>
      </c>
      <c r="C17" s="59" t="s">
        <v>875</v>
      </c>
      <c r="D17" s="18" t="s">
        <v>11</v>
      </c>
      <c r="E17" s="11">
        <v>5</v>
      </c>
      <c r="F17" s="11"/>
      <c r="G17" s="11">
        <f t="shared" si="0"/>
        <v>0</v>
      </c>
    </row>
    <row r="18" spans="1:7" ht="30">
      <c r="A18" s="18" t="s">
        <v>421</v>
      </c>
      <c r="B18" s="10" t="s">
        <v>35</v>
      </c>
      <c r="C18" s="59" t="s">
        <v>876</v>
      </c>
      <c r="D18" s="18" t="s">
        <v>11</v>
      </c>
      <c r="E18" s="11">
        <v>6</v>
      </c>
      <c r="F18" s="11"/>
      <c r="G18" s="11">
        <f t="shared" si="0"/>
        <v>0</v>
      </c>
    </row>
    <row r="19" spans="1:7" ht="45">
      <c r="A19" s="18" t="s">
        <v>422</v>
      </c>
      <c r="B19" s="10" t="s">
        <v>36</v>
      </c>
      <c r="C19" s="10" t="s">
        <v>37</v>
      </c>
      <c r="D19" s="18" t="s">
        <v>21</v>
      </c>
      <c r="E19" s="11">
        <f>E11*0.08+E12*0.45+E13+E14+E15</f>
        <v>35.86</v>
      </c>
      <c r="F19" s="11"/>
      <c r="G19" s="11">
        <f t="shared" si="0"/>
        <v>0</v>
      </c>
    </row>
    <row r="20" spans="1:7" ht="30">
      <c r="A20" s="18" t="s">
        <v>423</v>
      </c>
      <c r="B20" s="10" t="s">
        <v>38</v>
      </c>
      <c r="C20" s="10" t="s">
        <v>39</v>
      </c>
      <c r="D20" s="18" t="s">
        <v>40</v>
      </c>
      <c r="E20" s="11">
        <f>E19*2.3</f>
        <v>82.48</v>
      </c>
      <c r="F20" s="11"/>
      <c r="G20" s="11">
        <f t="shared" si="0"/>
        <v>0</v>
      </c>
    </row>
    <row r="21" spans="1:7" ht="20.25" customHeight="1">
      <c r="A21" s="8" t="s">
        <v>41</v>
      </c>
      <c r="B21" s="167" t="s">
        <v>42</v>
      </c>
      <c r="C21" s="168"/>
      <c r="D21" s="8"/>
      <c r="E21" s="9"/>
      <c r="F21" s="9"/>
      <c r="G21" s="9">
        <f>SUM(G22:G34)</f>
        <v>0</v>
      </c>
    </row>
    <row r="22" spans="1:7" ht="45">
      <c r="A22" s="18" t="s">
        <v>424</v>
      </c>
      <c r="B22" s="10" t="s">
        <v>43</v>
      </c>
      <c r="C22" s="10" t="s">
        <v>44</v>
      </c>
      <c r="D22" s="18" t="s">
        <v>21</v>
      </c>
      <c r="E22" s="11">
        <v>12.58</v>
      </c>
      <c r="F22" s="11"/>
      <c r="G22" s="11">
        <f>E22*F22</f>
        <v>0</v>
      </c>
    </row>
    <row r="23" spans="1:7">
      <c r="A23" s="18" t="s">
        <v>425</v>
      </c>
      <c r="B23" s="10" t="s">
        <v>45</v>
      </c>
      <c r="C23" s="10" t="s">
        <v>46</v>
      </c>
      <c r="D23" s="18" t="s">
        <v>18</v>
      </c>
      <c r="E23" s="11">
        <v>251.5</v>
      </c>
      <c r="F23" s="11"/>
      <c r="G23" s="11">
        <f>E23*F23</f>
        <v>0</v>
      </c>
    </row>
    <row r="24" spans="1:7">
      <c r="A24" s="18" t="s">
        <v>426</v>
      </c>
      <c r="B24" s="10" t="s">
        <v>47</v>
      </c>
      <c r="C24" s="10" t="s">
        <v>48</v>
      </c>
      <c r="D24" s="18" t="s">
        <v>21</v>
      </c>
      <c r="E24" s="11">
        <f>E23*0.1</f>
        <v>25.15</v>
      </c>
      <c r="F24" s="11"/>
      <c r="G24" s="11">
        <f t="shared" ref="G24:G35" si="1">E24*F24</f>
        <v>0</v>
      </c>
    </row>
    <row r="25" spans="1:7" ht="30">
      <c r="A25" s="18" t="s">
        <v>427</v>
      </c>
      <c r="B25" s="10" t="s">
        <v>49</v>
      </c>
      <c r="C25" s="10" t="s">
        <v>50</v>
      </c>
      <c r="D25" s="18" t="s">
        <v>21</v>
      </c>
      <c r="E25" s="11">
        <f>E24</f>
        <v>25.15</v>
      </c>
      <c r="F25" s="11"/>
      <c r="G25" s="11">
        <f t="shared" si="1"/>
        <v>0</v>
      </c>
    </row>
    <row r="26" spans="1:7" ht="30">
      <c r="A26" s="18" t="s">
        <v>428</v>
      </c>
      <c r="B26" s="10" t="s">
        <v>51</v>
      </c>
      <c r="C26" s="10" t="s">
        <v>52</v>
      </c>
      <c r="D26" s="18" t="s">
        <v>18</v>
      </c>
      <c r="E26" s="11">
        <v>130</v>
      </c>
      <c r="F26" s="11"/>
      <c r="G26" s="11">
        <f t="shared" si="1"/>
        <v>0</v>
      </c>
    </row>
    <row r="27" spans="1:7" ht="45">
      <c r="A27" s="18" t="s">
        <v>429</v>
      </c>
      <c r="B27" s="10" t="s">
        <v>53</v>
      </c>
      <c r="C27" s="10" t="s">
        <v>54</v>
      </c>
      <c r="D27" s="18" t="s">
        <v>18</v>
      </c>
      <c r="E27" s="11">
        <v>19.899999999999999</v>
      </c>
      <c r="F27" s="11"/>
      <c r="G27" s="11">
        <f t="shared" si="1"/>
        <v>0</v>
      </c>
    </row>
    <row r="28" spans="1:7" ht="45">
      <c r="A28" s="18" t="s">
        <v>430</v>
      </c>
      <c r="B28" s="10" t="s">
        <v>55</v>
      </c>
      <c r="C28" s="10" t="s">
        <v>56</v>
      </c>
      <c r="D28" s="18" t="s">
        <v>18</v>
      </c>
      <c r="E28" s="11">
        <v>18.5</v>
      </c>
      <c r="F28" s="11"/>
      <c r="G28" s="11">
        <f t="shared" si="1"/>
        <v>0</v>
      </c>
    </row>
    <row r="29" spans="1:7" ht="30">
      <c r="A29" s="18" t="s">
        <v>431</v>
      </c>
      <c r="B29" s="10" t="s">
        <v>53</v>
      </c>
      <c r="C29" s="10" t="s">
        <v>57</v>
      </c>
      <c r="D29" s="18" t="s">
        <v>18</v>
      </c>
      <c r="E29" s="11">
        <v>20.6</v>
      </c>
      <c r="F29" s="11"/>
      <c r="G29" s="11">
        <f t="shared" si="1"/>
        <v>0</v>
      </c>
    </row>
    <row r="30" spans="1:7" ht="30">
      <c r="A30" s="18" t="s">
        <v>432</v>
      </c>
      <c r="B30" s="10" t="s">
        <v>55</v>
      </c>
      <c r="C30" s="10" t="s">
        <v>58</v>
      </c>
      <c r="D30" s="18" t="s">
        <v>18</v>
      </c>
      <c r="E30" s="11">
        <v>24.4</v>
      </c>
      <c r="F30" s="11"/>
      <c r="G30" s="11">
        <f t="shared" si="1"/>
        <v>0</v>
      </c>
    </row>
    <row r="31" spans="1:7" ht="30">
      <c r="A31" s="18" t="s">
        <v>433</v>
      </c>
      <c r="B31" s="10" t="s">
        <v>55</v>
      </c>
      <c r="C31" s="10" t="s">
        <v>59</v>
      </c>
      <c r="D31" s="18" t="s">
        <v>18</v>
      </c>
      <c r="E31" s="11">
        <v>14</v>
      </c>
      <c r="F31" s="11"/>
      <c r="G31" s="11">
        <f t="shared" si="1"/>
        <v>0</v>
      </c>
    </row>
    <row r="32" spans="1:7" ht="45">
      <c r="A32" s="18" t="s">
        <v>434</v>
      </c>
      <c r="B32" s="10" t="s">
        <v>53</v>
      </c>
      <c r="C32" s="10" t="s">
        <v>60</v>
      </c>
      <c r="D32" s="18" t="s">
        <v>18</v>
      </c>
      <c r="E32" s="11">
        <v>7.4</v>
      </c>
      <c r="F32" s="11"/>
      <c r="G32" s="11">
        <f t="shared" si="1"/>
        <v>0</v>
      </c>
    </row>
    <row r="33" spans="1:7" ht="30">
      <c r="A33" s="18" t="s">
        <v>435</v>
      </c>
      <c r="B33" s="10" t="s">
        <v>53</v>
      </c>
      <c r="C33" s="10" t="s">
        <v>61</v>
      </c>
      <c r="D33" s="18" t="s">
        <v>18</v>
      </c>
      <c r="E33" s="11">
        <v>3.7</v>
      </c>
      <c r="F33" s="11"/>
      <c r="G33" s="11">
        <f t="shared" si="1"/>
        <v>0</v>
      </c>
    </row>
    <row r="34" spans="1:7" ht="45">
      <c r="A34" s="18" t="s">
        <v>436</v>
      </c>
      <c r="B34" s="10" t="s">
        <v>63</v>
      </c>
      <c r="C34" s="10" t="s">
        <v>64</v>
      </c>
      <c r="D34" s="18" t="s">
        <v>18</v>
      </c>
      <c r="E34" s="11">
        <v>13</v>
      </c>
      <c r="F34" s="11"/>
      <c r="G34" s="11">
        <f t="shared" si="1"/>
        <v>0</v>
      </c>
    </row>
    <row r="35" spans="1:7" ht="51.75" customHeight="1">
      <c r="A35" s="18" t="s">
        <v>936</v>
      </c>
      <c r="B35" s="149" t="s">
        <v>644</v>
      </c>
      <c r="C35" s="80" t="s">
        <v>942</v>
      </c>
      <c r="D35" s="77" t="s">
        <v>11</v>
      </c>
      <c r="E35" s="11">
        <v>3</v>
      </c>
      <c r="F35" s="11"/>
      <c r="G35" s="11">
        <f t="shared" si="1"/>
        <v>0</v>
      </c>
    </row>
    <row r="36" spans="1:7" ht="18" customHeight="1">
      <c r="A36" s="8" t="s">
        <v>65</v>
      </c>
      <c r="B36" s="159" t="s">
        <v>877</v>
      </c>
      <c r="C36" s="159"/>
      <c r="D36" s="8"/>
      <c r="E36" s="9"/>
      <c r="F36" s="9"/>
      <c r="G36" s="9">
        <f>SUM(G37:G49)</f>
        <v>0</v>
      </c>
    </row>
    <row r="37" spans="1:7" ht="57" customHeight="1">
      <c r="A37" s="18" t="s">
        <v>437</v>
      </c>
      <c r="B37" s="10" t="s">
        <v>66</v>
      </c>
      <c r="C37" s="10" t="s">
        <v>67</v>
      </c>
      <c r="D37" s="18" t="s">
        <v>21</v>
      </c>
      <c r="E37" s="11">
        <v>61.69</v>
      </c>
      <c r="F37" s="11"/>
      <c r="G37" s="11">
        <f>E37*F37</f>
        <v>0</v>
      </c>
    </row>
    <row r="38" spans="1:7" ht="45">
      <c r="A38" s="18" t="s">
        <v>438</v>
      </c>
      <c r="B38" s="10" t="s">
        <v>68</v>
      </c>
      <c r="C38" s="10" t="s">
        <v>69</v>
      </c>
      <c r="D38" s="18" t="s">
        <v>21</v>
      </c>
      <c r="E38" s="11">
        <v>55.87</v>
      </c>
      <c r="F38" s="11"/>
      <c r="G38" s="11">
        <f t="shared" ref="G38:G49" si="2">E38*F38</f>
        <v>0</v>
      </c>
    </row>
    <row r="39" spans="1:7">
      <c r="A39" s="18" t="s">
        <v>439</v>
      </c>
      <c r="B39" s="10" t="s">
        <v>70</v>
      </c>
      <c r="C39" s="10" t="s">
        <v>71</v>
      </c>
      <c r="D39" s="18" t="s">
        <v>21</v>
      </c>
      <c r="E39" s="11">
        <v>4.87</v>
      </c>
      <c r="F39" s="11"/>
      <c r="G39" s="11">
        <f t="shared" si="2"/>
        <v>0</v>
      </c>
    </row>
    <row r="40" spans="1:7" ht="30">
      <c r="A40" s="18" t="s">
        <v>440</v>
      </c>
      <c r="B40" s="59" t="s">
        <v>884</v>
      </c>
      <c r="C40" s="59" t="s">
        <v>883</v>
      </c>
      <c r="D40" s="60" t="s">
        <v>18</v>
      </c>
      <c r="E40" s="11">
        <f>6.3*3.5</f>
        <v>22.05</v>
      </c>
      <c r="F40" s="11"/>
      <c r="G40" s="11">
        <f t="shared" si="2"/>
        <v>0</v>
      </c>
    </row>
    <row r="41" spans="1:7" ht="30">
      <c r="A41" s="18" t="s">
        <v>441</v>
      </c>
      <c r="B41" s="10" t="s">
        <v>72</v>
      </c>
      <c r="C41" s="10" t="s">
        <v>73</v>
      </c>
      <c r="D41" s="18" t="s">
        <v>21</v>
      </c>
      <c r="E41" s="11">
        <v>14.96</v>
      </c>
      <c r="F41" s="11"/>
      <c r="G41" s="11">
        <f t="shared" si="2"/>
        <v>0</v>
      </c>
    </row>
    <row r="42" spans="1:7" ht="30">
      <c r="A42" s="18" t="s">
        <v>442</v>
      </c>
      <c r="B42" s="10" t="s">
        <v>74</v>
      </c>
      <c r="C42" s="10" t="s">
        <v>75</v>
      </c>
      <c r="D42" s="18" t="s">
        <v>18</v>
      </c>
      <c r="E42" s="11">
        <v>44.08</v>
      </c>
      <c r="F42" s="11"/>
      <c r="G42" s="11">
        <f t="shared" si="2"/>
        <v>0</v>
      </c>
    </row>
    <row r="43" spans="1:7" ht="30">
      <c r="A43" s="18" t="s">
        <v>443</v>
      </c>
      <c r="B43" s="10" t="s">
        <v>74</v>
      </c>
      <c r="C43" s="10" t="s">
        <v>76</v>
      </c>
      <c r="D43" s="18" t="s">
        <v>18</v>
      </c>
      <c r="E43" s="11">
        <v>4.6399999999999997</v>
      </c>
      <c r="F43" s="11"/>
      <c r="G43" s="11">
        <f t="shared" si="2"/>
        <v>0</v>
      </c>
    </row>
    <row r="44" spans="1:7">
      <c r="A44" s="18" t="s">
        <v>444</v>
      </c>
      <c r="B44" s="10" t="s">
        <v>77</v>
      </c>
      <c r="C44" s="10" t="s">
        <v>78</v>
      </c>
      <c r="D44" s="18" t="s">
        <v>11</v>
      </c>
      <c r="E44" s="11">
        <v>20</v>
      </c>
      <c r="F44" s="11"/>
      <c r="G44" s="11">
        <f t="shared" si="2"/>
        <v>0</v>
      </c>
    </row>
    <row r="45" spans="1:7" ht="30">
      <c r="A45" s="18" t="s">
        <v>445</v>
      </c>
      <c r="B45" s="10" t="s">
        <v>79</v>
      </c>
      <c r="C45" s="10" t="s">
        <v>80</v>
      </c>
      <c r="D45" s="18" t="s">
        <v>81</v>
      </c>
      <c r="E45" s="11">
        <v>42.01</v>
      </c>
      <c r="F45" s="11"/>
      <c r="G45" s="11">
        <f t="shared" si="2"/>
        <v>0</v>
      </c>
    </row>
    <row r="46" spans="1:7" ht="30">
      <c r="A46" s="18" t="s">
        <v>446</v>
      </c>
      <c r="B46" s="10" t="s">
        <v>82</v>
      </c>
      <c r="C46" s="10" t="s">
        <v>83</v>
      </c>
      <c r="D46" s="18" t="s">
        <v>84</v>
      </c>
      <c r="E46" s="11">
        <v>39.6</v>
      </c>
      <c r="F46" s="11"/>
      <c r="G46" s="11">
        <f t="shared" si="2"/>
        <v>0</v>
      </c>
    </row>
    <row r="47" spans="1:7" ht="30">
      <c r="A47" s="18" t="s">
        <v>447</v>
      </c>
      <c r="B47" s="10" t="s">
        <v>82</v>
      </c>
      <c r="C47" s="10" t="s">
        <v>85</v>
      </c>
      <c r="D47" s="18" t="s">
        <v>84</v>
      </c>
      <c r="E47" s="11">
        <v>3659.2</v>
      </c>
      <c r="F47" s="11"/>
      <c r="G47" s="11">
        <f t="shared" si="2"/>
        <v>0</v>
      </c>
    </row>
    <row r="48" spans="1:7" ht="30">
      <c r="A48" s="18" t="s">
        <v>629</v>
      </c>
      <c r="B48" s="59" t="s">
        <v>884</v>
      </c>
      <c r="C48" s="59" t="s">
        <v>885</v>
      </c>
      <c r="D48" s="60" t="s">
        <v>18</v>
      </c>
      <c r="E48" s="11">
        <v>63.2</v>
      </c>
      <c r="F48" s="11"/>
      <c r="G48" s="11">
        <f t="shared" si="2"/>
        <v>0</v>
      </c>
    </row>
    <row r="49" spans="1:7" ht="45">
      <c r="A49" s="18" t="s">
        <v>630</v>
      </c>
      <c r="B49" s="59" t="s">
        <v>882</v>
      </c>
      <c r="C49" s="59" t="s">
        <v>886</v>
      </c>
      <c r="D49" s="18" t="s">
        <v>18</v>
      </c>
      <c r="E49" s="11">
        <v>37.15</v>
      </c>
      <c r="F49" s="11"/>
      <c r="G49" s="11">
        <f t="shared" si="2"/>
        <v>0</v>
      </c>
    </row>
    <row r="50" spans="1:7" ht="29.25" customHeight="1">
      <c r="A50" s="8" t="s">
        <v>86</v>
      </c>
      <c r="B50" s="159" t="s">
        <v>881</v>
      </c>
      <c r="C50" s="159"/>
      <c r="D50" s="8"/>
      <c r="E50" s="9"/>
      <c r="F50" s="9"/>
      <c r="G50" s="9">
        <f>SUM(G51:G67)</f>
        <v>0</v>
      </c>
    </row>
    <row r="51" spans="1:7">
      <c r="A51" s="18" t="s">
        <v>448</v>
      </c>
      <c r="B51" s="10" t="s">
        <v>47</v>
      </c>
      <c r="C51" s="10" t="s">
        <v>87</v>
      </c>
      <c r="D51" s="18" t="s">
        <v>88</v>
      </c>
      <c r="E51" s="11">
        <v>14</v>
      </c>
      <c r="F51" s="11"/>
      <c r="G51" s="11">
        <f>E51*F51</f>
        <v>0</v>
      </c>
    </row>
    <row r="52" spans="1:7" ht="45">
      <c r="A52" s="18" t="s">
        <v>449</v>
      </c>
      <c r="B52" s="10" t="s">
        <v>47</v>
      </c>
      <c r="C52" s="10" t="s">
        <v>89</v>
      </c>
      <c r="D52" s="18" t="s">
        <v>88</v>
      </c>
      <c r="E52" s="11">
        <v>2</v>
      </c>
      <c r="F52" s="11"/>
      <c r="G52" s="11">
        <f t="shared" ref="G52:G67" si="3">E52*F52</f>
        <v>0</v>
      </c>
    </row>
    <row r="53" spans="1:7" ht="45">
      <c r="A53" s="18" t="s">
        <v>450</v>
      </c>
      <c r="B53" s="10" t="s">
        <v>47</v>
      </c>
      <c r="C53" s="10" t="s">
        <v>90</v>
      </c>
      <c r="D53" s="18" t="s">
        <v>88</v>
      </c>
      <c r="E53" s="11">
        <v>4</v>
      </c>
      <c r="F53" s="11"/>
      <c r="G53" s="11">
        <f t="shared" si="3"/>
        <v>0</v>
      </c>
    </row>
    <row r="54" spans="1:7" ht="30">
      <c r="A54" s="18" t="s">
        <v>451</v>
      </c>
      <c r="B54" s="10" t="s">
        <v>47</v>
      </c>
      <c r="C54" s="10" t="s">
        <v>91</v>
      </c>
      <c r="D54" s="18" t="s">
        <v>88</v>
      </c>
      <c r="E54" s="11">
        <v>1</v>
      </c>
      <c r="F54" s="11"/>
      <c r="G54" s="11">
        <f t="shared" si="3"/>
        <v>0</v>
      </c>
    </row>
    <row r="55" spans="1:7" ht="30">
      <c r="A55" s="18" t="s">
        <v>452</v>
      </c>
      <c r="B55" s="10" t="s">
        <v>47</v>
      </c>
      <c r="C55" s="10" t="s">
        <v>92</v>
      </c>
      <c r="D55" s="18" t="s">
        <v>88</v>
      </c>
      <c r="E55" s="11">
        <v>1</v>
      </c>
      <c r="F55" s="11"/>
      <c r="G55" s="11">
        <f t="shared" si="3"/>
        <v>0</v>
      </c>
    </row>
    <row r="56" spans="1:7" ht="30">
      <c r="A56" s="18" t="s">
        <v>453</v>
      </c>
      <c r="B56" s="10" t="s">
        <v>47</v>
      </c>
      <c r="C56" s="10" t="s">
        <v>93</v>
      </c>
      <c r="D56" s="18" t="s">
        <v>88</v>
      </c>
      <c r="E56" s="11">
        <v>2</v>
      </c>
      <c r="F56" s="11"/>
      <c r="G56" s="11">
        <f t="shared" si="3"/>
        <v>0</v>
      </c>
    </row>
    <row r="57" spans="1:7" ht="30">
      <c r="A57" s="18" t="s">
        <v>454</v>
      </c>
      <c r="B57" s="10" t="s">
        <v>47</v>
      </c>
      <c r="C57" s="10" t="s">
        <v>94</v>
      </c>
      <c r="D57" s="18" t="s">
        <v>88</v>
      </c>
      <c r="E57" s="11">
        <v>3</v>
      </c>
      <c r="F57" s="11"/>
      <c r="G57" s="11">
        <f t="shared" si="3"/>
        <v>0</v>
      </c>
    </row>
    <row r="58" spans="1:7" ht="30">
      <c r="A58" s="18" t="s">
        <v>455</v>
      </c>
      <c r="B58" s="10" t="s">
        <v>47</v>
      </c>
      <c r="C58" s="10" t="s">
        <v>95</v>
      </c>
      <c r="D58" s="18" t="s">
        <v>88</v>
      </c>
      <c r="E58" s="11">
        <v>1</v>
      </c>
      <c r="F58" s="11"/>
      <c r="G58" s="11">
        <f t="shared" si="3"/>
        <v>0</v>
      </c>
    </row>
    <row r="59" spans="1:7" ht="30">
      <c r="A59" s="18" t="s">
        <v>456</v>
      </c>
      <c r="B59" s="10" t="s">
        <v>47</v>
      </c>
      <c r="C59" s="10" t="s">
        <v>96</v>
      </c>
      <c r="D59" s="18" t="s">
        <v>88</v>
      </c>
      <c r="E59" s="11">
        <v>3</v>
      </c>
      <c r="F59" s="11"/>
      <c r="G59" s="11">
        <f t="shared" si="3"/>
        <v>0</v>
      </c>
    </row>
    <row r="60" spans="1:7" ht="30">
      <c r="A60" s="18" t="s">
        <v>457</v>
      </c>
      <c r="B60" s="10" t="s">
        <v>47</v>
      </c>
      <c r="C60" s="10" t="s">
        <v>97</v>
      </c>
      <c r="D60" s="18" t="s">
        <v>88</v>
      </c>
      <c r="E60" s="11">
        <v>2</v>
      </c>
      <c r="F60" s="11"/>
      <c r="G60" s="11">
        <f t="shared" si="3"/>
        <v>0</v>
      </c>
    </row>
    <row r="61" spans="1:7">
      <c r="A61" s="18" t="s">
        <v>458</v>
      </c>
      <c r="B61" s="10" t="s">
        <v>47</v>
      </c>
      <c r="C61" s="10" t="s">
        <v>98</v>
      </c>
      <c r="D61" s="18" t="s">
        <v>88</v>
      </c>
      <c r="E61" s="11">
        <v>2</v>
      </c>
      <c r="F61" s="11"/>
      <c r="G61" s="11">
        <f t="shared" si="3"/>
        <v>0</v>
      </c>
    </row>
    <row r="62" spans="1:7">
      <c r="A62" s="18" t="s">
        <v>459</v>
      </c>
      <c r="B62" s="10" t="s">
        <v>47</v>
      </c>
      <c r="C62" s="10" t="s">
        <v>99</v>
      </c>
      <c r="D62" s="18" t="s">
        <v>88</v>
      </c>
      <c r="E62" s="11">
        <v>6</v>
      </c>
      <c r="F62" s="11"/>
      <c r="G62" s="11">
        <f t="shared" si="3"/>
        <v>0</v>
      </c>
    </row>
    <row r="63" spans="1:7">
      <c r="A63" s="18" t="s">
        <v>460</v>
      </c>
      <c r="B63" s="10" t="s">
        <v>47</v>
      </c>
      <c r="C63" s="10" t="s">
        <v>100</v>
      </c>
      <c r="D63" s="18" t="s">
        <v>88</v>
      </c>
      <c r="E63" s="11">
        <v>1</v>
      </c>
      <c r="F63" s="11"/>
      <c r="G63" s="11">
        <f t="shared" si="3"/>
        <v>0</v>
      </c>
    </row>
    <row r="64" spans="1:7" ht="30">
      <c r="A64" s="18" t="s">
        <v>461</v>
      </c>
      <c r="B64" s="10" t="s">
        <v>47</v>
      </c>
      <c r="C64" s="10" t="s">
        <v>101</v>
      </c>
      <c r="D64" s="18" t="s">
        <v>88</v>
      </c>
      <c r="E64" s="11">
        <v>1</v>
      </c>
      <c r="F64" s="11"/>
      <c r="G64" s="11">
        <f t="shared" si="3"/>
        <v>0</v>
      </c>
    </row>
    <row r="65" spans="1:7">
      <c r="A65" s="18" t="s">
        <v>462</v>
      </c>
      <c r="B65" s="10" t="s">
        <v>47</v>
      </c>
      <c r="C65" s="10" t="s">
        <v>102</v>
      </c>
      <c r="D65" s="18" t="s">
        <v>88</v>
      </c>
      <c r="E65" s="11">
        <v>4</v>
      </c>
      <c r="F65" s="11"/>
      <c r="G65" s="11">
        <f t="shared" si="3"/>
        <v>0</v>
      </c>
    </row>
    <row r="66" spans="1:7">
      <c r="A66" s="18" t="s">
        <v>463</v>
      </c>
      <c r="B66" s="10" t="s">
        <v>47</v>
      </c>
      <c r="C66" s="10" t="s">
        <v>103</v>
      </c>
      <c r="D66" s="18" t="s">
        <v>88</v>
      </c>
      <c r="E66" s="11">
        <v>12</v>
      </c>
      <c r="F66" s="11"/>
      <c r="G66" s="11">
        <f t="shared" si="3"/>
        <v>0</v>
      </c>
    </row>
    <row r="67" spans="1:7" ht="30">
      <c r="A67" s="18" t="s">
        <v>879</v>
      </c>
      <c r="B67" s="10" t="s">
        <v>47</v>
      </c>
      <c r="C67" s="59" t="s">
        <v>880</v>
      </c>
      <c r="D67" s="60" t="s">
        <v>88</v>
      </c>
      <c r="E67" s="11">
        <v>1</v>
      </c>
      <c r="F67" s="11"/>
      <c r="G67" s="11">
        <f t="shared" si="3"/>
        <v>0</v>
      </c>
    </row>
    <row r="68" spans="1:7" ht="19.5" customHeight="1">
      <c r="A68" s="156" t="s">
        <v>586</v>
      </c>
      <c r="B68" s="156"/>
      <c r="C68" s="156"/>
      <c r="D68" s="156"/>
      <c r="E68" s="38"/>
      <c r="F68" s="38"/>
      <c r="G68" s="38">
        <f>SUM(G50,G36,G21,G4)</f>
        <v>0</v>
      </c>
    </row>
    <row r="69" spans="1:7" ht="8.25" customHeight="1">
      <c r="A69" s="40"/>
      <c r="B69" s="45"/>
      <c r="C69" s="45"/>
      <c r="D69" s="45"/>
      <c r="E69" s="36"/>
      <c r="F69" s="36"/>
      <c r="G69" s="36"/>
    </row>
    <row r="70" spans="1:7" ht="15.75">
      <c r="A70" s="54" t="s">
        <v>541</v>
      </c>
      <c r="B70" s="170" t="s">
        <v>899</v>
      </c>
      <c r="C70" s="170"/>
      <c r="D70" s="54"/>
      <c r="E70" s="55"/>
      <c r="F70" s="55"/>
      <c r="G70" s="55"/>
    </row>
    <row r="71" spans="1:7">
      <c r="A71" s="118" t="s">
        <v>749</v>
      </c>
      <c r="B71" s="165" t="s">
        <v>709</v>
      </c>
      <c r="C71" s="166"/>
      <c r="D71" s="8"/>
      <c r="E71" s="35"/>
      <c r="F71" s="35"/>
      <c r="G71" s="9">
        <f>SUM(G72:G83)</f>
        <v>0</v>
      </c>
    </row>
    <row r="72" spans="1:7" ht="30">
      <c r="A72" s="70" t="s">
        <v>775</v>
      </c>
      <c r="B72" s="32" t="s">
        <v>708</v>
      </c>
      <c r="C72" s="34" t="s">
        <v>707</v>
      </c>
      <c r="D72" s="31" t="s">
        <v>706</v>
      </c>
      <c r="E72" s="33">
        <v>0.41</v>
      </c>
      <c r="F72" s="33"/>
      <c r="G72" s="33">
        <f t="shared" ref="G72:G83" si="4">E72*F72</f>
        <v>0</v>
      </c>
    </row>
    <row r="73" spans="1:7" ht="45">
      <c r="A73" s="70" t="s">
        <v>776</v>
      </c>
      <c r="B73" s="32" t="s">
        <v>774</v>
      </c>
      <c r="C73" s="34" t="s">
        <v>773</v>
      </c>
      <c r="D73" s="31" t="s">
        <v>18</v>
      </c>
      <c r="E73" s="33">
        <v>68</v>
      </c>
      <c r="F73" s="33"/>
      <c r="G73" s="33">
        <f t="shared" si="4"/>
        <v>0</v>
      </c>
    </row>
    <row r="74" spans="1:7" ht="30">
      <c r="A74" s="70" t="s">
        <v>777</v>
      </c>
      <c r="B74" s="32" t="s">
        <v>705</v>
      </c>
      <c r="C74" s="34" t="s">
        <v>704</v>
      </c>
      <c r="D74" s="31" t="s">
        <v>18</v>
      </c>
      <c r="E74" s="33">
        <v>3425</v>
      </c>
      <c r="F74" s="33"/>
      <c r="G74" s="33">
        <f t="shared" si="4"/>
        <v>0</v>
      </c>
    </row>
    <row r="75" spans="1:7" ht="30">
      <c r="A75" s="70" t="s">
        <v>778</v>
      </c>
      <c r="B75" s="32" t="s">
        <v>703</v>
      </c>
      <c r="C75" s="34" t="s">
        <v>702</v>
      </c>
      <c r="D75" s="31" t="s">
        <v>81</v>
      </c>
      <c r="E75" s="33">
        <f>87+99+79+188+13+55+35+17+36</f>
        <v>609</v>
      </c>
      <c r="F75" s="33"/>
      <c r="G75" s="33">
        <f t="shared" si="4"/>
        <v>0</v>
      </c>
    </row>
    <row r="76" spans="1:7">
      <c r="A76" s="70" t="s">
        <v>779</v>
      </c>
      <c r="B76" s="32" t="s">
        <v>701</v>
      </c>
      <c r="C76" s="34" t="s">
        <v>700</v>
      </c>
      <c r="D76" s="31" t="s">
        <v>81</v>
      </c>
      <c r="E76" s="33">
        <f>44+43+16+7+8+43+39+20+22+28+13+11+22</f>
        <v>316</v>
      </c>
      <c r="F76" s="33"/>
      <c r="G76" s="33">
        <f t="shared" si="4"/>
        <v>0</v>
      </c>
    </row>
    <row r="77" spans="1:7" ht="30">
      <c r="A77" s="70" t="s">
        <v>780</v>
      </c>
      <c r="B77" s="32" t="s">
        <v>699</v>
      </c>
      <c r="C77" s="34" t="s">
        <v>698</v>
      </c>
      <c r="D77" s="31" t="s">
        <v>21</v>
      </c>
      <c r="E77" s="33">
        <f>E75*0.08+E76*0.04</f>
        <v>61.36</v>
      </c>
      <c r="F77" s="33"/>
      <c r="G77" s="33">
        <f t="shared" si="4"/>
        <v>0</v>
      </c>
    </row>
    <row r="78" spans="1:7" ht="45">
      <c r="A78" s="70" t="s">
        <v>781</v>
      </c>
      <c r="B78" s="32" t="s">
        <v>697</v>
      </c>
      <c r="C78" s="71" t="s">
        <v>937</v>
      </c>
      <c r="D78" s="31" t="s">
        <v>21</v>
      </c>
      <c r="E78" s="33">
        <f>E73*0.12+E74*0.08+E75*0.3*0.15+E76*0.3*0.08+E77</f>
        <v>378.51</v>
      </c>
      <c r="F78" s="33"/>
      <c r="G78" s="33">
        <f t="shared" si="4"/>
        <v>0</v>
      </c>
    </row>
    <row r="79" spans="1:7" ht="30">
      <c r="A79" s="70" t="s">
        <v>782</v>
      </c>
      <c r="B79" s="32" t="s">
        <v>685</v>
      </c>
      <c r="C79" s="34" t="s">
        <v>693</v>
      </c>
      <c r="D79" s="31" t="s">
        <v>40</v>
      </c>
      <c r="E79" s="33">
        <f>E78*2.3</f>
        <v>870.57</v>
      </c>
      <c r="F79" s="33"/>
      <c r="G79" s="33">
        <f t="shared" si="4"/>
        <v>0</v>
      </c>
    </row>
    <row r="80" spans="1:7" ht="30">
      <c r="A80" s="70" t="s">
        <v>848</v>
      </c>
      <c r="B80" s="32" t="s">
        <v>744</v>
      </c>
      <c r="C80" s="34" t="s">
        <v>743</v>
      </c>
      <c r="D80" s="31" t="s">
        <v>11</v>
      </c>
      <c r="E80" s="33">
        <v>6</v>
      </c>
      <c r="F80" s="33"/>
      <c r="G80" s="33">
        <f t="shared" si="4"/>
        <v>0</v>
      </c>
    </row>
    <row r="81" spans="1:7" ht="30">
      <c r="A81" s="70" t="s">
        <v>849</v>
      </c>
      <c r="B81" s="32" t="s">
        <v>772</v>
      </c>
      <c r="C81" s="34" t="s">
        <v>771</v>
      </c>
      <c r="D81" s="31" t="s">
        <v>88</v>
      </c>
      <c r="E81" s="33">
        <v>6</v>
      </c>
      <c r="F81" s="33"/>
      <c r="G81" s="33">
        <f t="shared" si="4"/>
        <v>0</v>
      </c>
    </row>
    <row r="82" spans="1:7" ht="30">
      <c r="A82" s="70" t="s">
        <v>850</v>
      </c>
      <c r="B82" s="32" t="s">
        <v>770</v>
      </c>
      <c r="C82" s="34" t="s">
        <v>769</v>
      </c>
      <c r="D82" s="31" t="s">
        <v>11</v>
      </c>
      <c r="E82" s="33">
        <v>1</v>
      </c>
      <c r="F82" s="33"/>
      <c r="G82" s="33">
        <f t="shared" si="4"/>
        <v>0</v>
      </c>
    </row>
    <row r="83" spans="1:7">
      <c r="A83" s="70" t="s">
        <v>851</v>
      </c>
      <c r="B83" s="32" t="s">
        <v>768</v>
      </c>
      <c r="C83" s="34" t="s">
        <v>767</v>
      </c>
      <c r="D83" s="31" t="s">
        <v>11</v>
      </c>
      <c r="E83" s="33">
        <v>7</v>
      </c>
      <c r="F83" s="33"/>
      <c r="G83" s="33">
        <f t="shared" si="4"/>
        <v>0</v>
      </c>
    </row>
    <row r="84" spans="1:7">
      <c r="A84" s="74" t="s">
        <v>742</v>
      </c>
      <c r="B84" s="165" t="s">
        <v>692</v>
      </c>
      <c r="C84" s="166"/>
      <c r="D84" s="8"/>
      <c r="E84" s="9"/>
      <c r="F84" s="9"/>
      <c r="G84" s="9">
        <f>SUM(G85:G87)</f>
        <v>0</v>
      </c>
    </row>
    <row r="85" spans="1:7" ht="60">
      <c r="A85" s="70" t="s">
        <v>783</v>
      </c>
      <c r="B85" s="32" t="s">
        <v>691</v>
      </c>
      <c r="C85" s="71" t="s">
        <v>938</v>
      </c>
      <c r="D85" s="31" t="s">
        <v>21</v>
      </c>
      <c r="E85" s="33">
        <v>1889</v>
      </c>
      <c r="F85" s="33"/>
      <c r="G85" s="33">
        <f>E85*F85</f>
        <v>0</v>
      </c>
    </row>
    <row r="86" spans="1:7">
      <c r="A86" s="70" t="s">
        <v>784</v>
      </c>
      <c r="B86" s="32" t="s">
        <v>685</v>
      </c>
      <c r="C86" s="34" t="s">
        <v>684</v>
      </c>
      <c r="D86" s="31" t="s">
        <v>40</v>
      </c>
      <c r="E86" s="33">
        <f>1889*1.8</f>
        <v>3400.2</v>
      </c>
      <c r="F86" s="33"/>
      <c r="G86" s="33">
        <f>E86*F86</f>
        <v>0</v>
      </c>
    </row>
    <row r="87" spans="1:7" ht="45">
      <c r="A87" s="70" t="s">
        <v>785</v>
      </c>
      <c r="B87" s="32" t="s">
        <v>683</v>
      </c>
      <c r="C87" s="34" t="s">
        <v>682</v>
      </c>
      <c r="D87" s="31" t="s">
        <v>18</v>
      </c>
      <c r="E87" s="33">
        <f>530+2313+895+250</f>
        <v>3988</v>
      </c>
      <c r="F87" s="33"/>
      <c r="G87" s="33">
        <f>E87*F87</f>
        <v>0</v>
      </c>
    </row>
    <row r="88" spans="1:7">
      <c r="A88" s="74" t="s">
        <v>741</v>
      </c>
      <c r="B88" s="165" t="s">
        <v>766</v>
      </c>
      <c r="C88" s="166"/>
      <c r="D88" s="8"/>
      <c r="E88" s="9"/>
      <c r="F88" s="9"/>
      <c r="G88" s="9">
        <f>SUM(G89:G94)</f>
        <v>0</v>
      </c>
    </row>
    <row r="89" spans="1:7" ht="30">
      <c r="A89" s="70" t="s">
        <v>788</v>
      </c>
      <c r="B89" s="32" t="s">
        <v>671</v>
      </c>
      <c r="C89" s="34" t="s">
        <v>713</v>
      </c>
      <c r="D89" s="31" t="s">
        <v>18</v>
      </c>
      <c r="E89" s="33">
        <v>530</v>
      </c>
      <c r="F89" s="33"/>
      <c r="G89" s="33">
        <f t="shared" ref="G89:G94" si="5">E89*F89</f>
        <v>0</v>
      </c>
    </row>
    <row r="90" spans="1:7">
      <c r="A90" s="70" t="s">
        <v>789</v>
      </c>
      <c r="B90" s="32" t="s">
        <v>712</v>
      </c>
      <c r="C90" s="34" t="s">
        <v>711</v>
      </c>
      <c r="D90" s="31" t="s">
        <v>18</v>
      </c>
      <c r="E90" s="33">
        <v>530</v>
      </c>
      <c r="F90" s="33"/>
      <c r="G90" s="33">
        <f t="shared" si="5"/>
        <v>0</v>
      </c>
    </row>
    <row r="91" spans="1:7" ht="30">
      <c r="A91" s="70" t="s">
        <v>790</v>
      </c>
      <c r="B91" s="32" t="s">
        <v>762</v>
      </c>
      <c r="C91" s="34" t="s">
        <v>765</v>
      </c>
      <c r="D91" s="31" t="s">
        <v>18</v>
      </c>
      <c r="E91" s="33">
        <v>207</v>
      </c>
      <c r="F91" s="33"/>
      <c r="G91" s="33">
        <f t="shared" si="5"/>
        <v>0</v>
      </c>
    </row>
    <row r="92" spans="1:7" ht="30">
      <c r="A92" s="70" t="s">
        <v>791</v>
      </c>
      <c r="B92" s="32" t="s">
        <v>762</v>
      </c>
      <c r="C92" s="34" t="s">
        <v>763</v>
      </c>
      <c r="D92" s="31" t="s">
        <v>18</v>
      </c>
      <c r="E92" s="33">
        <v>54</v>
      </c>
      <c r="F92" s="33"/>
      <c r="G92" s="33">
        <f t="shared" si="5"/>
        <v>0</v>
      </c>
    </row>
    <row r="93" spans="1:7" ht="30">
      <c r="A93" s="70" t="s">
        <v>900</v>
      </c>
      <c r="B93" s="32" t="s">
        <v>762</v>
      </c>
      <c r="C93" s="34" t="s">
        <v>761</v>
      </c>
      <c r="D93" s="31" t="s">
        <v>18</v>
      </c>
      <c r="E93" s="33">
        <v>21</v>
      </c>
      <c r="F93" s="33"/>
      <c r="G93" s="33">
        <f t="shared" si="5"/>
        <v>0</v>
      </c>
    </row>
    <row r="94" spans="1:7">
      <c r="A94" s="70" t="s">
        <v>901</v>
      </c>
      <c r="B94" s="32" t="s">
        <v>760</v>
      </c>
      <c r="C94" s="34" t="s">
        <v>759</v>
      </c>
      <c r="D94" s="31" t="s">
        <v>18</v>
      </c>
      <c r="E94" s="33">
        <v>248</v>
      </c>
      <c r="F94" s="33"/>
      <c r="G94" s="33">
        <f t="shared" si="5"/>
        <v>0</v>
      </c>
    </row>
    <row r="95" spans="1:7">
      <c r="A95" s="74" t="s">
        <v>739</v>
      </c>
      <c r="B95" s="165" t="s">
        <v>764</v>
      </c>
      <c r="C95" s="166"/>
      <c r="D95" s="8"/>
      <c r="E95" s="9"/>
      <c r="F95" s="9"/>
      <c r="G95" s="9">
        <f>SUM(G96:G100)</f>
        <v>0</v>
      </c>
    </row>
    <row r="96" spans="1:7" ht="30">
      <c r="A96" s="70" t="s">
        <v>792</v>
      </c>
      <c r="B96" s="32" t="s">
        <v>671</v>
      </c>
      <c r="C96" s="34" t="s">
        <v>670</v>
      </c>
      <c r="D96" s="31" t="s">
        <v>18</v>
      </c>
      <c r="E96" s="33">
        <v>2313</v>
      </c>
      <c r="F96" s="33"/>
      <c r="G96" s="33">
        <f>E96*F96</f>
        <v>0</v>
      </c>
    </row>
    <row r="97" spans="1:7">
      <c r="A97" s="70" t="s">
        <v>793</v>
      </c>
      <c r="B97" s="32" t="s">
        <v>669</v>
      </c>
      <c r="C97" s="34" t="s">
        <v>668</v>
      </c>
      <c r="D97" s="31" t="s">
        <v>18</v>
      </c>
      <c r="E97" s="33">
        <f>612+231+1470</f>
        <v>2313</v>
      </c>
      <c r="F97" s="33"/>
      <c r="G97" s="33">
        <f>E97*F97</f>
        <v>0</v>
      </c>
    </row>
    <row r="98" spans="1:7" ht="30">
      <c r="A98" s="70" t="s">
        <v>794</v>
      </c>
      <c r="B98" s="32" t="s">
        <v>762</v>
      </c>
      <c r="C98" s="34" t="s">
        <v>763</v>
      </c>
      <c r="D98" s="31" t="s">
        <v>18</v>
      </c>
      <c r="E98" s="33">
        <v>612</v>
      </c>
      <c r="F98" s="33"/>
      <c r="G98" s="33">
        <f>E98*F98</f>
        <v>0</v>
      </c>
    </row>
    <row r="99" spans="1:7" ht="30">
      <c r="A99" s="70" t="s">
        <v>868</v>
      </c>
      <c r="B99" s="32" t="s">
        <v>762</v>
      </c>
      <c r="C99" s="34" t="s">
        <v>761</v>
      </c>
      <c r="D99" s="31" t="s">
        <v>18</v>
      </c>
      <c r="E99" s="33">
        <v>231</v>
      </c>
      <c r="F99" s="33"/>
      <c r="G99" s="33">
        <f>E99*F99</f>
        <v>0</v>
      </c>
    </row>
    <row r="100" spans="1:7">
      <c r="A100" s="70" t="s">
        <v>869</v>
      </c>
      <c r="B100" s="32" t="s">
        <v>760</v>
      </c>
      <c r="C100" s="34" t="s">
        <v>759</v>
      </c>
      <c r="D100" s="31" t="s">
        <v>18</v>
      </c>
      <c r="E100" s="33">
        <v>1470</v>
      </c>
      <c r="F100" s="33"/>
      <c r="G100" s="33">
        <f>E100*F100</f>
        <v>0</v>
      </c>
    </row>
    <row r="101" spans="1:7">
      <c r="A101" s="74" t="s">
        <v>795</v>
      </c>
      <c r="B101" s="165" t="s">
        <v>758</v>
      </c>
      <c r="C101" s="166"/>
      <c r="D101" s="8"/>
      <c r="E101" s="9"/>
      <c r="F101" s="9"/>
      <c r="G101" s="9">
        <f>SUM(G102:G106)</f>
        <v>0</v>
      </c>
    </row>
    <row r="102" spans="1:7" ht="30">
      <c r="A102" s="70" t="s">
        <v>796</v>
      </c>
      <c r="B102" s="32" t="s">
        <v>671</v>
      </c>
      <c r="C102" s="34" t="s">
        <v>680</v>
      </c>
      <c r="D102" s="31" t="s">
        <v>18</v>
      </c>
      <c r="E102" s="33">
        <v>895</v>
      </c>
      <c r="F102" s="33"/>
      <c r="G102" s="33">
        <f>E102*F102</f>
        <v>0</v>
      </c>
    </row>
    <row r="103" spans="1:7" ht="30">
      <c r="A103" s="70" t="s">
        <v>797</v>
      </c>
      <c r="B103" s="32" t="s">
        <v>676</v>
      </c>
      <c r="C103" s="34" t="s">
        <v>675</v>
      </c>
      <c r="D103" s="31" t="s">
        <v>18</v>
      </c>
      <c r="E103" s="33">
        <v>715</v>
      </c>
      <c r="F103" s="33"/>
      <c r="G103" s="33">
        <f>E103*F103</f>
        <v>0</v>
      </c>
    </row>
    <row r="104" spans="1:7">
      <c r="A104" s="70" t="s">
        <v>798</v>
      </c>
      <c r="B104" s="32" t="s">
        <v>679</v>
      </c>
      <c r="C104" s="34" t="s">
        <v>678</v>
      </c>
      <c r="D104" s="31" t="s">
        <v>18</v>
      </c>
      <c r="E104" s="33">
        <f>145+570</f>
        <v>715</v>
      </c>
      <c r="F104" s="33"/>
      <c r="G104" s="33">
        <f>E104*F104</f>
        <v>0</v>
      </c>
    </row>
    <row r="105" spans="1:7" ht="30">
      <c r="A105" s="70" t="s">
        <v>902</v>
      </c>
      <c r="B105" s="32" t="s">
        <v>755</v>
      </c>
      <c r="C105" s="34" t="s">
        <v>756</v>
      </c>
      <c r="D105" s="31" t="s">
        <v>18</v>
      </c>
      <c r="E105" s="33">
        <v>570</v>
      </c>
      <c r="F105" s="33"/>
      <c r="G105" s="33">
        <f>E105*F105</f>
        <v>0</v>
      </c>
    </row>
    <row r="106" spans="1:7" ht="30">
      <c r="A106" s="70" t="s">
        <v>903</v>
      </c>
      <c r="B106" s="32" t="s">
        <v>755</v>
      </c>
      <c r="C106" s="34" t="s">
        <v>754</v>
      </c>
      <c r="D106" s="31" t="s">
        <v>18</v>
      </c>
      <c r="E106" s="33">
        <v>145</v>
      </c>
      <c r="F106" s="33"/>
      <c r="G106" s="33">
        <f>E106*F106</f>
        <v>0</v>
      </c>
    </row>
    <row r="107" spans="1:7">
      <c r="A107" s="74" t="s">
        <v>799</v>
      </c>
      <c r="B107" s="165" t="s">
        <v>757</v>
      </c>
      <c r="C107" s="166"/>
      <c r="D107" s="8"/>
      <c r="E107" s="9"/>
      <c r="F107" s="9"/>
      <c r="G107" s="9">
        <f>SUM(G108:G111)</f>
        <v>0</v>
      </c>
    </row>
    <row r="108" spans="1:7" ht="30">
      <c r="A108" s="70" t="s">
        <v>800</v>
      </c>
      <c r="B108" s="32" t="s">
        <v>671</v>
      </c>
      <c r="C108" s="34" t="s">
        <v>670</v>
      </c>
      <c r="D108" s="31" t="s">
        <v>18</v>
      </c>
      <c r="E108" s="33">
        <v>250</v>
      </c>
      <c r="F108" s="33"/>
      <c r="G108" s="33">
        <f>E108*F108</f>
        <v>0</v>
      </c>
    </row>
    <row r="109" spans="1:7">
      <c r="A109" s="70" t="s">
        <v>801</v>
      </c>
      <c r="B109" s="32" t="s">
        <v>669</v>
      </c>
      <c r="C109" s="34" t="s">
        <v>668</v>
      </c>
      <c r="D109" s="31" t="s">
        <v>18</v>
      </c>
      <c r="E109" s="33">
        <f>28+222</f>
        <v>250</v>
      </c>
      <c r="F109" s="33"/>
      <c r="G109" s="33">
        <f>E109*F109</f>
        <v>0</v>
      </c>
    </row>
    <row r="110" spans="1:7" ht="30">
      <c r="A110" s="70" t="s">
        <v>802</v>
      </c>
      <c r="B110" s="32" t="s">
        <v>755</v>
      </c>
      <c r="C110" s="34" t="s">
        <v>756</v>
      </c>
      <c r="D110" s="31" t="s">
        <v>18</v>
      </c>
      <c r="E110" s="33">
        <v>222</v>
      </c>
      <c r="F110" s="33"/>
      <c r="G110" s="33">
        <f>E110*F110</f>
        <v>0</v>
      </c>
    </row>
    <row r="111" spans="1:7" ht="30">
      <c r="A111" s="70" t="s">
        <v>803</v>
      </c>
      <c r="B111" s="32" t="s">
        <v>755</v>
      </c>
      <c r="C111" s="34" t="s">
        <v>754</v>
      </c>
      <c r="D111" s="31" t="s">
        <v>18</v>
      </c>
      <c r="E111" s="33">
        <v>28</v>
      </c>
      <c r="F111" s="33"/>
      <c r="G111" s="33">
        <f>E111*F111</f>
        <v>0</v>
      </c>
    </row>
    <row r="112" spans="1:7">
      <c r="A112" s="74" t="s">
        <v>887</v>
      </c>
      <c r="B112" s="165" t="s">
        <v>665</v>
      </c>
      <c r="C112" s="166"/>
      <c r="D112" s="8"/>
      <c r="E112" s="9"/>
      <c r="F112" s="9"/>
      <c r="G112" s="9">
        <f>SUM(G113:G114)</f>
        <v>0</v>
      </c>
    </row>
    <row r="113" spans="1:7" ht="30">
      <c r="A113" s="70" t="s">
        <v>888</v>
      </c>
      <c r="B113" s="32" t="s">
        <v>662</v>
      </c>
      <c r="C113" s="34" t="s">
        <v>753</v>
      </c>
      <c r="D113" s="31" t="s">
        <v>21</v>
      </c>
      <c r="E113" s="33">
        <f>501*0.08+111*0.04</f>
        <v>44.52</v>
      </c>
      <c r="F113" s="33"/>
      <c r="G113" s="33">
        <f>E113*F113</f>
        <v>0</v>
      </c>
    </row>
    <row r="114" spans="1:7" ht="30">
      <c r="A114" s="70" t="s">
        <v>889</v>
      </c>
      <c r="B114" s="32" t="s">
        <v>752</v>
      </c>
      <c r="C114" s="34" t="s">
        <v>751</v>
      </c>
      <c r="D114" s="31" t="s">
        <v>81</v>
      </c>
      <c r="E114" s="33">
        <v>501</v>
      </c>
      <c r="F114" s="33"/>
      <c r="G114" s="33">
        <f>E114*F114</f>
        <v>0</v>
      </c>
    </row>
    <row r="115" spans="1:7" ht="20.25" customHeight="1">
      <c r="A115" s="164" t="s">
        <v>585</v>
      </c>
      <c r="B115" s="164"/>
      <c r="C115" s="164"/>
      <c r="D115" s="164"/>
      <c r="E115" s="38"/>
      <c r="F115" s="38"/>
      <c r="G115" s="38">
        <f>SUM(G112,G107,G101,G95,G88,G84,G71)</f>
        <v>0</v>
      </c>
    </row>
    <row r="116" spans="1:7" ht="8.25" customHeight="1">
      <c r="A116" s="40"/>
      <c r="B116" s="40"/>
      <c r="C116" s="40"/>
      <c r="D116" s="40"/>
      <c r="E116" s="36"/>
      <c r="F116" s="36"/>
      <c r="G116" s="36"/>
    </row>
    <row r="117" spans="1:7" ht="22.5" customHeight="1">
      <c r="A117" s="81" t="s">
        <v>487</v>
      </c>
      <c r="B117" s="158" t="s">
        <v>484</v>
      </c>
      <c r="C117" s="158"/>
      <c r="D117" s="39"/>
      <c r="E117" s="38"/>
      <c r="F117" s="38"/>
      <c r="G117" s="38"/>
    </row>
    <row r="118" spans="1:7">
      <c r="A118" s="40" t="s">
        <v>108</v>
      </c>
      <c r="B118" s="163" t="s">
        <v>132</v>
      </c>
      <c r="C118" s="163"/>
      <c r="D118" s="40"/>
      <c r="E118" s="36"/>
      <c r="F118" s="36"/>
      <c r="G118" s="9">
        <f>SUM(G119:G122)</f>
        <v>0</v>
      </c>
    </row>
    <row r="119" spans="1:7" ht="30">
      <c r="A119" s="18" t="s">
        <v>488</v>
      </c>
      <c r="B119" s="10" t="s">
        <v>133</v>
      </c>
      <c r="C119" s="10" t="s">
        <v>134</v>
      </c>
      <c r="D119" s="18" t="s">
        <v>135</v>
      </c>
      <c r="E119" s="11">
        <v>4</v>
      </c>
      <c r="F119" s="11"/>
      <c r="G119" s="11">
        <f>E119*F119</f>
        <v>0</v>
      </c>
    </row>
    <row r="120" spans="1:7" ht="30">
      <c r="A120" s="18" t="s">
        <v>465</v>
      </c>
      <c r="B120" s="10" t="s">
        <v>136</v>
      </c>
      <c r="C120" s="10" t="s">
        <v>137</v>
      </c>
      <c r="D120" s="18" t="s">
        <v>138</v>
      </c>
      <c r="E120" s="11">
        <v>6</v>
      </c>
      <c r="F120" s="11"/>
      <c r="G120" s="11">
        <f>E120*F120</f>
        <v>0</v>
      </c>
    </row>
    <row r="121" spans="1:7" ht="30">
      <c r="A121" s="18" t="s">
        <v>488</v>
      </c>
      <c r="B121" s="10" t="s">
        <v>139</v>
      </c>
      <c r="C121" s="24" t="s">
        <v>646</v>
      </c>
      <c r="D121" s="18" t="s">
        <v>138</v>
      </c>
      <c r="E121" s="11">
        <v>6</v>
      </c>
      <c r="F121" s="11"/>
      <c r="G121" s="11">
        <f>E121*F121</f>
        <v>0</v>
      </c>
    </row>
    <row r="122" spans="1:7" ht="30">
      <c r="A122" s="18" t="s">
        <v>466</v>
      </c>
      <c r="B122" s="10" t="s">
        <v>141</v>
      </c>
      <c r="C122" s="10" t="s">
        <v>142</v>
      </c>
      <c r="D122" s="18" t="s">
        <v>143</v>
      </c>
      <c r="E122" s="11">
        <v>14</v>
      </c>
      <c r="F122" s="11"/>
      <c r="G122" s="11">
        <f>E122*F122</f>
        <v>0</v>
      </c>
    </row>
    <row r="123" spans="1:7" ht="20.25" customHeight="1">
      <c r="A123" s="8" t="s">
        <v>109</v>
      </c>
      <c r="B123" s="159" t="s">
        <v>144</v>
      </c>
      <c r="C123" s="159"/>
      <c r="D123" s="8"/>
      <c r="E123" s="9"/>
      <c r="F123" s="9"/>
      <c r="G123" s="11">
        <f>SUM(G124:G164)</f>
        <v>0</v>
      </c>
    </row>
    <row r="124" spans="1:7" ht="45">
      <c r="A124" s="18" t="s">
        <v>489</v>
      </c>
      <c r="B124" s="10" t="s">
        <v>145</v>
      </c>
      <c r="C124" s="10" t="s">
        <v>146</v>
      </c>
      <c r="D124" s="18" t="s">
        <v>81</v>
      </c>
      <c r="E124" s="11">
        <v>12</v>
      </c>
      <c r="F124" s="11"/>
      <c r="G124" s="11">
        <f t="shared" ref="G124:G164" si="6">E124*F124</f>
        <v>0</v>
      </c>
    </row>
    <row r="125" spans="1:7" ht="30">
      <c r="A125" s="18" t="s">
        <v>490</v>
      </c>
      <c r="B125" s="10" t="s">
        <v>147</v>
      </c>
      <c r="C125" s="10" t="s">
        <v>148</v>
      </c>
      <c r="D125" s="18" t="s">
        <v>81</v>
      </c>
      <c r="E125" s="11">
        <v>290</v>
      </c>
      <c r="F125" s="11"/>
      <c r="G125" s="11">
        <f t="shared" si="6"/>
        <v>0</v>
      </c>
    </row>
    <row r="126" spans="1:7" ht="30">
      <c r="A126" s="18" t="s">
        <v>491</v>
      </c>
      <c r="B126" s="10" t="s">
        <v>149</v>
      </c>
      <c r="C126" s="10" t="s">
        <v>150</v>
      </c>
      <c r="D126" s="18" t="s">
        <v>81</v>
      </c>
      <c r="E126" s="11">
        <v>120</v>
      </c>
      <c r="F126" s="11"/>
      <c r="G126" s="11">
        <f t="shared" si="6"/>
        <v>0</v>
      </c>
    </row>
    <row r="127" spans="1:7" ht="30">
      <c r="A127" s="18" t="s">
        <v>492</v>
      </c>
      <c r="B127" s="10" t="s">
        <v>151</v>
      </c>
      <c r="C127" s="10" t="s">
        <v>152</v>
      </c>
      <c r="D127" s="18" t="s">
        <v>127</v>
      </c>
      <c r="E127" s="11">
        <v>17</v>
      </c>
      <c r="F127" s="11"/>
      <c r="G127" s="11">
        <f t="shared" si="6"/>
        <v>0</v>
      </c>
    </row>
    <row r="128" spans="1:7" ht="30">
      <c r="A128" s="18" t="s">
        <v>493</v>
      </c>
      <c r="B128" s="10" t="s">
        <v>153</v>
      </c>
      <c r="C128" s="10" t="s">
        <v>154</v>
      </c>
      <c r="D128" s="18" t="s">
        <v>81</v>
      </c>
      <c r="E128" s="11">
        <v>45</v>
      </c>
      <c r="F128" s="11"/>
      <c r="G128" s="11">
        <f t="shared" si="6"/>
        <v>0</v>
      </c>
    </row>
    <row r="129" spans="1:7" ht="30">
      <c r="A129" s="18" t="s">
        <v>494</v>
      </c>
      <c r="B129" s="10" t="s">
        <v>155</v>
      </c>
      <c r="C129" s="10" t="s">
        <v>156</v>
      </c>
      <c r="D129" s="18" t="s">
        <v>81</v>
      </c>
      <c r="E129" s="11">
        <v>400</v>
      </c>
      <c r="F129" s="11"/>
      <c r="G129" s="11">
        <f t="shared" si="6"/>
        <v>0</v>
      </c>
    </row>
    <row r="130" spans="1:7">
      <c r="A130" s="18" t="s">
        <v>495</v>
      </c>
      <c r="B130" s="10" t="s">
        <v>155</v>
      </c>
      <c r="C130" s="10" t="s">
        <v>157</v>
      </c>
      <c r="D130" s="18" t="s">
        <v>81</v>
      </c>
      <c r="E130" s="11">
        <v>400</v>
      </c>
      <c r="F130" s="11"/>
      <c r="G130" s="11">
        <f t="shared" si="6"/>
        <v>0</v>
      </c>
    </row>
    <row r="131" spans="1:7" ht="60">
      <c r="A131" s="18" t="s">
        <v>496</v>
      </c>
      <c r="B131" s="10" t="s">
        <v>158</v>
      </c>
      <c r="C131" s="10" t="s">
        <v>159</v>
      </c>
      <c r="D131" s="18" t="s">
        <v>18</v>
      </c>
      <c r="E131" s="11">
        <v>290</v>
      </c>
      <c r="F131" s="11"/>
      <c r="G131" s="11">
        <f t="shared" si="6"/>
        <v>0</v>
      </c>
    </row>
    <row r="132" spans="1:7" ht="45">
      <c r="A132" s="18" t="s">
        <v>497</v>
      </c>
      <c r="B132" s="10" t="s">
        <v>160</v>
      </c>
      <c r="C132" s="10" t="s">
        <v>161</v>
      </c>
      <c r="D132" s="18" t="s">
        <v>11</v>
      </c>
      <c r="E132" s="11">
        <v>30</v>
      </c>
      <c r="F132" s="11"/>
      <c r="G132" s="11">
        <f t="shared" si="6"/>
        <v>0</v>
      </c>
    </row>
    <row r="133" spans="1:7" ht="30">
      <c r="A133" s="18" t="s">
        <v>498</v>
      </c>
      <c r="B133" s="10" t="s">
        <v>162</v>
      </c>
      <c r="C133" s="10" t="s">
        <v>163</v>
      </c>
      <c r="D133" s="18" t="s">
        <v>164</v>
      </c>
      <c r="E133" s="11">
        <v>21</v>
      </c>
      <c r="F133" s="11"/>
      <c r="G133" s="11">
        <f t="shared" si="6"/>
        <v>0</v>
      </c>
    </row>
    <row r="134" spans="1:7" ht="30">
      <c r="A134" s="18" t="s">
        <v>499</v>
      </c>
      <c r="B134" s="10" t="s">
        <v>165</v>
      </c>
      <c r="C134" s="10" t="s">
        <v>166</v>
      </c>
      <c r="D134" s="18" t="s">
        <v>81</v>
      </c>
      <c r="E134" s="11">
        <v>120</v>
      </c>
      <c r="F134" s="11"/>
      <c r="G134" s="11">
        <f t="shared" si="6"/>
        <v>0</v>
      </c>
    </row>
    <row r="135" spans="1:7" ht="30">
      <c r="A135" s="18" t="s">
        <v>500</v>
      </c>
      <c r="B135" s="10" t="s">
        <v>165</v>
      </c>
      <c r="C135" s="10" t="s">
        <v>166</v>
      </c>
      <c r="D135" s="18" t="s">
        <v>81</v>
      </c>
      <c r="E135" s="11">
        <v>30</v>
      </c>
      <c r="F135" s="11"/>
      <c r="G135" s="11">
        <f t="shared" si="6"/>
        <v>0</v>
      </c>
    </row>
    <row r="136" spans="1:7" ht="30">
      <c r="A136" s="18" t="s">
        <v>501</v>
      </c>
      <c r="B136" s="10" t="s">
        <v>165</v>
      </c>
      <c r="C136" s="10" t="s">
        <v>166</v>
      </c>
      <c r="D136" s="18" t="s">
        <v>81</v>
      </c>
      <c r="E136" s="11">
        <v>90</v>
      </c>
      <c r="F136" s="11"/>
      <c r="G136" s="11">
        <f t="shared" si="6"/>
        <v>0</v>
      </c>
    </row>
    <row r="137" spans="1:7" ht="30">
      <c r="A137" s="18" t="s">
        <v>502</v>
      </c>
      <c r="B137" s="10" t="s">
        <v>165</v>
      </c>
      <c r="C137" s="10" t="s">
        <v>166</v>
      </c>
      <c r="D137" s="18" t="s">
        <v>81</v>
      </c>
      <c r="E137" s="11">
        <v>170</v>
      </c>
      <c r="F137" s="11"/>
      <c r="G137" s="11">
        <f t="shared" si="6"/>
        <v>0</v>
      </c>
    </row>
    <row r="138" spans="1:7" ht="30">
      <c r="A138" s="18" t="s">
        <v>503</v>
      </c>
      <c r="B138" s="10" t="s">
        <v>165</v>
      </c>
      <c r="C138" s="10" t="s">
        <v>166</v>
      </c>
      <c r="D138" s="18" t="s">
        <v>81</v>
      </c>
      <c r="E138" s="11">
        <v>30</v>
      </c>
      <c r="F138" s="11"/>
      <c r="G138" s="11">
        <f t="shared" si="6"/>
        <v>0</v>
      </c>
    </row>
    <row r="139" spans="1:7" ht="45">
      <c r="A139" s="18" t="s">
        <v>504</v>
      </c>
      <c r="B139" s="24" t="s">
        <v>483</v>
      </c>
      <c r="C139" s="24" t="s">
        <v>637</v>
      </c>
      <c r="D139" s="18" t="s">
        <v>11</v>
      </c>
      <c r="E139" s="11">
        <v>8</v>
      </c>
      <c r="F139" s="11"/>
      <c r="G139" s="11">
        <f t="shared" si="6"/>
        <v>0</v>
      </c>
    </row>
    <row r="140" spans="1:7" ht="45">
      <c r="A140" s="18" t="s">
        <v>505</v>
      </c>
      <c r="B140" s="24" t="s">
        <v>483</v>
      </c>
      <c r="C140" s="24" t="s">
        <v>638</v>
      </c>
      <c r="D140" s="18" t="s">
        <v>11</v>
      </c>
      <c r="E140" s="11">
        <v>4</v>
      </c>
      <c r="F140" s="11"/>
      <c r="G140" s="11">
        <f t="shared" ref="G140:G141" si="7">E140*F140</f>
        <v>0</v>
      </c>
    </row>
    <row r="141" spans="1:7" ht="30">
      <c r="A141" s="18" t="s">
        <v>506</v>
      </c>
      <c r="B141" s="24" t="s">
        <v>483</v>
      </c>
      <c r="C141" s="24" t="s">
        <v>639</v>
      </c>
      <c r="D141" s="22" t="s">
        <v>11</v>
      </c>
      <c r="E141" s="11">
        <v>12</v>
      </c>
      <c r="F141" s="11"/>
      <c r="G141" s="11">
        <f t="shared" si="7"/>
        <v>0</v>
      </c>
    </row>
    <row r="142" spans="1:7" ht="30">
      <c r="A142" s="18" t="s">
        <v>507</v>
      </c>
      <c r="B142" s="10" t="s">
        <v>169</v>
      </c>
      <c r="C142" s="10" t="s">
        <v>170</v>
      </c>
      <c r="D142" s="18" t="s">
        <v>88</v>
      </c>
      <c r="E142" s="11">
        <v>8</v>
      </c>
      <c r="F142" s="11"/>
      <c r="G142" s="11">
        <f t="shared" si="6"/>
        <v>0</v>
      </c>
    </row>
    <row r="143" spans="1:7" ht="30">
      <c r="A143" s="18" t="s">
        <v>508</v>
      </c>
      <c r="B143" s="24" t="s">
        <v>483</v>
      </c>
      <c r="C143" s="24" t="s">
        <v>640</v>
      </c>
      <c r="D143" s="23" t="s">
        <v>143</v>
      </c>
      <c r="E143" s="11">
        <v>12</v>
      </c>
      <c r="F143" s="11"/>
      <c r="G143" s="11">
        <f t="shared" si="6"/>
        <v>0</v>
      </c>
    </row>
    <row r="144" spans="1:7" ht="60">
      <c r="A144" s="18" t="s">
        <v>509</v>
      </c>
      <c r="B144" s="24" t="s">
        <v>483</v>
      </c>
      <c r="C144" s="24" t="s">
        <v>641</v>
      </c>
      <c r="D144" s="22" t="s">
        <v>143</v>
      </c>
      <c r="E144" s="11">
        <v>9</v>
      </c>
      <c r="F144" s="11"/>
      <c r="G144" s="11">
        <f t="shared" si="6"/>
        <v>0</v>
      </c>
    </row>
    <row r="145" spans="1:9" ht="30">
      <c r="A145" s="18" t="s">
        <v>510</v>
      </c>
      <c r="B145" s="10" t="s">
        <v>171</v>
      </c>
      <c r="C145" s="10" t="s">
        <v>172</v>
      </c>
      <c r="D145" s="18" t="s">
        <v>11</v>
      </c>
      <c r="E145" s="11">
        <v>20</v>
      </c>
      <c r="F145" s="11"/>
      <c r="G145" s="11">
        <f t="shared" si="6"/>
        <v>0</v>
      </c>
    </row>
    <row r="146" spans="1:9" ht="60">
      <c r="A146" s="18" t="s">
        <v>511</v>
      </c>
      <c r="B146" s="10" t="s">
        <v>173</v>
      </c>
      <c r="C146" s="10" t="s">
        <v>174</v>
      </c>
      <c r="D146" s="18" t="s">
        <v>18</v>
      </c>
      <c r="E146" s="11">
        <v>90</v>
      </c>
      <c r="F146" s="11"/>
      <c r="G146" s="11">
        <f t="shared" si="6"/>
        <v>0</v>
      </c>
    </row>
    <row r="147" spans="1:9" ht="30">
      <c r="A147" s="18" t="s">
        <v>512</v>
      </c>
      <c r="B147" s="10" t="s">
        <v>175</v>
      </c>
      <c r="C147" s="24" t="s">
        <v>643</v>
      </c>
      <c r="D147" s="18" t="s">
        <v>88</v>
      </c>
      <c r="E147" s="11">
        <v>1</v>
      </c>
      <c r="F147" s="11"/>
      <c r="G147" s="11">
        <f t="shared" si="6"/>
        <v>0</v>
      </c>
    </row>
    <row r="148" spans="1:9" ht="45">
      <c r="A148" s="18" t="s">
        <v>513</v>
      </c>
      <c r="B148" s="27" t="s">
        <v>176</v>
      </c>
      <c r="C148" s="27" t="s">
        <v>177</v>
      </c>
      <c r="D148" s="17" t="s">
        <v>11</v>
      </c>
      <c r="E148" s="15">
        <v>1</v>
      </c>
      <c r="F148" s="15"/>
      <c r="G148" s="15">
        <f t="shared" si="6"/>
        <v>0</v>
      </c>
    </row>
    <row r="149" spans="1:9" ht="45">
      <c r="A149" s="18" t="s">
        <v>514</v>
      </c>
      <c r="B149" s="10" t="s">
        <v>178</v>
      </c>
      <c r="C149" s="10" t="s">
        <v>179</v>
      </c>
      <c r="D149" s="18" t="s">
        <v>11</v>
      </c>
      <c r="E149" s="11">
        <v>19</v>
      </c>
      <c r="F149" s="11"/>
      <c r="G149" s="11">
        <f t="shared" si="6"/>
        <v>0</v>
      </c>
    </row>
    <row r="150" spans="1:9" ht="30">
      <c r="A150" s="18" t="s">
        <v>515</v>
      </c>
      <c r="B150" s="10" t="s">
        <v>180</v>
      </c>
      <c r="C150" s="24" t="s">
        <v>642</v>
      </c>
      <c r="D150" s="18" t="s">
        <v>88</v>
      </c>
      <c r="E150" s="11">
        <v>4</v>
      </c>
      <c r="F150" s="11"/>
      <c r="G150" s="11">
        <f t="shared" si="6"/>
        <v>0</v>
      </c>
      <c r="I150" s="78"/>
    </row>
    <row r="151" spans="1:9" ht="30">
      <c r="A151" s="18" t="s">
        <v>516</v>
      </c>
      <c r="B151" s="24" t="s">
        <v>644</v>
      </c>
      <c r="C151" s="24" t="s">
        <v>645</v>
      </c>
      <c r="D151" s="22" t="s">
        <v>88</v>
      </c>
      <c r="E151" s="11">
        <v>1</v>
      </c>
      <c r="F151" s="11"/>
      <c r="G151" s="11">
        <f t="shared" si="6"/>
        <v>0</v>
      </c>
      <c r="I151" s="79"/>
    </row>
    <row r="152" spans="1:9" ht="45">
      <c r="A152" s="18" t="s">
        <v>517</v>
      </c>
      <c r="B152" s="24"/>
      <c r="C152" s="71" t="s">
        <v>941</v>
      </c>
      <c r="D152" s="77" t="s">
        <v>143</v>
      </c>
      <c r="E152" s="11">
        <v>1</v>
      </c>
      <c r="F152" s="11"/>
      <c r="G152" s="11">
        <f t="shared" si="6"/>
        <v>0</v>
      </c>
      <c r="I152" s="79"/>
    </row>
    <row r="153" spans="1:9" ht="60">
      <c r="A153" s="18" t="s">
        <v>518</v>
      </c>
      <c r="B153" s="10" t="s">
        <v>181</v>
      </c>
      <c r="C153" s="10" t="s">
        <v>182</v>
      </c>
      <c r="D153" s="18" t="s">
        <v>11</v>
      </c>
      <c r="E153" s="11">
        <v>3</v>
      </c>
      <c r="F153" s="11"/>
      <c r="G153" s="11">
        <f t="shared" si="6"/>
        <v>0</v>
      </c>
    </row>
    <row r="154" spans="1:9" ht="45">
      <c r="A154" s="18" t="s">
        <v>519</v>
      </c>
      <c r="B154" s="10" t="s">
        <v>183</v>
      </c>
      <c r="C154" s="10" t="s">
        <v>184</v>
      </c>
      <c r="D154" s="18" t="s">
        <v>11</v>
      </c>
      <c r="E154" s="11">
        <v>2</v>
      </c>
      <c r="F154" s="11"/>
      <c r="G154" s="11">
        <f t="shared" si="6"/>
        <v>0</v>
      </c>
    </row>
    <row r="155" spans="1:9" ht="60">
      <c r="A155" s="18" t="s">
        <v>520</v>
      </c>
      <c r="B155" s="10" t="s">
        <v>185</v>
      </c>
      <c r="C155" s="10" t="s">
        <v>186</v>
      </c>
      <c r="D155" s="18" t="s">
        <v>11</v>
      </c>
      <c r="E155" s="11">
        <v>1</v>
      </c>
      <c r="F155" s="11"/>
      <c r="G155" s="11">
        <f t="shared" si="6"/>
        <v>0</v>
      </c>
    </row>
    <row r="156" spans="1:9">
      <c r="A156" s="18" t="s">
        <v>521</v>
      </c>
      <c r="B156" s="10" t="s">
        <v>187</v>
      </c>
      <c r="C156" s="10" t="s">
        <v>188</v>
      </c>
      <c r="D156" s="18" t="s">
        <v>11</v>
      </c>
      <c r="E156" s="11">
        <v>1</v>
      </c>
      <c r="F156" s="11"/>
      <c r="G156" s="11">
        <f t="shared" si="6"/>
        <v>0</v>
      </c>
    </row>
    <row r="157" spans="1:9">
      <c r="A157" s="18" t="s">
        <v>522</v>
      </c>
      <c r="B157" s="10" t="s">
        <v>189</v>
      </c>
      <c r="C157" s="10" t="s">
        <v>190</v>
      </c>
      <c r="D157" s="18" t="s">
        <v>191</v>
      </c>
      <c r="E157" s="11">
        <v>20</v>
      </c>
      <c r="F157" s="11"/>
      <c r="G157" s="11">
        <f t="shared" si="6"/>
        <v>0</v>
      </c>
    </row>
    <row r="158" spans="1:9" ht="45">
      <c r="A158" s="18" t="s">
        <v>523</v>
      </c>
      <c r="B158" s="10" t="s">
        <v>192</v>
      </c>
      <c r="C158" s="10" t="s">
        <v>193</v>
      </c>
      <c r="D158" s="18" t="s">
        <v>194</v>
      </c>
      <c r="E158" s="11">
        <v>50</v>
      </c>
      <c r="F158" s="11"/>
      <c r="G158" s="11">
        <f t="shared" si="6"/>
        <v>0</v>
      </c>
    </row>
    <row r="159" spans="1:9" ht="30">
      <c r="A159" s="18" t="s">
        <v>524</v>
      </c>
      <c r="B159" s="10" t="s">
        <v>195</v>
      </c>
      <c r="C159" s="10" t="s">
        <v>196</v>
      </c>
      <c r="D159" s="18" t="s">
        <v>191</v>
      </c>
      <c r="E159" s="11">
        <v>10</v>
      </c>
      <c r="F159" s="11"/>
      <c r="G159" s="11">
        <f t="shared" si="6"/>
        <v>0</v>
      </c>
    </row>
    <row r="160" spans="1:9" ht="30">
      <c r="A160" s="18" t="s">
        <v>525</v>
      </c>
      <c r="B160" s="10" t="s">
        <v>197</v>
      </c>
      <c r="C160" s="10" t="s">
        <v>198</v>
      </c>
      <c r="D160" s="18" t="s">
        <v>191</v>
      </c>
      <c r="E160" s="11">
        <v>24</v>
      </c>
      <c r="F160" s="11"/>
      <c r="G160" s="11">
        <f t="shared" si="6"/>
        <v>0</v>
      </c>
    </row>
    <row r="161" spans="1:7" ht="30">
      <c r="A161" s="18" t="s">
        <v>647</v>
      </c>
      <c r="B161" s="10" t="s">
        <v>199</v>
      </c>
      <c r="C161" s="10" t="s">
        <v>200</v>
      </c>
      <c r="D161" s="18" t="s">
        <v>191</v>
      </c>
      <c r="E161" s="11">
        <v>24</v>
      </c>
      <c r="F161" s="11"/>
      <c r="G161" s="11">
        <f t="shared" si="6"/>
        <v>0</v>
      </c>
    </row>
    <row r="162" spans="1:7" ht="30">
      <c r="A162" s="18" t="s">
        <v>648</v>
      </c>
      <c r="B162" s="10" t="s">
        <v>201</v>
      </c>
      <c r="C162" s="10" t="s">
        <v>202</v>
      </c>
      <c r="D162" s="18" t="s">
        <v>191</v>
      </c>
      <c r="E162" s="11">
        <v>15</v>
      </c>
      <c r="F162" s="11"/>
      <c r="G162" s="11">
        <f t="shared" si="6"/>
        <v>0</v>
      </c>
    </row>
    <row r="163" spans="1:7" ht="30">
      <c r="A163" s="18" t="s">
        <v>649</v>
      </c>
      <c r="B163" s="10" t="s">
        <v>203</v>
      </c>
      <c r="C163" s="10" t="s">
        <v>204</v>
      </c>
      <c r="D163" s="18" t="s">
        <v>191</v>
      </c>
      <c r="E163" s="11">
        <v>10</v>
      </c>
      <c r="F163" s="11"/>
      <c r="G163" s="11">
        <f t="shared" si="6"/>
        <v>0</v>
      </c>
    </row>
    <row r="164" spans="1:7" ht="30">
      <c r="A164" s="18" t="s">
        <v>939</v>
      </c>
      <c r="B164" s="10" t="s">
        <v>199</v>
      </c>
      <c r="C164" s="10" t="s">
        <v>200</v>
      </c>
      <c r="D164" s="18" t="s">
        <v>191</v>
      </c>
      <c r="E164" s="11">
        <v>44</v>
      </c>
      <c r="F164" s="11"/>
      <c r="G164" s="11">
        <f t="shared" si="6"/>
        <v>0</v>
      </c>
    </row>
    <row r="165" spans="1:7" ht="18.75" customHeight="1">
      <c r="A165" s="156" t="s">
        <v>584</v>
      </c>
      <c r="B165" s="156"/>
      <c r="C165" s="156"/>
      <c r="D165" s="156"/>
      <c r="E165" s="38"/>
      <c r="F165" s="38"/>
      <c r="G165" s="38">
        <f>SUM(G123,G118)</f>
        <v>0</v>
      </c>
    </row>
    <row r="166" spans="1:7" ht="9" customHeight="1">
      <c r="A166" s="40"/>
      <c r="B166" s="45"/>
      <c r="C166" s="45"/>
      <c r="D166" s="45"/>
      <c r="E166" s="36"/>
      <c r="F166" s="36"/>
      <c r="G166" s="36"/>
    </row>
    <row r="167" spans="1:7" ht="22.5" customHeight="1">
      <c r="A167" s="81" t="s">
        <v>526</v>
      </c>
      <c r="B167" s="158" t="s">
        <v>527</v>
      </c>
      <c r="C167" s="158"/>
      <c r="D167" s="39"/>
      <c r="E167" s="38"/>
      <c r="F167" s="38"/>
      <c r="G167" s="38"/>
    </row>
    <row r="168" spans="1:7" ht="18.75" customHeight="1">
      <c r="A168" s="40" t="s">
        <v>113</v>
      </c>
      <c r="B168" s="171" t="s">
        <v>551</v>
      </c>
      <c r="C168" s="171"/>
      <c r="D168" s="93"/>
      <c r="E168" s="36"/>
      <c r="F168" s="36"/>
      <c r="G168" s="36">
        <f>SUM(G169,G179)</f>
        <v>0</v>
      </c>
    </row>
    <row r="169" spans="1:7">
      <c r="A169" s="74" t="s">
        <v>469</v>
      </c>
      <c r="B169" s="157" t="s">
        <v>256</v>
      </c>
      <c r="C169" s="157"/>
      <c r="D169" s="41"/>
      <c r="E169" s="9"/>
      <c r="F169" s="9"/>
      <c r="G169" s="11">
        <f>SUM(G170:G178)</f>
        <v>0</v>
      </c>
    </row>
    <row r="170" spans="1:7" ht="30">
      <c r="A170" s="70" t="s">
        <v>552</v>
      </c>
      <c r="B170" s="10" t="s">
        <v>257</v>
      </c>
      <c r="C170" s="10" t="s">
        <v>258</v>
      </c>
      <c r="D170" s="6" t="s">
        <v>221</v>
      </c>
      <c r="E170" s="11">
        <v>0.26</v>
      </c>
      <c r="F170" s="11"/>
      <c r="G170" s="11">
        <f t="shared" ref="G170:G178" si="8">E170*F170</f>
        <v>0</v>
      </c>
    </row>
    <row r="171" spans="1:7" ht="45">
      <c r="A171" s="70" t="s">
        <v>553</v>
      </c>
      <c r="B171" s="10" t="s">
        <v>259</v>
      </c>
      <c r="C171" s="10" t="s">
        <v>260</v>
      </c>
      <c r="D171" s="6" t="s">
        <v>21</v>
      </c>
      <c r="E171" s="11">
        <f>(6.25*1.8*0.9+24.3*1.6*0.8+51.17*2.7*0.9+9.57*1.8*0.9+7.51*2*0.9+20.5*1.5*0.8+7.65*2.1*0.9+16.4*2.2*0.9+69.4*2.5*0.9+1.35*3*0.9+6.5*1.4*0.8+17.9*3*0.9+8*3.1*0.9+10.2*3.1*0.9+7*1.8*3.4*1.8+9*1.8*2.3*1.8+10*1.5*2.2*1.5)*0.8</f>
        <v>580.79</v>
      </c>
      <c r="F171" s="11"/>
      <c r="G171" s="11">
        <f>E171*F171</f>
        <v>0</v>
      </c>
    </row>
    <row r="172" spans="1:7" ht="45">
      <c r="A172" s="70" t="s">
        <v>554</v>
      </c>
      <c r="B172" s="10" t="s">
        <v>261</v>
      </c>
      <c r="C172" s="10" t="s">
        <v>262</v>
      </c>
      <c r="D172" s="6" t="s">
        <v>21</v>
      </c>
      <c r="E172" s="11">
        <f>(6.25*1.8*0.9+24.3*1.6*0.8+51.17*2.7*0.9+9.57*1.8*0.9+7.51*2*0.9+20.5*1.5*0.8+7.65*2.1*0.9+16.4*2.2*0.9+69.4*2.5*0.9+1.35*3*0.9+6.5*1.4*0.8+17.9*3*0.9+8*3.1*0.9+10.2*3.1*0.9+7*1.8*3.4*1.8+9*1.8*2.3*1.8+10*1.5*2.2*1.5)*0.2</f>
        <v>145.19999999999999</v>
      </c>
      <c r="F172" s="11"/>
      <c r="G172" s="11">
        <f t="shared" si="8"/>
        <v>0</v>
      </c>
    </row>
    <row r="173" spans="1:7" ht="60">
      <c r="A173" s="70" t="s">
        <v>555</v>
      </c>
      <c r="B173" s="10" t="s">
        <v>263</v>
      </c>
      <c r="C173" s="10" t="s">
        <v>264</v>
      </c>
      <c r="D173" s="6" t="s">
        <v>18</v>
      </c>
      <c r="E173" s="11">
        <v>328.32</v>
      </c>
      <c r="F173" s="11"/>
      <c r="G173" s="11">
        <f t="shared" si="8"/>
        <v>0</v>
      </c>
    </row>
    <row r="174" spans="1:7" ht="60">
      <c r="A174" s="70" t="s">
        <v>920</v>
      </c>
      <c r="B174" s="10" t="s">
        <v>263</v>
      </c>
      <c r="C174" s="10" t="s">
        <v>265</v>
      </c>
      <c r="D174" s="6" t="s">
        <v>18</v>
      </c>
      <c r="E174" s="11">
        <v>895.53</v>
      </c>
      <c r="F174" s="11"/>
      <c r="G174" s="11">
        <f t="shared" si="8"/>
        <v>0</v>
      </c>
    </row>
    <row r="175" spans="1:7" ht="30">
      <c r="A175" s="70" t="s">
        <v>921</v>
      </c>
      <c r="B175" s="10" t="s">
        <v>266</v>
      </c>
      <c r="C175" s="10" t="s">
        <v>267</v>
      </c>
      <c r="D175" s="6" t="s">
        <v>21</v>
      </c>
      <c r="E175" s="11">
        <v>25.48</v>
      </c>
      <c r="F175" s="11"/>
      <c r="G175" s="11">
        <f t="shared" si="8"/>
        <v>0</v>
      </c>
    </row>
    <row r="176" spans="1:7" ht="30">
      <c r="A176" s="70" t="s">
        <v>922</v>
      </c>
      <c r="B176" s="10" t="s">
        <v>268</v>
      </c>
      <c r="C176" s="10" t="s">
        <v>269</v>
      </c>
      <c r="D176" s="6" t="s">
        <v>21</v>
      </c>
      <c r="E176" s="11">
        <v>285.45</v>
      </c>
      <c r="F176" s="11"/>
      <c r="G176" s="11">
        <f t="shared" si="8"/>
        <v>0</v>
      </c>
    </row>
    <row r="177" spans="1:7" ht="30">
      <c r="A177" s="70" t="s">
        <v>923</v>
      </c>
      <c r="B177" s="10" t="s">
        <v>270</v>
      </c>
      <c r="C177" s="10" t="s">
        <v>271</v>
      </c>
      <c r="D177" s="6" t="s">
        <v>21</v>
      </c>
      <c r="E177" s="11">
        <v>320.36</v>
      </c>
      <c r="F177" s="11"/>
      <c r="G177" s="11">
        <f t="shared" si="8"/>
        <v>0</v>
      </c>
    </row>
    <row r="178" spans="1:7" ht="30">
      <c r="A178" s="70" t="s">
        <v>924</v>
      </c>
      <c r="B178" s="10" t="s">
        <v>272</v>
      </c>
      <c r="C178" s="10" t="s">
        <v>273</v>
      </c>
      <c r="D178" s="6" t="s">
        <v>21</v>
      </c>
      <c r="E178" s="11">
        <v>320.36</v>
      </c>
      <c r="F178" s="11"/>
      <c r="G178" s="11">
        <f t="shared" si="8"/>
        <v>0</v>
      </c>
    </row>
    <row r="179" spans="1:7">
      <c r="A179" s="74" t="s">
        <v>470</v>
      </c>
      <c r="B179" s="159" t="s">
        <v>275</v>
      </c>
      <c r="C179" s="159"/>
      <c r="D179" s="41"/>
      <c r="E179" s="9"/>
      <c r="F179" s="9"/>
      <c r="G179" s="9">
        <f>SUM(G180:G193)</f>
        <v>0</v>
      </c>
    </row>
    <row r="180" spans="1:7" ht="30">
      <c r="A180" s="70" t="s">
        <v>556</v>
      </c>
      <c r="B180" s="10" t="s">
        <v>276</v>
      </c>
      <c r="C180" s="24" t="s">
        <v>636</v>
      </c>
      <c r="D180" s="6" t="s">
        <v>138</v>
      </c>
      <c r="E180" s="11">
        <v>3</v>
      </c>
      <c r="F180" s="11"/>
      <c r="G180" s="11">
        <f t="shared" ref="G180:G189" si="9">E180*F180</f>
        <v>0</v>
      </c>
    </row>
    <row r="181" spans="1:7" ht="30">
      <c r="A181" s="70" t="s">
        <v>557</v>
      </c>
      <c r="B181" s="10" t="s">
        <v>277</v>
      </c>
      <c r="C181" s="10" t="s">
        <v>278</v>
      </c>
      <c r="D181" s="6" t="s">
        <v>81</v>
      </c>
      <c r="E181" s="11">
        <v>143.97</v>
      </c>
      <c r="F181" s="11"/>
      <c r="G181" s="11">
        <f t="shared" si="9"/>
        <v>0</v>
      </c>
    </row>
    <row r="182" spans="1:7" ht="30">
      <c r="A182" s="70" t="s">
        <v>558</v>
      </c>
      <c r="B182" s="10" t="s">
        <v>279</v>
      </c>
      <c r="C182" s="10" t="s">
        <v>280</v>
      </c>
      <c r="D182" s="6" t="s">
        <v>81</v>
      </c>
      <c r="E182" s="11">
        <v>24.15</v>
      </c>
      <c r="F182" s="11"/>
      <c r="G182" s="11">
        <f t="shared" si="9"/>
        <v>0</v>
      </c>
    </row>
    <row r="183" spans="1:7" ht="30">
      <c r="A183" s="70" t="s">
        <v>559</v>
      </c>
      <c r="B183" s="10" t="s">
        <v>281</v>
      </c>
      <c r="C183" s="10" t="s">
        <v>282</v>
      </c>
      <c r="D183" s="6" t="s">
        <v>81</v>
      </c>
      <c r="E183" s="11">
        <f>107.88+7.5</f>
        <v>115.38</v>
      </c>
      <c r="F183" s="11"/>
      <c r="G183" s="11">
        <f t="shared" si="9"/>
        <v>0</v>
      </c>
    </row>
    <row r="184" spans="1:7" ht="30">
      <c r="A184" s="70" t="s">
        <v>560</v>
      </c>
      <c r="B184" s="10" t="s">
        <v>283</v>
      </c>
      <c r="C184" s="10" t="s">
        <v>284</v>
      </c>
      <c r="D184" s="6" t="s">
        <v>81</v>
      </c>
      <c r="E184" s="11">
        <v>10.199999999999999</v>
      </c>
      <c r="F184" s="11"/>
      <c r="G184" s="11">
        <f t="shared" si="9"/>
        <v>0</v>
      </c>
    </row>
    <row r="185" spans="1:7" ht="30">
      <c r="A185" s="70" t="s">
        <v>561</v>
      </c>
      <c r="B185" s="10" t="s">
        <v>285</v>
      </c>
      <c r="C185" s="10" t="s">
        <v>286</v>
      </c>
      <c r="D185" s="6" t="s">
        <v>138</v>
      </c>
      <c r="E185" s="11">
        <v>26</v>
      </c>
      <c r="F185" s="11"/>
      <c r="G185" s="11">
        <f t="shared" si="9"/>
        <v>0</v>
      </c>
    </row>
    <row r="186" spans="1:7" ht="30">
      <c r="A186" s="70" t="s">
        <v>562</v>
      </c>
      <c r="B186" s="10" t="s">
        <v>285</v>
      </c>
      <c r="C186" s="10" t="s">
        <v>287</v>
      </c>
      <c r="D186" s="6" t="s">
        <v>138</v>
      </c>
      <c r="E186" s="11">
        <v>6</v>
      </c>
      <c r="F186" s="11"/>
      <c r="G186" s="11">
        <f t="shared" si="9"/>
        <v>0</v>
      </c>
    </row>
    <row r="187" spans="1:7" ht="30">
      <c r="A187" s="70" t="s">
        <v>563</v>
      </c>
      <c r="B187" s="10" t="s">
        <v>285</v>
      </c>
      <c r="C187" s="10" t="s">
        <v>288</v>
      </c>
      <c r="D187" s="6" t="s">
        <v>138</v>
      </c>
      <c r="E187" s="11">
        <v>30</v>
      </c>
      <c r="F187" s="11"/>
      <c r="G187" s="11">
        <f t="shared" si="9"/>
        <v>0</v>
      </c>
    </row>
    <row r="188" spans="1:7" ht="30">
      <c r="A188" s="70" t="s">
        <v>564</v>
      </c>
      <c r="B188" s="10" t="s">
        <v>285</v>
      </c>
      <c r="C188" s="10" t="s">
        <v>289</v>
      </c>
      <c r="D188" s="6" t="s">
        <v>138</v>
      </c>
      <c r="E188" s="11">
        <v>2</v>
      </c>
      <c r="F188" s="11"/>
      <c r="G188" s="11">
        <f t="shared" si="9"/>
        <v>0</v>
      </c>
    </row>
    <row r="189" spans="1:7" ht="45">
      <c r="A189" s="70" t="s">
        <v>565</v>
      </c>
      <c r="B189" s="10" t="s">
        <v>290</v>
      </c>
      <c r="C189" s="10" t="s">
        <v>291</v>
      </c>
      <c r="D189" s="6" t="s">
        <v>21</v>
      </c>
      <c r="E189" s="11">
        <f>1.3*1.3*0.2</f>
        <v>0.34</v>
      </c>
      <c r="F189" s="11"/>
      <c r="G189" s="11">
        <f t="shared" si="9"/>
        <v>0</v>
      </c>
    </row>
    <row r="190" spans="1:7" ht="30">
      <c r="A190" s="70" t="s">
        <v>925</v>
      </c>
      <c r="B190" s="10" t="s">
        <v>292</v>
      </c>
      <c r="C190" s="10" t="s">
        <v>293</v>
      </c>
      <c r="D190" s="6" t="s">
        <v>294</v>
      </c>
      <c r="E190" s="11">
        <v>16</v>
      </c>
      <c r="F190" s="11"/>
      <c r="G190" s="11">
        <f t="shared" ref="G190:G193" si="10">E190*F190</f>
        <v>0</v>
      </c>
    </row>
    <row r="191" spans="1:7" ht="30">
      <c r="A191" s="70" t="s">
        <v>926</v>
      </c>
      <c r="B191" s="10" t="s">
        <v>295</v>
      </c>
      <c r="C191" s="10" t="s">
        <v>296</v>
      </c>
      <c r="D191" s="6" t="s">
        <v>297</v>
      </c>
      <c r="E191" s="11">
        <v>-9</v>
      </c>
      <c r="F191" s="11"/>
      <c r="G191" s="11">
        <f t="shared" si="10"/>
        <v>0</v>
      </c>
    </row>
    <row r="192" spans="1:7" ht="30">
      <c r="A192" s="70" t="s">
        <v>927</v>
      </c>
      <c r="B192" s="10" t="s">
        <v>298</v>
      </c>
      <c r="C192" s="10" t="s">
        <v>299</v>
      </c>
      <c r="D192" s="6" t="s">
        <v>11</v>
      </c>
      <c r="E192" s="11">
        <v>10</v>
      </c>
      <c r="F192" s="11"/>
      <c r="G192" s="11">
        <f t="shared" si="10"/>
        <v>0</v>
      </c>
    </row>
    <row r="193" spans="1:7" ht="30">
      <c r="A193" s="70" t="s">
        <v>928</v>
      </c>
      <c r="B193" s="10" t="s">
        <v>300</v>
      </c>
      <c r="C193" s="10" t="s">
        <v>301</v>
      </c>
      <c r="D193" s="6" t="s">
        <v>302</v>
      </c>
      <c r="E193" s="11">
        <v>3</v>
      </c>
      <c r="F193" s="11"/>
      <c r="G193" s="11">
        <f t="shared" si="10"/>
        <v>0</v>
      </c>
    </row>
    <row r="194" spans="1:7" ht="19.5" customHeight="1">
      <c r="A194" s="40" t="s">
        <v>114</v>
      </c>
      <c r="B194" s="171" t="s">
        <v>566</v>
      </c>
      <c r="C194" s="171"/>
      <c r="D194" s="93"/>
      <c r="E194" s="36"/>
      <c r="F194" s="36"/>
      <c r="G194" s="36">
        <f>SUM(G195,G205)</f>
        <v>0</v>
      </c>
    </row>
    <row r="195" spans="1:7">
      <c r="A195" s="74" t="s">
        <v>472</v>
      </c>
      <c r="B195" s="159" t="s">
        <v>256</v>
      </c>
      <c r="C195" s="159"/>
      <c r="D195" s="41"/>
      <c r="E195" s="9"/>
      <c r="F195" s="9"/>
      <c r="G195" s="9">
        <f>SUM(G196:G204)</f>
        <v>0</v>
      </c>
    </row>
    <row r="196" spans="1:7" ht="30">
      <c r="A196" s="70" t="s">
        <v>567</v>
      </c>
      <c r="B196" s="10" t="s">
        <v>257</v>
      </c>
      <c r="C196" s="10" t="s">
        <v>258</v>
      </c>
      <c r="D196" s="6" t="s">
        <v>221</v>
      </c>
      <c r="E196" s="11">
        <f>(36+4.2+23)/1000</f>
        <v>0.06</v>
      </c>
      <c r="F196" s="11"/>
      <c r="G196" s="11">
        <f t="shared" ref="G196:G204" si="11">E196*F196</f>
        <v>0</v>
      </c>
    </row>
    <row r="197" spans="1:7" ht="45">
      <c r="A197" s="70" t="s">
        <v>568</v>
      </c>
      <c r="B197" s="10" t="s">
        <v>259</v>
      </c>
      <c r="C197" s="10" t="s">
        <v>260</v>
      </c>
      <c r="D197" s="6" t="s">
        <v>21</v>
      </c>
      <c r="E197" s="11">
        <v>66.77</v>
      </c>
      <c r="F197" s="11"/>
      <c r="G197" s="11">
        <f t="shared" si="11"/>
        <v>0</v>
      </c>
    </row>
    <row r="198" spans="1:7" ht="45">
      <c r="A198" s="70" t="s">
        <v>569</v>
      </c>
      <c r="B198" s="10" t="s">
        <v>261</v>
      </c>
      <c r="C198" s="10" t="s">
        <v>262</v>
      </c>
      <c r="D198" s="6" t="s">
        <v>21</v>
      </c>
      <c r="E198" s="11">
        <v>16.690000000000001</v>
      </c>
      <c r="F198" s="11"/>
      <c r="G198" s="11">
        <f t="shared" si="11"/>
        <v>0</v>
      </c>
    </row>
    <row r="199" spans="1:7" ht="60">
      <c r="A199" s="70" t="s">
        <v>570</v>
      </c>
      <c r="B199" s="10" t="s">
        <v>263</v>
      </c>
      <c r="C199" s="10" t="s">
        <v>264</v>
      </c>
      <c r="D199" s="6" t="s">
        <v>18</v>
      </c>
      <c r="E199" s="11">
        <v>59.22</v>
      </c>
      <c r="F199" s="11"/>
      <c r="G199" s="11">
        <f t="shared" si="11"/>
        <v>0</v>
      </c>
    </row>
    <row r="200" spans="1:7" ht="60">
      <c r="A200" s="70" t="s">
        <v>571</v>
      </c>
      <c r="B200" s="10" t="s">
        <v>263</v>
      </c>
      <c r="C200" s="10" t="s">
        <v>265</v>
      </c>
      <c r="D200" s="6" t="s">
        <v>18</v>
      </c>
      <c r="E200" s="11">
        <f>(11.75*1.8)*2</f>
        <v>42.3</v>
      </c>
      <c r="F200" s="11"/>
      <c r="G200" s="11">
        <f t="shared" si="11"/>
        <v>0</v>
      </c>
    </row>
    <row r="201" spans="1:7" ht="30">
      <c r="A201" s="70" t="s">
        <v>572</v>
      </c>
      <c r="B201" s="10" t="s">
        <v>266</v>
      </c>
      <c r="C201" s="10" t="s">
        <v>267</v>
      </c>
      <c r="D201" s="6" t="s">
        <v>21</v>
      </c>
      <c r="E201" s="11">
        <v>2.71</v>
      </c>
      <c r="F201" s="11"/>
      <c r="G201" s="11">
        <f t="shared" si="11"/>
        <v>0</v>
      </c>
    </row>
    <row r="202" spans="1:7" ht="30">
      <c r="A202" s="70" t="s">
        <v>909</v>
      </c>
      <c r="B202" s="10" t="s">
        <v>268</v>
      </c>
      <c r="C202" s="10" t="s">
        <v>269</v>
      </c>
      <c r="D202" s="6" t="s">
        <v>21</v>
      </c>
      <c r="E202" s="11">
        <v>40.700000000000003</v>
      </c>
      <c r="F202" s="11"/>
      <c r="G202" s="11">
        <f t="shared" si="11"/>
        <v>0</v>
      </c>
    </row>
    <row r="203" spans="1:7" ht="30">
      <c r="A203" s="70" t="s">
        <v>910</v>
      </c>
      <c r="B203" s="10" t="s">
        <v>270</v>
      </c>
      <c r="C203" s="10" t="s">
        <v>271</v>
      </c>
      <c r="D203" s="6" t="s">
        <v>21</v>
      </c>
      <c r="E203" s="11">
        <f>(66.773+16.693)-2.705-40.704</f>
        <v>40.06</v>
      </c>
      <c r="F203" s="11"/>
      <c r="G203" s="11">
        <f t="shared" si="11"/>
        <v>0</v>
      </c>
    </row>
    <row r="204" spans="1:7" ht="30">
      <c r="A204" s="70" t="s">
        <v>911</v>
      </c>
      <c r="B204" s="10" t="s">
        <v>272</v>
      </c>
      <c r="C204" s="10" t="s">
        <v>273</v>
      </c>
      <c r="D204" s="6" t="s">
        <v>21</v>
      </c>
      <c r="E204" s="11">
        <f>(66.773+16.693)-2.705-40.704</f>
        <v>40.06</v>
      </c>
      <c r="F204" s="11"/>
      <c r="G204" s="11">
        <f t="shared" si="11"/>
        <v>0</v>
      </c>
    </row>
    <row r="205" spans="1:7">
      <c r="A205" s="74" t="s">
        <v>473</v>
      </c>
      <c r="B205" s="159" t="s">
        <v>275</v>
      </c>
      <c r="C205" s="159"/>
      <c r="D205" s="41"/>
      <c r="E205" s="9"/>
      <c r="F205" s="9"/>
      <c r="G205" s="9">
        <f>SUM(G206:G223)</f>
        <v>0</v>
      </c>
    </row>
    <row r="206" spans="1:7" ht="30">
      <c r="A206" s="70" t="s">
        <v>573</v>
      </c>
      <c r="B206" s="10" t="s">
        <v>303</v>
      </c>
      <c r="C206" s="10" t="s">
        <v>304</v>
      </c>
      <c r="D206" s="6" t="s">
        <v>11</v>
      </c>
      <c r="E206" s="11">
        <v>1</v>
      </c>
      <c r="F206" s="11"/>
      <c r="G206" s="11">
        <f t="shared" ref="G206:G223" si="12">E206*F206</f>
        <v>0</v>
      </c>
    </row>
    <row r="207" spans="1:7" ht="45">
      <c r="A207" s="70" t="s">
        <v>574</v>
      </c>
      <c r="B207" s="10" t="s">
        <v>305</v>
      </c>
      <c r="C207" s="10" t="s">
        <v>306</v>
      </c>
      <c r="D207" s="6" t="s">
        <v>81</v>
      </c>
      <c r="E207" s="11">
        <v>36</v>
      </c>
      <c r="F207" s="11"/>
      <c r="G207" s="11">
        <f t="shared" si="12"/>
        <v>0</v>
      </c>
    </row>
    <row r="208" spans="1:7" ht="30">
      <c r="A208" s="70" t="s">
        <v>575</v>
      </c>
      <c r="B208" s="10" t="s">
        <v>305</v>
      </c>
      <c r="C208" s="10" t="s">
        <v>307</v>
      </c>
      <c r="D208" s="6" t="s">
        <v>81</v>
      </c>
      <c r="E208" s="11">
        <v>4.2</v>
      </c>
      <c r="F208" s="11"/>
      <c r="G208" s="11">
        <f t="shared" si="12"/>
        <v>0</v>
      </c>
    </row>
    <row r="209" spans="1:7" ht="30">
      <c r="A209" s="70" t="s">
        <v>576</v>
      </c>
      <c r="B209" s="10" t="s">
        <v>305</v>
      </c>
      <c r="C209" s="10" t="s">
        <v>308</v>
      </c>
      <c r="D209" s="6" t="s">
        <v>81</v>
      </c>
      <c r="E209" s="11">
        <v>23</v>
      </c>
      <c r="F209" s="11"/>
      <c r="G209" s="11">
        <f t="shared" si="12"/>
        <v>0</v>
      </c>
    </row>
    <row r="210" spans="1:7" ht="89.25" customHeight="1">
      <c r="A210" s="70" t="s">
        <v>577</v>
      </c>
      <c r="B210" s="57" t="s">
        <v>871</v>
      </c>
      <c r="C210" s="26" t="s">
        <v>872</v>
      </c>
      <c r="D210" s="6" t="s">
        <v>143</v>
      </c>
      <c r="E210" s="11">
        <v>1</v>
      </c>
      <c r="F210" s="11"/>
      <c r="G210" s="11">
        <f t="shared" si="12"/>
        <v>0</v>
      </c>
    </row>
    <row r="211" spans="1:7" ht="30">
      <c r="A211" s="70" t="s">
        <v>578</v>
      </c>
      <c r="B211" s="10" t="s">
        <v>309</v>
      </c>
      <c r="C211" s="56" t="s">
        <v>873</v>
      </c>
      <c r="D211" s="6" t="s">
        <v>294</v>
      </c>
      <c r="E211" s="11">
        <v>1</v>
      </c>
      <c r="F211" s="11"/>
      <c r="G211" s="11">
        <f t="shared" si="12"/>
        <v>0</v>
      </c>
    </row>
    <row r="212" spans="1:7" ht="30">
      <c r="A212" s="70" t="s">
        <v>579</v>
      </c>
      <c r="B212" s="10" t="s">
        <v>310</v>
      </c>
      <c r="C212" s="10" t="s">
        <v>311</v>
      </c>
      <c r="D212" s="6" t="s">
        <v>297</v>
      </c>
      <c r="E212" s="11">
        <v>-1.6</v>
      </c>
      <c r="F212" s="11"/>
      <c r="G212" s="11">
        <f t="shared" si="12"/>
        <v>0</v>
      </c>
    </row>
    <row r="213" spans="1:7" ht="30">
      <c r="A213" s="70" t="s">
        <v>580</v>
      </c>
      <c r="B213" s="10" t="s">
        <v>312</v>
      </c>
      <c r="C213" s="10" t="s">
        <v>313</v>
      </c>
      <c r="D213" s="6" t="s">
        <v>88</v>
      </c>
      <c r="E213" s="11">
        <v>1</v>
      </c>
      <c r="F213" s="11"/>
      <c r="G213" s="11">
        <f t="shared" si="12"/>
        <v>0</v>
      </c>
    </row>
    <row r="214" spans="1:7" ht="30">
      <c r="A214" s="70" t="s">
        <v>581</v>
      </c>
      <c r="B214" s="10" t="s">
        <v>314</v>
      </c>
      <c r="C214" s="10" t="s">
        <v>315</v>
      </c>
      <c r="D214" s="6" t="s">
        <v>88</v>
      </c>
      <c r="E214" s="11">
        <v>1</v>
      </c>
      <c r="F214" s="11"/>
      <c r="G214" s="11">
        <f t="shared" si="12"/>
        <v>0</v>
      </c>
    </row>
    <row r="215" spans="1:7" ht="30">
      <c r="A215" s="70" t="s">
        <v>582</v>
      </c>
      <c r="B215" s="10" t="s">
        <v>316</v>
      </c>
      <c r="C215" s="10" t="s">
        <v>317</v>
      </c>
      <c r="D215" s="6" t="s">
        <v>11</v>
      </c>
      <c r="E215" s="11">
        <v>1</v>
      </c>
      <c r="F215" s="11"/>
      <c r="G215" s="11">
        <f t="shared" si="12"/>
        <v>0</v>
      </c>
    </row>
    <row r="216" spans="1:7" ht="30">
      <c r="A216" s="70" t="s">
        <v>912</v>
      </c>
      <c r="B216" s="10" t="s">
        <v>318</v>
      </c>
      <c r="C216" s="10" t="s">
        <v>319</v>
      </c>
      <c r="D216" s="6" t="s">
        <v>11</v>
      </c>
      <c r="E216" s="11">
        <v>3</v>
      </c>
      <c r="F216" s="11"/>
      <c r="G216" s="11">
        <f t="shared" si="12"/>
        <v>0</v>
      </c>
    </row>
    <row r="217" spans="1:7" ht="45">
      <c r="A217" s="70" t="s">
        <v>913</v>
      </c>
      <c r="B217" s="58" t="s">
        <v>871</v>
      </c>
      <c r="C217" s="71" t="s">
        <v>940</v>
      </c>
      <c r="D217" s="6" t="s">
        <v>88</v>
      </c>
      <c r="E217" s="11">
        <v>1</v>
      </c>
      <c r="F217" s="11"/>
      <c r="G217" s="11">
        <f t="shared" si="12"/>
        <v>0</v>
      </c>
    </row>
    <row r="218" spans="1:7" ht="30">
      <c r="A218" s="70" t="s">
        <v>914</v>
      </c>
      <c r="B218" s="58" t="s">
        <v>871</v>
      </c>
      <c r="C218" s="62" t="s">
        <v>878</v>
      </c>
      <c r="D218" s="61" t="s">
        <v>11</v>
      </c>
      <c r="E218" s="11">
        <v>15</v>
      </c>
      <c r="F218" s="11"/>
      <c r="G218" s="11">
        <f t="shared" si="12"/>
        <v>0</v>
      </c>
    </row>
    <row r="219" spans="1:7">
      <c r="A219" s="70" t="s">
        <v>915</v>
      </c>
      <c r="B219" s="10" t="s">
        <v>320</v>
      </c>
      <c r="C219" s="10" t="s">
        <v>321</v>
      </c>
      <c r="D219" s="6" t="s">
        <v>11</v>
      </c>
      <c r="E219" s="11">
        <v>1</v>
      </c>
      <c r="F219" s="11"/>
      <c r="G219" s="11">
        <f t="shared" si="12"/>
        <v>0</v>
      </c>
    </row>
    <row r="220" spans="1:7" ht="30">
      <c r="A220" s="70" t="s">
        <v>916</v>
      </c>
      <c r="B220" s="10" t="s">
        <v>322</v>
      </c>
      <c r="C220" s="10" t="s">
        <v>323</v>
      </c>
      <c r="D220" s="6" t="s">
        <v>324</v>
      </c>
      <c r="E220" s="11">
        <v>1</v>
      </c>
      <c r="F220" s="11"/>
      <c r="G220" s="11">
        <f t="shared" si="12"/>
        <v>0</v>
      </c>
    </row>
    <row r="221" spans="1:7" ht="30">
      <c r="A221" s="70" t="s">
        <v>917</v>
      </c>
      <c r="B221" s="10" t="s">
        <v>325</v>
      </c>
      <c r="C221" s="10" t="s">
        <v>326</v>
      </c>
      <c r="D221" s="6" t="s">
        <v>327</v>
      </c>
      <c r="E221" s="11">
        <v>1</v>
      </c>
      <c r="F221" s="11"/>
      <c r="G221" s="11">
        <f t="shared" si="12"/>
        <v>0</v>
      </c>
    </row>
    <row r="222" spans="1:7" ht="30">
      <c r="A222" s="70" t="s">
        <v>918</v>
      </c>
      <c r="B222" s="10" t="s">
        <v>328</v>
      </c>
      <c r="C222" s="10" t="s">
        <v>329</v>
      </c>
      <c r="D222" s="6" t="s">
        <v>327</v>
      </c>
      <c r="E222" s="11">
        <v>1</v>
      </c>
      <c r="F222" s="11"/>
      <c r="G222" s="11">
        <f t="shared" si="12"/>
        <v>0</v>
      </c>
    </row>
    <row r="223" spans="1:7" ht="45">
      <c r="A223" s="70" t="s">
        <v>919</v>
      </c>
      <c r="B223" s="10" t="s">
        <v>330</v>
      </c>
      <c r="C223" s="10" t="s">
        <v>331</v>
      </c>
      <c r="D223" s="6" t="s">
        <v>81</v>
      </c>
      <c r="E223" s="11">
        <f>4.2+23</f>
        <v>27.2</v>
      </c>
      <c r="F223" s="11"/>
      <c r="G223" s="11">
        <f t="shared" si="12"/>
        <v>0</v>
      </c>
    </row>
    <row r="224" spans="1:7" ht="32.25" customHeight="1">
      <c r="A224" s="119" t="s">
        <v>123</v>
      </c>
      <c r="B224" s="160" t="s">
        <v>904</v>
      </c>
      <c r="C224" s="161"/>
      <c r="D224" s="161"/>
      <c r="E224" s="161"/>
      <c r="F224" s="162"/>
      <c r="G224" s="36">
        <f>SUM(G225:G226)</f>
        <v>0</v>
      </c>
    </row>
    <row r="225" spans="1:7" ht="30">
      <c r="A225" s="70" t="s">
        <v>813</v>
      </c>
      <c r="B225" s="10"/>
      <c r="C225" s="82" t="s">
        <v>1005</v>
      </c>
      <c r="D225" s="72" t="s">
        <v>143</v>
      </c>
      <c r="E225" s="11">
        <v>1</v>
      </c>
      <c r="F225" s="11"/>
      <c r="G225" s="11">
        <f>F225*E225</f>
        <v>0</v>
      </c>
    </row>
    <row r="226" spans="1:7">
      <c r="A226" s="18"/>
      <c r="B226" s="10"/>
      <c r="C226" s="10"/>
      <c r="D226" s="6"/>
      <c r="E226" s="11"/>
      <c r="F226" s="11"/>
      <c r="G226" s="11"/>
    </row>
    <row r="227" spans="1:7" ht="20.25" customHeight="1">
      <c r="A227" s="156" t="s">
        <v>583</v>
      </c>
      <c r="B227" s="156"/>
      <c r="C227" s="156"/>
      <c r="D227" s="156"/>
      <c r="E227" s="38"/>
      <c r="F227" s="38"/>
      <c r="G227" s="38">
        <f>SUM(G194,G168,G224)</f>
        <v>0</v>
      </c>
    </row>
    <row r="228" spans="1:7" s="13" customFormat="1" ht="9" customHeight="1">
      <c r="A228" s="40"/>
      <c r="B228" s="45"/>
      <c r="C228" s="45"/>
      <c r="D228" s="45"/>
      <c r="E228" s="36"/>
      <c r="F228" s="36"/>
      <c r="G228" s="36"/>
    </row>
    <row r="229" spans="1:7" ht="22.5" customHeight="1">
      <c r="A229" s="81" t="s">
        <v>528</v>
      </c>
      <c r="B229" s="158" t="s">
        <v>633</v>
      </c>
      <c r="C229" s="158"/>
      <c r="D229" s="39"/>
      <c r="E229" s="38"/>
      <c r="F229" s="38"/>
      <c r="G229" s="38"/>
    </row>
    <row r="230" spans="1:7">
      <c r="A230" s="8" t="s">
        <v>482</v>
      </c>
      <c r="B230" s="157" t="s">
        <v>332</v>
      </c>
      <c r="C230" s="157"/>
      <c r="D230" s="8"/>
      <c r="E230" s="9"/>
      <c r="F230" s="9"/>
      <c r="G230" s="11">
        <f>SUM(G231:G242)</f>
        <v>0</v>
      </c>
    </row>
    <row r="231" spans="1:7" ht="30">
      <c r="A231" s="18" t="s">
        <v>529</v>
      </c>
      <c r="B231" s="10" t="s">
        <v>333</v>
      </c>
      <c r="C231" s="10" t="s">
        <v>334</v>
      </c>
      <c r="D231" s="18" t="s">
        <v>21</v>
      </c>
      <c r="E231" s="11">
        <v>14.4</v>
      </c>
      <c r="F231" s="11"/>
      <c r="G231" s="11">
        <f>E231*F231</f>
        <v>0</v>
      </c>
    </row>
    <row r="232" spans="1:7" ht="30">
      <c r="A232" s="18" t="s">
        <v>530</v>
      </c>
      <c r="B232" s="10" t="s">
        <v>335</v>
      </c>
      <c r="C232" s="10" t="s">
        <v>336</v>
      </c>
      <c r="D232" s="18" t="s">
        <v>21</v>
      </c>
      <c r="E232" s="11">
        <v>13.5</v>
      </c>
      <c r="F232" s="11"/>
      <c r="G232" s="11">
        <f t="shared" ref="G232:G242" si="13">E232*F232</f>
        <v>0</v>
      </c>
    </row>
    <row r="233" spans="1:7" ht="30">
      <c r="A233" s="18" t="s">
        <v>531</v>
      </c>
      <c r="B233" s="10" t="s">
        <v>337</v>
      </c>
      <c r="C233" s="10" t="s">
        <v>338</v>
      </c>
      <c r="D233" s="18" t="s">
        <v>81</v>
      </c>
      <c r="E233" s="11">
        <v>90</v>
      </c>
      <c r="F233" s="11"/>
      <c r="G233" s="11">
        <f t="shared" si="13"/>
        <v>0</v>
      </c>
    </row>
    <row r="234" spans="1:7" ht="30">
      <c r="A234" s="18" t="s">
        <v>532</v>
      </c>
      <c r="B234" s="10" t="s">
        <v>339</v>
      </c>
      <c r="C234" s="10" t="s">
        <v>340</v>
      </c>
      <c r="D234" s="18" t="s">
        <v>21</v>
      </c>
      <c r="E234" s="11">
        <v>10.8</v>
      </c>
      <c r="F234" s="11"/>
      <c r="G234" s="11">
        <f t="shared" si="13"/>
        <v>0</v>
      </c>
    </row>
    <row r="235" spans="1:7" ht="45">
      <c r="A235" s="18" t="s">
        <v>533</v>
      </c>
      <c r="B235" s="10" t="s">
        <v>341</v>
      </c>
      <c r="C235" s="10" t="s">
        <v>342</v>
      </c>
      <c r="D235" s="18" t="s">
        <v>21</v>
      </c>
      <c r="E235" s="11">
        <v>3.6</v>
      </c>
      <c r="F235" s="11"/>
      <c r="G235" s="11">
        <f t="shared" si="13"/>
        <v>0</v>
      </c>
    </row>
    <row r="236" spans="1:7" ht="30">
      <c r="A236" s="18" t="s">
        <v>534</v>
      </c>
      <c r="B236" s="10" t="s">
        <v>344</v>
      </c>
      <c r="C236" s="10" t="s">
        <v>345</v>
      </c>
      <c r="D236" s="18" t="s">
        <v>81</v>
      </c>
      <c r="E236" s="11">
        <v>34</v>
      </c>
      <c r="F236" s="11"/>
      <c r="G236" s="11">
        <f t="shared" si="13"/>
        <v>0</v>
      </c>
    </row>
    <row r="237" spans="1:7" ht="30">
      <c r="A237" s="18" t="s">
        <v>535</v>
      </c>
      <c r="B237" s="10" t="s">
        <v>344</v>
      </c>
      <c r="C237" s="34" t="s">
        <v>805</v>
      </c>
      <c r="D237" s="18" t="s">
        <v>81</v>
      </c>
      <c r="E237" s="11">
        <v>11</v>
      </c>
      <c r="F237" s="11"/>
      <c r="G237" s="11">
        <f t="shared" si="13"/>
        <v>0</v>
      </c>
    </row>
    <row r="238" spans="1:7" ht="30">
      <c r="A238" s="18" t="s">
        <v>536</v>
      </c>
      <c r="B238" s="10" t="s">
        <v>347</v>
      </c>
      <c r="C238" s="10" t="s">
        <v>348</v>
      </c>
      <c r="D238" s="18" t="s">
        <v>349</v>
      </c>
      <c r="E238" s="11">
        <v>1</v>
      </c>
      <c r="F238" s="11"/>
      <c r="G238" s="11">
        <f t="shared" si="13"/>
        <v>0</v>
      </c>
    </row>
    <row r="239" spans="1:7" ht="30">
      <c r="A239" s="18" t="s">
        <v>537</v>
      </c>
      <c r="B239" s="10" t="s">
        <v>347</v>
      </c>
      <c r="C239" s="10" t="s">
        <v>350</v>
      </c>
      <c r="D239" s="18" t="s">
        <v>349</v>
      </c>
      <c r="E239" s="11">
        <v>1</v>
      </c>
      <c r="F239" s="11"/>
      <c r="G239" s="11">
        <f t="shared" si="13"/>
        <v>0</v>
      </c>
    </row>
    <row r="240" spans="1:7" ht="30">
      <c r="A240" s="18" t="s">
        <v>538</v>
      </c>
      <c r="B240" s="10" t="s">
        <v>351</v>
      </c>
      <c r="C240" s="10" t="s">
        <v>352</v>
      </c>
      <c r="D240" s="18" t="s">
        <v>353</v>
      </c>
      <c r="E240" s="11">
        <v>1</v>
      </c>
      <c r="F240" s="11"/>
      <c r="G240" s="11">
        <f t="shared" si="13"/>
        <v>0</v>
      </c>
    </row>
    <row r="241" spans="1:7" ht="30">
      <c r="A241" s="18" t="s">
        <v>539</v>
      </c>
      <c r="B241" s="10" t="s">
        <v>483</v>
      </c>
      <c r="C241" s="10" t="s">
        <v>354</v>
      </c>
      <c r="D241" s="18" t="s">
        <v>143</v>
      </c>
      <c r="E241" s="11">
        <v>1</v>
      </c>
      <c r="F241" s="11"/>
      <c r="G241" s="11">
        <f t="shared" si="13"/>
        <v>0</v>
      </c>
    </row>
    <row r="242" spans="1:7" ht="30">
      <c r="A242" s="18" t="s">
        <v>540</v>
      </c>
      <c r="B242" s="10" t="s">
        <v>483</v>
      </c>
      <c r="C242" s="56" t="s">
        <v>870</v>
      </c>
      <c r="D242" s="18" t="s">
        <v>143</v>
      </c>
      <c r="E242" s="11">
        <v>1</v>
      </c>
      <c r="F242" s="11"/>
      <c r="G242" s="11">
        <f t="shared" si="13"/>
        <v>0</v>
      </c>
    </row>
    <row r="243" spans="1:7" ht="27.75" customHeight="1">
      <c r="A243" s="156" t="s">
        <v>587</v>
      </c>
      <c r="B243" s="156"/>
      <c r="C243" s="156"/>
      <c r="D243" s="156"/>
      <c r="E243" s="38"/>
      <c r="F243" s="38"/>
      <c r="G243" s="47">
        <f>SUM(G230)</f>
        <v>0</v>
      </c>
    </row>
    <row r="244" spans="1:7" ht="22.5" customHeight="1">
      <c r="A244" s="172" t="s">
        <v>965</v>
      </c>
      <c r="B244" s="172"/>
      <c r="C244" s="172"/>
      <c r="D244" s="172"/>
      <c r="E244" s="36"/>
      <c r="F244" s="36"/>
      <c r="G244" s="36">
        <f>SUM(G230,G227,G165,G115,G68)</f>
        <v>0</v>
      </c>
    </row>
    <row r="246" spans="1:7" ht="15.75">
      <c r="A246" s="147" t="s">
        <v>1016</v>
      </c>
      <c r="D246" s="153" t="s">
        <v>986</v>
      </c>
      <c r="E246" s="153"/>
      <c r="F246" s="153"/>
    </row>
    <row r="247" spans="1:7" ht="33" customHeight="1">
      <c r="D247" s="154" t="s">
        <v>987</v>
      </c>
      <c r="E247" s="154"/>
      <c r="F247" s="154"/>
    </row>
  </sheetData>
  <mergeCells count="35">
    <mergeCell ref="D246:F246"/>
    <mergeCell ref="D247:F247"/>
    <mergeCell ref="B3:C3"/>
    <mergeCell ref="B117:C117"/>
    <mergeCell ref="B167:C167"/>
    <mergeCell ref="B70:C70"/>
    <mergeCell ref="B168:C168"/>
    <mergeCell ref="B169:C169"/>
    <mergeCell ref="B179:C179"/>
    <mergeCell ref="B118:C118"/>
    <mergeCell ref="B123:C123"/>
    <mergeCell ref="A165:D165"/>
    <mergeCell ref="A244:D244"/>
    <mergeCell ref="B205:C205"/>
    <mergeCell ref="B194:C194"/>
    <mergeCell ref="A227:D227"/>
    <mergeCell ref="B2:C2"/>
    <mergeCell ref="B4:C4"/>
    <mergeCell ref="B36:C36"/>
    <mergeCell ref="A115:D115"/>
    <mergeCell ref="B50:C50"/>
    <mergeCell ref="A68:D68"/>
    <mergeCell ref="B101:C101"/>
    <mergeCell ref="B107:C107"/>
    <mergeCell ref="B112:C112"/>
    <mergeCell ref="B21:C21"/>
    <mergeCell ref="B71:C71"/>
    <mergeCell ref="B84:C84"/>
    <mergeCell ref="B88:C88"/>
    <mergeCell ref="B95:C95"/>
    <mergeCell ref="A243:D243"/>
    <mergeCell ref="B230:C230"/>
    <mergeCell ref="B229:C229"/>
    <mergeCell ref="B195:C195"/>
    <mergeCell ref="B224:F224"/>
  </mergeCells>
  <printOptions horizontalCentered="1"/>
  <pageMargins left="0.15748031496062992" right="0.15748031496062992" top="0.57999999999999996" bottom="0.43307086614173229" header="0.31496062992125984" footer="0.15748031496062992"/>
  <pageSetup paperSize="9" scale="72" orientation="portrait" r:id="rId1"/>
  <headerFooter>
    <oddHeader>&amp;RZałącznik nr 8 do SWZ - część A.I</oddHeader>
    <oddFooter>&amp;LWIPP.ZP.271.1.2021&amp;R&amp;P/&amp;N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9"/>
  <sheetViews>
    <sheetView view="pageBreakPreview" topLeftCell="A184" zoomScaleNormal="100" zoomScaleSheetLayoutView="100" workbookViewId="0">
      <selection activeCell="A188" sqref="A188"/>
    </sheetView>
  </sheetViews>
  <sheetFormatPr defaultRowHeight="15"/>
  <cols>
    <col min="1" max="1" width="5.375" style="1" customWidth="1"/>
    <col min="2" max="2" width="14" style="3" customWidth="1"/>
    <col min="3" max="3" width="50.875" style="3" customWidth="1"/>
    <col min="4" max="4" width="7.25" style="1" customWidth="1"/>
    <col min="5" max="5" width="9.75" style="4" customWidth="1"/>
    <col min="6" max="6" width="11.25" style="4" customWidth="1"/>
    <col min="7" max="7" width="12.625" style="4" customWidth="1"/>
    <col min="8" max="16384" width="9" style="2"/>
  </cols>
  <sheetData>
    <row r="1" spans="1:7" s="1" customFormat="1" ht="30">
      <c r="A1" s="18" t="s">
        <v>0</v>
      </c>
      <c r="B1" s="6" t="s">
        <v>1</v>
      </c>
      <c r="C1" s="6" t="s">
        <v>2</v>
      </c>
      <c r="D1" s="6" t="s">
        <v>407</v>
      </c>
      <c r="E1" s="7" t="s">
        <v>3</v>
      </c>
      <c r="F1" s="7" t="s">
        <v>4</v>
      </c>
      <c r="G1" s="7" t="s">
        <v>5</v>
      </c>
    </row>
    <row r="2" spans="1:7" s="1" customFormat="1" ht="21" customHeight="1">
      <c r="A2" s="40" t="s">
        <v>977</v>
      </c>
      <c r="B2" s="160" t="s">
        <v>543</v>
      </c>
      <c r="C2" s="162"/>
      <c r="D2" s="93"/>
      <c r="E2" s="97"/>
      <c r="F2" s="97"/>
      <c r="G2" s="97"/>
    </row>
    <row r="3" spans="1:7" s="1" customFormat="1">
      <c r="A3" s="123" t="s">
        <v>627</v>
      </c>
      <c r="B3" s="173" t="s">
        <v>104</v>
      </c>
      <c r="C3" s="173"/>
      <c r="D3" s="124"/>
      <c r="E3" s="125"/>
      <c r="F3" s="125"/>
      <c r="G3" s="125"/>
    </row>
    <row r="4" spans="1:7" s="13" customFormat="1">
      <c r="A4" s="42" t="s">
        <v>544</v>
      </c>
      <c r="B4" s="179" t="s">
        <v>486</v>
      </c>
      <c r="C4" s="180"/>
      <c r="D4" s="42"/>
      <c r="E4" s="37"/>
      <c r="F4" s="37"/>
      <c r="G4" s="132">
        <f>SUM(G5,G11)</f>
        <v>0</v>
      </c>
    </row>
    <row r="5" spans="1:7">
      <c r="A5" s="8" t="s">
        <v>7</v>
      </c>
      <c r="B5" s="167" t="s">
        <v>42</v>
      </c>
      <c r="C5" s="168"/>
      <c r="D5" s="8"/>
      <c r="E5" s="9"/>
      <c r="F5" s="9"/>
      <c r="G5" s="9">
        <f>SUM(G6:G10)</f>
        <v>0</v>
      </c>
    </row>
    <row r="6" spans="1:7" ht="45">
      <c r="A6" s="18" t="s">
        <v>408</v>
      </c>
      <c r="B6" s="10" t="s">
        <v>43</v>
      </c>
      <c r="C6" s="10" t="s">
        <v>44</v>
      </c>
      <c r="D6" s="5" t="s">
        <v>21</v>
      </c>
      <c r="E6" s="11">
        <v>4</v>
      </c>
      <c r="F6" s="11"/>
      <c r="G6" s="11">
        <f>E6*F6</f>
        <v>0</v>
      </c>
    </row>
    <row r="7" spans="1:7" ht="30">
      <c r="A7" s="18" t="s">
        <v>409</v>
      </c>
      <c r="B7" s="10" t="s">
        <v>45</v>
      </c>
      <c r="C7" s="10" t="s">
        <v>46</v>
      </c>
      <c r="D7" s="5" t="s">
        <v>18</v>
      </c>
      <c r="E7" s="11">
        <v>80</v>
      </c>
      <c r="F7" s="11"/>
      <c r="G7" s="11">
        <f>E7*F7</f>
        <v>0</v>
      </c>
    </row>
    <row r="8" spans="1:7">
      <c r="A8" s="18" t="s">
        <v>410</v>
      </c>
      <c r="B8" s="10" t="s">
        <v>47</v>
      </c>
      <c r="C8" s="10" t="s">
        <v>48</v>
      </c>
      <c r="D8" s="5" t="s">
        <v>21</v>
      </c>
      <c r="E8" s="11">
        <v>4</v>
      </c>
      <c r="F8" s="11"/>
      <c r="G8" s="11">
        <f t="shared" ref="G8:G10" si="0">E8*F8</f>
        <v>0</v>
      </c>
    </row>
    <row r="9" spans="1:7" ht="30">
      <c r="A9" s="18" t="s">
        <v>411</v>
      </c>
      <c r="B9" s="10" t="s">
        <v>49</v>
      </c>
      <c r="C9" s="10" t="s">
        <v>50</v>
      </c>
      <c r="D9" s="5" t="s">
        <v>21</v>
      </c>
      <c r="E9" s="11">
        <v>4</v>
      </c>
      <c r="F9" s="11"/>
      <c r="G9" s="11">
        <f t="shared" si="0"/>
        <v>0</v>
      </c>
    </row>
    <row r="10" spans="1:7" ht="30">
      <c r="A10" s="18" t="s">
        <v>412</v>
      </c>
      <c r="B10" s="10" t="s">
        <v>51</v>
      </c>
      <c r="C10" s="10" t="s">
        <v>52</v>
      </c>
      <c r="D10" s="5" t="s">
        <v>18</v>
      </c>
      <c r="E10" s="11">
        <v>80</v>
      </c>
      <c r="F10" s="11"/>
      <c r="G10" s="11">
        <f t="shared" si="0"/>
        <v>0</v>
      </c>
    </row>
    <row r="11" spans="1:7">
      <c r="A11" s="8" t="s">
        <v>41</v>
      </c>
      <c r="B11" s="159" t="s">
        <v>105</v>
      </c>
      <c r="C11" s="159"/>
      <c r="D11" s="8"/>
      <c r="E11" s="9"/>
      <c r="F11" s="9"/>
      <c r="G11" s="9">
        <f>SUM(G12:G13)</f>
        <v>0</v>
      </c>
    </row>
    <row r="12" spans="1:7" ht="30">
      <c r="A12" s="18" t="s">
        <v>424</v>
      </c>
      <c r="B12" s="10" t="s">
        <v>38</v>
      </c>
      <c r="C12" s="10" t="s">
        <v>106</v>
      </c>
      <c r="D12" s="5" t="s">
        <v>88</v>
      </c>
      <c r="E12" s="11">
        <v>1</v>
      </c>
      <c r="F12" s="11"/>
      <c r="G12" s="11">
        <f>E12*F12</f>
        <v>0</v>
      </c>
    </row>
    <row r="13" spans="1:7" ht="30">
      <c r="A13" s="18" t="s">
        <v>425</v>
      </c>
      <c r="B13" s="10" t="s">
        <v>38</v>
      </c>
      <c r="C13" s="71" t="s">
        <v>907</v>
      </c>
      <c r="D13" s="5" t="s">
        <v>88</v>
      </c>
      <c r="E13" s="11">
        <v>1</v>
      </c>
      <c r="F13" s="11"/>
      <c r="G13" s="11">
        <f>E13*F13</f>
        <v>0</v>
      </c>
    </row>
    <row r="14" spans="1:7" s="13" customFormat="1">
      <c r="A14" s="116" t="s">
        <v>541</v>
      </c>
      <c r="B14" s="177" t="s">
        <v>542</v>
      </c>
      <c r="C14" s="178"/>
      <c r="D14" s="116"/>
      <c r="E14" s="117"/>
      <c r="F14" s="117"/>
      <c r="G14" s="117">
        <f>SUM(G15,G24,G29,G34,G38,G42,G46)</f>
        <v>0</v>
      </c>
    </row>
    <row r="15" spans="1:7" s="13" customFormat="1">
      <c r="A15" s="8" t="s">
        <v>749</v>
      </c>
      <c r="B15" s="165" t="s">
        <v>709</v>
      </c>
      <c r="C15" s="166"/>
      <c r="D15" s="8"/>
      <c r="E15" s="9"/>
      <c r="F15" s="9"/>
      <c r="G15" s="9">
        <f>SUM(G16:G23)</f>
        <v>0</v>
      </c>
    </row>
    <row r="16" spans="1:7" s="13" customFormat="1" ht="30">
      <c r="A16" s="83" t="s">
        <v>775</v>
      </c>
      <c r="B16" s="32" t="s">
        <v>708</v>
      </c>
      <c r="C16" s="34" t="s">
        <v>707</v>
      </c>
      <c r="D16" s="31" t="s">
        <v>706</v>
      </c>
      <c r="E16" s="33">
        <v>0.08</v>
      </c>
      <c r="F16" s="33"/>
      <c r="G16" s="33">
        <f t="shared" ref="G16:G50" si="1">E16*F16</f>
        <v>0</v>
      </c>
    </row>
    <row r="17" spans="1:7" s="13" customFormat="1">
      <c r="A17" s="83" t="s">
        <v>776</v>
      </c>
      <c r="B17" s="32" t="s">
        <v>727</v>
      </c>
      <c r="C17" s="32" t="s">
        <v>726</v>
      </c>
      <c r="D17" s="31" t="s">
        <v>18</v>
      </c>
      <c r="E17" s="33">
        <f>421+65+28</f>
        <v>514</v>
      </c>
      <c r="F17" s="33"/>
      <c r="G17" s="33">
        <f t="shared" si="1"/>
        <v>0</v>
      </c>
    </row>
    <row r="18" spans="1:7" s="13" customFormat="1" ht="30">
      <c r="A18" s="83" t="s">
        <v>777</v>
      </c>
      <c r="B18" s="32" t="s">
        <v>703</v>
      </c>
      <c r="C18" s="34" t="s">
        <v>702</v>
      </c>
      <c r="D18" s="31" t="s">
        <v>81</v>
      </c>
      <c r="E18" s="33">
        <f>113+4+2+6</f>
        <v>125</v>
      </c>
      <c r="F18" s="33"/>
      <c r="G18" s="33">
        <f t="shared" si="1"/>
        <v>0</v>
      </c>
    </row>
    <row r="19" spans="1:7" s="13" customFormat="1">
      <c r="A19" s="83" t="s">
        <v>778</v>
      </c>
      <c r="B19" s="32" t="s">
        <v>701</v>
      </c>
      <c r="C19" s="32" t="s">
        <v>700</v>
      </c>
      <c r="D19" s="31" t="s">
        <v>81</v>
      </c>
      <c r="E19" s="33">
        <f>7+7+28+8+14+8+20+7+6+22+15+5+4+4</f>
        <v>155</v>
      </c>
      <c r="F19" s="33"/>
      <c r="G19" s="33">
        <f t="shared" si="1"/>
        <v>0</v>
      </c>
    </row>
    <row r="20" spans="1:7" s="13" customFormat="1" ht="30">
      <c r="A20" s="83" t="s">
        <v>779</v>
      </c>
      <c r="B20" s="32" t="s">
        <v>699</v>
      </c>
      <c r="C20" s="34" t="s">
        <v>698</v>
      </c>
      <c r="D20" s="31" t="s">
        <v>21</v>
      </c>
      <c r="E20" s="33">
        <f>E18*0.08+E19*0.04</f>
        <v>16.2</v>
      </c>
      <c r="F20" s="33"/>
      <c r="G20" s="33">
        <f t="shared" si="1"/>
        <v>0</v>
      </c>
    </row>
    <row r="21" spans="1:7" s="13" customFormat="1" ht="45">
      <c r="A21" s="83" t="s">
        <v>780</v>
      </c>
      <c r="B21" s="32" t="s">
        <v>697</v>
      </c>
      <c r="C21" s="34" t="s">
        <v>696</v>
      </c>
      <c r="D21" s="31" t="s">
        <v>21</v>
      </c>
      <c r="E21" s="33">
        <f>E17*0.07+E18*0.3*0.15+E19*0.3*0.08+E20</f>
        <v>61.53</v>
      </c>
      <c r="F21" s="33"/>
      <c r="G21" s="33">
        <f t="shared" si="1"/>
        <v>0</v>
      </c>
    </row>
    <row r="22" spans="1:7" s="13" customFormat="1" ht="60">
      <c r="A22" s="83" t="s">
        <v>781</v>
      </c>
      <c r="B22" s="32" t="s">
        <v>695</v>
      </c>
      <c r="C22" s="34" t="s">
        <v>694</v>
      </c>
      <c r="D22" s="31" t="s">
        <v>21</v>
      </c>
      <c r="E22" s="33">
        <f>E21</f>
        <v>61.53</v>
      </c>
      <c r="F22" s="33"/>
      <c r="G22" s="33">
        <f t="shared" si="1"/>
        <v>0</v>
      </c>
    </row>
    <row r="23" spans="1:7" s="13" customFormat="1">
      <c r="A23" s="83" t="s">
        <v>782</v>
      </c>
      <c r="B23" s="32" t="s">
        <v>685</v>
      </c>
      <c r="C23" s="32" t="s">
        <v>693</v>
      </c>
      <c r="D23" s="31" t="s">
        <v>40</v>
      </c>
      <c r="E23" s="33">
        <f>E21*2.3</f>
        <v>141.52000000000001</v>
      </c>
      <c r="F23" s="33"/>
      <c r="G23" s="33">
        <f t="shared" si="1"/>
        <v>0</v>
      </c>
    </row>
    <row r="24" spans="1:7" s="13" customFormat="1">
      <c r="A24" s="8" t="s">
        <v>742</v>
      </c>
      <c r="B24" s="165" t="s">
        <v>692</v>
      </c>
      <c r="C24" s="166"/>
      <c r="D24" s="8"/>
      <c r="E24" s="9"/>
      <c r="F24" s="9"/>
      <c r="G24" s="9">
        <f>SUM(G25:G28)</f>
        <v>0</v>
      </c>
    </row>
    <row r="25" spans="1:7" s="13" customFormat="1" ht="60">
      <c r="A25" s="83" t="s">
        <v>783</v>
      </c>
      <c r="B25" s="34" t="s">
        <v>691</v>
      </c>
      <c r="C25" s="34" t="s">
        <v>690</v>
      </c>
      <c r="D25" s="31" t="s">
        <v>21</v>
      </c>
      <c r="E25" s="33">
        <v>365</v>
      </c>
      <c r="F25" s="33"/>
      <c r="G25" s="33">
        <f t="shared" si="1"/>
        <v>0</v>
      </c>
    </row>
    <row r="26" spans="1:7" s="13" customFormat="1" ht="45">
      <c r="A26" s="83" t="s">
        <v>784</v>
      </c>
      <c r="B26" s="34" t="s">
        <v>687</v>
      </c>
      <c r="C26" s="34" t="s">
        <v>686</v>
      </c>
      <c r="D26" s="31" t="s">
        <v>21</v>
      </c>
      <c r="E26" s="33">
        <v>365</v>
      </c>
      <c r="F26" s="33"/>
      <c r="G26" s="33">
        <f t="shared" si="1"/>
        <v>0</v>
      </c>
    </row>
    <row r="27" spans="1:7" s="13" customFormat="1">
      <c r="A27" s="83" t="s">
        <v>785</v>
      </c>
      <c r="B27" s="32" t="s">
        <v>685</v>
      </c>
      <c r="C27" s="34" t="s">
        <v>684</v>
      </c>
      <c r="D27" s="31" t="s">
        <v>40</v>
      </c>
      <c r="E27" s="33">
        <f>365*1.8</f>
        <v>657</v>
      </c>
      <c r="F27" s="33"/>
      <c r="G27" s="33">
        <f t="shared" si="1"/>
        <v>0</v>
      </c>
    </row>
    <row r="28" spans="1:7" s="13" customFormat="1" ht="45">
      <c r="A28" s="83" t="s">
        <v>786</v>
      </c>
      <c r="B28" s="32" t="s">
        <v>683</v>
      </c>
      <c r="C28" s="34" t="s">
        <v>682</v>
      </c>
      <c r="D28" s="31" t="s">
        <v>18</v>
      </c>
      <c r="E28" s="33">
        <f>170+63+90+450+12.5</f>
        <v>785.5</v>
      </c>
      <c r="F28" s="33"/>
      <c r="G28" s="33">
        <f t="shared" si="1"/>
        <v>0</v>
      </c>
    </row>
    <row r="29" spans="1:7" s="13" customFormat="1">
      <c r="A29" s="8" t="s">
        <v>741</v>
      </c>
      <c r="B29" s="165" t="s">
        <v>722</v>
      </c>
      <c r="C29" s="166"/>
      <c r="D29" s="8"/>
      <c r="E29" s="9"/>
      <c r="F29" s="9"/>
      <c r="G29" s="9">
        <f>SUM(G30:G33)</f>
        <v>0</v>
      </c>
    </row>
    <row r="30" spans="1:7" s="13" customFormat="1" ht="30">
      <c r="A30" s="83" t="s">
        <v>788</v>
      </c>
      <c r="B30" s="32" t="s">
        <v>719</v>
      </c>
      <c r="C30" s="34" t="s">
        <v>721</v>
      </c>
      <c r="D30" s="31" t="s">
        <v>18</v>
      </c>
      <c r="E30" s="33">
        <v>170</v>
      </c>
      <c r="F30" s="33"/>
      <c r="G30" s="33">
        <f t="shared" si="1"/>
        <v>0</v>
      </c>
    </row>
    <row r="31" spans="1:7" s="13" customFormat="1" ht="30">
      <c r="A31" s="83" t="s">
        <v>789</v>
      </c>
      <c r="B31" s="32" t="s">
        <v>671</v>
      </c>
      <c r="C31" s="34" t="s">
        <v>720</v>
      </c>
      <c r="D31" s="31" t="s">
        <v>18</v>
      </c>
      <c r="E31" s="33">
        <v>146</v>
      </c>
      <c r="F31" s="33"/>
      <c r="G31" s="33">
        <f t="shared" si="1"/>
        <v>0</v>
      </c>
    </row>
    <row r="32" spans="1:7" s="13" customFormat="1">
      <c r="A32" s="83" t="s">
        <v>790</v>
      </c>
      <c r="B32" s="32" t="s">
        <v>719</v>
      </c>
      <c r="C32" s="34" t="s">
        <v>718</v>
      </c>
      <c r="D32" s="31" t="s">
        <v>18</v>
      </c>
      <c r="E32" s="33">
        <v>127.5</v>
      </c>
      <c r="F32" s="33"/>
      <c r="G32" s="33">
        <f t="shared" si="1"/>
        <v>0</v>
      </c>
    </row>
    <row r="33" spans="1:7" s="13" customFormat="1" ht="30">
      <c r="A33" s="83" t="s">
        <v>791</v>
      </c>
      <c r="B33" s="32" t="s">
        <v>717</v>
      </c>
      <c r="C33" s="34" t="s">
        <v>716</v>
      </c>
      <c r="D33" s="31" t="s">
        <v>18</v>
      </c>
      <c r="E33" s="33">
        <v>127.5</v>
      </c>
      <c r="F33" s="33"/>
      <c r="G33" s="33">
        <f t="shared" si="1"/>
        <v>0</v>
      </c>
    </row>
    <row r="34" spans="1:7" s="13" customFormat="1">
      <c r="A34" s="8" t="s">
        <v>739</v>
      </c>
      <c r="B34" s="165" t="s">
        <v>725</v>
      </c>
      <c r="C34" s="166"/>
      <c r="D34" s="8"/>
      <c r="E34" s="9"/>
      <c r="F34" s="9"/>
      <c r="G34" s="9">
        <f>SUM(G35:G37)</f>
        <v>0</v>
      </c>
    </row>
    <row r="35" spans="1:7" s="13" customFormat="1" ht="30">
      <c r="A35" s="83" t="s">
        <v>792</v>
      </c>
      <c r="B35" s="32" t="s">
        <v>671</v>
      </c>
      <c r="C35" s="34" t="s">
        <v>670</v>
      </c>
      <c r="D35" s="31" t="s">
        <v>18</v>
      </c>
      <c r="E35" s="33">
        <v>63</v>
      </c>
      <c r="F35" s="33"/>
      <c r="G35" s="33">
        <f t="shared" si="1"/>
        <v>0</v>
      </c>
    </row>
    <row r="36" spans="1:7" s="13" customFormat="1">
      <c r="A36" s="83" t="s">
        <v>793</v>
      </c>
      <c r="B36" s="32" t="s">
        <v>669</v>
      </c>
      <c r="C36" s="34" t="s">
        <v>668</v>
      </c>
      <c r="D36" s="31" t="s">
        <v>18</v>
      </c>
      <c r="E36" s="33">
        <v>50</v>
      </c>
      <c r="F36" s="33"/>
      <c r="G36" s="33">
        <f t="shared" si="1"/>
        <v>0</v>
      </c>
    </row>
    <row r="37" spans="1:7" s="13" customFormat="1" ht="45">
      <c r="A37" s="83" t="s">
        <v>794</v>
      </c>
      <c r="B37" s="32" t="s">
        <v>674</v>
      </c>
      <c r="C37" s="34" t="s">
        <v>673</v>
      </c>
      <c r="D37" s="31" t="s">
        <v>18</v>
      </c>
      <c r="E37" s="33">
        <v>50</v>
      </c>
      <c r="F37" s="33"/>
      <c r="G37" s="33">
        <f t="shared" si="1"/>
        <v>0</v>
      </c>
    </row>
    <row r="38" spans="1:7" s="13" customFormat="1">
      <c r="A38" s="8" t="s">
        <v>795</v>
      </c>
      <c r="B38" s="165" t="s">
        <v>715</v>
      </c>
      <c r="C38" s="166"/>
      <c r="D38" s="8"/>
      <c r="E38" s="9"/>
      <c r="F38" s="9"/>
      <c r="G38" s="9">
        <f>SUM(G39:G41)</f>
        <v>0</v>
      </c>
    </row>
    <row r="39" spans="1:7" s="13" customFormat="1" ht="30">
      <c r="A39" s="83" t="s">
        <v>796</v>
      </c>
      <c r="B39" s="32" t="s">
        <v>671</v>
      </c>
      <c r="C39" s="34" t="s">
        <v>670</v>
      </c>
      <c r="D39" s="31" t="s">
        <v>18</v>
      </c>
      <c r="E39" s="33">
        <v>90</v>
      </c>
      <c r="F39" s="33"/>
      <c r="G39" s="33">
        <f t="shared" si="1"/>
        <v>0</v>
      </c>
    </row>
    <row r="40" spans="1:7" s="13" customFormat="1" ht="30">
      <c r="A40" s="83" t="s">
        <v>797</v>
      </c>
      <c r="B40" s="32" t="s">
        <v>676</v>
      </c>
      <c r="C40" s="34" t="s">
        <v>675</v>
      </c>
      <c r="D40" s="31" t="s">
        <v>18</v>
      </c>
      <c r="E40" s="33">
        <v>78</v>
      </c>
      <c r="F40" s="33"/>
      <c r="G40" s="33">
        <f t="shared" si="1"/>
        <v>0</v>
      </c>
    </row>
    <row r="41" spans="1:7" s="13" customFormat="1" ht="45">
      <c r="A41" s="83" t="s">
        <v>798</v>
      </c>
      <c r="B41" s="32" t="s">
        <v>674</v>
      </c>
      <c r="C41" s="34" t="s">
        <v>673</v>
      </c>
      <c r="D41" s="31" t="s">
        <v>18</v>
      </c>
      <c r="E41" s="33">
        <v>78</v>
      </c>
      <c r="F41" s="33"/>
      <c r="G41" s="33">
        <f t="shared" si="1"/>
        <v>0</v>
      </c>
    </row>
    <row r="42" spans="1:7" s="13" customFormat="1">
      <c r="A42" s="8" t="s">
        <v>799</v>
      </c>
      <c r="B42" s="165" t="s">
        <v>714</v>
      </c>
      <c r="C42" s="166"/>
      <c r="D42" s="8"/>
      <c r="E42" s="9"/>
      <c r="F42" s="9"/>
      <c r="G42" s="9">
        <f>SUM(G43:G45)</f>
        <v>0</v>
      </c>
    </row>
    <row r="43" spans="1:7" s="13" customFormat="1" ht="30">
      <c r="A43" s="83" t="s">
        <v>800</v>
      </c>
      <c r="B43" s="32" t="s">
        <v>671</v>
      </c>
      <c r="C43" s="34" t="s">
        <v>713</v>
      </c>
      <c r="D43" s="31" t="s">
        <v>18</v>
      </c>
      <c r="E43" s="33">
        <v>450</v>
      </c>
      <c r="F43" s="33"/>
      <c r="G43" s="33">
        <f t="shared" si="1"/>
        <v>0</v>
      </c>
    </row>
    <row r="44" spans="1:7" s="13" customFormat="1">
      <c r="A44" s="83" t="s">
        <v>801</v>
      </c>
      <c r="B44" s="32" t="s">
        <v>712</v>
      </c>
      <c r="C44" s="34" t="s">
        <v>711</v>
      </c>
      <c r="D44" s="31" t="s">
        <v>18</v>
      </c>
      <c r="E44" s="33">
        <v>450</v>
      </c>
      <c r="F44" s="33"/>
      <c r="G44" s="33">
        <f t="shared" si="1"/>
        <v>0</v>
      </c>
    </row>
    <row r="45" spans="1:7" s="13" customFormat="1" ht="45">
      <c r="A45" s="83" t="s">
        <v>802</v>
      </c>
      <c r="B45" s="32" t="s">
        <v>674</v>
      </c>
      <c r="C45" s="34" t="s">
        <v>673</v>
      </c>
      <c r="D45" s="31" t="s">
        <v>18</v>
      </c>
      <c r="E45" s="33">
        <v>450</v>
      </c>
      <c r="F45" s="33"/>
      <c r="G45" s="33">
        <f t="shared" si="1"/>
        <v>0</v>
      </c>
    </row>
    <row r="46" spans="1:7" s="13" customFormat="1">
      <c r="A46" s="8" t="s">
        <v>887</v>
      </c>
      <c r="B46" s="165" t="s">
        <v>710</v>
      </c>
      <c r="C46" s="166"/>
      <c r="D46" s="8"/>
      <c r="E46" s="9"/>
      <c r="F46" s="9"/>
      <c r="G46" s="9">
        <f>SUM(G47:G50)</f>
        <v>0</v>
      </c>
    </row>
    <row r="47" spans="1:7" s="13" customFormat="1" ht="45">
      <c r="A47" s="83" t="s">
        <v>888</v>
      </c>
      <c r="B47" s="32" t="s">
        <v>664</v>
      </c>
      <c r="C47" s="34" t="s">
        <v>663</v>
      </c>
      <c r="D47" s="31" t="s">
        <v>18</v>
      </c>
      <c r="E47" s="33">
        <f>50*0.25</f>
        <v>12.5</v>
      </c>
      <c r="F47" s="33"/>
      <c r="G47" s="33">
        <f t="shared" si="1"/>
        <v>0</v>
      </c>
    </row>
    <row r="48" spans="1:7" s="13" customFormat="1">
      <c r="A48" s="83" t="s">
        <v>889</v>
      </c>
      <c r="B48" s="32" t="s">
        <v>662</v>
      </c>
      <c r="C48" s="34" t="s">
        <v>661</v>
      </c>
      <c r="D48" s="31" t="s">
        <v>21</v>
      </c>
      <c r="E48" s="33">
        <f>50*0.04+152*0.08</f>
        <v>14.16</v>
      </c>
      <c r="F48" s="33"/>
      <c r="G48" s="33">
        <f t="shared" si="1"/>
        <v>0</v>
      </c>
    </row>
    <row r="49" spans="1:7" s="13" customFormat="1" ht="45">
      <c r="A49" s="83" t="s">
        <v>890</v>
      </c>
      <c r="B49" s="32" t="s">
        <v>660</v>
      </c>
      <c r="C49" s="34" t="s">
        <v>659</v>
      </c>
      <c r="D49" s="31" t="s">
        <v>81</v>
      </c>
      <c r="E49" s="33">
        <v>50</v>
      </c>
      <c r="F49" s="33"/>
      <c r="G49" s="33">
        <f t="shared" si="1"/>
        <v>0</v>
      </c>
    </row>
    <row r="50" spans="1:7" s="13" customFormat="1" ht="30">
      <c r="A50" s="83" t="s">
        <v>891</v>
      </c>
      <c r="B50" s="32" t="s">
        <v>658</v>
      </c>
      <c r="C50" s="34" t="s">
        <v>657</v>
      </c>
      <c r="D50" s="31" t="s">
        <v>81</v>
      </c>
      <c r="E50" s="33">
        <v>152</v>
      </c>
      <c r="F50" s="33"/>
      <c r="G50" s="33">
        <f t="shared" si="1"/>
        <v>0</v>
      </c>
    </row>
    <row r="51" spans="1:7" s="13" customFormat="1" ht="20.25" customHeight="1">
      <c r="A51" s="42" t="s">
        <v>487</v>
      </c>
      <c r="B51" s="175" t="s">
        <v>654</v>
      </c>
      <c r="C51" s="176"/>
      <c r="D51" s="42"/>
      <c r="E51" s="37"/>
      <c r="F51" s="37"/>
      <c r="G51" s="37">
        <f>SUM(G52:G64)</f>
        <v>0</v>
      </c>
    </row>
    <row r="52" spans="1:7" s="13" customFormat="1" ht="30">
      <c r="A52" s="18" t="s">
        <v>108</v>
      </c>
      <c r="B52" s="10" t="s">
        <v>207</v>
      </c>
      <c r="C52" s="71" t="s">
        <v>908</v>
      </c>
      <c r="D52" s="18" t="s">
        <v>21</v>
      </c>
      <c r="E52" s="11">
        <v>2</v>
      </c>
      <c r="F52" s="11"/>
      <c r="G52" s="11">
        <f t="shared" ref="G52:G64" si="2">E52*F52</f>
        <v>0</v>
      </c>
    </row>
    <row r="53" spans="1:7" s="13" customFormat="1" ht="30">
      <c r="A53" s="18" t="s">
        <v>109</v>
      </c>
      <c r="B53" s="10" t="s">
        <v>208</v>
      </c>
      <c r="C53" s="10" t="s">
        <v>209</v>
      </c>
      <c r="D53" s="18" t="s">
        <v>11</v>
      </c>
      <c r="E53" s="11">
        <v>1</v>
      </c>
      <c r="F53" s="11"/>
      <c r="G53" s="11">
        <f t="shared" si="2"/>
        <v>0</v>
      </c>
    </row>
    <row r="54" spans="1:7" s="13" customFormat="1" ht="30">
      <c r="A54" s="18" t="s">
        <v>389</v>
      </c>
      <c r="B54" s="10" t="s">
        <v>210</v>
      </c>
      <c r="C54" s="10" t="s">
        <v>211</v>
      </c>
      <c r="D54" s="18" t="s">
        <v>11</v>
      </c>
      <c r="E54" s="11">
        <v>4</v>
      </c>
      <c r="F54" s="11"/>
      <c r="G54" s="11">
        <f t="shared" si="2"/>
        <v>0</v>
      </c>
    </row>
    <row r="55" spans="1:7" s="13" customFormat="1" ht="30">
      <c r="A55" s="18" t="s">
        <v>477</v>
      </c>
      <c r="B55" s="10" t="s">
        <v>212</v>
      </c>
      <c r="C55" s="10" t="s">
        <v>213</v>
      </c>
      <c r="D55" s="18" t="s">
        <v>11</v>
      </c>
      <c r="E55" s="11">
        <v>1</v>
      </c>
      <c r="F55" s="11"/>
      <c r="G55" s="11">
        <f t="shared" si="2"/>
        <v>0</v>
      </c>
    </row>
    <row r="56" spans="1:7" s="13" customFormat="1" ht="30">
      <c r="A56" s="18" t="s">
        <v>588</v>
      </c>
      <c r="B56" s="10" t="s">
        <v>214</v>
      </c>
      <c r="C56" s="10" t="s">
        <v>215</v>
      </c>
      <c r="D56" s="18" t="s">
        <v>88</v>
      </c>
      <c r="E56" s="11">
        <v>1</v>
      </c>
      <c r="F56" s="11"/>
      <c r="G56" s="11">
        <f t="shared" si="2"/>
        <v>0</v>
      </c>
    </row>
    <row r="57" spans="1:7" s="13" customFormat="1" ht="45">
      <c r="A57" s="18" t="s">
        <v>343</v>
      </c>
      <c r="B57" s="10" t="s">
        <v>216</v>
      </c>
      <c r="C57" s="10" t="s">
        <v>217</v>
      </c>
      <c r="D57" s="18" t="s">
        <v>218</v>
      </c>
      <c r="E57" s="11">
        <v>2</v>
      </c>
      <c r="F57" s="11"/>
      <c r="G57" s="11">
        <f t="shared" si="2"/>
        <v>0</v>
      </c>
    </row>
    <row r="58" spans="1:7" s="13" customFormat="1" ht="45">
      <c r="A58" s="18" t="s">
        <v>62</v>
      </c>
      <c r="B58" s="10" t="s">
        <v>219</v>
      </c>
      <c r="C58" s="10" t="s">
        <v>220</v>
      </c>
      <c r="D58" s="5" t="s">
        <v>221</v>
      </c>
      <c r="E58" s="11">
        <v>0.02</v>
      </c>
      <c r="F58" s="11"/>
      <c r="G58" s="11">
        <f t="shared" si="2"/>
        <v>0</v>
      </c>
    </row>
    <row r="59" spans="1:7" s="13" customFormat="1" ht="30">
      <c r="A59" s="18" t="s">
        <v>589</v>
      </c>
      <c r="B59" s="10" t="s">
        <v>222</v>
      </c>
      <c r="C59" s="10" t="s">
        <v>223</v>
      </c>
      <c r="D59" s="6" t="s">
        <v>224</v>
      </c>
      <c r="E59" s="11">
        <v>0.02</v>
      </c>
      <c r="F59" s="11"/>
      <c r="G59" s="11">
        <f t="shared" si="2"/>
        <v>0</v>
      </c>
    </row>
    <row r="60" spans="1:7" s="13" customFormat="1" ht="45">
      <c r="A60" s="18" t="s">
        <v>590</v>
      </c>
      <c r="B60" s="10" t="s">
        <v>178</v>
      </c>
      <c r="C60" s="10" t="s">
        <v>179</v>
      </c>
      <c r="D60" s="5" t="s">
        <v>11</v>
      </c>
      <c r="E60" s="11">
        <v>1</v>
      </c>
      <c r="F60" s="11"/>
      <c r="G60" s="11">
        <f t="shared" si="2"/>
        <v>0</v>
      </c>
    </row>
    <row r="61" spans="1:7" s="13" customFormat="1" ht="45">
      <c r="A61" s="18" t="s">
        <v>591</v>
      </c>
      <c r="B61" s="10" t="s">
        <v>225</v>
      </c>
      <c r="C61" s="10" t="s">
        <v>226</v>
      </c>
      <c r="D61" s="5" t="s">
        <v>11</v>
      </c>
      <c r="E61" s="11">
        <v>1</v>
      </c>
      <c r="F61" s="11"/>
      <c r="G61" s="11">
        <f t="shared" si="2"/>
        <v>0</v>
      </c>
    </row>
    <row r="62" spans="1:7" s="13" customFormat="1" ht="45">
      <c r="A62" s="18" t="s">
        <v>592</v>
      </c>
      <c r="B62" s="10" t="s">
        <v>227</v>
      </c>
      <c r="C62" s="10" t="s">
        <v>228</v>
      </c>
      <c r="D62" s="5" t="s">
        <v>88</v>
      </c>
      <c r="E62" s="11">
        <v>0.03</v>
      </c>
      <c r="F62" s="11"/>
      <c r="G62" s="11">
        <f t="shared" si="2"/>
        <v>0</v>
      </c>
    </row>
    <row r="63" spans="1:7" s="13" customFormat="1" ht="45">
      <c r="A63" s="18" t="s">
        <v>593</v>
      </c>
      <c r="B63" s="10" t="s">
        <v>229</v>
      </c>
      <c r="C63" s="10" t="s">
        <v>230</v>
      </c>
      <c r="D63" s="6" t="s">
        <v>224</v>
      </c>
      <c r="E63" s="11">
        <v>0.03</v>
      </c>
      <c r="F63" s="11"/>
      <c r="G63" s="11">
        <f t="shared" si="2"/>
        <v>0</v>
      </c>
    </row>
    <row r="64" spans="1:7" s="13" customFormat="1" ht="30">
      <c r="A64" s="18" t="s">
        <v>594</v>
      </c>
      <c r="B64" s="10" t="s">
        <v>201</v>
      </c>
      <c r="C64" s="10" t="s">
        <v>202</v>
      </c>
      <c r="D64" s="5" t="s">
        <v>191</v>
      </c>
      <c r="E64" s="11">
        <v>1</v>
      </c>
      <c r="F64" s="11"/>
      <c r="G64" s="11">
        <f t="shared" si="2"/>
        <v>0</v>
      </c>
    </row>
    <row r="65" spans="1:7" s="13" customFormat="1" ht="20.25" customHeight="1">
      <c r="A65" s="42" t="s">
        <v>526</v>
      </c>
      <c r="B65" s="175" t="s">
        <v>595</v>
      </c>
      <c r="C65" s="176"/>
      <c r="D65" s="42"/>
      <c r="E65" s="37"/>
      <c r="F65" s="37"/>
      <c r="G65" s="37">
        <f>SUM(G66:G72)</f>
        <v>0</v>
      </c>
    </row>
    <row r="66" spans="1:7" s="13" customFormat="1" ht="30">
      <c r="A66" s="18" t="s">
        <v>113</v>
      </c>
      <c r="B66" s="10" t="s">
        <v>351</v>
      </c>
      <c r="C66" s="10" t="s">
        <v>352</v>
      </c>
      <c r="D66" s="5" t="s">
        <v>353</v>
      </c>
      <c r="E66" s="11">
        <v>1</v>
      </c>
      <c r="F66" s="11"/>
      <c r="G66" s="11">
        <f t="shared" ref="G66:G72" si="3">E66*F66</f>
        <v>0</v>
      </c>
    </row>
    <row r="67" spans="1:7" s="13" customFormat="1">
      <c r="A67" s="18" t="s">
        <v>114</v>
      </c>
      <c r="B67" s="10" t="s">
        <v>483</v>
      </c>
      <c r="C67" s="10" t="s">
        <v>355</v>
      </c>
      <c r="D67" s="5" t="s">
        <v>81</v>
      </c>
      <c r="E67" s="11">
        <v>177</v>
      </c>
      <c r="F67" s="11"/>
      <c r="G67" s="11">
        <f t="shared" si="3"/>
        <v>0</v>
      </c>
    </row>
    <row r="68" spans="1:7" s="13" customFormat="1">
      <c r="A68" s="18" t="s">
        <v>123</v>
      </c>
      <c r="B68" s="10" t="s">
        <v>483</v>
      </c>
      <c r="C68" s="10" t="s">
        <v>356</v>
      </c>
      <c r="D68" s="5" t="s">
        <v>143</v>
      </c>
      <c r="E68" s="11">
        <v>2</v>
      </c>
      <c r="F68" s="11"/>
      <c r="G68" s="11">
        <f t="shared" si="3"/>
        <v>0</v>
      </c>
    </row>
    <row r="69" spans="1:7" s="13" customFormat="1" ht="30">
      <c r="A69" s="18" t="s">
        <v>478</v>
      </c>
      <c r="B69" s="10" t="s">
        <v>483</v>
      </c>
      <c r="C69" s="10" t="s">
        <v>357</v>
      </c>
      <c r="D69" s="5" t="s">
        <v>143</v>
      </c>
      <c r="E69" s="11">
        <v>3</v>
      </c>
      <c r="F69" s="11"/>
      <c r="G69" s="11">
        <f t="shared" si="3"/>
        <v>0</v>
      </c>
    </row>
    <row r="70" spans="1:7" s="13" customFormat="1" ht="30">
      <c r="A70" s="18" t="s">
        <v>479</v>
      </c>
      <c r="B70" s="10" t="s">
        <v>483</v>
      </c>
      <c r="C70" s="10" t="s">
        <v>358</v>
      </c>
      <c r="D70" s="5" t="s">
        <v>143</v>
      </c>
      <c r="E70" s="11">
        <v>2</v>
      </c>
      <c r="F70" s="11"/>
      <c r="G70" s="11">
        <f t="shared" si="3"/>
        <v>0</v>
      </c>
    </row>
    <row r="71" spans="1:7" s="13" customFormat="1">
      <c r="A71" s="18" t="s">
        <v>480</v>
      </c>
      <c r="B71" s="10" t="s">
        <v>483</v>
      </c>
      <c r="C71" s="10" t="s">
        <v>359</v>
      </c>
      <c r="D71" s="5" t="s">
        <v>143</v>
      </c>
      <c r="E71" s="11">
        <v>1</v>
      </c>
      <c r="F71" s="11"/>
      <c r="G71" s="11">
        <f t="shared" si="3"/>
        <v>0</v>
      </c>
    </row>
    <row r="72" spans="1:7" s="13" customFormat="1">
      <c r="A72" s="18" t="s">
        <v>481</v>
      </c>
      <c r="B72" s="10" t="s">
        <v>483</v>
      </c>
      <c r="C72" s="10" t="s">
        <v>360</v>
      </c>
      <c r="D72" s="5" t="s">
        <v>143</v>
      </c>
      <c r="E72" s="11">
        <v>1</v>
      </c>
      <c r="F72" s="11"/>
      <c r="G72" s="11">
        <f t="shared" si="3"/>
        <v>0</v>
      </c>
    </row>
    <row r="73" spans="1:7" s="13" customFormat="1" ht="32.25" customHeight="1">
      <c r="A73" s="126"/>
      <c r="B73" s="174" t="s">
        <v>596</v>
      </c>
      <c r="C73" s="174"/>
      <c r="D73" s="127"/>
      <c r="E73" s="128"/>
      <c r="F73" s="128"/>
      <c r="G73" s="128">
        <f>SUM(G65,G51,G14,G4)</f>
        <v>0</v>
      </c>
    </row>
    <row r="74" spans="1:7">
      <c r="A74" s="8"/>
      <c r="B74" s="14"/>
      <c r="C74" s="14"/>
      <c r="D74" s="14"/>
      <c r="E74" s="9"/>
      <c r="F74" s="9"/>
      <c r="G74" s="9"/>
    </row>
    <row r="75" spans="1:7" s="1" customFormat="1" ht="21.75" customHeight="1">
      <c r="A75" s="126" t="s">
        <v>628</v>
      </c>
      <c r="B75" s="174" t="s">
        <v>107</v>
      </c>
      <c r="C75" s="174"/>
      <c r="D75" s="127"/>
      <c r="E75" s="128"/>
      <c r="F75" s="128"/>
      <c r="G75" s="128"/>
    </row>
    <row r="76" spans="1:7" s="1" customFormat="1">
      <c r="A76" s="42" t="s">
        <v>544</v>
      </c>
      <c r="B76" s="175" t="s">
        <v>486</v>
      </c>
      <c r="C76" s="176"/>
      <c r="D76" s="43"/>
      <c r="E76" s="92"/>
      <c r="F76" s="92"/>
      <c r="G76" s="92">
        <f>SUM(G77,G83)</f>
        <v>0</v>
      </c>
    </row>
    <row r="77" spans="1:7">
      <c r="A77" s="8" t="s">
        <v>7</v>
      </c>
      <c r="B77" s="167" t="s">
        <v>42</v>
      </c>
      <c r="C77" s="168"/>
      <c r="D77" s="8"/>
      <c r="E77" s="9"/>
      <c r="F77" s="9"/>
      <c r="G77" s="9">
        <f>SUM(G78:G82)</f>
        <v>0</v>
      </c>
    </row>
    <row r="78" spans="1:7" ht="45">
      <c r="A78" s="18" t="s">
        <v>408</v>
      </c>
      <c r="B78" s="10" t="s">
        <v>43</v>
      </c>
      <c r="C78" s="10" t="s">
        <v>44</v>
      </c>
      <c r="D78" s="5" t="s">
        <v>21</v>
      </c>
      <c r="E78" s="11">
        <v>4</v>
      </c>
      <c r="F78" s="11"/>
      <c r="G78" s="11">
        <f>E78*F78</f>
        <v>0</v>
      </c>
    </row>
    <row r="79" spans="1:7" ht="30">
      <c r="A79" s="18" t="s">
        <v>409</v>
      </c>
      <c r="B79" s="10" t="s">
        <v>45</v>
      </c>
      <c r="C79" s="10" t="s">
        <v>46</v>
      </c>
      <c r="D79" s="5" t="s">
        <v>18</v>
      </c>
      <c r="E79" s="11">
        <v>80</v>
      </c>
      <c r="F79" s="11"/>
      <c r="G79" s="11">
        <f t="shared" ref="G79:G82" si="4">E79*F79</f>
        <v>0</v>
      </c>
    </row>
    <row r="80" spans="1:7">
      <c r="A80" s="18" t="s">
        <v>410</v>
      </c>
      <c r="B80" s="10" t="s">
        <v>47</v>
      </c>
      <c r="C80" s="10" t="s">
        <v>48</v>
      </c>
      <c r="D80" s="5" t="s">
        <v>21</v>
      </c>
      <c r="E80" s="11">
        <v>4</v>
      </c>
      <c r="F80" s="11"/>
      <c r="G80" s="11">
        <f t="shared" si="4"/>
        <v>0</v>
      </c>
    </row>
    <row r="81" spans="1:7" ht="30">
      <c r="A81" s="18" t="s">
        <v>411</v>
      </c>
      <c r="B81" s="10" t="s">
        <v>49</v>
      </c>
      <c r="C81" s="10" t="s">
        <v>50</v>
      </c>
      <c r="D81" s="5" t="s">
        <v>21</v>
      </c>
      <c r="E81" s="11">
        <v>4</v>
      </c>
      <c r="F81" s="11"/>
      <c r="G81" s="11">
        <f t="shared" si="4"/>
        <v>0</v>
      </c>
    </row>
    <row r="82" spans="1:7" ht="30">
      <c r="A82" s="18" t="s">
        <v>412</v>
      </c>
      <c r="B82" s="10" t="s">
        <v>51</v>
      </c>
      <c r="C82" s="10" t="s">
        <v>52</v>
      </c>
      <c r="D82" s="5" t="s">
        <v>18</v>
      </c>
      <c r="E82" s="11">
        <v>80</v>
      </c>
      <c r="F82" s="11"/>
      <c r="G82" s="11">
        <f t="shared" si="4"/>
        <v>0</v>
      </c>
    </row>
    <row r="83" spans="1:7">
      <c r="A83" s="8" t="s">
        <v>41</v>
      </c>
      <c r="B83" s="159" t="s">
        <v>110</v>
      </c>
      <c r="C83" s="159"/>
      <c r="D83" s="8"/>
      <c r="E83" s="9"/>
      <c r="F83" s="9"/>
      <c r="G83" s="9">
        <f>SUM(G84)</f>
        <v>0</v>
      </c>
    </row>
    <row r="84" spans="1:7" ht="30">
      <c r="A84" s="18" t="s">
        <v>424</v>
      </c>
      <c r="B84" s="10" t="s">
        <v>38</v>
      </c>
      <c r="C84" s="10" t="s">
        <v>111</v>
      </c>
      <c r="D84" s="5" t="s">
        <v>88</v>
      </c>
      <c r="E84" s="11">
        <v>1</v>
      </c>
      <c r="F84" s="11"/>
      <c r="G84" s="11">
        <f>E84*F84</f>
        <v>0</v>
      </c>
    </row>
    <row r="85" spans="1:7">
      <c r="A85" s="42" t="s">
        <v>541</v>
      </c>
      <c r="B85" s="175" t="s">
        <v>542</v>
      </c>
      <c r="C85" s="176"/>
      <c r="D85" s="43"/>
      <c r="E85" s="92"/>
      <c r="F85" s="92"/>
      <c r="G85" s="92">
        <f>SUM(G86,G95,G101,G106,G110,G114)</f>
        <v>0</v>
      </c>
    </row>
    <row r="86" spans="1:7">
      <c r="A86" s="8" t="s">
        <v>749</v>
      </c>
      <c r="B86" s="165" t="s">
        <v>709</v>
      </c>
      <c r="C86" s="166"/>
      <c r="D86" s="8"/>
      <c r="E86" s="9"/>
      <c r="F86" s="9"/>
      <c r="G86" s="9">
        <f>SUM(G87:G94)</f>
        <v>0</v>
      </c>
    </row>
    <row r="87" spans="1:7" ht="30">
      <c r="A87" s="31" t="s">
        <v>775</v>
      </c>
      <c r="B87" s="32" t="s">
        <v>724</v>
      </c>
      <c r="C87" s="34" t="s">
        <v>723</v>
      </c>
      <c r="D87" s="31" t="s">
        <v>221</v>
      </c>
      <c r="E87" s="33">
        <v>7.0000000000000007E-2</v>
      </c>
      <c r="F87" s="33"/>
      <c r="G87" s="33">
        <f t="shared" ref="G87:G118" si="5">E87*F87</f>
        <v>0</v>
      </c>
    </row>
    <row r="88" spans="1:7" ht="30">
      <c r="A88" s="31" t="s">
        <v>776</v>
      </c>
      <c r="B88" s="32" t="s">
        <v>705</v>
      </c>
      <c r="C88" s="34" t="s">
        <v>704</v>
      </c>
      <c r="D88" s="31" t="s">
        <v>18</v>
      </c>
      <c r="E88" s="33">
        <v>154</v>
      </c>
      <c r="F88" s="33"/>
      <c r="G88" s="33">
        <f t="shared" si="5"/>
        <v>0</v>
      </c>
    </row>
    <row r="89" spans="1:7" ht="30">
      <c r="A89" s="31" t="s">
        <v>777</v>
      </c>
      <c r="B89" s="32" t="s">
        <v>703</v>
      </c>
      <c r="C89" s="34" t="s">
        <v>702</v>
      </c>
      <c r="D89" s="31" t="s">
        <v>81</v>
      </c>
      <c r="E89" s="33">
        <v>61</v>
      </c>
      <c r="F89" s="33"/>
      <c r="G89" s="33">
        <f t="shared" si="5"/>
        <v>0</v>
      </c>
    </row>
    <row r="90" spans="1:7">
      <c r="A90" s="31" t="s">
        <v>778</v>
      </c>
      <c r="B90" s="32" t="s">
        <v>701</v>
      </c>
      <c r="C90" s="34" t="s">
        <v>700</v>
      </c>
      <c r="D90" s="31" t="s">
        <v>81</v>
      </c>
      <c r="E90" s="33">
        <v>54</v>
      </c>
      <c r="F90" s="33"/>
      <c r="G90" s="33">
        <f t="shared" si="5"/>
        <v>0</v>
      </c>
    </row>
    <row r="91" spans="1:7" ht="30">
      <c r="A91" s="31" t="s">
        <v>779</v>
      </c>
      <c r="B91" s="32" t="s">
        <v>699</v>
      </c>
      <c r="C91" s="34" t="s">
        <v>698</v>
      </c>
      <c r="D91" s="31" t="s">
        <v>21</v>
      </c>
      <c r="E91" s="33">
        <f>E89*0.08+E90*0.04</f>
        <v>7.04</v>
      </c>
      <c r="F91" s="33"/>
      <c r="G91" s="33">
        <f t="shared" si="5"/>
        <v>0</v>
      </c>
    </row>
    <row r="92" spans="1:7" ht="45">
      <c r="A92" s="31" t="s">
        <v>780</v>
      </c>
      <c r="B92" s="32" t="s">
        <v>697</v>
      </c>
      <c r="C92" s="34" t="s">
        <v>696</v>
      </c>
      <c r="D92" s="31" t="s">
        <v>21</v>
      </c>
      <c r="E92" s="33">
        <f>E88*0.08+E89*0.3*0.15+E90*0.08*0.3+E91</f>
        <v>23.4</v>
      </c>
      <c r="F92" s="33"/>
      <c r="G92" s="33">
        <f t="shared" si="5"/>
        <v>0</v>
      </c>
    </row>
    <row r="93" spans="1:7" ht="60">
      <c r="A93" s="31" t="s">
        <v>781</v>
      </c>
      <c r="B93" s="32" t="s">
        <v>695</v>
      </c>
      <c r="C93" s="34" t="s">
        <v>694</v>
      </c>
      <c r="D93" s="31" t="s">
        <v>21</v>
      </c>
      <c r="E93" s="33">
        <f>E92</f>
        <v>23.4</v>
      </c>
      <c r="F93" s="33"/>
      <c r="G93" s="33">
        <f t="shared" si="5"/>
        <v>0</v>
      </c>
    </row>
    <row r="94" spans="1:7">
      <c r="A94" s="31" t="s">
        <v>782</v>
      </c>
      <c r="B94" s="88" t="s">
        <v>1007</v>
      </c>
      <c r="C94" s="34" t="s">
        <v>693</v>
      </c>
      <c r="D94" s="31" t="s">
        <v>40</v>
      </c>
      <c r="E94" s="33">
        <f>E92*2.3</f>
        <v>53.82</v>
      </c>
      <c r="F94" s="33"/>
      <c r="G94" s="33">
        <f t="shared" si="5"/>
        <v>0</v>
      </c>
    </row>
    <row r="95" spans="1:7">
      <c r="A95" s="8" t="s">
        <v>742</v>
      </c>
      <c r="B95" s="165" t="s">
        <v>692</v>
      </c>
      <c r="C95" s="166"/>
      <c r="D95" s="8"/>
      <c r="E95" s="9"/>
      <c r="F95" s="9"/>
      <c r="G95" s="9">
        <f>SUM(G96:G100)</f>
        <v>0</v>
      </c>
    </row>
    <row r="96" spans="1:7" ht="60">
      <c r="A96" s="31" t="s">
        <v>783</v>
      </c>
      <c r="B96" s="34" t="s">
        <v>691</v>
      </c>
      <c r="C96" s="34" t="s">
        <v>690</v>
      </c>
      <c r="D96" s="31" t="s">
        <v>21</v>
      </c>
      <c r="E96" s="33">
        <v>145</v>
      </c>
      <c r="F96" s="33"/>
      <c r="G96" s="33">
        <f t="shared" si="5"/>
        <v>0</v>
      </c>
    </row>
    <row r="97" spans="1:7" ht="30">
      <c r="A97" s="31" t="s">
        <v>784</v>
      </c>
      <c r="B97" s="34" t="s">
        <v>689</v>
      </c>
      <c r="C97" s="34" t="s">
        <v>688</v>
      </c>
      <c r="D97" s="31" t="s">
        <v>21</v>
      </c>
      <c r="E97" s="33">
        <v>15</v>
      </c>
      <c r="F97" s="33"/>
      <c r="G97" s="33">
        <f t="shared" si="5"/>
        <v>0</v>
      </c>
    </row>
    <row r="98" spans="1:7" ht="45">
      <c r="A98" s="31" t="s">
        <v>785</v>
      </c>
      <c r="B98" s="34" t="s">
        <v>687</v>
      </c>
      <c r="C98" s="34" t="s">
        <v>686</v>
      </c>
      <c r="D98" s="31" t="s">
        <v>21</v>
      </c>
      <c r="E98" s="33">
        <f>145-15</f>
        <v>130</v>
      </c>
      <c r="F98" s="33"/>
      <c r="G98" s="33">
        <f t="shared" si="5"/>
        <v>0</v>
      </c>
    </row>
    <row r="99" spans="1:7">
      <c r="A99" s="31" t="s">
        <v>786</v>
      </c>
      <c r="B99" s="88" t="s">
        <v>1007</v>
      </c>
      <c r="C99" s="34" t="s">
        <v>684</v>
      </c>
      <c r="D99" s="31" t="s">
        <v>40</v>
      </c>
      <c r="E99" s="33">
        <f>130*1.8</f>
        <v>234</v>
      </c>
      <c r="F99" s="33"/>
      <c r="G99" s="33">
        <f t="shared" si="5"/>
        <v>0</v>
      </c>
    </row>
    <row r="100" spans="1:7" ht="45">
      <c r="A100" s="31" t="s">
        <v>787</v>
      </c>
      <c r="B100" s="32" t="s">
        <v>683</v>
      </c>
      <c r="C100" s="34" t="s">
        <v>682</v>
      </c>
      <c r="D100" s="31" t="s">
        <v>18</v>
      </c>
      <c r="E100" s="33">
        <f>170+39+105+12.25</f>
        <v>326.25</v>
      </c>
      <c r="F100" s="33"/>
      <c r="G100" s="33">
        <f t="shared" si="5"/>
        <v>0</v>
      </c>
    </row>
    <row r="101" spans="1:7">
      <c r="A101" s="8" t="s">
        <v>741</v>
      </c>
      <c r="B101" s="165" t="s">
        <v>722</v>
      </c>
      <c r="C101" s="166"/>
      <c r="D101" s="8"/>
      <c r="E101" s="9"/>
      <c r="F101" s="9"/>
      <c r="G101" s="9">
        <f>SUM(G102:G105)</f>
        <v>0</v>
      </c>
    </row>
    <row r="102" spans="1:7" ht="30">
      <c r="A102" s="31" t="s">
        <v>788</v>
      </c>
      <c r="B102" s="32" t="s">
        <v>719</v>
      </c>
      <c r="C102" s="34" t="s">
        <v>721</v>
      </c>
      <c r="D102" s="31" t="s">
        <v>18</v>
      </c>
      <c r="E102" s="33">
        <v>170</v>
      </c>
      <c r="F102" s="33"/>
      <c r="G102" s="33">
        <f t="shared" si="5"/>
        <v>0</v>
      </c>
    </row>
    <row r="103" spans="1:7" ht="30">
      <c r="A103" s="31" t="s">
        <v>789</v>
      </c>
      <c r="B103" s="32" t="s">
        <v>671</v>
      </c>
      <c r="C103" s="34" t="s">
        <v>720</v>
      </c>
      <c r="D103" s="31" t="s">
        <v>18</v>
      </c>
      <c r="E103" s="33">
        <v>146</v>
      </c>
      <c r="F103" s="33"/>
      <c r="G103" s="33">
        <f t="shared" si="5"/>
        <v>0</v>
      </c>
    </row>
    <row r="104" spans="1:7">
      <c r="A104" s="31" t="s">
        <v>790</v>
      </c>
      <c r="B104" s="32" t="s">
        <v>719</v>
      </c>
      <c r="C104" s="34" t="s">
        <v>718</v>
      </c>
      <c r="D104" s="31" t="s">
        <v>18</v>
      </c>
      <c r="E104" s="33">
        <v>127.5</v>
      </c>
      <c r="F104" s="33"/>
      <c r="G104" s="33">
        <f t="shared" si="5"/>
        <v>0</v>
      </c>
    </row>
    <row r="105" spans="1:7" ht="30">
      <c r="A105" s="31" t="s">
        <v>791</v>
      </c>
      <c r="B105" s="32" t="s">
        <v>717</v>
      </c>
      <c r="C105" s="34" t="s">
        <v>716</v>
      </c>
      <c r="D105" s="31" t="s">
        <v>18</v>
      </c>
      <c r="E105" s="33">
        <v>127.5</v>
      </c>
      <c r="F105" s="33"/>
      <c r="G105" s="33">
        <f t="shared" si="5"/>
        <v>0</v>
      </c>
    </row>
    <row r="106" spans="1:7">
      <c r="A106" s="8" t="s">
        <v>739</v>
      </c>
      <c r="B106" s="165" t="s">
        <v>715</v>
      </c>
      <c r="C106" s="166"/>
      <c r="D106" s="8"/>
      <c r="E106" s="9"/>
      <c r="F106" s="9"/>
      <c r="G106" s="9">
        <f>SUM(G107:G109)</f>
        <v>0</v>
      </c>
    </row>
    <row r="107" spans="1:7" ht="30">
      <c r="A107" s="31" t="s">
        <v>792</v>
      </c>
      <c r="B107" s="32" t="s">
        <v>671</v>
      </c>
      <c r="C107" s="34" t="s">
        <v>670</v>
      </c>
      <c r="D107" s="31" t="s">
        <v>18</v>
      </c>
      <c r="E107" s="33">
        <v>39</v>
      </c>
      <c r="F107" s="33"/>
      <c r="G107" s="33">
        <f t="shared" si="5"/>
        <v>0</v>
      </c>
    </row>
    <row r="108" spans="1:7" ht="30">
      <c r="A108" s="31" t="s">
        <v>793</v>
      </c>
      <c r="B108" s="32" t="s">
        <v>676</v>
      </c>
      <c r="C108" s="34" t="s">
        <v>675</v>
      </c>
      <c r="D108" s="31" t="s">
        <v>18</v>
      </c>
      <c r="E108" s="33">
        <v>35</v>
      </c>
      <c r="F108" s="33"/>
      <c r="G108" s="33">
        <f t="shared" si="5"/>
        <v>0</v>
      </c>
    </row>
    <row r="109" spans="1:7" ht="45">
      <c r="A109" s="31" t="s">
        <v>794</v>
      </c>
      <c r="B109" s="32" t="s">
        <v>674</v>
      </c>
      <c r="C109" s="34" t="s">
        <v>673</v>
      </c>
      <c r="D109" s="31" t="s">
        <v>18</v>
      </c>
      <c r="E109" s="33">
        <v>35</v>
      </c>
      <c r="F109" s="33"/>
      <c r="G109" s="33">
        <f t="shared" si="5"/>
        <v>0</v>
      </c>
    </row>
    <row r="110" spans="1:7">
      <c r="A110" s="8" t="s">
        <v>795</v>
      </c>
      <c r="B110" s="165" t="s">
        <v>714</v>
      </c>
      <c r="C110" s="166"/>
      <c r="D110" s="31"/>
      <c r="E110" s="33"/>
      <c r="F110" s="33"/>
      <c r="G110" s="33">
        <f>SUM(G111:G113)</f>
        <v>0</v>
      </c>
    </row>
    <row r="111" spans="1:7" ht="30">
      <c r="A111" s="31" t="s">
        <v>796</v>
      </c>
      <c r="B111" s="32" t="s">
        <v>671</v>
      </c>
      <c r="C111" s="34" t="s">
        <v>713</v>
      </c>
      <c r="D111" s="31" t="s">
        <v>18</v>
      </c>
      <c r="E111" s="33">
        <v>105</v>
      </c>
      <c r="F111" s="33"/>
      <c r="G111" s="33">
        <f t="shared" si="5"/>
        <v>0</v>
      </c>
    </row>
    <row r="112" spans="1:7">
      <c r="A112" s="31" t="s">
        <v>797</v>
      </c>
      <c r="B112" s="32" t="s">
        <v>712</v>
      </c>
      <c r="C112" s="34" t="s">
        <v>711</v>
      </c>
      <c r="D112" s="31" t="s">
        <v>18</v>
      </c>
      <c r="E112" s="33">
        <v>105</v>
      </c>
      <c r="F112" s="33"/>
      <c r="G112" s="33">
        <f t="shared" si="5"/>
        <v>0</v>
      </c>
    </row>
    <row r="113" spans="1:7" ht="45">
      <c r="A113" s="31" t="s">
        <v>798</v>
      </c>
      <c r="B113" s="32" t="s">
        <v>674</v>
      </c>
      <c r="C113" s="34" t="s">
        <v>673</v>
      </c>
      <c r="D113" s="31" t="s">
        <v>18</v>
      </c>
      <c r="E113" s="33">
        <v>105</v>
      </c>
      <c r="F113" s="33"/>
      <c r="G113" s="33">
        <f t="shared" si="5"/>
        <v>0</v>
      </c>
    </row>
    <row r="114" spans="1:7">
      <c r="A114" s="8" t="s">
        <v>799</v>
      </c>
      <c r="B114" s="165" t="s">
        <v>710</v>
      </c>
      <c r="C114" s="166"/>
      <c r="D114" s="8"/>
      <c r="E114" s="9"/>
      <c r="F114" s="9"/>
      <c r="G114" s="9">
        <f>SUM(G115:G118)</f>
        <v>0</v>
      </c>
    </row>
    <row r="115" spans="1:7" ht="45">
      <c r="A115" s="31" t="s">
        <v>800</v>
      </c>
      <c r="B115" s="32" t="s">
        <v>664</v>
      </c>
      <c r="C115" s="34" t="s">
        <v>663</v>
      </c>
      <c r="D115" s="31" t="s">
        <v>18</v>
      </c>
      <c r="E115" s="33">
        <f>49*0.25</f>
        <v>12.25</v>
      </c>
      <c r="F115" s="33"/>
      <c r="G115" s="33">
        <f t="shared" si="5"/>
        <v>0</v>
      </c>
    </row>
    <row r="116" spans="1:7">
      <c r="A116" s="31" t="s">
        <v>801</v>
      </c>
      <c r="B116" s="32" t="s">
        <v>662</v>
      </c>
      <c r="C116" s="34" t="s">
        <v>661</v>
      </c>
      <c r="D116" s="31" t="s">
        <v>21</v>
      </c>
      <c r="E116" s="33">
        <f>49*0.04+63*0.08</f>
        <v>7</v>
      </c>
      <c r="F116" s="33"/>
      <c r="G116" s="33">
        <f t="shared" si="5"/>
        <v>0</v>
      </c>
    </row>
    <row r="117" spans="1:7" ht="45">
      <c r="A117" s="31" t="s">
        <v>802</v>
      </c>
      <c r="B117" s="32" t="s">
        <v>660</v>
      </c>
      <c r="C117" s="34" t="s">
        <v>659</v>
      </c>
      <c r="D117" s="31" t="s">
        <v>81</v>
      </c>
      <c r="E117" s="33">
        <v>49</v>
      </c>
      <c r="F117" s="33"/>
      <c r="G117" s="33">
        <f t="shared" si="5"/>
        <v>0</v>
      </c>
    </row>
    <row r="118" spans="1:7" ht="30">
      <c r="A118" s="31" t="s">
        <v>803</v>
      </c>
      <c r="B118" s="32" t="s">
        <v>658</v>
      </c>
      <c r="C118" s="34" t="s">
        <v>657</v>
      </c>
      <c r="D118" s="31" t="s">
        <v>81</v>
      </c>
      <c r="E118" s="33">
        <v>63</v>
      </c>
      <c r="F118" s="33"/>
      <c r="G118" s="33">
        <f t="shared" si="5"/>
        <v>0</v>
      </c>
    </row>
    <row r="119" spans="1:7" ht="18.75" customHeight="1">
      <c r="A119" s="42" t="s">
        <v>487</v>
      </c>
      <c r="B119" s="175" t="s">
        <v>550</v>
      </c>
      <c r="C119" s="176"/>
      <c r="D119" s="43"/>
      <c r="E119" s="92"/>
      <c r="F119" s="92"/>
      <c r="G119" s="92">
        <f>SUM(G120,G131,G136)</f>
        <v>0</v>
      </c>
    </row>
    <row r="120" spans="1:7">
      <c r="A120" s="8" t="s">
        <v>108</v>
      </c>
      <c r="B120" s="167" t="s">
        <v>231</v>
      </c>
      <c r="C120" s="168"/>
      <c r="D120" s="8"/>
      <c r="E120" s="9"/>
      <c r="F120" s="9"/>
      <c r="G120" s="9">
        <f>SUM(G121:G130)</f>
        <v>0</v>
      </c>
    </row>
    <row r="121" spans="1:7" ht="60">
      <c r="A121" s="18" t="s">
        <v>464</v>
      </c>
      <c r="B121" s="10" t="s">
        <v>232</v>
      </c>
      <c r="C121" s="10" t="s">
        <v>233</v>
      </c>
      <c r="D121" s="18" t="s">
        <v>88</v>
      </c>
      <c r="E121" s="11">
        <v>1</v>
      </c>
      <c r="F121" s="11"/>
      <c r="G121" s="11">
        <f t="shared" ref="G121:G130" si="6">E121*F121</f>
        <v>0</v>
      </c>
    </row>
    <row r="122" spans="1:7" ht="30">
      <c r="A122" s="18" t="s">
        <v>465</v>
      </c>
      <c r="B122" s="10" t="s">
        <v>149</v>
      </c>
      <c r="C122" s="10" t="s">
        <v>150</v>
      </c>
      <c r="D122" s="18" t="s">
        <v>81</v>
      </c>
      <c r="E122" s="11">
        <v>30</v>
      </c>
      <c r="F122" s="11"/>
      <c r="G122" s="11">
        <f t="shared" si="6"/>
        <v>0</v>
      </c>
    </row>
    <row r="123" spans="1:7">
      <c r="A123" s="18" t="s">
        <v>466</v>
      </c>
      <c r="B123" s="24" t="s">
        <v>644</v>
      </c>
      <c r="C123" s="24" t="s">
        <v>651</v>
      </c>
      <c r="D123" s="18" t="s">
        <v>88</v>
      </c>
      <c r="E123" s="11">
        <v>1</v>
      </c>
      <c r="F123" s="11"/>
      <c r="G123" s="11">
        <f t="shared" si="6"/>
        <v>0</v>
      </c>
    </row>
    <row r="124" spans="1:7" ht="30">
      <c r="A124" s="18" t="s">
        <v>467</v>
      </c>
      <c r="B124" s="10" t="s">
        <v>234</v>
      </c>
      <c r="C124" s="10" t="s">
        <v>235</v>
      </c>
      <c r="D124" s="18" t="s">
        <v>81</v>
      </c>
      <c r="E124" s="11">
        <v>10</v>
      </c>
      <c r="F124" s="11"/>
      <c r="G124" s="11">
        <f t="shared" si="6"/>
        <v>0</v>
      </c>
    </row>
    <row r="125" spans="1:7" ht="30">
      <c r="A125" s="18" t="s">
        <v>468</v>
      </c>
      <c r="B125" s="10" t="s">
        <v>155</v>
      </c>
      <c r="C125" s="10" t="s">
        <v>156</v>
      </c>
      <c r="D125" s="18" t="s">
        <v>81</v>
      </c>
      <c r="E125" s="11">
        <v>30</v>
      </c>
      <c r="F125" s="11"/>
      <c r="G125" s="11">
        <f t="shared" si="6"/>
        <v>0</v>
      </c>
    </row>
    <row r="126" spans="1:7" ht="45">
      <c r="A126" s="18" t="s">
        <v>545</v>
      </c>
      <c r="B126" s="10" t="s">
        <v>236</v>
      </c>
      <c r="C126" s="10" t="s">
        <v>237</v>
      </c>
      <c r="D126" s="18" t="s">
        <v>81</v>
      </c>
      <c r="E126" s="11">
        <v>5</v>
      </c>
      <c r="F126" s="11"/>
      <c r="G126" s="11">
        <f t="shared" si="6"/>
        <v>0</v>
      </c>
    </row>
    <row r="127" spans="1:7" ht="45">
      <c r="A127" s="18" t="s">
        <v>546</v>
      </c>
      <c r="B127" s="10" t="s">
        <v>178</v>
      </c>
      <c r="C127" s="10" t="s">
        <v>179</v>
      </c>
      <c r="D127" s="18" t="s">
        <v>11</v>
      </c>
      <c r="E127" s="11">
        <v>1</v>
      </c>
      <c r="F127" s="11"/>
      <c r="G127" s="11">
        <f t="shared" si="6"/>
        <v>0</v>
      </c>
    </row>
    <row r="128" spans="1:7" ht="30">
      <c r="A128" s="18" t="s">
        <v>547</v>
      </c>
      <c r="B128" s="10" t="s">
        <v>238</v>
      </c>
      <c r="C128" s="10" t="s">
        <v>239</v>
      </c>
      <c r="D128" s="18" t="s">
        <v>81</v>
      </c>
      <c r="E128" s="11">
        <v>20</v>
      </c>
      <c r="F128" s="11"/>
      <c r="G128" s="11">
        <f t="shared" si="6"/>
        <v>0</v>
      </c>
    </row>
    <row r="129" spans="1:7">
      <c r="A129" s="18" t="s">
        <v>548</v>
      </c>
      <c r="B129" s="10" t="s">
        <v>155</v>
      </c>
      <c r="C129" s="10" t="s">
        <v>157</v>
      </c>
      <c r="D129" s="18" t="s">
        <v>81</v>
      </c>
      <c r="E129" s="11">
        <v>30</v>
      </c>
      <c r="F129" s="11"/>
      <c r="G129" s="11">
        <f t="shared" si="6"/>
        <v>0</v>
      </c>
    </row>
    <row r="130" spans="1:7" ht="30">
      <c r="A130" s="18" t="s">
        <v>549</v>
      </c>
      <c r="B130" s="10" t="s">
        <v>201</v>
      </c>
      <c r="C130" s="10" t="s">
        <v>202</v>
      </c>
      <c r="D130" s="18" t="s">
        <v>191</v>
      </c>
      <c r="E130" s="11">
        <v>1</v>
      </c>
      <c r="F130" s="11"/>
      <c r="G130" s="11">
        <f t="shared" si="6"/>
        <v>0</v>
      </c>
    </row>
    <row r="131" spans="1:7">
      <c r="A131" s="8" t="s">
        <v>109</v>
      </c>
      <c r="B131" s="167" t="s">
        <v>653</v>
      </c>
      <c r="C131" s="168"/>
      <c r="D131" s="8"/>
      <c r="E131" s="9"/>
      <c r="F131" s="9"/>
      <c r="G131" s="9">
        <f>SUM(G132:G135)</f>
        <v>0</v>
      </c>
    </row>
    <row r="132" spans="1:7" ht="31.5" customHeight="1">
      <c r="A132" s="18" t="s">
        <v>489</v>
      </c>
      <c r="B132" s="10" t="s">
        <v>205</v>
      </c>
      <c r="C132" s="10" t="s">
        <v>206</v>
      </c>
      <c r="D132" s="18" t="s">
        <v>135</v>
      </c>
      <c r="E132" s="11">
        <v>2</v>
      </c>
      <c r="F132" s="11"/>
      <c r="G132" s="11">
        <f>E132*F132</f>
        <v>0</v>
      </c>
    </row>
    <row r="133" spans="1:7" ht="30">
      <c r="A133" s="18" t="s">
        <v>490</v>
      </c>
      <c r="B133" s="10" t="s">
        <v>136</v>
      </c>
      <c r="C133" s="10" t="s">
        <v>137</v>
      </c>
      <c r="D133" s="18" t="s">
        <v>138</v>
      </c>
      <c r="E133" s="11">
        <v>2</v>
      </c>
      <c r="F133" s="11"/>
      <c r="G133" s="11">
        <f>E133*F133</f>
        <v>0</v>
      </c>
    </row>
    <row r="134" spans="1:7" ht="30">
      <c r="A134" s="18" t="s">
        <v>491</v>
      </c>
      <c r="B134" s="10" t="s">
        <v>139</v>
      </c>
      <c r="C134" s="10" t="s">
        <v>140</v>
      </c>
      <c r="D134" s="18" t="s">
        <v>138</v>
      </c>
      <c r="E134" s="11">
        <v>2</v>
      </c>
      <c r="F134" s="11"/>
      <c r="G134" s="11">
        <f>E134*F134</f>
        <v>0</v>
      </c>
    </row>
    <row r="135" spans="1:7" ht="30">
      <c r="A135" s="18" t="s">
        <v>492</v>
      </c>
      <c r="B135" s="10" t="s">
        <v>141</v>
      </c>
      <c r="C135" s="10" t="s">
        <v>142</v>
      </c>
      <c r="D135" s="18" t="s">
        <v>143</v>
      </c>
      <c r="E135" s="11">
        <v>2</v>
      </c>
      <c r="F135" s="11"/>
      <c r="G135" s="11">
        <f>E135*F135</f>
        <v>0</v>
      </c>
    </row>
    <row r="136" spans="1:7">
      <c r="A136" s="8" t="s">
        <v>389</v>
      </c>
      <c r="B136" s="167" t="s">
        <v>240</v>
      </c>
      <c r="C136" s="168"/>
      <c r="D136" s="8"/>
      <c r="E136" s="9"/>
      <c r="F136" s="9"/>
      <c r="G136" s="9">
        <f>SUM(G137:G154)</f>
        <v>0</v>
      </c>
    </row>
    <row r="137" spans="1:7" ht="30">
      <c r="A137" s="18" t="s">
        <v>597</v>
      </c>
      <c r="B137" s="10" t="s">
        <v>147</v>
      </c>
      <c r="C137" s="10" t="s">
        <v>148</v>
      </c>
      <c r="D137" s="18" t="s">
        <v>81</v>
      </c>
      <c r="E137" s="11">
        <v>110</v>
      </c>
      <c r="F137" s="11"/>
      <c r="G137" s="11">
        <f t="shared" ref="G137:G154" si="7">E137*F137</f>
        <v>0</v>
      </c>
    </row>
    <row r="138" spans="1:7" ht="30">
      <c r="A138" s="18" t="s">
        <v>598</v>
      </c>
      <c r="B138" s="10" t="s">
        <v>151</v>
      </c>
      <c r="C138" s="10" t="s">
        <v>152</v>
      </c>
      <c r="D138" s="18" t="s">
        <v>127</v>
      </c>
      <c r="E138" s="11">
        <v>2</v>
      </c>
      <c r="F138" s="11"/>
      <c r="G138" s="11">
        <f t="shared" si="7"/>
        <v>0</v>
      </c>
    </row>
    <row r="139" spans="1:7" ht="45">
      <c r="A139" s="18" t="s">
        <v>599</v>
      </c>
      <c r="B139" s="10" t="s">
        <v>165</v>
      </c>
      <c r="C139" s="10" t="s">
        <v>166</v>
      </c>
      <c r="D139" s="18" t="s">
        <v>81</v>
      </c>
      <c r="E139" s="11">
        <v>120</v>
      </c>
      <c r="F139" s="11"/>
      <c r="G139" s="11">
        <f t="shared" si="7"/>
        <v>0</v>
      </c>
    </row>
    <row r="140" spans="1:7" ht="30">
      <c r="A140" s="18" t="s">
        <v>600</v>
      </c>
      <c r="B140" s="10" t="s">
        <v>155</v>
      </c>
      <c r="C140" s="10" t="s">
        <v>156</v>
      </c>
      <c r="D140" s="18" t="s">
        <v>81</v>
      </c>
      <c r="E140" s="11">
        <v>110</v>
      </c>
      <c r="F140" s="11"/>
      <c r="G140" s="11">
        <f t="shared" si="7"/>
        <v>0</v>
      </c>
    </row>
    <row r="141" spans="1:7" ht="30">
      <c r="A141" s="18" t="s">
        <v>601</v>
      </c>
      <c r="B141" s="10" t="s">
        <v>241</v>
      </c>
      <c r="C141" s="10" t="s">
        <v>242</v>
      </c>
      <c r="D141" s="18" t="s">
        <v>81</v>
      </c>
      <c r="E141" s="11">
        <v>110</v>
      </c>
      <c r="F141" s="11"/>
      <c r="G141" s="11">
        <f t="shared" si="7"/>
        <v>0</v>
      </c>
    </row>
    <row r="142" spans="1:7" ht="45">
      <c r="A142" s="18" t="s">
        <v>602</v>
      </c>
      <c r="B142" s="10" t="s">
        <v>160</v>
      </c>
      <c r="C142" s="10" t="s">
        <v>161</v>
      </c>
      <c r="D142" s="18" t="s">
        <v>11</v>
      </c>
      <c r="E142" s="11">
        <v>4</v>
      </c>
      <c r="F142" s="11"/>
      <c r="G142" s="11">
        <f t="shared" si="7"/>
        <v>0</v>
      </c>
    </row>
    <row r="143" spans="1:7" ht="30">
      <c r="A143" s="18" t="s">
        <v>603</v>
      </c>
      <c r="B143" s="10" t="s">
        <v>162</v>
      </c>
      <c r="C143" s="10" t="s">
        <v>163</v>
      </c>
      <c r="D143" s="18" t="s">
        <v>164</v>
      </c>
      <c r="E143" s="11">
        <v>2</v>
      </c>
      <c r="F143" s="11"/>
      <c r="G143" s="11">
        <f t="shared" si="7"/>
        <v>0</v>
      </c>
    </row>
    <row r="144" spans="1:7" ht="30">
      <c r="A144" s="18" t="s">
        <v>604</v>
      </c>
      <c r="B144" s="24" t="s">
        <v>644</v>
      </c>
      <c r="C144" s="24" t="s">
        <v>652</v>
      </c>
      <c r="D144" s="18" t="s">
        <v>11</v>
      </c>
      <c r="E144" s="11">
        <v>2</v>
      </c>
      <c r="F144" s="11"/>
      <c r="G144" s="11">
        <f t="shared" si="7"/>
        <v>0</v>
      </c>
    </row>
    <row r="145" spans="1:7" ht="30">
      <c r="A145" s="18" t="s">
        <v>605</v>
      </c>
      <c r="B145" s="10" t="s">
        <v>167</v>
      </c>
      <c r="C145" s="10" t="s">
        <v>168</v>
      </c>
      <c r="D145" s="18" t="s">
        <v>11</v>
      </c>
      <c r="E145" s="11">
        <v>2</v>
      </c>
      <c r="F145" s="11"/>
      <c r="G145" s="11">
        <f t="shared" si="7"/>
        <v>0</v>
      </c>
    </row>
    <row r="146" spans="1:7" ht="30">
      <c r="A146" s="18" t="s">
        <v>606</v>
      </c>
      <c r="B146" s="10" t="s">
        <v>245</v>
      </c>
      <c r="C146" s="10" t="s">
        <v>246</v>
      </c>
      <c r="D146" s="18" t="s">
        <v>11</v>
      </c>
      <c r="E146" s="11">
        <v>2</v>
      </c>
      <c r="F146" s="11"/>
      <c r="G146" s="11">
        <f t="shared" si="7"/>
        <v>0</v>
      </c>
    </row>
    <row r="147" spans="1:7" ht="30">
      <c r="A147" s="18" t="s">
        <v>607</v>
      </c>
      <c r="B147" s="10" t="s">
        <v>171</v>
      </c>
      <c r="C147" s="10" t="s">
        <v>172</v>
      </c>
      <c r="D147" s="18" t="s">
        <v>11</v>
      </c>
      <c r="E147" s="11">
        <v>16</v>
      </c>
      <c r="F147" s="11"/>
      <c r="G147" s="11">
        <f t="shared" si="7"/>
        <v>0</v>
      </c>
    </row>
    <row r="148" spans="1:7" ht="45">
      <c r="A148" s="18" t="s">
        <v>608</v>
      </c>
      <c r="B148" s="10" t="s">
        <v>178</v>
      </c>
      <c r="C148" s="10" t="s">
        <v>179</v>
      </c>
      <c r="D148" s="18" t="s">
        <v>11</v>
      </c>
      <c r="E148" s="11">
        <v>2</v>
      </c>
      <c r="F148" s="11"/>
      <c r="G148" s="11">
        <f t="shared" si="7"/>
        <v>0</v>
      </c>
    </row>
    <row r="149" spans="1:7" ht="30">
      <c r="A149" s="18" t="s">
        <v>609</v>
      </c>
      <c r="B149" s="10" t="s">
        <v>247</v>
      </c>
      <c r="C149" s="10" t="s">
        <v>248</v>
      </c>
      <c r="D149" s="18" t="s">
        <v>191</v>
      </c>
      <c r="E149" s="11">
        <v>2</v>
      </c>
      <c r="F149" s="11"/>
      <c r="G149" s="11">
        <f t="shared" si="7"/>
        <v>0</v>
      </c>
    </row>
    <row r="150" spans="1:7" ht="30">
      <c r="A150" s="18" t="s">
        <v>610</v>
      </c>
      <c r="B150" s="10" t="s">
        <v>192</v>
      </c>
      <c r="C150" s="10" t="s">
        <v>193</v>
      </c>
      <c r="D150" s="18" t="s">
        <v>194</v>
      </c>
      <c r="E150" s="11">
        <v>20</v>
      </c>
      <c r="F150" s="11"/>
      <c r="G150" s="11">
        <f t="shared" si="7"/>
        <v>0</v>
      </c>
    </row>
    <row r="151" spans="1:7" ht="30">
      <c r="A151" s="18" t="s">
        <v>611</v>
      </c>
      <c r="B151" s="10" t="s">
        <v>189</v>
      </c>
      <c r="C151" s="10" t="s">
        <v>190</v>
      </c>
      <c r="D151" s="18" t="s">
        <v>191</v>
      </c>
      <c r="E151" s="11">
        <v>2</v>
      </c>
      <c r="F151" s="11"/>
      <c r="G151" s="11">
        <f t="shared" si="7"/>
        <v>0</v>
      </c>
    </row>
    <row r="152" spans="1:7" ht="30">
      <c r="A152" s="18" t="s">
        <v>612</v>
      </c>
      <c r="B152" s="10" t="s">
        <v>249</v>
      </c>
      <c r="C152" s="10" t="s">
        <v>250</v>
      </c>
      <c r="D152" s="18" t="s">
        <v>191</v>
      </c>
      <c r="E152" s="11">
        <v>2</v>
      </c>
      <c r="F152" s="11"/>
      <c r="G152" s="11">
        <f t="shared" si="7"/>
        <v>0</v>
      </c>
    </row>
    <row r="153" spans="1:7" ht="30">
      <c r="A153" s="18" t="s">
        <v>613</v>
      </c>
      <c r="B153" s="10" t="s">
        <v>201</v>
      </c>
      <c r="C153" s="10" t="s">
        <v>202</v>
      </c>
      <c r="D153" s="18" t="s">
        <v>191</v>
      </c>
      <c r="E153" s="11">
        <v>2</v>
      </c>
      <c r="F153" s="11"/>
      <c r="G153" s="11">
        <f t="shared" si="7"/>
        <v>0</v>
      </c>
    </row>
    <row r="154" spans="1:7" ht="30">
      <c r="A154" s="18" t="s">
        <v>614</v>
      </c>
      <c r="B154" s="10" t="s">
        <v>195</v>
      </c>
      <c r="C154" s="10" t="s">
        <v>196</v>
      </c>
      <c r="D154" s="5" t="s">
        <v>191</v>
      </c>
      <c r="E154" s="11">
        <v>10</v>
      </c>
      <c r="F154" s="11"/>
      <c r="G154" s="11">
        <f t="shared" si="7"/>
        <v>0</v>
      </c>
    </row>
    <row r="155" spans="1:7" ht="23.25" customHeight="1">
      <c r="A155" s="126"/>
      <c r="B155" s="189" t="s">
        <v>615</v>
      </c>
      <c r="C155" s="189"/>
      <c r="D155" s="183"/>
      <c r="E155" s="184"/>
      <c r="F155" s="185"/>
      <c r="G155" s="128">
        <f>SUM(G119,G85,G76)</f>
        <v>0</v>
      </c>
    </row>
    <row r="156" spans="1:7">
      <c r="A156" s="40"/>
      <c r="B156" s="93"/>
      <c r="C156" s="93"/>
      <c r="D156" s="94"/>
      <c r="E156" s="95"/>
      <c r="F156" s="96"/>
      <c r="G156" s="97"/>
    </row>
    <row r="157" spans="1:7">
      <c r="A157" s="126" t="s">
        <v>892</v>
      </c>
      <c r="B157" s="129" t="s">
        <v>750</v>
      </c>
      <c r="C157" s="130"/>
      <c r="D157" s="186"/>
      <c r="E157" s="187"/>
      <c r="F157" s="188"/>
      <c r="G157" s="131"/>
    </row>
    <row r="158" spans="1:7">
      <c r="A158" s="42" t="s">
        <v>544</v>
      </c>
      <c r="B158" s="179" t="s">
        <v>709</v>
      </c>
      <c r="C158" s="180"/>
      <c r="D158" s="42"/>
      <c r="E158" s="37"/>
      <c r="F158" s="37"/>
      <c r="G158" s="37">
        <f>SUM(G159:G166)</f>
        <v>0</v>
      </c>
    </row>
    <row r="159" spans="1:7" ht="30">
      <c r="A159" s="68" t="s">
        <v>7</v>
      </c>
      <c r="B159" s="65" t="s">
        <v>724</v>
      </c>
      <c r="C159" s="66" t="s">
        <v>723</v>
      </c>
      <c r="D159" s="64" t="s">
        <v>221</v>
      </c>
      <c r="E159" s="67">
        <v>0.15</v>
      </c>
      <c r="F159" s="67"/>
      <c r="G159" s="67">
        <f t="shared" ref="G159:G166" si="8">E159*F159</f>
        <v>0</v>
      </c>
    </row>
    <row r="160" spans="1:7" ht="30">
      <c r="A160" s="68" t="s">
        <v>41</v>
      </c>
      <c r="B160" s="66" t="s">
        <v>748</v>
      </c>
      <c r="C160" s="66" t="s">
        <v>747</v>
      </c>
      <c r="D160" s="64" t="s">
        <v>18</v>
      </c>
      <c r="E160" s="67">
        <f>474+20</f>
        <v>494</v>
      </c>
      <c r="F160" s="67"/>
      <c r="G160" s="67">
        <f t="shared" si="8"/>
        <v>0</v>
      </c>
    </row>
    <row r="161" spans="1:7" ht="30">
      <c r="A161" s="68" t="s">
        <v>65</v>
      </c>
      <c r="B161" s="65" t="s">
        <v>705</v>
      </c>
      <c r="C161" s="66" t="s">
        <v>704</v>
      </c>
      <c r="D161" s="64" t="s">
        <v>18</v>
      </c>
      <c r="E161" s="67">
        <v>621</v>
      </c>
      <c r="F161" s="67"/>
      <c r="G161" s="67">
        <f t="shared" si="8"/>
        <v>0</v>
      </c>
    </row>
    <row r="162" spans="1:7" ht="45">
      <c r="A162" s="68" t="s">
        <v>86</v>
      </c>
      <c r="B162" s="65" t="s">
        <v>697</v>
      </c>
      <c r="C162" s="66" t="s">
        <v>696</v>
      </c>
      <c r="D162" s="64" t="s">
        <v>21</v>
      </c>
      <c r="E162" s="67">
        <f>E160*0.04+E161*0.08</f>
        <v>69.44</v>
      </c>
      <c r="F162" s="67"/>
      <c r="G162" s="67">
        <f t="shared" si="8"/>
        <v>0</v>
      </c>
    </row>
    <row r="163" spans="1:7" ht="60">
      <c r="A163" s="68" t="s">
        <v>893</v>
      </c>
      <c r="B163" s="65" t="s">
        <v>695</v>
      </c>
      <c r="C163" s="66" t="s">
        <v>694</v>
      </c>
      <c r="D163" s="64" t="s">
        <v>21</v>
      </c>
      <c r="E163" s="67">
        <f>E162</f>
        <v>69.44</v>
      </c>
      <c r="F163" s="67"/>
      <c r="G163" s="67">
        <f t="shared" si="8"/>
        <v>0</v>
      </c>
    </row>
    <row r="164" spans="1:7">
      <c r="A164" s="68" t="s">
        <v>894</v>
      </c>
      <c r="B164" s="65" t="s">
        <v>685</v>
      </c>
      <c r="C164" s="66" t="s">
        <v>693</v>
      </c>
      <c r="D164" s="64" t="s">
        <v>40</v>
      </c>
      <c r="E164" s="67">
        <f>E162*2.3</f>
        <v>159.71</v>
      </c>
      <c r="F164" s="67"/>
      <c r="G164" s="67">
        <f t="shared" si="8"/>
        <v>0</v>
      </c>
    </row>
    <row r="165" spans="1:7">
      <c r="A165" s="68" t="s">
        <v>895</v>
      </c>
      <c r="B165" s="65" t="s">
        <v>746</v>
      </c>
      <c r="C165" s="66" t="s">
        <v>745</v>
      </c>
      <c r="D165" s="64" t="s">
        <v>11</v>
      </c>
      <c r="E165" s="67">
        <v>12</v>
      </c>
      <c r="F165" s="67"/>
      <c r="G165" s="67">
        <f t="shared" si="8"/>
        <v>0</v>
      </c>
    </row>
    <row r="166" spans="1:7" ht="30">
      <c r="A166" s="68" t="s">
        <v>896</v>
      </c>
      <c r="B166" s="65" t="s">
        <v>744</v>
      </c>
      <c r="C166" s="66" t="s">
        <v>743</v>
      </c>
      <c r="D166" s="64" t="s">
        <v>11</v>
      </c>
      <c r="E166" s="67">
        <v>7</v>
      </c>
      <c r="F166" s="67"/>
      <c r="G166" s="67">
        <f t="shared" si="8"/>
        <v>0</v>
      </c>
    </row>
    <row r="167" spans="1:7">
      <c r="A167" s="42" t="s">
        <v>541</v>
      </c>
      <c r="B167" s="179" t="s">
        <v>692</v>
      </c>
      <c r="C167" s="180"/>
      <c r="D167" s="42"/>
      <c r="E167" s="37"/>
      <c r="F167" s="37"/>
      <c r="G167" s="37">
        <f>SUM(G168:G171)</f>
        <v>0</v>
      </c>
    </row>
    <row r="168" spans="1:7" ht="60">
      <c r="A168" s="69" t="s">
        <v>749</v>
      </c>
      <c r="B168" s="65" t="s">
        <v>691</v>
      </c>
      <c r="C168" s="66" t="s">
        <v>690</v>
      </c>
      <c r="D168" s="64" t="s">
        <v>21</v>
      </c>
      <c r="E168" s="67">
        <v>555</v>
      </c>
      <c r="F168" s="67"/>
      <c r="G168" s="67">
        <f>E168*F168</f>
        <v>0</v>
      </c>
    </row>
    <row r="169" spans="1:7" ht="45">
      <c r="A169" s="69" t="s">
        <v>742</v>
      </c>
      <c r="B169" s="65" t="s">
        <v>687</v>
      </c>
      <c r="C169" s="66" t="s">
        <v>686</v>
      </c>
      <c r="D169" s="64" t="s">
        <v>21</v>
      </c>
      <c r="E169" s="67">
        <v>555</v>
      </c>
      <c r="F169" s="67"/>
      <c r="G169" s="67">
        <f>E169*F169</f>
        <v>0</v>
      </c>
    </row>
    <row r="170" spans="1:7">
      <c r="A170" s="69" t="s">
        <v>741</v>
      </c>
      <c r="B170" s="65" t="s">
        <v>685</v>
      </c>
      <c r="C170" s="66" t="s">
        <v>684</v>
      </c>
      <c r="D170" s="64" t="s">
        <v>40</v>
      </c>
      <c r="E170" s="67">
        <f>555*1.8</f>
        <v>999</v>
      </c>
      <c r="F170" s="67"/>
      <c r="G170" s="67">
        <f>E170*F170</f>
        <v>0</v>
      </c>
    </row>
    <row r="171" spans="1:7" ht="45">
      <c r="A171" s="69" t="s">
        <v>739</v>
      </c>
      <c r="B171" s="65" t="s">
        <v>683</v>
      </c>
      <c r="C171" s="66" t="s">
        <v>682</v>
      </c>
      <c r="D171" s="64" t="s">
        <v>18</v>
      </c>
      <c r="E171" s="67">
        <v>695</v>
      </c>
      <c r="F171" s="67"/>
      <c r="G171" s="67">
        <f>E171*F171</f>
        <v>0</v>
      </c>
    </row>
    <row r="172" spans="1:7">
      <c r="A172" s="42" t="s">
        <v>487</v>
      </c>
      <c r="B172" s="179" t="s">
        <v>740</v>
      </c>
      <c r="C172" s="180"/>
      <c r="D172" s="42"/>
      <c r="E172" s="37"/>
      <c r="F172" s="37"/>
      <c r="G172" s="37">
        <f>SUM(G173:G174)</f>
        <v>0</v>
      </c>
    </row>
    <row r="173" spans="1:7" ht="30">
      <c r="A173" s="69" t="s">
        <v>108</v>
      </c>
      <c r="B173" s="66" t="s">
        <v>731</v>
      </c>
      <c r="C173" s="66" t="s">
        <v>730</v>
      </c>
      <c r="D173" s="64" t="s">
        <v>18</v>
      </c>
      <c r="E173" s="67">
        <v>470</v>
      </c>
      <c r="F173" s="67"/>
      <c r="G173" s="67">
        <f>E173*F173</f>
        <v>0</v>
      </c>
    </row>
    <row r="174" spans="1:7" ht="30">
      <c r="A174" s="69" t="s">
        <v>109</v>
      </c>
      <c r="B174" s="65" t="s">
        <v>729</v>
      </c>
      <c r="C174" s="66" t="s">
        <v>728</v>
      </c>
      <c r="D174" s="64" t="s">
        <v>18</v>
      </c>
      <c r="E174" s="67">
        <v>470</v>
      </c>
      <c r="F174" s="67"/>
      <c r="G174" s="67">
        <f>E174*F174</f>
        <v>0</v>
      </c>
    </row>
    <row r="175" spans="1:7">
      <c r="A175" s="42" t="s">
        <v>526</v>
      </c>
      <c r="B175" s="179" t="s">
        <v>738</v>
      </c>
      <c r="C175" s="180"/>
      <c r="D175" s="42"/>
      <c r="E175" s="37"/>
      <c r="F175" s="37"/>
      <c r="G175" s="37">
        <f>SUM(G176:G184)</f>
        <v>0</v>
      </c>
    </row>
    <row r="176" spans="1:7" ht="30">
      <c r="A176" s="69" t="s">
        <v>113</v>
      </c>
      <c r="B176" s="65" t="s">
        <v>719</v>
      </c>
      <c r="C176" s="66" t="s">
        <v>721</v>
      </c>
      <c r="D176" s="64" t="s">
        <v>18</v>
      </c>
      <c r="E176" s="67">
        <v>695</v>
      </c>
      <c r="F176" s="67"/>
      <c r="G176" s="67">
        <f t="shared" ref="G176:G184" si="9">E176*F176</f>
        <v>0</v>
      </c>
    </row>
    <row r="177" spans="1:7" ht="30">
      <c r="A177" s="69" t="s">
        <v>114</v>
      </c>
      <c r="B177" s="66" t="s">
        <v>671</v>
      </c>
      <c r="C177" s="66" t="s">
        <v>720</v>
      </c>
      <c r="D177" s="64" t="s">
        <v>18</v>
      </c>
      <c r="E177" s="67">
        <v>675</v>
      </c>
      <c r="F177" s="67"/>
      <c r="G177" s="67">
        <f t="shared" si="9"/>
        <v>0</v>
      </c>
    </row>
    <row r="178" spans="1:7">
      <c r="A178" s="69" t="s">
        <v>123</v>
      </c>
      <c r="B178" s="66" t="s">
        <v>669</v>
      </c>
      <c r="C178" s="66" t="s">
        <v>668</v>
      </c>
      <c r="D178" s="64" t="s">
        <v>18</v>
      </c>
      <c r="E178" s="67">
        <v>635</v>
      </c>
      <c r="F178" s="67"/>
      <c r="G178" s="67">
        <f t="shared" si="9"/>
        <v>0</v>
      </c>
    </row>
    <row r="179" spans="1:7" ht="30">
      <c r="A179" s="69" t="s">
        <v>478</v>
      </c>
      <c r="B179" s="66" t="s">
        <v>737</v>
      </c>
      <c r="C179" s="66" t="s">
        <v>736</v>
      </c>
      <c r="D179" s="64" t="s">
        <v>18</v>
      </c>
      <c r="E179" s="67">
        <v>635</v>
      </c>
      <c r="F179" s="67"/>
      <c r="G179" s="67">
        <f t="shared" si="9"/>
        <v>0</v>
      </c>
    </row>
    <row r="180" spans="1:7" ht="30">
      <c r="A180" s="69" t="s">
        <v>479</v>
      </c>
      <c r="B180" s="66" t="s">
        <v>735</v>
      </c>
      <c r="C180" s="66" t="s">
        <v>734</v>
      </c>
      <c r="D180" s="64" t="s">
        <v>18</v>
      </c>
      <c r="E180" s="67">
        <v>635</v>
      </c>
      <c r="F180" s="67"/>
      <c r="G180" s="67">
        <f t="shared" si="9"/>
        <v>0</v>
      </c>
    </row>
    <row r="181" spans="1:7" ht="30">
      <c r="A181" s="69" t="s">
        <v>480</v>
      </c>
      <c r="B181" s="66" t="s">
        <v>731</v>
      </c>
      <c r="C181" s="66" t="s">
        <v>730</v>
      </c>
      <c r="D181" s="64" t="s">
        <v>18</v>
      </c>
      <c r="E181" s="67">
        <v>635</v>
      </c>
      <c r="F181" s="67"/>
      <c r="G181" s="67">
        <f t="shared" si="9"/>
        <v>0</v>
      </c>
    </row>
    <row r="182" spans="1:7" ht="30">
      <c r="A182" s="69" t="s">
        <v>481</v>
      </c>
      <c r="B182" s="66" t="s">
        <v>733</v>
      </c>
      <c r="C182" s="66" t="s">
        <v>732</v>
      </c>
      <c r="D182" s="64" t="s">
        <v>18</v>
      </c>
      <c r="E182" s="67">
        <v>635</v>
      </c>
      <c r="F182" s="67"/>
      <c r="G182" s="67">
        <f t="shared" si="9"/>
        <v>0</v>
      </c>
    </row>
    <row r="183" spans="1:7" ht="30">
      <c r="A183" s="69" t="s">
        <v>897</v>
      </c>
      <c r="B183" s="66" t="s">
        <v>731</v>
      </c>
      <c r="C183" s="66" t="s">
        <v>730</v>
      </c>
      <c r="D183" s="64" t="s">
        <v>18</v>
      </c>
      <c r="E183" s="67">
        <v>615</v>
      </c>
      <c r="F183" s="67"/>
      <c r="G183" s="67">
        <f t="shared" si="9"/>
        <v>0</v>
      </c>
    </row>
    <row r="184" spans="1:7" ht="30">
      <c r="A184" s="69" t="s">
        <v>898</v>
      </c>
      <c r="B184" s="66" t="s">
        <v>729</v>
      </c>
      <c r="C184" s="66" t="s">
        <v>728</v>
      </c>
      <c r="D184" s="64" t="s">
        <v>18</v>
      </c>
      <c r="E184" s="67">
        <f>615+20</f>
        <v>635</v>
      </c>
      <c r="F184" s="67"/>
      <c r="G184" s="67">
        <f t="shared" si="9"/>
        <v>0</v>
      </c>
    </row>
    <row r="185" spans="1:7" ht="21" customHeight="1">
      <c r="A185" s="126"/>
      <c r="B185" s="189" t="s">
        <v>974</v>
      </c>
      <c r="C185" s="189"/>
      <c r="D185" s="127"/>
      <c r="E185" s="128"/>
      <c r="F185" s="128"/>
      <c r="G185" s="128">
        <f>SUM(G159:G184)</f>
        <v>0</v>
      </c>
    </row>
    <row r="186" spans="1:7" s="13" customFormat="1" ht="22.5" customHeight="1">
      <c r="A186" s="40"/>
      <c r="B186" s="181" t="s">
        <v>975</v>
      </c>
      <c r="C186" s="182"/>
      <c r="D186" s="93"/>
      <c r="E186" s="97"/>
      <c r="F186" s="97"/>
      <c r="G186" s="97">
        <f>SUM(G185,G155,G73)</f>
        <v>0</v>
      </c>
    </row>
    <row r="187" spans="1:7" s="13" customFormat="1">
      <c r="A187" s="120"/>
      <c r="B187" s="121"/>
      <c r="C187" s="121"/>
      <c r="D187" s="121"/>
      <c r="E187" s="122"/>
      <c r="F187" s="122"/>
      <c r="G187" s="122"/>
    </row>
    <row r="188" spans="1:7" ht="15.75">
      <c r="A188" s="147" t="s">
        <v>1015</v>
      </c>
      <c r="D188" s="153" t="s">
        <v>986</v>
      </c>
      <c r="E188" s="153"/>
      <c r="F188" s="153"/>
    </row>
    <row r="189" spans="1:7" ht="27.75" customHeight="1">
      <c r="D189" s="154" t="s">
        <v>987</v>
      </c>
      <c r="E189" s="154"/>
      <c r="F189" s="154"/>
    </row>
  </sheetData>
  <mergeCells count="42">
    <mergeCell ref="D188:F188"/>
    <mergeCell ref="D189:F189"/>
    <mergeCell ref="B186:C186"/>
    <mergeCell ref="D155:F155"/>
    <mergeCell ref="D157:F157"/>
    <mergeCell ref="B185:C185"/>
    <mergeCell ref="B155:C155"/>
    <mergeCell ref="B175:C175"/>
    <mergeCell ref="B158:C158"/>
    <mergeCell ref="B167:C167"/>
    <mergeCell ref="B172:C172"/>
    <mergeCell ref="B131:C131"/>
    <mergeCell ref="B75:C75"/>
    <mergeCell ref="B83:C83"/>
    <mergeCell ref="B76:C76"/>
    <mergeCell ref="B2:C2"/>
    <mergeCell ref="B14:C14"/>
    <mergeCell ref="B4:C4"/>
    <mergeCell ref="B110:C110"/>
    <mergeCell ref="B114:C114"/>
    <mergeCell ref="B120:C120"/>
    <mergeCell ref="B51:C51"/>
    <mergeCell ref="B85:C85"/>
    <mergeCell ref="B119:C119"/>
    <mergeCell ref="B65:C65"/>
    <mergeCell ref="B73:C73"/>
    <mergeCell ref="B136:C136"/>
    <mergeCell ref="B3:C3"/>
    <mergeCell ref="B11:C11"/>
    <mergeCell ref="B5:C5"/>
    <mergeCell ref="B15:C15"/>
    <mergeCell ref="B24:C24"/>
    <mergeCell ref="B34:C34"/>
    <mergeCell ref="B29:C29"/>
    <mergeCell ref="B38:C38"/>
    <mergeCell ref="B42:C42"/>
    <mergeCell ref="B46:C46"/>
    <mergeCell ref="B77:C77"/>
    <mergeCell ref="B86:C86"/>
    <mergeCell ref="B95:C95"/>
    <mergeCell ref="B101:C101"/>
    <mergeCell ref="B106:C106"/>
  </mergeCells>
  <printOptions horizontalCentered="1"/>
  <pageMargins left="0.23622047244094491" right="0.15748031496062992" top="0.61" bottom="0.47244094488188981" header="0.31496062992125984" footer="0.15748031496062992"/>
  <pageSetup paperSize="9" scale="70" orientation="portrait" r:id="rId1"/>
  <headerFooter>
    <oddHeader>&amp;RZałącznik nr 8 do SWZ - Część A.II</oddHeader>
    <oddFooter>&amp;LWIPP.ZP.271.1.2021&amp;R&amp;P/&amp;N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view="pageBreakPreview" topLeftCell="A99" zoomScaleNormal="100" zoomScaleSheetLayoutView="100" workbookViewId="0">
      <selection activeCell="A109" sqref="A109"/>
    </sheetView>
  </sheetViews>
  <sheetFormatPr defaultRowHeight="15"/>
  <cols>
    <col min="1" max="1" width="7.25" style="1" customWidth="1"/>
    <col min="2" max="2" width="14" style="3" customWidth="1"/>
    <col min="3" max="3" width="56.125" style="3" customWidth="1"/>
    <col min="4" max="4" width="9.125" style="1" customWidth="1"/>
    <col min="5" max="5" width="10.125" style="4" customWidth="1"/>
    <col min="6" max="6" width="10.75" style="4" bestFit="1" customWidth="1"/>
    <col min="7" max="7" width="13.5" style="4" customWidth="1"/>
    <col min="8" max="16384" width="9" style="2"/>
  </cols>
  <sheetData>
    <row r="1" spans="1:7" ht="30">
      <c r="A1" s="18" t="s">
        <v>0</v>
      </c>
      <c r="B1" s="6" t="s">
        <v>1</v>
      </c>
      <c r="C1" s="6" t="s">
        <v>2</v>
      </c>
      <c r="D1" s="6" t="s">
        <v>475</v>
      </c>
      <c r="E1" s="7" t="s">
        <v>3</v>
      </c>
      <c r="F1" s="63" t="s">
        <v>476</v>
      </c>
      <c r="G1" s="7" t="s">
        <v>5</v>
      </c>
    </row>
    <row r="2" spans="1:7" ht="30" customHeight="1">
      <c r="A2" s="40" t="s">
        <v>978</v>
      </c>
      <c r="B2" s="163" t="s">
        <v>112</v>
      </c>
      <c r="C2" s="163"/>
      <c r="D2" s="40"/>
      <c r="E2" s="36"/>
      <c r="F2" s="36"/>
      <c r="G2" s="36"/>
    </row>
    <row r="3" spans="1:7" ht="25.5" customHeight="1">
      <c r="A3" s="39" t="s">
        <v>544</v>
      </c>
      <c r="B3" s="190" t="s">
        <v>486</v>
      </c>
      <c r="C3" s="191"/>
      <c r="D3" s="39"/>
      <c r="E3" s="38"/>
      <c r="F3" s="38"/>
      <c r="G3" s="38">
        <f>SUM(G4,G10,G24)</f>
        <v>0</v>
      </c>
    </row>
    <row r="4" spans="1:7">
      <c r="A4" s="8" t="s">
        <v>7</v>
      </c>
      <c r="B4" s="159" t="s">
        <v>8</v>
      </c>
      <c r="C4" s="159"/>
      <c r="D4" s="8"/>
      <c r="E4" s="9"/>
      <c r="F4" s="9"/>
      <c r="G4" s="9">
        <f>SUM(G5:G9)</f>
        <v>0</v>
      </c>
    </row>
    <row r="5" spans="1:7" ht="30">
      <c r="A5" s="5" t="s">
        <v>408</v>
      </c>
      <c r="B5" s="10" t="s">
        <v>9</v>
      </c>
      <c r="C5" s="10" t="s">
        <v>10</v>
      </c>
      <c r="D5" s="5" t="s">
        <v>11</v>
      </c>
      <c r="E5" s="11">
        <v>6</v>
      </c>
      <c r="F5" s="11"/>
      <c r="G5" s="11">
        <f>E5*F5</f>
        <v>0</v>
      </c>
    </row>
    <row r="6" spans="1:7" ht="30">
      <c r="A6" s="5" t="s">
        <v>409</v>
      </c>
      <c r="B6" s="10" t="s">
        <v>12</v>
      </c>
      <c r="C6" s="10" t="s">
        <v>13</v>
      </c>
      <c r="D6" s="5" t="s">
        <v>11</v>
      </c>
      <c r="E6" s="11">
        <v>6</v>
      </c>
      <c r="F6" s="11"/>
      <c r="G6" s="11">
        <f>E6*F6</f>
        <v>0</v>
      </c>
    </row>
    <row r="7" spans="1:7" ht="30">
      <c r="A7" s="5" t="s">
        <v>410</v>
      </c>
      <c r="B7" s="10" t="s">
        <v>14</v>
      </c>
      <c r="C7" s="10" t="s">
        <v>15</v>
      </c>
      <c r="D7" s="5" t="s">
        <v>11</v>
      </c>
      <c r="E7" s="11">
        <v>6</v>
      </c>
      <c r="F7" s="11"/>
      <c r="G7" s="11">
        <f>E7*F7</f>
        <v>0</v>
      </c>
    </row>
    <row r="8" spans="1:7" ht="30">
      <c r="A8" s="5" t="s">
        <v>411</v>
      </c>
      <c r="B8" s="10" t="s">
        <v>19</v>
      </c>
      <c r="C8" s="10" t="s">
        <v>20</v>
      </c>
      <c r="D8" s="5" t="s">
        <v>21</v>
      </c>
      <c r="E8" s="11">
        <v>5.28</v>
      </c>
      <c r="F8" s="11"/>
      <c r="G8" s="11">
        <f>E8*F8</f>
        <v>0</v>
      </c>
    </row>
    <row r="9" spans="1:7" ht="30">
      <c r="A9" s="5" t="s">
        <v>412</v>
      </c>
      <c r="B9" s="10" t="s">
        <v>22</v>
      </c>
      <c r="C9" s="10" t="s">
        <v>23</v>
      </c>
      <c r="D9" s="5" t="s">
        <v>24</v>
      </c>
      <c r="E9" s="11">
        <v>9.5</v>
      </c>
      <c r="F9" s="11"/>
      <c r="G9" s="11">
        <f>E9*F9</f>
        <v>0</v>
      </c>
    </row>
    <row r="10" spans="1:7">
      <c r="A10" s="8" t="s">
        <v>41</v>
      </c>
      <c r="B10" s="167" t="s">
        <v>42</v>
      </c>
      <c r="C10" s="168"/>
      <c r="D10" s="8"/>
      <c r="E10" s="9"/>
      <c r="F10" s="9"/>
      <c r="G10" s="9">
        <f>SUM(G11:G23)</f>
        <v>0</v>
      </c>
    </row>
    <row r="11" spans="1:7" ht="30">
      <c r="A11" s="5" t="s">
        <v>424</v>
      </c>
      <c r="B11" s="10" t="s">
        <v>43</v>
      </c>
      <c r="C11" s="10" t="s">
        <v>44</v>
      </c>
      <c r="D11" s="5" t="s">
        <v>21</v>
      </c>
      <c r="E11" s="11">
        <v>24.5</v>
      </c>
      <c r="F11" s="11"/>
      <c r="G11" s="11">
        <f t="shared" ref="G11:G23" si="0">E11*F11</f>
        <v>0</v>
      </c>
    </row>
    <row r="12" spans="1:7" ht="30">
      <c r="A12" s="5" t="s">
        <v>425</v>
      </c>
      <c r="B12" s="10" t="s">
        <v>45</v>
      </c>
      <c r="C12" s="10" t="s">
        <v>46</v>
      </c>
      <c r="D12" s="5" t="s">
        <v>18</v>
      </c>
      <c r="E12" s="11">
        <v>490</v>
      </c>
      <c r="F12" s="11"/>
      <c r="G12" s="11">
        <f t="shared" si="0"/>
        <v>0</v>
      </c>
    </row>
    <row r="13" spans="1:7">
      <c r="A13" s="5" t="s">
        <v>426</v>
      </c>
      <c r="B13" s="10" t="s">
        <v>47</v>
      </c>
      <c r="C13" s="10" t="s">
        <v>48</v>
      </c>
      <c r="D13" s="5" t="s">
        <v>21</v>
      </c>
      <c r="E13" s="11">
        <v>24.5</v>
      </c>
      <c r="F13" s="11"/>
      <c r="G13" s="11">
        <f t="shared" si="0"/>
        <v>0</v>
      </c>
    </row>
    <row r="14" spans="1:7" ht="30">
      <c r="A14" s="5" t="s">
        <v>427</v>
      </c>
      <c r="B14" s="10" t="s">
        <v>49</v>
      </c>
      <c r="C14" s="10" t="s">
        <v>50</v>
      </c>
      <c r="D14" s="5" t="s">
        <v>21</v>
      </c>
      <c r="E14" s="11">
        <v>24.5</v>
      </c>
      <c r="F14" s="11"/>
      <c r="G14" s="11">
        <f t="shared" si="0"/>
        <v>0</v>
      </c>
    </row>
    <row r="15" spans="1:7" ht="30">
      <c r="A15" s="5" t="s">
        <v>428</v>
      </c>
      <c r="B15" s="10" t="s">
        <v>51</v>
      </c>
      <c r="C15" s="10" t="s">
        <v>52</v>
      </c>
      <c r="D15" s="5" t="s">
        <v>18</v>
      </c>
      <c r="E15" s="11">
        <v>382</v>
      </c>
      <c r="F15" s="11"/>
      <c r="G15" s="11">
        <f t="shared" si="0"/>
        <v>0</v>
      </c>
    </row>
    <row r="16" spans="1:7" ht="45">
      <c r="A16" s="5" t="s">
        <v>429</v>
      </c>
      <c r="B16" s="10" t="s">
        <v>115</v>
      </c>
      <c r="C16" s="82" t="s">
        <v>944</v>
      </c>
      <c r="D16" s="5" t="s">
        <v>11</v>
      </c>
      <c r="E16" s="11">
        <v>5</v>
      </c>
      <c r="F16" s="11"/>
      <c r="G16" s="11">
        <f t="shared" si="0"/>
        <v>0</v>
      </c>
    </row>
    <row r="17" spans="1:7" ht="45">
      <c r="A17" s="5" t="s">
        <v>430</v>
      </c>
      <c r="B17" s="10" t="s">
        <v>115</v>
      </c>
      <c r="C17" s="82" t="s">
        <v>945</v>
      </c>
      <c r="D17" s="5" t="s">
        <v>11</v>
      </c>
      <c r="E17" s="11">
        <v>4</v>
      </c>
      <c r="F17" s="11"/>
      <c r="G17" s="11">
        <f t="shared" si="0"/>
        <v>0</v>
      </c>
    </row>
    <row r="18" spans="1:7" ht="45">
      <c r="A18" s="5" t="s">
        <v>431</v>
      </c>
      <c r="B18" s="10" t="s">
        <v>115</v>
      </c>
      <c r="C18" s="82" t="s">
        <v>946</v>
      </c>
      <c r="D18" s="5" t="s">
        <v>11</v>
      </c>
      <c r="E18" s="11">
        <v>9</v>
      </c>
      <c r="F18" s="11"/>
      <c r="G18" s="11">
        <f t="shared" si="0"/>
        <v>0</v>
      </c>
    </row>
    <row r="19" spans="1:7" ht="30">
      <c r="A19" s="5" t="s">
        <v>432</v>
      </c>
      <c r="B19" s="10" t="s">
        <v>116</v>
      </c>
      <c r="C19" s="10" t="s">
        <v>117</v>
      </c>
      <c r="D19" s="5" t="s">
        <v>11</v>
      </c>
      <c r="E19" s="11">
        <v>228</v>
      </c>
      <c r="F19" s="11"/>
      <c r="G19" s="11">
        <f t="shared" si="0"/>
        <v>0</v>
      </c>
    </row>
    <row r="20" spans="1:7" ht="45">
      <c r="A20" s="5" t="s">
        <v>433</v>
      </c>
      <c r="B20" s="10" t="s">
        <v>116</v>
      </c>
      <c r="C20" s="10" t="s">
        <v>118</v>
      </c>
      <c r="D20" s="5" t="s">
        <v>11</v>
      </c>
      <c r="E20" s="11">
        <v>102</v>
      </c>
      <c r="F20" s="11"/>
      <c r="G20" s="11">
        <f t="shared" si="0"/>
        <v>0</v>
      </c>
    </row>
    <row r="21" spans="1:7" ht="30">
      <c r="A21" s="5" t="s">
        <v>434</v>
      </c>
      <c r="B21" s="10" t="s">
        <v>116</v>
      </c>
      <c r="C21" s="10" t="s">
        <v>119</v>
      </c>
      <c r="D21" s="5" t="s">
        <v>11</v>
      </c>
      <c r="E21" s="11">
        <v>15</v>
      </c>
      <c r="F21" s="11"/>
      <c r="G21" s="11">
        <f t="shared" si="0"/>
        <v>0</v>
      </c>
    </row>
    <row r="22" spans="1:7" ht="30">
      <c r="A22" s="5" t="s">
        <v>435</v>
      </c>
      <c r="B22" s="10" t="s">
        <v>116</v>
      </c>
      <c r="C22" s="10" t="s">
        <v>120</v>
      </c>
      <c r="D22" s="5" t="s">
        <v>11</v>
      </c>
      <c r="E22" s="11">
        <v>16</v>
      </c>
      <c r="F22" s="11"/>
      <c r="G22" s="11">
        <f t="shared" si="0"/>
        <v>0</v>
      </c>
    </row>
    <row r="23" spans="1:7" ht="30">
      <c r="A23" s="5" t="s">
        <v>436</v>
      </c>
      <c r="B23" s="10" t="s">
        <v>121</v>
      </c>
      <c r="C23" s="10" t="s">
        <v>122</v>
      </c>
      <c r="D23" s="5" t="s">
        <v>81</v>
      </c>
      <c r="E23" s="11">
        <v>14.38</v>
      </c>
      <c r="F23" s="11"/>
      <c r="G23" s="11">
        <f t="shared" si="0"/>
        <v>0</v>
      </c>
    </row>
    <row r="24" spans="1:7" ht="22.5" customHeight="1">
      <c r="A24" s="8" t="s">
        <v>65</v>
      </c>
      <c r="B24" s="167" t="s">
        <v>124</v>
      </c>
      <c r="C24" s="168"/>
      <c r="D24" s="8"/>
      <c r="E24" s="9"/>
      <c r="F24" s="9"/>
      <c r="G24" s="9">
        <f>SUM(G25:G27)</f>
        <v>0</v>
      </c>
    </row>
    <row r="25" spans="1:7" ht="30">
      <c r="A25" s="5" t="s">
        <v>437</v>
      </c>
      <c r="B25" s="10" t="s">
        <v>125</v>
      </c>
      <c r="C25" s="10" t="s">
        <v>126</v>
      </c>
      <c r="D25" s="5" t="s">
        <v>127</v>
      </c>
      <c r="E25" s="11">
        <v>2</v>
      </c>
      <c r="F25" s="11"/>
      <c r="G25" s="11">
        <f>E25*F25</f>
        <v>0</v>
      </c>
    </row>
    <row r="26" spans="1:7" ht="30">
      <c r="A26" s="5" t="s">
        <v>438</v>
      </c>
      <c r="B26" s="10" t="s">
        <v>128</v>
      </c>
      <c r="C26" s="10" t="s">
        <v>129</v>
      </c>
      <c r="D26" s="5" t="s">
        <v>21</v>
      </c>
      <c r="E26" s="11">
        <v>0.06</v>
      </c>
      <c r="F26" s="11"/>
      <c r="G26" s="11">
        <f>E26*F26</f>
        <v>0</v>
      </c>
    </row>
    <row r="27" spans="1:7" ht="30">
      <c r="A27" s="5" t="s">
        <v>439</v>
      </c>
      <c r="B27" s="10" t="s">
        <v>130</v>
      </c>
      <c r="C27" s="10" t="s">
        <v>131</v>
      </c>
      <c r="D27" s="5" t="s">
        <v>81</v>
      </c>
      <c r="E27" s="11">
        <v>13.9</v>
      </c>
      <c r="F27" s="11"/>
      <c r="G27" s="11">
        <f>E27*F27</f>
        <v>0</v>
      </c>
    </row>
    <row r="28" spans="1:7" ht="25.5" customHeight="1">
      <c r="A28" s="39" t="s">
        <v>541</v>
      </c>
      <c r="B28" s="190" t="s">
        <v>542</v>
      </c>
      <c r="C28" s="191"/>
      <c r="D28" s="39"/>
      <c r="E28" s="38"/>
      <c r="F28" s="38"/>
      <c r="G28" s="38">
        <f>SUM(G29,G38,G44,G49,G53,G57)</f>
        <v>0</v>
      </c>
    </row>
    <row r="29" spans="1:7" ht="15" customHeight="1">
      <c r="A29" s="8" t="s">
        <v>749</v>
      </c>
      <c r="B29" s="165" t="s">
        <v>709</v>
      </c>
      <c r="C29" s="166"/>
      <c r="D29" s="8"/>
      <c r="E29" s="9"/>
      <c r="F29" s="9"/>
      <c r="G29" s="9">
        <f>SUM(G30:G37)</f>
        <v>0</v>
      </c>
    </row>
    <row r="30" spans="1:7" ht="30">
      <c r="A30" s="31" t="s">
        <v>775</v>
      </c>
      <c r="B30" s="34" t="s">
        <v>708</v>
      </c>
      <c r="C30" s="34" t="s">
        <v>707</v>
      </c>
      <c r="D30" s="31" t="s">
        <v>706</v>
      </c>
      <c r="E30" s="33">
        <v>0.62</v>
      </c>
      <c r="F30" s="33"/>
      <c r="G30" s="33">
        <f t="shared" ref="G30:G62" si="1">E30*F30</f>
        <v>0</v>
      </c>
    </row>
    <row r="31" spans="1:7" ht="30">
      <c r="A31" s="31" t="s">
        <v>776</v>
      </c>
      <c r="B31" s="34" t="s">
        <v>705</v>
      </c>
      <c r="C31" s="34" t="s">
        <v>704</v>
      </c>
      <c r="D31" s="31" t="s">
        <v>18</v>
      </c>
      <c r="E31" s="33">
        <f>21.5+20.5</f>
        <v>42</v>
      </c>
      <c r="F31" s="33"/>
      <c r="G31" s="33">
        <f t="shared" si="1"/>
        <v>0</v>
      </c>
    </row>
    <row r="32" spans="1:7" ht="30">
      <c r="A32" s="31" t="s">
        <v>777</v>
      </c>
      <c r="B32" s="34" t="s">
        <v>703</v>
      </c>
      <c r="C32" s="34" t="s">
        <v>702</v>
      </c>
      <c r="D32" s="31" t="s">
        <v>81</v>
      </c>
      <c r="E32" s="33">
        <f>16+16</f>
        <v>32</v>
      </c>
      <c r="F32" s="33"/>
      <c r="G32" s="33">
        <f t="shared" si="1"/>
        <v>0</v>
      </c>
    </row>
    <row r="33" spans="1:7" ht="30">
      <c r="A33" s="31" t="s">
        <v>778</v>
      </c>
      <c r="B33" s="34" t="s">
        <v>701</v>
      </c>
      <c r="C33" s="34" t="s">
        <v>700</v>
      </c>
      <c r="D33" s="31" t="s">
        <v>81</v>
      </c>
      <c r="E33" s="33">
        <f>9.5+8.5</f>
        <v>18</v>
      </c>
      <c r="F33" s="33"/>
      <c r="G33" s="33">
        <f t="shared" si="1"/>
        <v>0</v>
      </c>
    </row>
    <row r="34" spans="1:7" ht="30">
      <c r="A34" s="31" t="s">
        <v>779</v>
      </c>
      <c r="B34" s="34" t="s">
        <v>699</v>
      </c>
      <c r="C34" s="34" t="s">
        <v>698</v>
      </c>
      <c r="D34" s="31" t="s">
        <v>21</v>
      </c>
      <c r="E34" s="33">
        <f>E32*0.08+E33*0.04</f>
        <v>3.28</v>
      </c>
      <c r="F34" s="33"/>
      <c r="G34" s="33">
        <f t="shared" si="1"/>
        <v>0</v>
      </c>
    </row>
    <row r="35" spans="1:7" ht="45">
      <c r="A35" s="31" t="s">
        <v>780</v>
      </c>
      <c r="B35" s="34" t="s">
        <v>697</v>
      </c>
      <c r="C35" s="34" t="s">
        <v>696</v>
      </c>
      <c r="D35" s="31" t="s">
        <v>21</v>
      </c>
      <c r="E35" s="33">
        <f>E31*0.08+E32*0.3*0.15+E33*0.3*0.08+E34</f>
        <v>8.51</v>
      </c>
      <c r="F35" s="33"/>
      <c r="G35" s="33">
        <f t="shared" si="1"/>
        <v>0</v>
      </c>
    </row>
    <row r="36" spans="1:7" ht="49.5" customHeight="1">
      <c r="A36" s="31" t="s">
        <v>781</v>
      </c>
      <c r="B36" s="34" t="s">
        <v>695</v>
      </c>
      <c r="C36" s="34" t="s">
        <v>694</v>
      </c>
      <c r="D36" s="31" t="s">
        <v>21</v>
      </c>
      <c r="E36" s="33">
        <f>E35</f>
        <v>8.51</v>
      </c>
      <c r="F36" s="33"/>
      <c r="G36" s="33">
        <f t="shared" si="1"/>
        <v>0</v>
      </c>
    </row>
    <row r="37" spans="1:7">
      <c r="A37" s="31" t="s">
        <v>782</v>
      </c>
      <c r="B37" s="34" t="s">
        <v>685</v>
      </c>
      <c r="C37" s="34" t="s">
        <v>693</v>
      </c>
      <c r="D37" s="31" t="s">
        <v>40</v>
      </c>
      <c r="E37" s="33">
        <f>E35*2.3</f>
        <v>19.57</v>
      </c>
      <c r="F37" s="33"/>
      <c r="G37" s="33">
        <f t="shared" si="1"/>
        <v>0</v>
      </c>
    </row>
    <row r="38" spans="1:7" ht="15" customHeight="1">
      <c r="A38" s="8" t="s">
        <v>742</v>
      </c>
      <c r="B38" s="165" t="s">
        <v>692</v>
      </c>
      <c r="C38" s="166"/>
      <c r="D38" s="8"/>
      <c r="E38" s="9"/>
      <c r="F38" s="9"/>
      <c r="G38" s="9">
        <f>SUM(G39:G43)</f>
        <v>0</v>
      </c>
    </row>
    <row r="39" spans="1:7" ht="45">
      <c r="A39" s="31" t="s">
        <v>783</v>
      </c>
      <c r="B39" s="34" t="s">
        <v>691</v>
      </c>
      <c r="C39" s="34" t="s">
        <v>690</v>
      </c>
      <c r="D39" s="31" t="s">
        <v>21</v>
      </c>
      <c r="E39" s="33">
        <v>215</v>
      </c>
      <c r="F39" s="33"/>
      <c r="G39" s="33">
        <f t="shared" si="1"/>
        <v>0</v>
      </c>
    </row>
    <row r="40" spans="1:7" ht="30">
      <c r="A40" s="31" t="s">
        <v>784</v>
      </c>
      <c r="B40" s="34" t="s">
        <v>689</v>
      </c>
      <c r="C40" s="34" t="s">
        <v>688</v>
      </c>
      <c r="D40" s="31" t="s">
        <v>21</v>
      </c>
      <c r="E40" s="33">
        <v>20</v>
      </c>
      <c r="F40" s="33"/>
      <c r="G40" s="33">
        <f t="shared" si="1"/>
        <v>0</v>
      </c>
    </row>
    <row r="41" spans="1:7" ht="45">
      <c r="A41" s="31" t="s">
        <v>785</v>
      </c>
      <c r="B41" s="34" t="s">
        <v>687</v>
      </c>
      <c r="C41" s="34" t="s">
        <v>686</v>
      </c>
      <c r="D41" s="31" t="s">
        <v>21</v>
      </c>
      <c r="E41" s="33">
        <f>215-20</f>
        <v>195</v>
      </c>
      <c r="F41" s="33"/>
      <c r="G41" s="33">
        <f t="shared" si="1"/>
        <v>0</v>
      </c>
    </row>
    <row r="42" spans="1:7">
      <c r="A42" s="31" t="s">
        <v>786</v>
      </c>
      <c r="B42" s="34" t="s">
        <v>685</v>
      </c>
      <c r="C42" s="34" t="s">
        <v>684</v>
      </c>
      <c r="D42" s="31" t="s">
        <v>40</v>
      </c>
      <c r="E42" s="33">
        <f>195*1.8</f>
        <v>351</v>
      </c>
      <c r="F42" s="33"/>
      <c r="G42" s="33">
        <f t="shared" si="1"/>
        <v>0</v>
      </c>
    </row>
    <row r="43" spans="1:7" ht="30">
      <c r="A43" s="31" t="s">
        <v>787</v>
      </c>
      <c r="B43" s="34" t="s">
        <v>683</v>
      </c>
      <c r="C43" s="34" t="s">
        <v>682</v>
      </c>
      <c r="D43" s="31" t="s">
        <v>18</v>
      </c>
      <c r="E43" s="33">
        <f>390+40+295+8.75</f>
        <v>733.75</v>
      </c>
      <c r="F43" s="33"/>
      <c r="G43" s="33">
        <f t="shared" si="1"/>
        <v>0</v>
      </c>
    </row>
    <row r="44" spans="1:7" ht="15" customHeight="1">
      <c r="A44" s="8" t="s">
        <v>741</v>
      </c>
      <c r="B44" s="165" t="s">
        <v>681</v>
      </c>
      <c r="C44" s="166"/>
      <c r="D44" s="8"/>
      <c r="E44" s="9"/>
      <c r="F44" s="9"/>
      <c r="G44" s="9">
        <f>SUM(G45:G48)</f>
        <v>0</v>
      </c>
    </row>
    <row r="45" spans="1:7" ht="30">
      <c r="A45" s="31" t="s">
        <v>788</v>
      </c>
      <c r="B45" s="32" t="s">
        <v>671</v>
      </c>
      <c r="C45" s="34" t="s">
        <v>680</v>
      </c>
      <c r="D45" s="31" t="s">
        <v>18</v>
      </c>
      <c r="E45" s="33">
        <v>390</v>
      </c>
      <c r="F45" s="33"/>
      <c r="G45" s="33">
        <f t="shared" si="1"/>
        <v>0</v>
      </c>
    </row>
    <row r="46" spans="1:7" ht="30">
      <c r="A46" s="31" t="s">
        <v>789</v>
      </c>
      <c r="B46" s="32" t="s">
        <v>676</v>
      </c>
      <c r="C46" s="34" t="s">
        <v>675</v>
      </c>
      <c r="D46" s="31" t="s">
        <v>18</v>
      </c>
      <c r="E46" s="33">
        <v>368</v>
      </c>
      <c r="F46" s="33"/>
      <c r="G46" s="33">
        <f t="shared" si="1"/>
        <v>0</v>
      </c>
    </row>
    <row r="47" spans="1:7">
      <c r="A47" s="31" t="s">
        <v>790</v>
      </c>
      <c r="B47" s="32" t="s">
        <v>679</v>
      </c>
      <c r="C47" s="34" t="s">
        <v>678</v>
      </c>
      <c r="D47" s="31" t="s">
        <v>18</v>
      </c>
      <c r="E47" s="33">
        <v>368</v>
      </c>
      <c r="F47" s="33"/>
      <c r="G47" s="33">
        <f t="shared" si="1"/>
        <v>0</v>
      </c>
    </row>
    <row r="48" spans="1:7" ht="30">
      <c r="A48" s="31" t="s">
        <v>791</v>
      </c>
      <c r="B48" s="32" t="s">
        <v>674</v>
      </c>
      <c r="C48" s="34" t="s">
        <v>673</v>
      </c>
      <c r="D48" s="31" t="s">
        <v>18</v>
      </c>
      <c r="E48" s="33">
        <v>368</v>
      </c>
      <c r="F48" s="33"/>
      <c r="G48" s="33">
        <f t="shared" si="1"/>
        <v>0</v>
      </c>
    </row>
    <row r="49" spans="1:7" ht="15" customHeight="1">
      <c r="A49" s="8" t="s">
        <v>739</v>
      </c>
      <c r="B49" s="165" t="s">
        <v>677</v>
      </c>
      <c r="C49" s="166"/>
      <c r="D49" s="8"/>
      <c r="E49" s="9"/>
      <c r="F49" s="9"/>
      <c r="G49" s="9">
        <f>SUM(G50:G52)</f>
        <v>0</v>
      </c>
    </row>
    <row r="50" spans="1:7" ht="30">
      <c r="A50" s="31" t="s">
        <v>792</v>
      </c>
      <c r="B50" s="32" t="s">
        <v>671</v>
      </c>
      <c r="C50" s="34" t="s">
        <v>670</v>
      </c>
      <c r="D50" s="31" t="s">
        <v>18</v>
      </c>
      <c r="E50" s="33">
        <v>40</v>
      </c>
      <c r="F50" s="33"/>
      <c r="G50" s="33">
        <f t="shared" si="1"/>
        <v>0</v>
      </c>
    </row>
    <row r="51" spans="1:7" ht="30">
      <c r="A51" s="31" t="s">
        <v>793</v>
      </c>
      <c r="B51" s="32" t="s">
        <v>676</v>
      </c>
      <c r="C51" s="34" t="s">
        <v>675</v>
      </c>
      <c r="D51" s="31" t="s">
        <v>18</v>
      </c>
      <c r="E51" s="33">
        <v>37</v>
      </c>
      <c r="F51" s="33"/>
      <c r="G51" s="33">
        <f t="shared" si="1"/>
        <v>0</v>
      </c>
    </row>
    <row r="52" spans="1:7" ht="30">
      <c r="A52" s="31" t="s">
        <v>794</v>
      </c>
      <c r="B52" s="32" t="s">
        <v>674</v>
      </c>
      <c r="C52" s="34" t="s">
        <v>673</v>
      </c>
      <c r="D52" s="31" t="s">
        <v>18</v>
      </c>
      <c r="E52" s="33">
        <v>37</v>
      </c>
      <c r="F52" s="33"/>
      <c r="G52" s="33">
        <f t="shared" si="1"/>
        <v>0</v>
      </c>
    </row>
    <row r="53" spans="1:7" ht="15" customHeight="1">
      <c r="A53" s="8" t="s">
        <v>795</v>
      </c>
      <c r="B53" s="165" t="s">
        <v>672</v>
      </c>
      <c r="C53" s="166"/>
      <c r="D53" s="8"/>
      <c r="E53" s="9"/>
      <c r="F53" s="9"/>
      <c r="G53" s="9">
        <f>SUM(G54:G56)</f>
        <v>0</v>
      </c>
    </row>
    <row r="54" spans="1:7" ht="30">
      <c r="A54" s="31" t="s">
        <v>796</v>
      </c>
      <c r="B54" s="32" t="s">
        <v>671</v>
      </c>
      <c r="C54" s="34" t="s">
        <v>670</v>
      </c>
      <c r="D54" s="31" t="s">
        <v>18</v>
      </c>
      <c r="E54" s="33">
        <v>295</v>
      </c>
      <c r="F54" s="33"/>
      <c r="G54" s="33">
        <f t="shared" si="1"/>
        <v>0</v>
      </c>
    </row>
    <row r="55" spans="1:7">
      <c r="A55" s="31" t="s">
        <v>797</v>
      </c>
      <c r="B55" s="32" t="s">
        <v>669</v>
      </c>
      <c r="C55" s="34" t="s">
        <v>668</v>
      </c>
      <c r="D55" s="31" t="s">
        <v>18</v>
      </c>
      <c r="E55" s="33">
        <v>270</v>
      </c>
      <c r="F55" s="33"/>
      <c r="G55" s="33">
        <f t="shared" si="1"/>
        <v>0</v>
      </c>
    </row>
    <row r="56" spans="1:7" ht="30">
      <c r="A56" s="31" t="s">
        <v>798</v>
      </c>
      <c r="B56" s="32" t="s">
        <v>667</v>
      </c>
      <c r="C56" s="34" t="s">
        <v>666</v>
      </c>
      <c r="D56" s="31" t="s">
        <v>18</v>
      </c>
      <c r="E56" s="33">
        <v>270</v>
      </c>
      <c r="F56" s="33"/>
      <c r="G56" s="33">
        <f t="shared" si="1"/>
        <v>0</v>
      </c>
    </row>
    <row r="57" spans="1:7" ht="15" customHeight="1">
      <c r="A57" s="8" t="s">
        <v>799</v>
      </c>
      <c r="B57" s="165" t="s">
        <v>665</v>
      </c>
      <c r="C57" s="166"/>
      <c r="D57" s="8"/>
      <c r="E57" s="9"/>
      <c r="F57" s="9"/>
      <c r="G57" s="9">
        <f>SUM(G58:G62)</f>
        <v>0</v>
      </c>
    </row>
    <row r="58" spans="1:7" ht="30">
      <c r="A58" s="31" t="s">
        <v>800</v>
      </c>
      <c r="B58" s="32" t="s">
        <v>664</v>
      </c>
      <c r="C58" s="34" t="s">
        <v>663</v>
      </c>
      <c r="D58" s="31" t="s">
        <v>18</v>
      </c>
      <c r="E58" s="33">
        <f>35*0.25</f>
        <v>8.75</v>
      </c>
      <c r="F58" s="33"/>
      <c r="G58" s="33">
        <f t="shared" si="1"/>
        <v>0</v>
      </c>
    </row>
    <row r="59" spans="1:7">
      <c r="A59" s="31" t="s">
        <v>801</v>
      </c>
      <c r="B59" s="32" t="s">
        <v>662</v>
      </c>
      <c r="C59" s="34" t="s">
        <v>661</v>
      </c>
      <c r="D59" s="31" t="s">
        <v>21</v>
      </c>
      <c r="E59" s="33">
        <f>35*0.04+201*0.08+25*0.2*0.5</f>
        <v>19.98</v>
      </c>
      <c r="F59" s="33"/>
      <c r="G59" s="33">
        <f t="shared" si="1"/>
        <v>0</v>
      </c>
    </row>
    <row r="60" spans="1:7" ht="30">
      <c r="A60" s="31" t="s">
        <v>802</v>
      </c>
      <c r="B60" s="32" t="s">
        <v>660</v>
      </c>
      <c r="C60" s="34" t="s">
        <v>659</v>
      </c>
      <c r="D60" s="31" t="s">
        <v>81</v>
      </c>
      <c r="E60" s="33">
        <v>35</v>
      </c>
      <c r="F60" s="33"/>
      <c r="G60" s="33">
        <f t="shared" si="1"/>
        <v>0</v>
      </c>
    </row>
    <row r="61" spans="1:7">
      <c r="A61" s="31" t="s">
        <v>803</v>
      </c>
      <c r="B61" s="32" t="s">
        <v>658</v>
      </c>
      <c r="C61" s="34" t="s">
        <v>657</v>
      </c>
      <c r="D61" s="31" t="s">
        <v>81</v>
      </c>
      <c r="E61" s="33">
        <v>201</v>
      </c>
      <c r="F61" s="33"/>
      <c r="G61" s="33">
        <f t="shared" si="1"/>
        <v>0</v>
      </c>
    </row>
    <row r="62" spans="1:7">
      <c r="A62" s="31" t="s">
        <v>804</v>
      </c>
      <c r="B62" s="32" t="s">
        <v>656</v>
      </c>
      <c r="C62" s="34" t="s">
        <v>655</v>
      </c>
      <c r="D62" s="31" t="s">
        <v>81</v>
      </c>
      <c r="E62" s="33">
        <v>25</v>
      </c>
      <c r="F62" s="33"/>
      <c r="G62" s="33">
        <f t="shared" si="1"/>
        <v>0</v>
      </c>
    </row>
    <row r="63" spans="1:7" ht="33" customHeight="1">
      <c r="A63" s="39" t="s">
        <v>487</v>
      </c>
      <c r="B63" s="190" t="s">
        <v>616</v>
      </c>
      <c r="C63" s="191"/>
      <c r="D63" s="39"/>
      <c r="E63" s="38"/>
      <c r="F63" s="38"/>
      <c r="G63" s="38">
        <f>SUM(G64:G85)</f>
        <v>0</v>
      </c>
    </row>
    <row r="64" spans="1:7" ht="45">
      <c r="A64" s="5" t="s">
        <v>108</v>
      </c>
      <c r="B64" s="10" t="s">
        <v>175</v>
      </c>
      <c r="C64" s="10" t="s">
        <v>251</v>
      </c>
      <c r="D64" s="5" t="s">
        <v>88</v>
      </c>
      <c r="E64" s="11">
        <v>1</v>
      </c>
      <c r="F64" s="11"/>
      <c r="G64" s="11">
        <f>E64*F64</f>
        <v>0</v>
      </c>
    </row>
    <row r="65" spans="1:7">
      <c r="A65" s="5" t="s">
        <v>109</v>
      </c>
      <c r="B65" s="10" t="s">
        <v>252</v>
      </c>
      <c r="C65" s="10" t="s">
        <v>253</v>
      </c>
      <c r="D65" s="5" t="s">
        <v>88</v>
      </c>
      <c r="E65" s="11">
        <v>1</v>
      </c>
      <c r="F65" s="11"/>
      <c r="G65" s="11">
        <f>E65*F65</f>
        <v>0</v>
      </c>
    </row>
    <row r="66" spans="1:7" ht="45">
      <c r="A66" s="5" t="s">
        <v>389</v>
      </c>
      <c r="B66" s="10" t="s">
        <v>254</v>
      </c>
      <c r="C66" s="10" t="s">
        <v>255</v>
      </c>
      <c r="D66" s="5" t="s">
        <v>81</v>
      </c>
      <c r="E66" s="11">
        <v>10</v>
      </c>
      <c r="F66" s="11"/>
      <c r="G66" s="11">
        <f t="shared" ref="G66:G85" si="2">E66*F66</f>
        <v>0</v>
      </c>
    </row>
    <row r="67" spans="1:7" ht="30">
      <c r="A67" s="5" t="s">
        <v>477</v>
      </c>
      <c r="B67" s="10" t="s">
        <v>167</v>
      </c>
      <c r="C67" s="10" t="s">
        <v>168</v>
      </c>
      <c r="D67" s="5" t="s">
        <v>11</v>
      </c>
      <c r="E67" s="11">
        <v>3</v>
      </c>
      <c r="F67" s="11"/>
      <c r="G67" s="11">
        <f t="shared" si="2"/>
        <v>0</v>
      </c>
    </row>
    <row r="68" spans="1:7" ht="45">
      <c r="A68" s="16" t="s">
        <v>588</v>
      </c>
      <c r="B68" s="10" t="s">
        <v>178</v>
      </c>
      <c r="C68" s="10" t="s">
        <v>179</v>
      </c>
      <c r="D68" s="5" t="s">
        <v>11</v>
      </c>
      <c r="E68" s="11">
        <v>5</v>
      </c>
      <c r="F68" s="11"/>
      <c r="G68" s="11">
        <f t="shared" si="2"/>
        <v>0</v>
      </c>
    </row>
    <row r="69" spans="1:7" ht="30">
      <c r="A69" s="16" t="s">
        <v>343</v>
      </c>
      <c r="B69" s="10" t="s">
        <v>243</v>
      </c>
      <c r="C69" s="24" t="s">
        <v>650</v>
      </c>
      <c r="D69" s="22" t="s">
        <v>88</v>
      </c>
      <c r="E69" s="11">
        <v>3</v>
      </c>
      <c r="F69" s="11"/>
      <c r="G69" s="11">
        <f t="shared" si="2"/>
        <v>0</v>
      </c>
    </row>
    <row r="70" spans="1:7" ht="45">
      <c r="A70" s="16" t="s">
        <v>62</v>
      </c>
      <c r="B70" s="10" t="s">
        <v>165</v>
      </c>
      <c r="C70" s="10" t="s">
        <v>166</v>
      </c>
      <c r="D70" s="5" t="s">
        <v>81</v>
      </c>
      <c r="E70" s="11">
        <v>90</v>
      </c>
      <c r="F70" s="11"/>
      <c r="G70" s="11">
        <f t="shared" si="2"/>
        <v>0</v>
      </c>
    </row>
    <row r="71" spans="1:7" ht="30">
      <c r="A71" s="16" t="s">
        <v>589</v>
      </c>
      <c r="B71" s="10" t="s">
        <v>160</v>
      </c>
      <c r="C71" s="10" t="s">
        <v>161</v>
      </c>
      <c r="D71" s="5" t="s">
        <v>11</v>
      </c>
      <c r="E71" s="11">
        <v>30</v>
      </c>
      <c r="F71" s="11"/>
      <c r="G71" s="11">
        <f t="shared" si="2"/>
        <v>0</v>
      </c>
    </row>
    <row r="72" spans="1:7" ht="30">
      <c r="A72" s="16" t="s">
        <v>590</v>
      </c>
      <c r="B72" s="10" t="s">
        <v>147</v>
      </c>
      <c r="C72" s="10" t="s">
        <v>148</v>
      </c>
      <c r="D72" s="5" t="s">
        <v>81</v>
      </c>
      <c r="E72" s="11">
        <v>90</v>
      </c>
      <c r="F72" s="11"/>
      <c r="G72" s="11">
        <f t="shared" si="2"/>
        <v>0</v>
      </c>
    </row>
    <row r="73" spans="1:7" ht="30">
      <c r="A73" s="16" t="s">
        <v>591</v>
      </c>
      <c r="B73" s="10" t="s">
        <v>151</v>
      </c>
      <c r="C73" s="10" t="s">
        <v>152</v>
      </c>
      <c r="D73" s="5" t="s">
        <v>127</v>
      </c>
      <c r="E73" s="11">
        <v>3</v>
      </c>
      <c r="F73" s="11"/>
      <c r="G73" s="11">
        <f t="shared" si="2"/>
        <v>0</v>
      </c>
    </row>
    <row r="74" spans="1:7" ht="30">
      <c r="A74" s="16" t="s">
        <v>592</v>
      </c>
      <c r="B74" s="10" t="s">
        <v>155</v>
      </c>
      <c r="C74" s="10" t="s">
        <v>156</v>
      </c>
      <c r="D74" s="5" t="s">
        <v>81</v>
      </c>
      <c r="E74" s="11">
        <v>90</v>
      </c>
      <c r="F74" s="11"/>
      <c r="G74" s="11">
        <f t="shared" si="2"/>
        <v>0</v>
      </c>
    </row>
    <row r="75" spans="1:7">
      <c r="A75" s="16" t="s">
        <v>593</v>
      </c>
      <c r="B75" s="10" t="s">
        <v>155</v>
      </c>
      <c r="C75" s="10" t="s">
        <v>157</v>
      </c>
      <c r="D75" s="5" t="s">
        <v>81</v>
      </c>
      <c r="E75" s="11">
        <v>90</v>
      </c>
      <c r="F75" s="11"/>
      <c r="G75" s="11">
        <f t="shared" si="2"/>
        <v>0</v>
      </c>
    </row>
    <row r="76" spans="1:7" ht="45">
      <c r="A76" s="16" t="s">
        <v>594</v>
      </c>
      <c r="B76" s="10" t="s">
        <v>158</v>
      </c>
      <c r="C76" s="10" t="s">
        <v>159</v>
      </c>
      <c r="D76" s="5" t="s">
        <v>18</v>
      </c>
      <c r="E76" s="11">
        <v>50</v>
      </c>
      <c r="F76" s="11"/>
      <c r="G76" s="11">
        <f t="shared" si="2"/>
        <v>0</v>
      </c>
    </row>
    <row r="77" spans="1:7" ht="45">
      <c r="A77" s="16" t="s">
        <v>617</v>
      </c>
      <c r="B77" s="10" t="s">
        <v>153</v>
      </c>
      <c r="C77" s="10" t="s">
        <v>154</v>
      </c>
      <c r="D77" s="5" t="s">
        <v>81</v>
      </c>
      <c r="E77" s="11">
        <v>30</v>
      </c>
      <c r="F77" s="11"/>
      <c r="G77" s="11">
        <f t="shared" si="2"/>
        <v>0</v>
      </c>
    </row>
    <row r="78" spans="1:7" ht="30">
      <c r="A78" s="16" t="s">
        <v>618</v>
      </c>
      <c r="B78" s="10" t="s">
        <v>171</v>
      </c>
      <c r="C78" s="10" t="s">
        <v>172</v>
      </c>
      <c r="D78" s="5" t="s">
        <v>11</v>
      </c>
      <c r="E78" s="11">
        <v>20</v>
      </c>
      <c r="F78" s="11"/>
      <c r="G78" s="11">
        <f t="shared" si="2"/>
        <v>0</v>
      </c>
    </row>
    <row r="79" spans="1:7" ht="45">
      <c r="A79" s="16" t="s">
        <v>619</v>
      </c>
      <c r="B79" s="10" t="s">
        <v>185</v>
      </c>
      <c r="C79" s="10" t="s">
        <v>186</v>
      </c>
      <c r="D79" s="5" t="s">
        <v>11</v>
      </c>
      <c r="E79" s="11">
        <v>1</v>
      </c>
      <c r="F79" s="11"/>
      <c r="G79" s="11">
        <f t="shared" si="2"/>
        <v>0</v>
      </c>
    </row>
    <row r="80" spans="1:7" ht="30">
      <c r="A80" s="16" t="s">
        <v>620</v>
      </c>
      <c r="B80" s="10" t="s">
        <v>189</v>
      </c>
      <c r="C80" s="10" t="s">
        <v>190</v>
      </c>
      <c r="D80" s="5" t="s">
        <v>191</v>
      </c>
      <c r="E80" s="11">
        <v>3</v>
      </c>
      <c r="F80" s="11"/>
      <c r="G80" s="11">
        <f t="shared" si="2"/>
        <v>0</v>
      </c>
    </row>
    <row r="81" spans="1:7" ht="30">
      <c r="A81" s="16" t="s">
        <v>621</v>
      </c>
      <c r="B81" s="10" t="s">
        <v>192</v>
      </c>
      <c r="C81" s="10" t="s">
        <v>193</v>
      </c>
      <c r="D81" s="5" t="s">
        <v>194</v>
      </c>
      <c r="E81" s="11">
        <v>40</v>
      </c>
      <c r="F81" s="11"/>
      <c r="G81" s="11">
        <f t="shared" si="2"/>
        <v>0</v>
      </c>
    </row>
    <row r="82" spans="1:7" ht="30">
      <c r="A82" s="16" t="s">
        <v>622</v>
      </c>
      <c r="B82" s="10" t="s">
        <v>195</v>
      </c>
      <c r="C82" s="10" t="s">
        <v>196</v>
      </c>
      <c r="D82" s="5" t="s">
        <v>191</v>
      </c>
      <c r="E82" s="11">
        <v>8</v>
      </c>
      <c r="F82" s="11"/>
      <c r="G82" s="11">
        <f t="shared" si="2"/>
        <v>0</v>
      </c>
    </row>
    <row r="83" spans="1:7" ht="30">
      <c r="A83" s="16" t="s">
        <v>623</v>
      </c>
      <c r="B83" s="10" t="s">
        <v>199</v>
      </c>
      <c r="C83" s="10" t="s">
        <v>200</v>
      </c>
      <c r="D83" s="5" t="s">
        <v>191</v>
      </c>
      <c r="E83" s="11">
        <v>5</v>
      </c>
      <c r="F83" s="11"/>
      <c r="G83" s="11">
        <f t="shared" si="2"/>
        <v>0</v>
      </c>
    </row>
    <row r="84" spans="1:7" ht="30">
      <c r="A84" s="16" t="s">
        <v>624</v>
      </c>
      <c r="B84" s="10" t="s">
        <v>199</v>
      </c>
      <c r="C84" s="10" t="s">
        <v>200</v>
      </c>
      <c r="D84" s="5" t="s">
        <v>191</v>
      </c>
      <c r="E84" s="11">
        <v>4</v>
      </c>
      <c r="F84" s="11"/>
      <c r="G84" s="11">
        <f t="shared" si="2"/>
        <v>0</v>
      </c>
    </row>
    <row r="85" spans="1:7" ht="30">
      <c r="A85" s="16" t="s">
        <v>625</v>
      </c>
      <c r="B85" s="10" t="s">
        <v>201</v>
      </c>
      <c r="C85" s="10" t="s">
        <v>202</v>
      </c>
      <c r="D85" s="5" t="s">
        <v>191</v>
      </c>
      <c r="E85" s="11">
        <v>5</v>
      </c>
      <c r="F85" s="11"/>
      <c r="G85" s="11">
        <f t="shared" si="2"/>
        <v>0</v>
      </c>
    </row>
    <row r="86" spans="1:7" ht="19.5" customHeight="1">
      <c r="A86" s="39" t="s">
        <v>526</v>
      </c>
      <c r="B86" s="190" t="s">
        <v>806</v>
      </c>
      <c r="C86" s="191"/>
      <c r="D86" s="39"/>
      <c r="E86" s="38"/>
      <c r="F86" s="38"/>
      <c r="G86" s="38">
        <f>SUM(G87,G97)</f>
        <v>0</v>
      </c>
    </row>
    <row r="87" spans="1:7">
      <c r="A87" s="74" t="s">
        <v>113</v>
      </c>
      <c r="B87" s="157" t="s">
        <v>256</v>
      </c>
      <c r="C87" s="157"/>
      <c r="D87" s="41"/>
      <c r="E87" s="9"/>
      <c r="F87" s="9"/>
      <c r="G87" s="9">
        <f>SUM(G88:G96)</f>
        <v>0</v>
      </c>
    </row>
    <row r="88" spans="1:7" ht="30">
      <c r="A88" s="70" t="s">
        <v>469</v>
      </c>
      <c r="B88" s="10" t="s">
        <v>257</v>
      </c>
      <c r="C88" s="10" t="s">
        <v>258</v>
      </c>
      <c r="D88" s="6" t="s">
        <v>221</v>
      </c>
      <c r="E88" s="25">
        <v>2.9000000000000001E-2</v>
      </c>
      <c r="F88" s="11"/>
      <c r="G88" s="11">
        <f t="shared" ref="G88:G96" si="3">E88*F88</f>
        <v>0</v>
      </c>
    </row>
    <row r="89" spans="1:7" ht="45">
      <c r="A89" s="70" t="s">
        <v>470</v>
      </c>
      <c r="B89" s="10" t="s">
        <v>259</v>
      </c>
      <c r="C89" s="10" t="s">
        <v>260</v>
      </c>
      <c r="D89" s="6" t="s">
        <v>21</v>
      </c>
      <c r="E89" s="11">
        <f>((10.3+13.1+1.85+4.05)*1.7*0.8+2*1.8*2.3*1.8+2*1.5*2.2*1.5)*0.8</f>
        <v>51.72</v>
      </c>
      <c r="F89" s="11"/>
      <c r="G89" s="11">
        <f>E89*F89</f>
        <v>0</v>
      </c>
    </row>
    <row r="90" spans="1:7" ht="45">
      <c r="A90" s="70" t="s">
        <v>471</v>
      </c>
      <c r="B90" s="10" t="s">
        <v>261</v>
      </c>
      <c r="C90" s="10" t="s">
        <v>262</v>
      </c>
      <c r="D90" s="6" t="s">
        <v>21</v>
      </c>
      <c r="E90" s="11">
        <f>((10.3+13.1+1.85+4.05)*1.7*0.8+2*1.8*2.3*1.8+2*1.5*2.2*1.5)*0.2</f>
        <v>12.93</v>
      </c>
      <c r="F90" s="11"/>
      <c r="G90" s="11">
        <f t="shared" si="3"/>
        <v>0</v>
      </c>
    </row>
    <row r="91" spans="1:7" ht="45">
      <c r="A91" s="70" t="s">
        <v>929</v>
      </c>
      <c r="B91" s="10" t="s">
        <v>263</v>
      </c>
      <c r="C91" s="10" t="s">
        <v>264</v>
      </c>
      <c r="D91" s="6" t="s">
        <v>18</v>
      </c>
      <c r="E91" s="11">
        <v>76.2</v>
      </c>
      <c r="F91" s="11"/>
      <c r="G91" s="11">
        <f t="shared" si="3"/>
        <v>0</v>
      </c>
    </row>
    <row r="92" spans="1:7" ht="45">
      <c r="A92" s="70" t="s">
        <v>930</v>
      </c>
      <c r="B92" s="10" t="s">
        <v>263</v>
      </c>
      <c r="C92" s="10" t="s">
        <v>265</v>
      </c>
      <c r="D92" s="6" t="s">
        <v>18</v>
      </c>
      <c r="E92" s="11">
        <v>53</v>
      </c>
      <c r="F92" s="11"/>
      <c r="G92" s="11">
        <f t="shared" si="3"/>
        <v>0</v>
      </c>
    </row>
    <row r="93" spans="1:7">
      <c r="A93" s="70" t="s">
        <v>931</v>
      </c>
      <c r="B93" s="10" t="s">
        <v>266</v>
      </c>
      <c r="C93" s="10" t="s">
        <v>267</v>
      </c>
      <c r="D93" s="6" t="s">
        <v>21</v>
      </c>
      <c r="E93" s="11">
        <v>3.17</v>
      </c>
      <c r="F93" s="11"/>
      <c r="G93" s="11">
        <f t="shared" si="3"/>
        <v>0</v>
      </c>
    </row>
    <row r="94" spans="1:7">
      <c r="A94" s="70" t="s">
        <v>932</v>
      </c>
      <c r="B94" s="10" t="s">
        <v>268</v>
      </c>
      <c r="C94" s="10" t="s">
        <v>269</v>
      </c>
      <c r="D94" s="6" t="s">
        <v>21</v>
      </c>
      <c r="E94" s="11">
        <v>35.25</v>
      </c>
      <c r="F94" s="11"/>
      <c r="G94" s="11">
        <f t="shared" si="3"/>
        <v>0</v>
      </c>
    </row>
    <row r="95" spans="1:7" ht="30">
      <c r="A95" s="70" t="s">
        <v>933</v>
      </c>
      <c r="B95" s="10" t="s">
        <v>270</v>
      </c>
      <c r="C95" s="10" t="s">
        <v>271</v>
      </c>
      <c r="D95" s="6" t="s">
        <v>21</v>
      </c>
      <c r="E95" s="11">
        <v>15.31</v>
      </c>
      <c r="F95" s="11"/>
      <c r="G95" s="11">
        <f t="shared" si="3"/>
        <v>0</v>
      </c>
    </row>
    <row r="96" spans="1:7" ht="30">
      <c r="A96" s="70" t="s">
        <v>934</v>
      </c>
      <c r="B96" s="10" t="s">
        <v>272</v>
      </c>
      <c r="C96" s="10" t="s">
        <v>273</v>
      </c>
      <c r="D96" s="6" t="s">
        <v>21</v>
      </c>
      <c r="E96" s="11">
        <v>15.31</v>
      </c>
      <c r="F96" s="11"/>
      <c r="G96" s="11">
        <f t="shared" si="3"/>
        <v>0</v>
      </c>
    </row>
    <row r="97" spans="1:7">
      <c r="A97" s="74" t="s">
        <v>114</v>
      </c>
      <c r="B97" s="159" t="s">
        <v>275</v>
      </c>
      <c r="C97" s="159"/>
      <c r="D97" s="41"/>
      <c r="E97" s="9"/>
      <c r="F97" s="9"/>
      <c r="G97" s="9">
        <f>SUM(G98:G106)</f>
        <v>0</v>
      </c>
    </row>
    <row r="98" spans="1:7" ht="45">
      <c r="A98" s="70" t="s">
        <v>472</v>
      </c>
      <c r="B98" s="10" t="s">
        <v>276</v>
      </c>
      <c r="C98" s="24" t="s">
        <v>635</v>
      </c>
      <c r="D98" s="6" t="s">
        <v>138</v>
      </c>
      <c r="E98" s="11">
        <v>1</v>
      </c>
      <c r="F98" s="11"/>
      <c r="G98" s="11">
        <f t="shared" ref="G98:G106" si="4">E98*F98</f>
        <v>0</v>
      </c>
    </row>
    <row r="99" spans="1:7" ht="30">
      <c r="A99" s="70" t="s">
        <v>473</v>
      </c>
      <c r="B99" s="10" t="s">
        <v>277</v>
      </c>
      <c r="C99" s="10" t="s">
        <v>278</v>
      </c>
      <c r="D99" s="6" t="s">
        <v>81</v>
      </c>
      <c r="E99" s="11">
        <v>23.4</v>
      </c>
      <c r="F99" s="11"/>
      <c r="G99" s="11">
        <f t="shared" si="4"/>
        <v>0</v>
      </c>
    </row>
    <row r="100" spans="1:7" ht="30">
      <c r="A100" s="70" t="s">
        <v>474</v>
      </c>
      <c r="B100" s="10" t="s">
        <v>281</v>
      </c>
      <c r="C100" s="10" t="s">
        <v>282</v>
      </c>
      <c r="D100" s="6" t="s">
        <v>81</v>
      </c>
      <c r="E100" s="11">
        <v>5.9</v>
      </c>
      <c r="F100" s="11"/>
      <c r="G100" s="11">
        <f t="shared" si="4"/>
        <v>0</v>
      </c>
    </row>
    <row r="101" spans="1:7" ht="30">
      <c r="A101" s="70" t="s">
        <v>807</v>
      </c>
      <c r="B101" s="10" t="s">
        <v>285</v>
      </c>
      <c r="C101" s="10" t="s">
        <v>286</v>
      </c>
      <c r="D101" s="6" t="s">
        <v>138</v>
      </c>
      <c r="E101" s="11">
        <v>4</v>
      </c>
      <c r="F101" s="11"/>
      <c r="G101" s="11">
        <f t="shared" si="4"/>
        <v>0</v>
      </c>
    </row>
    <row r="102" spans="1:7" ht="30">
      <c r="A102" s="70" t="s">
        <v>808</v>
      </c>
      <c r="B102" s="10" t="s">
        <v>285</v>
      </c>
      <c r="C102" s="10" t="s">
        <v>288</v>
      </c>
      <c r="D102" s="6" t="s">
        <v>138</v>
      </c>
      <c r="E102" s="11">
        <v>4</v>
      </c>
      <c r="F102" s="11"/>
      <c r="G102" s="11">
        <f t="shared" si="4"/>
        <v>0</v>
      </c>
    </row>
    <row r="103" spans="1:7" ht="30">
      <c r="A103" s="70" t="s">
        <v>809</v>
      </c>
      <c r="B103" s="10" t="s">
        <v>292</v>
      </c>
      <c r="C103" s="10" t="s">
        <v>293</v>
      </c>
      <c r="D103" s="6" t="s">
        <v>294</v>
      </c>
      <c r="E103" s="11">
        <v>2</v>
      </c>
      <c r="F103" s="11"/>
      <c r="G103" s="11">
        <f t="shared" si="4"/>
        <v>0</v>
      </c>
    </row>
    <row r="104" spans="1:7" ht="30">
      <c r="A104" s="70" t="s">
        <v>810</v>
      </c>
      <c r="B104" s="10" t="s">
        <v>295</v>
      </c>
      <c r="C104" s="10" t="s">
        <v>296</v>
      </c>
      <c r="D104" s="6" t="s">
        <v>297</v>
      </c>
      <c r="E104" s="11">
        <v>-5.2</v>
      </c>
      <c r="F104" s="11"/>
      <c r="G104" s="11">
        <f t="shared" si="4"/>
        <v>0</v>
      </c>
    </row>
    <row r="105" spans="1:7" ht="30">
      <c r="A105" s="70" t="s">
        <v>811</v>
      </c>
      <c r="B105" s="10" t="s">
        <v>298</v>
      </c>
      <c r="C105" s="10" t="s">
        <v>299</v>
      </c>
      <c r="D105" s="6" t="s">
        <v>11</v>
      </c>
      <c r="E105" s="11">
        <v>2</v>
      </c>
      <c r="F105" s="11"/>
      <c r="G105" s="11">
        <f t="shared" si="4"/>
        <v>0</v>
      </c>
    </row>
    <row r="106" spans="1:7" ht="30">
      <c r="A106" s="70" t="s">
        <v>812</v>
      </c>
      <c r="B106" s="10" t="s">
        <v>300</v>
      </c>
      <c r="C106" s="10" t="s">
        <v>301</v>
      </c>
      <c r="D106" s="6" t="s">
        <v>302</v>
      </c>
      <c r="E106" s="11">
        <v>1</v>
      </c>
      <c r="F106" s="11"/>
      <c r="G106" s="11">
        <f t="shared" si="4"/>
        <v>0</v>
      </c>
    </row>
    <row r="107" spans="1:7" ht="25.5" customHeight="1">
      <c r="A107" s="133"/>
      <c r="B107" s="192" t="s">
        <v>966</v>
      </c>
      <c r="C107" s="193"/>
      <c r="D107" s="194"/>
      <c r="E107" s="134"/>
      <c r="F107" s="134"/>
      <c r="G107" s="134">
        <f>SUM(G86,G63,G28,G3)</f>
        <v>0</v>
      </c>
    </row>
    <row r="109" spans="1:7" ht="15.75">
      <c r="A109" s="147" t="s">
        <v>1014</v>
      </c>
      <c r="D109" s="153" t="s">
        <v>986</v>
      </c>
      <c r="E109" s="153"/>
      <c r="F109" s="153"/>
    </row>
    <row r="110" spans="1:7" ht="27.75" customHeight="1">
      <c r="D110" s="154" t="s">
        <v>987</v>
      </c>
      <c r="E110" s="154"/>
      <c r="F110" s="154"/>
    </row>
  </sheetData>
  <mergeCells count="19">
    <mergeCell ref="B63:C63"/>
    <mergeCell ref="B29:C29"/>
    <mergeCell ref="B38:C38"/>
    <mergeCell ref="B44:C44"/>
    <mergeCell ref="B49:C49"/>
    <mergeCell ref="B53:C53"/>
    <mergeCell ref="B57:C57"/>
    <mergeCell ref="D109:F109"/>
    <mergeCell ref="D110:F110"/>
    <mergeCell ref="B86:C86"/>
    <mergeCell ref="B87:C87"/>
    <mergeCell ref="B97:C97"/>
    <mergeCell ref="B107:D107"/>
    <mergeCell ref="B10:C10"/>
    <mergeCell ref="B24:C24"/>
    <mergeCell ref="B2:C2"/>
    <mergeCell ref="B3:C3"/>
    <mergeCell ref="B28:C28"/>
    <mergeCell ref="B4:C4"/>
  </mergeCells>
  <printOptions horizontalCentered="1"/>
  <pageMargins left="0.15748031496062992" right="0.15748031496062992" top="0.61" bottom="0.48" header="0.31496062992125984" footer="0.19685039370078741"/>
  <pageSetup paperSize="9" scale="62" orientation="portrait" r:id="rId1"/>
  <headerFooter>
    <oddHeader>&amp;RZałącznik nr 8 do SWZ - Część A.III</oddHeader>
    <oddFooter>&amp;LWIPP.ZP.271.1.2021&amp;R&amp;P/&amp;N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view="pageBreakPreview" topLeftCell="A151" zoomScaleNormal="100" zoomScaleSheetLayoutView="100" workbookViewId="0">
      <selection activeCell="B169" sqref="B169"/>
    </sheetView>
  </sheetViews>
  <sheetFormatPr defaultRowHeight="14.25"/>
  <cols>
    <col min="1" max="1" width="9" style="19"/>
    <col min="2" max="2" width="16.125" style="138" customWidth="1"/>
    <col min="3" max="3" width="53.25" style="138" customWidth="1"/>
    <col min="4" max="4" width="9" style="19"/>
    <col min="5" max="5" width="9" style="20"/>
    <col min="6" max="6" width="9.875" style="20" bestFit="1" customWidth="1"/>
    <col min="7" max="7" width="13.125" style="20" bestFit="1" customWidth="1"/>
    <col min="8" max="16384" width="9" style="20"/>
  </cols>
  <sheetData>
    <row r="1" spans="1:7" ht="30">
      <c r="A1" s="83" t="s">
        <v>0</v>
      </c>
      <c r="B1" s="84" t="s">
        <v>1</v>
      </c>
      <c r="C1" s="84" t="s">
        <v>2</v>
      </c>
      <c r="D1" s="84" t="s">
        <v>475</v>
      </c>
      <c r="E1" s="83" t="s">
        <v>3</v>
      </c>
      <c r="F1" s="84" t="s">
        <v>626</v>
      </c>
      <c r="G1" s="83" t="s">
        <v>5</v>
      </c>
    </row>
    <row r="2" spans="1:7" ht="22.5" customHeight="1">
      <c r="A2" s="145" t="s">
        <v>979</v>
      </c>
      <c r="B2" s="196" t="s">
        <v>632</v>
      </c>
      <c r="C2" s="197"/>
      <c r="D2" s="145"/>
      <c r="E2" s="135"/>
      <c r="F2" s="135"/>
      <c r="G2" s="135"/>
    </row>
    <row r="3" spans="1:7" ht="22.5" customHeight="1">
      <c r="A3" s="42" t="s">
        <v>544</v>
      </c>
      <c r="B3" s="198" t="s">
        <v>486</v>
      </c>
      <c r="C3" s="198"/>
      <c r="D3" s="42"/>
      <c r="E3" s="44"/>
      <c r="F3" s="44"/>
      <c r="G3" s="136">
        <f>SUM(G4,G9,G15)</f>
        <v>0</v>
      </c>
    </row>
    <row r="4" spans="1:7" ht="15" customHeight="1">
      <c r="A4" s="8" t="s">
        <v>7</v>
      </c>
      <c r="B4" s="159" t="s">
        <v>361</v>
      </c>
      <c r="C4" s="159"/>
      <c r="D4" s="8"/>
      <c r="E4" s="35"/>
      <c r="F4" s="35"/>
      <c r="G4" s="9">
        <f>SUM(G5:G8)</f>
        <v>0</v>
      </c>
    </row>
    <row r="5" spans="1:7" ht="30">
      <c r="A5" s="83" t="s">
        <v>408</v>
      </c>
      <c r="B5" s="82" t="s">
        <v>47</v>
      </c>
      <c r="C5" s="82" t="s">
        <v>1008</v>
      </c>
      <c r="D5" s="83" t="s">
        <v>21</v>
      </c>
      <c r="E5" s="90">
        <v>10.56</v>
      </c>
      <c r="F5" s="90"/>
      <c r="G5" s="90">
        <f>E5*F5</f>
        <v>0</v>
      </c>
    </row>
    <row r="6" spans="1:7" ht="30">
      <c r="A6" s="83" t="s">
        <v>409</v>
      </c>
      <c r="B6" s="82" t="s">
        <v>47</v>
      </c>
      <c r="C6" s="82" t="s">
        <v>362</v>
      </c>
      <c r="D6" s="83" t="s">
        <v>81</v>
      </c>
      <c r="E6" s="90">
        <v>19</v>
      </c>
      <c r="F6" s="90"/>
      <c r="G6" s="90">
        <f t="shared" ref="G6:G7" si="0">E6*F6</f>
        <v>0</v>
      </c>
    </row>
    <row r="7" spans="1:7" ht="45">
      <c r="A7" s="83" t="s">
        <v>410</v>
      </c>
      <c r="B7" s="82" t="s">
        <v>363</v>
      </c>
      <c r="C7" s="82" t="s">
        <v>364</v>
      </c>
      <c r="D7" s="83" t="s">
        <v>21</v>
      </c>
      <c r="E7" s="90">
        <v>3.28</v>
      </c>
      <c r="F7" s="90"/>
      <c r="G7" s="90">
        <f t="shared" si="0"/>
        <v>0</v>
      </c>
    </row>
    <row r="8" spans="1:7" ht="45">
      <c r="A8" s="83" t="s">
        <v>411</v>
      </c>
      <c r="B8" s="82" t="s">
        <v>36</v>
      </c>
      <c r="C8" s="82" t="s">
        <v>37</v>
      </c>
      <c r="D8" s="83" t="s">
        <v>21</v>
      </c>
      <c r="E8" s="90">
        <v>3.28</v>
      </c>
      <c r="F8" s="90"/>
      <c r="G8" s="90">
        <f>E8*F8</f>
        <v>0</v>
      </c>
    </row>
    <row r="9" spans="1:7" ht="21" customHeight="1">
      <c r="A9" s="8" t="s">
        <v>41</v>
      </c>
      <c r="B9" s="159" t="s">
        <v>8</v>
      </c>
      <c r="C9" s="159"/>
      <c r="D9" s="8"/>
      <c r="E9" s="9"/>
      <c r="F9" s="9"/>
      <c r="G9" s="9">
        <f>SUM(G10:G14)</f>
        <v>0</v>
      </c>
    </row>
    <row r="10" spans="1:7" ht="15">
      <c r="A10" s="83" t="s">
        <v>424</v>
      </c>
      <c r="B10" s="82" t="s">
        <v>365</v>
      </c>
      <c r="C10" s="82" t="s">
        <v>366</v>
      </c>
      <c r="D10" s="83" t="s">
        <v>11</v>
      </c>
      <c r="E10" s="90">
        <v>4</v>
      </c>
      <c r="F10" s="90"/>
      <c r="G10" s="90">
        <f>E10*F10</f>
        <v>0</v>
      </c>
    </row>
    <row r="11" spans="1:7" ht="15">
      <c r="A11" s="83" t="s">
        <v>425</v>
      </c>
      <c r="B11" s="82" t="s">
        <v>14</v>
      </c>
      <c r="C11" s="82" t="s">
        <v>15</v>
      </c>
      <c r="D11" s="83" t="s">
        <v>11</v>
      </c>
      <c r="E11" s="90">
        <v>4</v>
      </c>
      <c r="F11" s="90"/>
      <c r="G11" s="90">
        <f t="shared" ref="G11:G14" si="1">E11*F11</f>
        <v>0</v>
      </c>
    </row>
    <row r="12" spans="1:7" ht="30">
      <c r="A12" s="83" t="s">
        <v>426</v>
      </c>
      <c r="B12" s="82" t="s">
        <v>19</v>
      </c>
      <c r="C12" s="82" t="s">
        <v>20</v>
      </c>
      <c r="D12" s="83" t="s">
        <v>21</v>
      </c>
      <c r="E12" s="90">
        <v>3.52</v>
      </c>
      <c r="F12" s="90"/>
      <c r="G12" s="90">
        <f t="shared" si="1"/>
        <v>0</v>
      </c>
    </row>
    <row r="13" spans="1:7" ht="30">
      <c r="A13" s="83" t="s">
        <v>427</v>
      </c>
      <c r="B13" s="82" t="s">
        <v>22</v>
      </c>
      <c r="C13" s="82" t="s">
        <v>23</v>
      </c>
      <c r="D13" s="83" t="s">
        <v>24</v>
      </c>
      <c r="E13" s="90">
        <v>7.2</v>
      </c>
      <c r="F13" s="90"/>
      <c r="G13" s="90">
        <f t="shared" si="1"/>
        <v>0</v>
      </c>
    </row>
    <row r="14" spans="1:7" ht="30">
      <c r="A14" s="83" t="s">
        <v>428</v>
      </c>
      <c r="B14" s="82" t="s">
        <v>47</v>
      </c>
      <c r="C14" s="82" t="s">
        <v>367</v>
      </c>
      <c r="D14" s="83" t="s">
        <v>88</v>
      </c>
      <c r="E14" s="90">
        <v>1</v>
      </c>
      <c r="F14" s="90"/>
      <c r="G14" s="90">
        <f t="shared" si="1"/>
        <v>0</v>
      </c>
    </row>
    <row r="15" spans="1:7" ht="15">
      <c r="A15" s="8" t="s">
        <v>65</v>
      </c>
      <c r="B15" s="159" t="s">
        <v>42</v>
      </c>
      <c r="C15" s="159"/>
      <c r="D15" s="8"/>
      <c r="E15" s="9"/>
      <c r="F15" s="9"/>
      <c r="G15" s="9">
        <f>SUM(G16:G29)</f>
        <v>0</v>
      </c>
    </row>
    <row r="16" spans="1:7" ht="30">
      <c r="A16" s="83" t="s">
        <v>437</v>
      </c>
      <c r="B16" s="82" t="s">
        <v>43</v>
      </c>
      <c r="C16" s="82" t="s">
        <v>44</v>
      </c>
      <c r="D16" s="83" t="s">
        <v>21</v>
      </c>
      <c r="E16" s="90">
        <v>6.9</v>
      </c>
      <c r="F16" s="90"/>
      <c r="G16" s="90">
        <f>E16*F16</f>
        <v>0</v>
      </c>
    </row>
    <row r="17" spans="1:7" ht="15">
      <c r="A17" s="83" t="s">
        <v>438</v>
      </c>
      <c r="B17" s="82" t="s">
        <v>45</v>
      </c>
      <c r="C17" s="82" t="s">
        <v>46</v>
      </c>
      <c r="D17" s="83" t="s">
        <v>18</v>
      </c>
      <c r="E17" s="90">
        <v>138</v>
      </c>
      <c r="F17" s="90"/>
      <c r="G17" s="90">
        <f t="shared" ref="G17:G29" si="2">E17*F17</f>
        <v>0</v>
      </c>
    </row>
    <row r="18" spans="1:7" ht="15">
      <c r="A18" s="83" t="s">
        <v>439</v>
      </c>
      <c r="B18" s="82" t="s">
        <v>47</v>
      </c>
      <c r="C18" s="82" t="s">
        <v>48</v>
      </c>
      <c r="D18" s="83" t="s">
        <v>21</v>
      </c>
      <c r="E18" s="90">
        <v>6.9</v>
      </c>
      <c r="F18" s="90"/>
      <c r="G18" s="90">
        <f t="shared" si="2"/>
        <v>0</v>
      </c>
    </row>
    <row r="19" spans="1:7" ht="30">
      <c r="A19" s="83" t="s">
        <v>440</v>
      </c>
      <c r="B19" s="82" t="s">
        <v>368</v>
      </c>
      <c r="C19" s="82" t="s">
        <v>369</v>
      </c>
      <c r="D19" s="83" t="s">
        <v>21</v>
      </c>
      <c r="E19" s="90">
        <v>6.9</v>
      </c>
      <c r="F19" s="90"/>
      <c r="G19" s="90">
        <f t="shared" si="2"/>
        <v>0</v>
      </c>
    </row>
    <row r="20" spans="1:7" ht="30">
      <c r="A20" s="83" t="s">
        <v>441</v>
      </c>
      <c r="B20" s="82" t="s">
        <v>51</v>
      </c>
      <c r="C20" s="82" t="s">
        <v>52</v>
      </c>
      <c r="D20" s="83" t="s">
        <v>18</v>
      </c>
      <c r="E20" s="90">
        <v>41</v>
      </c>
      <c r="F20" s="90"/>
      <c r="G20" s="90">
        <f t="shared" si="2"/>
        <v>0</v>
      </c>
    </row>
    <row r="21" spans="1:7" ht="15">
      <c r="A21" s="83" t="s">
        <v>442</v>
      </c>
      <c r="B21" s="82" t="s">
        <v>370</v>
      </c>
      <c r="C21" s="82" t="s">
        <v>371</v>
      </c>
      <c r="D21" s="83" t="s">
        <v>18</v>
      </c>
      <c r="E21" s="90">
        <v>41</v>
      </c>
      <c r="F21" s="90"/>
      <c r="G21" s="90">
        <f t="shared" si="2"/>
        <v>0</v>
      </c>
    </row>
    <row r="22" spans="1:7" ht="45">
      <c r="A22" s="83" t="s">
        <v>443</v>
      </c>
      <c r="B22" s="82" t="s">
        <v>372</v>
      </c>
      <c r="C22" s="82" t="s">
        <v>373</v>
      </c>
      <c r="D22" s="83" t="s">
        <v>11</v>
      </c>
      <c r="E22" s="90">
        <v>3</v>
      </c>
      <c r="F22" s="90"/>
      <c r="G22" s="90">
        <f t="shared" si="2"/>
        <v>0</v>
      </c>
    </row>
    <row r="23" spans="1:7" ht="45">
      <c r="A23" s="83" t="s">
        <v>444</v>
      </c>
      <c r="B23" s="82" t="s">
        <v>116</v>
      </c>
      <c r="C23" s="82" t="s">
        <v>119</v>
      </c>
      <c r="D23" s="83" t="s">
        <v>11</v>
      </c>
      <c r="E23" s="90">
        <v>20</v>
      </c>
      <c r="F23" s="90"/>
      <c r="G23" s="90">
        <f t="shared" si="2"/>
        <v>0</v>
      </c>
    </row>
    <row r="24" spans="1:7" ht="30">
      <c r="A24" s="83" t="s">
        <v>445</v>
      </c>
      <c r="B24" s="82" t="s">
        <v>116</v>
      </c>
      <c r="C24" s="82" t="s">
        <v>374</v>
      </c>
      <c r="D24" s="83" t="s">
        <v>11</v>
      </c>
      <c r="E24" s="90">
        <v>21</v>
      </c>
      <c r="F24" s="90"/>
      <c r="G24" s="90">
        <f t="shared" si="2"/>
        <v>0</v>
      </c>
    </row>
    <row r="25" spans="1:7" ht="30">
      <c r="A25" s="83" t="s">
        <v>446</v>
      </c>
      <c r="B25" s="82" t="s">
        <v>116</v>
      </c>
      <c r="C25" s="82" t="s">
        <v>375</v>
      </c>
      <c r="D25" s="83" t="s">
        <v>11</v>
      </c>
      <c r="E25" s="90">
        <v>6</v>
      </c>
      <c r="F25" s="90"/>
      <c r="G25" s="90">
        <f t="shared" si="2"/>
        <v>0</v>
      </c>
    </row>
    <row r="26" spans="1:7" ht="30">
      <c r="A26" s="83" t="s">
        <v>447</v>
      </c>
      <c r="B26" s="82" t="s">
        <v>376</v>
      </c>
      <c r="C26" s="82" t="s">
        <v>377</v>
      </c>
      <c r="D26" s="83" t="s">
        <v>18</v>
      </c>
      <c r="E26" s="90">
        <v>24</v>
      </c>
      <c r="F26" s="90"/>
      <c r="G26" s="90">
        <f t="shared" si="2"/>
        <v>0</v>
      </c>
    </row>
    <row r="27" spans="1:7" ht="30">
      <c r="A27" s="83" t="s">
        <v>629</v>
      </c>
      <c r="B27" s="82" t="s">
        <v>376</v>
      </c>
      <c r="C27" s="82" t="s">
        <v>378</v>
      </c>
      <c r="D27" s="83" t="s">
        <v>18</v>
      </c>
      <c r="E27" s="90">
        <v>33</v>
      </c>
      <c r="F27" s="90"/>
      <c r="G27" s="90">
        <f t="shared" si="2"/>
        <v>0</v>
      </c>
    </row>
    <row r="28" spans="1:7" ht="30">
      <c r="A28" s="83" t="s">
        <v>630</v>
      </c>
      <c r="B28" s="82" t="s">
        <v>376</v>
      </c>
      <c r="C28" s="82" t="s">
        <v>379</v>
      </c>
      <c r="D28" s="83" t="s">
        <v>18</v>
      </c>
      <c r="E28" s="90">
        <v>3</v>
      </c>
      <c r="F28" s="90"/>
      <c r="G28" s="90">
        <f t="shared" si="2"/>
        <v>0</v>
      </c>
    </row>
    <row r="29" spans="1:7" ht="30">
      <c r="A29" s="83" t="s">
        <v>631</v>
      </c>
      <c r="B29" s="82" t="s">
        <v>121</v>
      </c>
      <c r="C29" s="82" t="s">
        <v>122</v>
      </c>
      <c r="D29" s="83" t="s">
        <v>81</v>
      </c>
      <c r="E29" s="90">
        <v>30</v>
      </c>
      <c r="F29" s="90"/>
      <c r="G29" s="90">
        <f t="shared" si="2"/>
        <v>0</v>
      </c>
    </row>
    <row r="30" spans="1:7" ht="26.25" customHeight="1">
      <c r="A30" s="81" t="s">
        <v>541</v>
      </c>
      <c r="B30" s="158" t="s">
        <v>542</v>
      </c>
      <c r="C30" s="158"/>
      <c r="D30" s="51"/>
      <c r="E30" s="52"/>
      <c r="F30" s="52"/>
      <c r="G30" s="137">
        <f>SUM(G31,G45,G50,G70)</f>
        <v>0</v>
      </c>
    </row>
    <row r="31" spans="1:7" ht="26.25" customHeight="1">
      <c r="A31" s="8" t="s">
        <v>749</v>
      </c>
      <c r="B31" s="35" t="s">
        <v>832</v>
      </c>
      <c r="C31" s="82"/>
      <c r="D31" s="83"/>
      <c r="E31" s="90"/>
      <c r="F31" s="90"/>
      <c r="G31" s="53">
        <f>SUM(G32:G44)</f>
        <v>0</v>
      </c>
    </row>
    <row r="32" spans="1:7" ht="30">
      <c r="A32" s="83" t="s">
        <v>775</v>
      </c>
      <c r="B32" s="88" t="s">
        <v>823</v>
      </c>
      <c r="C32" s="82" t="s">
        <v>723</v>
      </c>
      <c r="D32" s="83" t="s">
        <v>221</v>
      </c>
      <c r="E32" s="90">
        <v>0.06</v>
      </c>
      <c r="F32" s="90"/>
      <c r="G32" s="98">
        <f>E32*F32</f>
        <v>0</v>
      </c>
    </row>
    <row r="33" spans="1:7" ht="30">
      <c r="A33" s="83" t="s">
        <v>776</v>
      </c>
      <c r="B33" s="88" t="s">
        <v>774</v>
      </c>
      <c r="C33" s="82" t="s">
        <v>821</v>
      </c>
      <c r="D33" s="83" t="s">
        <v>18</v>
      </c>
      <c r="E33" s="90">
        <v>265</v>
      </c>
      <c r="F33" s="90"/>
      <c r="G33" s="98">
        <f t="shared" ref="G33:G44" si="3">E33*F33</f>
        <v>0</v>
      </c>
    </row>
    <row r="34" spans="1:7" ht="30">
      <c r="A34" s="83" t="s">
        <v>777</v>
      </c>
      <c r="B34" s="88" t="s">
        <v>774</v>
      </c>
      <c r="C34" s="82" t="s">
        <v>822</v>
      </c>
      <c r="D34" s="83" t="s">
        <v>18</v>
      </c>
      <c r="E34" s="90">
        <v>375</v>
      </c>
      <c r="F34" s="90"/>
      <c r="G34" s="98">
        <f t="shared" si="3"/>
        <v>0</v>
      </c>
    </row>
    <row r="35" spans="1:7" ht="30">
      <c r="A35" s="83" t="s">
        <v>778</v>
      </c>
      <c r="B35" s="88" t="s">
        <v>824</v>
      </c>
      <c r="C35" s="82" t="s">
        <v>702</v>
      </c>
      <c r="D35" s="83" t="s">
        <v>18</v>
      </c>
      <c r="E35" s="90">
        <v>151</v>
      </c>
      <c r="F35" s="90"/>
      <c r="G35" s="98">
        <f t="shared" si="3"/>
        <v>0</v>
      </c>
    </row>
    <row r="36" spans="1:7" ht="15">
      <c r="A36" s="83" t="s">
        <v>779</v>
      </c>
      <c r="B36" s="88" t="s">
        <v>701</v>
      </c>
      <c r="C36" s="82" t="s">
        <v>820</v>
      </c>
      <c r="D36" s="83" t="s">
        <v>18</v>
      </c>
      <c r="E36" s="90">
        <v>30</v>
      </c>
      <c r="F36" s="90"/>
      <c r="G36" s="98">
        <f t="shared" si="3"/>
        <v>0</v>
      </c>
    </row>
    <row r="37" spans="1:7" ht="30">
      <c r="A37" s="83" t="s">
        <v>780</v>
      </c>
      <c r="B37" s="88" t="s">
        <v>699</v>
      </c>
      <c r="C37" s="82" t="s">
        <v>698</v>
      </c>
      <c r="D37" s="83" t="s">
        <v>21</v>
      </c>
      <c r="E37" s="90">
        <v>13.28</v>
      </c>
      <c r="F37" s="90"/>
      <c r="G37" s="98">
        <f t="shared" si="3"/>
        <v>0</v>
      </c>
    </row>
    <row r="38" spans="1:7" ht="30">
      <c r="A38" s="83" t="s">
        <v>781</v>
      </c>
      <c r="B38" s="88" t="s">
        <v>705</v>
      </c>
      <c r="C38" s="82" t="s">
        <v>704</v>
      </c>
      <c r="D38" s="83" t="s">
        <v>18</v>
      </c>
      <c r="E38" s="90">
        <v>125</v>
      </c>
      <c r="F38" s="90"/>
      <c r="G38" s="98">
        <f t="shared" si="3"/>
        <v>0</v>
      </c>
    </row>
    <row r="39" spans="1:7" ht="45">
      <c r="A39" s="83" t="s">
        <v>782</v>
      </c>
      <c r="B39" s="88" t="s">
        <v>697</v>
      </c>
      <c r="C39" s="82" t="s">
        <v>696</v>
      </c>
      <c r="D39" s="83" t="s">
        <v>21</v>
      </c>
      <c r="E39" s="90">
        <v>72.5</v>
      </c>
      <c r="F39" s="90"/>
      <c r="G39" s="98">
        <f t="shared" si="3"/>
        <v>0</v>
      </c>
    </row>
    <row r="40" spans="1:7" ht="60">
      <c r="A40" s="83" t="s">
        <v>848</v>
      </c>
      <c r="B40" s="88" t="s">
        <v>695</v>
      </c>
      <c r="C40" s="82" t="s">
        <v>694</v>
      </c>
      <c r="D40" s="83" t="s">
        <v>21</v>
      </c>
      <c r="E40" s="90">
        <v>72.5</v>
      </c>
      <c r="F40" s="90"/>
      <c r="G40" s="98">
        <f t="shared" si="3"/>
        <v>0</v>
      </c>
    </row>
    <row r="41" spans="1:7" ht="15">
      <c r="A41" s="83" t="s">
        <v>849</v>
      </c>
      <c r="B41" s="88" t="s">
        <v>685</v>
      </c>
      <c r="C41" s="82" t="s">
        <v>825</v>
      </c>
      <c r="D41" s="83" t="s">
        <v>40</v>
      </c>
      <c r="E41" s="90">
        <f>E40*2.3</f>
        <v>166.75</v>
      </c>
      <c r="F41" s="90"/>
      <c r="G41" s="98">
        <f t="shared" si="3"/>
        <v>0</v>
      </c>
    </row>
    <row r="42" spans="1:7" ht="30">
      <c r="A42" s="83" t="s">
        <v>850</v>
      </c>
      <c r="B42" s="88" t="s">
        <v>744</v>
      </c>
      <c r="C42" s="82" t="s">
        <v>826</v>
      </c>
      <c r="D42" s="83" t="s">
        <v>11</v>
      </c>
      <c r="E42" s="90">
        <v>3</v>
      </c>
      <c r="F42" s="90"/>
      <c r="G42" s="98">
        <f t="shared" si="3"/>
        <v>0</v>
      </c>
    </row>
    <row r="43" spans="1:7" ht="15">
      <c r="A43" s="83" t="s">
        <v>851</v>
      </c>
      <c r="B43" s="88" t="s">
        <v>746</v>
      </c>
      <c r="C43" s="82" t="s">
        <v>827</v>
      </c>
      <c r="D43" s="83" t="s">
        <v>11</v>
      </c>
      <c r="E43" s="90">
        <v>1</v>
      </c>
      <c r="F43" s="90"/>
      <c r="G43" s="98">
        <f t="shared" si="3"/>
        <v>0</v>
      </c>
    </row>
    <row r="44" spans="1:7" ht="15">
      <c r="A44" s="83" t="s">
        <v>852</v>
      </c>
      <c r="B44" s="88" t="s">
        <v>770</v>
      </c>
      <c r="C44" s="82" t="s">
        <v>828</v>
      </c>
      <c r="D44" s="83" t="s">
        <v>11</v>
      </c>
      <c r="E44" s="90">
        <v>1</v>
      </c>
      <c r="F44" s="90"/>
      <c r="G44" s="98">
        <f t="shared" si="3"/>
        <v>0</v>
      </c>
    </row>
    <row r="45" spans="1:7" ht="15">
      <c r="A45" s="8" t="s">
        <v>742</v>
      </c>
      <c r="B45" s="35" t="s">
        <v>692</v>
      </c>
      <c r="C45" s="82"/>
      <c r="D45" s="83"/>
      <c r="E45" s="90"/>
      <c r="F45" s="90"/>
      <c r="G45" s="53">
        <f>SUM(G46:G49)</f>
        <v>0</v>
      </c>
    </row>
    <row r="46" spans="1:7" ht="45">
      <c r="A46" s="83" t="s">
        <v>783</v>
      </c>
      <c r="B46" s="88" t="s">
        <v>691</v>
      </c>
      <c r="C46" s="82" t="s">
        <v>690</v>
      </c>
      <c r="D46" s="83" t="s">
        <v>21</v>
      </c>
      <c r="E46" s="90">
        <v>505</v>
      </c>
      <c r="F46" s="90"/>
      <c r="G46" s="98">
        <f>E46*F46</f>
        <v>0</v>
      </c>
    </row>
    <row r="47" spans="1:7" ht="45">
      <c r="A47" s="83" t="s">
        <v>784</v>
      </c>
      <c r="B47" s="88" t="s">
        <v>687</v>
      </c>
      <c r="C47" s="82" t="s">
        <v>829</v>
      </c>
      <c r="D47" s="83" t="s">
        <v>21</v>
      </c>
      <c r="E47" s="90">
        <v>505</v>
      </c>
      <c r="F47" s="90"/>
      <c r="G47" s="98">
        <f t="shared" ref="G47:G49" si="4">E47*F47</f>
        <v>0</v>
      </c>
    </row>
    <row r="48" spans="1:7" ht="15">
      <c r="A48" s="83" t="s">
        <v>785</v>
      </c>
      <c r="B48" s="88" t="s">
        <v>685</v>
      </c>
      <c r="C48" s="82" t="s">
        <v>684</v>
      </c>
      <c r="D48" s="83" t="s">
        <v>40</v>
      </c>
      <c r="E48" s="90">
        <f>E47*1.8</f>
        <v>909</v>
      </c>
      <c r="F48" s="90"/>
      <c r="G48" s="98">
        <f t="shared" si="4"/>
        <v>0</v>
      </c>
    </row>
    <row r="49" spans="1:7" ht="30">
      <c r="A49" s="83" t="s">
        <v>786</v>
      </c>
      <c r="B49" s="88" t="s">
        <v>683</v>
      </c>
      <c r="C49" s="82" t="s">
        <v>682</v>
      </c>
      <c r="D49" s="83" t="s">
        <v>18</v>
      </c>
      <c r="E49" s="90">
        <v>836.25</v>
      </c>
      <c r="F49" s="90"/>
      <c r="G49" s="98">
        <f t="shared" si="4"/>
        <v>0</v>
      </c>
    </row>
    <row r="50" spans="1:7" ht="15">
      <c r="A50" s="8" t="s">
        <v>741</v>
      </c>
      <c r="B50" s="35" t="s">
        <v>830</v>
      </c>
      <c r="C50" s="12"/>
      <c r="D50" s="8"/>
      <c r="E50" s="9"/>
      <c r="F50" s="9"/>
      <c r="G50" s="53">
        <f>SUM(G51,G58,G62,G66)</f>
        <v>0</v>
      </c>
    </row>
    <row r="51" spans="1:7" ht="15">
      <c r="A51" s="83" t="s">
        <v>788</v>
      </c>
      <c r="B51" s="88" t="s">
        <v>831</v>
      </c>
      <c r="C51" s="82"/>
      <c r="D51" s="83"/>
      <c r="E51" s="90"/>
      <c r="F51" s="90"/>
      <c r="G51" s="98">
        <f>SUM(G52:G57)</f>
        <v>0</v>
      </c>
    </row>
    <row r="52" spans="1:7" ht="30">
      <c r="A52" s="83" t="s">
        <v>853</v>
      </c>
      <c r="B52" s="88" t="s">
        <v>671</v>
      </c>
      <c r="C52" s="82" t="s">
        <v>833</v>
      </c>
      <c r="D52" s="83" t="s">
        <v>18</v>
      </c>
      <c r="E52" s="90">
        <v>309</v>
      </c>
      <c r="F52" s="90"/>
      <c r="G52" s="98">
        <f>E52*F52</f>
        <v>0</v>
      </c>
    </row>
    <row r="53" spans="1:7" ht="15">
      <c r="A53" s="83" t="s">
        <v>854</v>
      </c>
      <c r="B53" s="88" t="s">
        <v>669</v>
      </c>
      <c r="C53" s="82" t="s">
        <v>834</v>
      </c>
      <c r="D53" s="83" t="s">
        <v>18</v>
      </c>
      <c r="E53" s="90">
        <v>255</v>
      </c>
      <c r="F53" s="90"/>
      <c r="G53" s="98">
        <f t="shared" ref="G53:G57" si="5">E53*F53</f>
        <v>0</v>
      </c>
    </row>
    <row r="54" spans="1:7" ht="30">
      <c r="A54" s="83" t="s">
        <v>855</v>
      </c>
      <c r="B54" s="88" t="s">
        <v>737</v>
      </c>
      <c r="C54" s="82" t="s">
        <v>835</v>
      </c>
      <c r="D54" s="83" t="s">
        <v>18</v>
      </c>
      <c r="E54" s="90">
        <v>255</v>
      </c>
      <c r="F54" s="90"/>
      <c r="G54" s="98">
        <f t="shared" si="5"/>
        <v>0</v>
      </c>
    </row>
    <row r="55" spans="1:7" ht="30">
      <c r="A55" s="83" t="s">
        <v>856</v>
      </c>
      <c r="B55" s="88" t="s">
        <v>836</v>
      </c>
      <c r="C55" s="82" t="s">
        <v>837</v>
      </c>
      <c r="D55" s="83" t="s">
        <v>18</v>
      </c>
      <c r="E55" s="90">
        <v>255</v>
      </c>
      <c r="F55" s="90"/>
      <c r="G55" s="98">
        <f t="shared" si="5"/>
        <v>0</v>
      </c>
    </row>
    <row r="56" spans="1:7" ht="30">
      <c r="A56" s="83" t="s">
        <v>857</v>
      </c>
      <c r="B56" s="88" t="s">
        <v>731</v>
      </c>
      <c r="C56" s="82" t="s">
        <v>730</v>
      </c>
      <c r="D56" s="83" t="s">
        <v>18</v>
      </c>
      <c r="E56" s="90">
        <v>255</v>
      </c>
      <c r="F56" s="90"/>
      <c r="G56" s="98">
        <f t="shared" si="5"/>
        <v>0</v>
      </c>
    </row>
    <row r="57" spans="1:7" ht="30">
      <c r="A57" s="83" t="s">
        <v>858</v>
      </c>
      <c r="B57" s="88" t="s">
        <v>729</v>
      </c>
      <c r="C57" s="82" t="s">
        <v>728</v>
      </c>
      <c r="D57" s="83" t="s">
        <v>18</v>
      </c>
      <c r="E57" s="90">
        <v>255</v>
      </c>
      <c r="F57" s="90"/>
      <c r="G57" s="98">
        <f t="shared" si="5"/>
        <v>0</v>
      </c>
    </row>
    <row r="58" spans="1:7" ht="15">
      <c r="A58" s="83" t="s">
        <v>789</v>
      </c>
      <c r="B58" s="88" t="s">
        <v>838</v>
      </c>
      <c r="C58" s="82"/>
      <c r="D58" s="83"/>
      <c r="E58" s="90"/>
      <c r="F58" s="90"/>
      <c r="G58" s="98">
        <f>SUM(G59:G61)</f>
        <v>0</v>
      </c>
    </row>
    <row r="59" spans="1:7" ht="30">
      <c r="A59" s="83" t="s">
        <v>859</v>
      </c>
      <c r="B59" s="88" t="s">
        <v>671</v>
      </c>
      <c r="C59" s="82" t="s">
        <v>713</v>
      </c>
      <c r="D59" s="83" t="s">
        <v>18</v>
      </c>
      <c r="E59" s="90">
        <v>285</v>
      </c>
      <c r="F59" s="90"/>
      <c r="G59" s="98">
        <f>E59*F59</f>
        <v>0</v>
      </c>
    </row>
    <row r="60" spans="1:7" ht="15">
      <c r="A60" s="83" t="s">
        <v>860</v>
      </c>
      <c r="B60" s="88" t="s">
        <v>712</v>
      </c>
      <c r="C60" s="82" t="s">
        <v>711</v>
      </c>
      <c r="D60" s="83" t="s">
        <v>18</v>
      </c>
      <c r="E60" s="90">
        <v>285</v>
      </c>
      <c r="F60" s="90"/>
      <c r="G60" s="98">
        <f t="shared" ref="G60:G61" si="6">E60*F60</f>
        <v>0</v>
      </c>
    </row>
    <row r="61" spans="1:7" ht="30">
      <c r="A61" s="83" t="s">
        <v>861</v>
      </c>
      <c r="B61" s="88" t="s">
        <v>674</v>
      </c>
      <c r="C61" s="82" t="s">
        <v>673</v>
      </c>
      <c r="D61" s="83" t="s">
        <v>18</v>
      </c>
      <c r="E61" s="90">
        <v>285</v>
      </c>
      <c r="F61" s="90"/>
      <c r="G61" s="98">
        <f t="shared" si="6"/>
        <v>0</v>
      </c>
    </row>
    <row r="62" spans="1:7" ht="15">
      <c r="A62" s="83" t="s">
        <v>790</v>
      </c>
      <c r="B62" s="88" t="s">
        <v>839</v>
      </c>
      <c r="C62" s="82"/>
      <c r="D62" s="83"/>
      <c r="E62" s="90"/>
      <c r="F62" s="90"/>
      <c r="G62" s="98">
        <f>SUM(G63:G65)</f>
        <v>0</v>
      </c>
    </row>
    <row r="63" spans="1:7" ht="30">
      <c r="A63" s="83" t="s">
        <v>862</v>
      </c>
      <c r="B63" s="88" t="s">
        <v>671</v>
      </c>
      <c r="C63" s="82" t="s">
        <v>840</v>
      </c>
      <c r="D63" s="83" t="s">
        <v>18</v>
      </c>
      <c r="E63" s="90">
        <v>63</v>
      </c>
      <c r="F63" s="90"/>
      <c r="G63" s="98">
        <f>E63*F63</f>
        <v>0</v>
      </c>
    </row>
    <row r="64" spans="1:7" ht="30">
      <c r="A64" s="83" t="s">
        <v>863</v>
      </c>
      <c r="B64" s="88" t="s">
        <v>676</v>
      </c>
      <c r="C64" s="82" t="s">
        <v>841</v>
      </c>
      <c r="D64" s="83" t="s">
        <v>18</v>
      </c>
      <c r="E64" s="90">
        <v>55</v>
      </c>
      <c r="F64" s="90"/>
      <c r="G64" s="98">
        <f t="shared" ref="G64:G65" si="7">E64*F64</f>
        <v>0</v>
      </c>
    </row>
    <row r="65" spans="1:8" ht="30">
      <c r="A65" s="83" t="s">
        <v>864</v>
      </c>
      <c r="B65" s="88" t="s">
        <v>674</v>
      </c>
      <c r="C65" s="82" t="s">
        <v>673</v>
      </c>
      <c r="D65" s="83" t="s">
        <v>18</v>
      </c>
      <c r="E65" s="90">
        <v>55</v>
      </c>
      <c r="F65" s="90"/>
      <c r="G65" s="98">
        <f t="shared" si="7"/>
        <v>0</v>
      </c>
    </row>
    <row r="66" spans="1:8" ht="15">
      <c r="A66" s="83" t="s">
        <v>791</v>
      </c>
      <c r="B66" s="88" t="s">
        <v>842</v>
      </c>
      <c r="C66" s="82"/>
      <c r="D66" s="83"/>
      <c r="E66" s="90"/>
      <c r="F66" s="90"/>
      <c r="G66" s="98">
        <f>SUM(G67:G69)</f>
        <v>0</v>
      </c>
    </row>
    <row r="67" spans="1:8" ht="30">
      <c r="A67" s="83" t="s">
        <v>865</v>
      </c>
      <c r="B67" s="88" t="s">
        <v>671</v>
      </c>
      <c r="C67" s="82" t="s">
        <v>843</v>
      </c>
      <c r="D67" s="83" t="s">
        <v>18</v>
      </c>
      <c r="E67" s="90">
        <v>148</v>
      </c>
      <c r="F67" s="90"/>
      <c r="G67" s="98">
        <f>E67*F67</f>
        <v>0</v>
      </c>
    </row>
    <row r="68" spans="1:8" ht="15">
      <c r="A68" s="83" t="s">
        <v>866</v>
      </c>
      <c r="B68" s="88" t="s">
        <v>669</v>
      </c>
      <c r="C68" s="82" t="s">
        <v>668</v>
      </c>
      <c r="D68" s="83" t="s">
        <v>18</v>
      </c>
      <c r="E68" s="90">
        <v>130</v>
      </c>
      <c r="F68" s="90"/>
      <c r="G68" s="98">
        <f t="shared" ref="G68:G69" si="8">E68*F68</f>
        <v>0</v>
      </c>
    </row>
    <row r="69" spans="1:8" ht="30">
      <c r="A69" s="83" t="s">
        <v>867</v>
      </c>
      <c r="B69" s="88" t="s">
        <v>674</v>
      </c>
      <c r="C69" s="82" t="s">
        <v>673</v>
      </c>
      <c r="D69" s="83" t="s">
        <v>18</v>
      </c>
      <c r="E69" s="90">
        <v>130</v>
      </c>
      <c r="F69" s="90"/>
      <c r="G69" s="98">
        <f t="shared" si="8"/>
        <v>0</v>
      </c>
    </row>
    <row r="70" spans="1:8" ht="15">
      <c r="A70" s="8" t="s">
        <v>739</v>
      </c>
      <c r="B70" s="35" t="s">
        <v>844</v>
      </c>
      <c r="C70" s="12"/>
      <c r="D70" s="8"/>
      <c r="E70" s="9"/>
      <c r="F70" s="9"/>
      <c r="G70" s="53">
        <f>SUM(G71:G75)</f>
        <v>0</v>
      </c>
    </row>
    <row r="71" spans="1:8" ht="30">
      <c r="A71" s="83" t="s">
        <v>792</v>
      </c>
      <c r="B71" s="88" t="s">
        <v>664</v>
      </c>
      <c r="C71" s="82" t="s">
        <v>845</v>
      </c>
      <c r="D71" s="83" t="s">
        <v>18</v>
      </c>
      <c r="E71" s="90">
        <v>31.25</v>
      </c>
      <c r="F71" s="90"/>
      <c r="G71" s="98">
        <f>E71*F71</f>
        <v>0</v>
      </c>
    </row>
    <row r="72" spans="1:8" ht="15">
      <c r="A72" s="83" t="s">
        <v>793</v>
      </c>
      <c r="B72" s="88" t="s">
        <v>662</v>
      </c>
      <c r="C72" s="82" t="s">
        <v>661</v>
      </c>
      <c r="D72" s="83" t="s">
        <v>21</v>
      </c>
      <c r="E72" s="90">
        <v>22.08</v>
      </c>
      <c r="F72" s="90"/>
      <c r="G72" s="98">
        <f t="shared" ref="G72:G75" si="9">E72*F72</f>
        <v>0</v>
      </c>
    </row>
    <row r="73" spans="1:8" ht="30">
      <c r="A73" s="83" t="s">
        <v>794</v>
      </c>
      <c r="B73" s="88" t="s">
        <v>660</v>
      </c>
      <c r="C73" s="82" t="s">
        <v>846</v>
      </c>
      <c r="D73" s="83" t="s">
        <v>81</v>
      </c>
      <c r="E73" s="90">
        <v>125</v>
      </c>
      <c r="F73" s="90"/>
      <c r="G73" s="98">
        <f t="shared" si="9"/>
        <v>0</v>
      </c>
    </row>
    <row r="74" spans="1:8" ht="15">
      <c r="A74" s="83" t="s">
        <v>868</v>
      </c>
      <c r="B74" s="88" t="s">
        <v>658</v>
      </c>
      <c r="C74" s="82" t="s">
        <v>657</v>
      </c>
      <c r="D74" s="83" t="s">
        <v>81</v>
      </c>
      <c r="E74" s="90">
        <v>151</v>
      </c>
      <c r="F74" s="90"/>
      <c r="G74" s="98">
        <f t="shared" si="9"/>
        <v>0</v>
      </c>
    </row>
    <row r="75" spans="1:8" ht="15">
      <c r="A75" s="83" t="s">
        <v>869</v>
      </c>
      <c r="B75" s="88" t="s">
        <v>656</v>
      </c>
      <c r="C75" s="82" t="s">
        <v>847</v>
      </c>
      <c r="D75" s="83" t="s">
        <v>81</v>
      </c>
      <c r="E75" s="90">
        <v>50</v>
      </c>
      <c r="F75" s="90"/>
      <c r="G75" s="98">
        <f t="shared" si="9"/>
        <v>0</v>
      </c>
    </row>
    <row r="76" spans="1:8" ht="19.5" customHeight="1">
      <c r="A76" s="81" t="s">
        <v>487</v>
      </c>
      <c r="B76" s="158" t="s">
        <v>818</v>
      </c>
      <c r="C76" s="158"/>
      <c r="D76" s="51"/>
      <c r="E76" s="52"/>
      <c r="F76" s="52"/>
      <c r="G76" s="137">
        <f>SUM(G77:G95)</f>
        <v>0</v>
      </c>
    </row>
    <row r="77" spans="1:8" ht="30">
      <c r="A77" s="83" t="s">
        <v>108</v>
      </c>
      <c r="B77" s="82" t="s">
        <v>147</v>
      </c>
      <c r="C77" s="82" t="s">
        <v>148</v>
      </c>
      <c r="D77" s="83" t="s">
        <v>81</v>
      </c>
      <c r="E77" s="90">
        <v>90</v>
      </c>
      <c r="F77" s="90"/>
      <c r="G77" s="90">
        <f>E77*F77</f>
        <v>0</v>
      </c>
      <c r="H77" s="21"/>
    </row>
    <row r="78" spans="1:8" ht="30">
      <c r="A78" s="83" t="s">
        <v>109</v>
      </c>
      <c r="B78" s="82" t="s">
        <v>151</v>
      </c>
      <c r="C78" s="82" t="s">
        <v>152</v>
      </c>
      <c r="D78" s="83" t="s">
        <v>127</v>
      </c>
      <c r="E78" s="90">
        <v>2</v>
      </c>
      <c r="F78" s="90"/>
      <c r="G78" s="90">
        <f>E78*F78</f>
        <v>0</v>
      </c>
      <c r="H78" s="21"/>
    </row>
    <row r="79" spans="1:8" ht="30">
      <c r="A79" s="83" t="s">
        <v>389</v>
      </c>
      <c r="B79" s="82" t="s">
        <v>155</v>
      </c>
      <c r="C79" s="82" t="s">
        <v>156</v>
      </c>
      <c r="D79" s="83" t="s">
        <v>81</v>
      </c>
      <c r="E79" s="90">
        <v>90</v>
      </c>
      <c r="F79" s="90"/>
      <c r="G79" s="90">
        <f t="shared" ref="G79:G95" si="10">E79*F79</f>
        <v>0</v>
      </c>
      <c r="H79" s="21"/>
    </row>
    <row r="80" spans="1:8" ht="15">
      <c r="A80" s="83" t="s">
        <v>477</v>
      </c>
      <c r="B80" s="82" t="s">
        <v>155</v>
      </c>
      <c r="C80" s="82" t="s">
        <v>157</v>
      </c>
      <c r="D80" s="83" t="s">
        <v>81</v>
      </c>
      <c r="E80" s="90">
        <v>90</v>
      </c>
      <c r="F80" s="90"/>
      <c r="G80" s="90">
        <f t="shared" si="10"/>
        <v>0</v>
      </c>
      <c r="H80" s="21"/>
    </row>
    <row r="81" spans="1:8" ht="45">
      <c r="A81" s="83" t="s">
        <v>588</v>
      </c>
      <c r="B81" s="82" t="s">
        <v>158</v>
      </c>
      <c r="C81" s="82" t="s">
        <v>159</v>
      </c>
      <c r="D81" s="83" t="s">
        <v>18</v>
      </c>
      <c r="E81" s="90">
        <v>90</v>
      </c>
      <c r="F81" s="90"/>
      <c r="G81" s="90">
        <f t="shared" si="10"/>
        <v>0</v>
      </c>
      <c r="H81" s="21"/>
    </row>
    <row r="82" spans="1:8" ht="30">
      <c r="A82" s="83" t="s">
        <v>343</v>
      </c>
      <c r="B82" s="82" t="s">
        <v>160</v>
      </c>
      <c r="C82" s="82" t="s">
        <v>161</v>
      </c>
      <c r="D82" s="83" t="s">
        <v>11</v>
      </c>
      <c r="E82" s="90">
        <v>2</v>
      </c>
      <c r="F82" s="90"/>
      <c r="G82" s="90">
        <f t="shared" si="10"/>
        <v>0</v>
      </c>
      <c r="H82" s="21"/>
    </row>
    <row r="83" spans="1:8" ht="30">
      <c r="A83" s="83" t="s">
        <v>62</v>
      </c>
      <c r="B83" s="82" t="s">
        <v>162</v>
      </c>
      <c r="C83" s="82" t="s">
        <v>163</v>
      </c>
      <c r="D83" s="83" t="s">
        <v>164</v>
      </c>
      <c r="E83" s="90">
        <v>2</v>
      </c>
      <c r="F83" s="90"/>
      <c r="G83" s="90">
        <f t="shared" si="10"/>
        <v>0</v>
      </c>
      <c r="H83" s="21"/>
    </row>
    <row r="84" spans="1:8" ht="30">
      <c r="A84" s="83" t="s">
        <v>589</v>
      </c>
      <c r="B84" s="82" t="s">
        <v>165</v>
      </c>
      <c r="C84" s="82" t="s">
        <v>166</v>
      </c>
      <c r="D84" s="83" t="s">
        <v>81</v>
      </c>
      <c r="E84" s="90">
        <v>90</v>
      </c>
      <c r="F84" s="90"/>
      <c r="G84" s="90">
        <f t="shared" si="10"/>
        <v>0</v>
      </c>
      <c r="H84" s="21"/>
    </row>
    <row r="85" spans="1:8" ht="30">
      <c r="A85" s="83" t="s">
        <v>590</v>
      </c>
      <c r="B85" s="82" t="s">
        <v>380</v>
      </c>
      <c r="C85" s="82" t="s">
        <v>381</v>
      </c>
      <c r="D85" s="83" t="s">
        <v>11</v>
      </c>
      <c r="E85" s="90">
        <v>2</v>
      </c>
      <c r="F85" s="90"/>
      <c r="G85" s="90">
        <f t="shared" si="10"/>
        <v>0</v>
      </c>
      <c r="H85" s="21"/>
    </row>
    <row r="86" spans="1:8" ht="30">
      <c r="A86" s="83" t="s">
        <v>591</v>
      </c>
      <c r="B86" s="82" t="s">
        <v>243</v>
      </c>
      <c r="C86" s="82" t="s">
        <v>244</v>
      </c>
      <c r="D86" s="83" t="s">
        <v>11</v>
      </c>
      <c r="E86" s="90">
        <v>2</v>
      </c>
      <c r="F86" s="90"/>
      <c r="G86" s="90">
        <f t="shared" si="10"/>
        <v>0</v>
      </c>
      <c r="H86" s="21"/>
    </row>
    <row r="87" spans="1:8" ht="30">
      <c r="A87" s="83" t="s">
        <v>592</v>
      </c>
      <c r="B87" s="82" t="s">
        <v>167</v>
      </c>
      <c r="C87" s="82" t="s">
        <v>168</v>
      </c>
      <c r="D87" s="83" t="s">
        <v>11</v>
      </c>
      <c r="E87" s="90">
        <v>2</v>
      </c>
      <c r="F87" s="90"/>
      <c r="G87" s="90">
        <f t="shared" si="10"/>
        <v>0</v>
      </c>
      <c r="H87" s="21"/>
    </row>
    <row r="88" spans="1:8" ht="45">
      <c r="A88" s="83" t="s">
        <v>593</v>
      </c>
      <c r="B88" s="82" t="s">
        <v>178</v>
      </c>
      <c r="C88" s="82" t="s">
        <v>179</v>
      </c>
      <c r="D88" s="83" t="s">
        <v>11</v>
      </c>
      <c r="E88" s="90">
        <v>2</v>
      </c>
      <c r="F88" s="90"/>
      <c r="G88" s="90">
        <f t="shared" si="10"/>
        <v>0</v>
      </c>
      <c r="H88" s="21"/>
    </row>
    <row r="89" spans="1:8" ht="45">
      <c r="A89" s="83" t="s">
        <v>594</v>
      </c>
      <c r="B89" s="82" t="s">
        <v>173</v>
      </c>
      <c r="C89" s="82" t="s">
        <v>174</v>
      </c>
      <c r="D89" s="83" t="s">
        <v>18</v>
      </c>
      <c r="E89" s="90">
        <v>90</v>
      </c>
      <c r="F89" s="90"/>
      <c r="G89" s="90">
        <f t="shared" si="10"/>
        <v>0</v>
      </c>
      <c r="H89" s="21"/>
    </row>
    <row r="90" spans="1:8" ht="15">
      <c r="A90" s="83" t="s">
        <v>617</v>
      </c>
      <c r="B90" s="82" t="s">
        <v>189</v>
      </c>
      <c r="C90" s="82" t="s">
        <v>190</v>
      </c>
      <c r="D90" s="83" t="s">
        <v>191</v>
      </c>
      <c r="E90" s="90">
        <v>1</v>
      </c>
      <c r="F90" s="90"/>
      <c r="G90" s="90">
        <f t="shared" si="10"/>
        <v>0</v>
      </c>
      <c r="H90" s="21"/>
    </row>
    <row r="91" spans="1:8" ht="30">
      <c r="A91" s="83" t="s">
        <v>618</v>
      </c>
      <c r="B91" s="82" t="s">
        <v>192</v>
      </c>
      <c r="C91" s="82" t="s">
        <v>193</v>
      </c>
      <c r="D91" s="83" t="s">
        <v>194</v>
      </c>
      <c r="E91" s="90">
        <v>20</v>
      </c>
      <c r="F91" s="90"/>
      <c r="G91" s="90">
        <f t="shared" si="10"/>
        <v>0</v>
      </c>
      <c r="H91" s="21"/>
    </row>
    <row r="92" spans="1:8" ht="30">
      <c r="A92" s="83" t="s">
        <v>619</v>
      </c>
      <c r="B92" s="82" t="s">
        <v>195</v>
      </c>
      <c r="C92" s="82" t="s">
        <v>196</v>
      </c>
      <c r="D92" s="83" t="s">
        <v>191</v>
      </c>
      <c r="E92" s="90">
        <v>10</v>
      </c>
      <c r="F92" s="90"/>
      <c r="G92" s="90">
        <f t="shared" si="10"/>
        <v>0</v>
      </c>
      <c r="H92" s="21"/>
    </row>
    <row r="93" spans="1:8" ht="30">
      <c r="A93" s="83" t="s">
        <v>620</v>
      </c>
      <c r="B93" s="82" t="s">
        <v>197</v>
      </c>
      <c r="C93" s="82" t="s">
        <v>198</v>
      </c>
      <c r="D93" s="83" t="s">
        <v>191</v>
      </c>
      <c r="E93" s="90">
        <v>2</v>
      </c>
      <c r="F93" s="90"/>
      <c r="G93" s="90">
        <f t="shared" si="10"/>
        <v>0</v>
      </c>
      <c r="H93" s="21"/>
    </row>
    <row r="94" spans="1:8" ht="30">
      <c r="A94" s="83" t="s">
        <v>621</v>
      </c>
      <c r="B94" s="82" t="s">
        <v>199</v>
      </c>
      <c r="C94" s="82" t="s">
        <v>200</v>
      </c>
      <c r="D94" s="83" t="s">
        <v>191</v>
      </c>
      <c r="E94" s="90">
        <v>2</v>
      </c>
      <c r="F94" s="90"/>
      <c r="G94" s="90">
        <f t="shared" si="10"/>
        <v>0</v>
      </c>
      <c r="H94" s="21"/>
    </row>
    <row r="95" spans="1:8" ht="30">
      <c r="A95" s="83" t="s">
        <v>622</v>
      </c>
      <c r="B95" s="82" t="s">
        <v>203</v>
      </c>
      <c r="C95" s="82" t="s">
        <v>204</v>
      </c>
      <c r="D95" s="83" t="s">
        <v>191</v>
      </c>
      <c r="E95" s="90">
        <v>2</v>
      </c>
      <c r="F95" s="90"/>
      <c r="G95" s="90">
        <f t="shared" si="10"/>
        <v>0</v>
      </c>
      <c r="H95" s="21"/>
    </row>
    <row r="96" spans="1:8" ht="19.5" customHeight="1">
      <c r="A96" s="81" t="s">
        <v>526</v>
      </c>
      <c r="B96" s="195" t="s">
        <v>527</v>
      </c>
      <c r="C96" s="195"/>
      <c r="D96" s="81"/>
      <c r="E96" s="46"/>
      <c r="F96" s="46"/>
      <c r="G96" s="47">
        <f>SUM(G97,G122)</f>
        <v>0</v>
      </c>
    </row>
    <row r="97" spans="1:7" ht="19.5" customHeight="1">
      <c r="A97" s="42" t="s">
        <v>113</v>
      </c>
      <c r="B97" s="179" t="s">
        <v>382</v>
      </c>
      <c r="C97" s="180"/>
      <c r="D97" s="42"/>
      <c r="E97" s="44"/>
      <c r="F97" s="44"/>
      <c r="G97" s="37">
        <f>SUM(G109,G98,)</f>
        <v>0</v>
      </c>
    </row>
    <row r="98" spans="1:7" ht="15">
      <c r="A98" s="75" t="s">
        <v>469</v>
      </c>
      <c r="B98" s="157" t="s">
        <v>256</v>
      </c>
      <c r="C98" s="157"/>
      <c r="D98" s="8"/>
      <c r="E98" s="9"/>
      <c r="F98" s="9"/>
      <c r="G98" s="9">
        <f>SUM(G99:G108)</f>
        <v>0</v>
      </c>
    </row>
    <row r="99" spans="1:7" ht="30">
      <c r="A99" s="87" t="s">
        <v>552</v>
      </c>
      <c r="B99" s="88" t="s">
        <v>257</v>
      </c>
      <c r="C99" s="82" t="s">
        <v>258</v>
      </c>
      <c r="D99" s="83" t="s">
        <v>221</v>
      </c>
      <c r="E99" s="90">
        <f>(50.45+8.05)/1000</f>
        <v>0.06</v>
      </c>
      <c r="F99" s="90"/>
      <c r="G99" s="90">
        <f>E99*F99</f>
        <v>0</v>
      </c>
    </row>
    <row r="100" spans="1:7" ht="45">
      <c r="A100" s="87" t="s">
        <v>553</v>
      </c>
      <c r="B100" s="88" t="s">
        <v>259</v>
      </c>
      <c r="C100" s="82" t="s">
        <v>260</v>
      </c>
      <c r="D100" s="83" t="s">
        <v>21</v>
      </c>
      <c r="E100" s="90">
        <v>114.97</v>
      </c>
      <c r="F100" s="90"/>
      <c r="G100" s="90">
        <f t="shared" ref="G100:G108" si="11">E100*F100</f>
        <v>0</v>
      </c>
    </row>
    <row r="101" spans="1:7" ht="45">
      <c r="A101" s="87" t="s">
        <v>554</v>
      </c>
      <c r="B101" s="88" t="s">
        <v>261</v>
      </c>
      <c r="C101" s="82" t="s">
        <v>262</v>
      </c>
      <c r="D101" s="83" t="s">
        <v>21</v>
      </c>
      <c r="E101" s="90">
        <v>28.74</v>
      </c>
      <c r="F101" s="90"/>
      <c r="G101" s="90">
        <f t="shared" si="11"/>
        <v>0</v>
      </c>
    </row>
    <row r="102" spans="1:7" ht="60">
      <c r="A102" s="87" t="s">
        <v>555</v>
      </c>
      <c r="B102" s="88" t="s">
        <v>263</v>
      </c>
      <c r="C102" s="82" t="s">
        <v>264</v>
      </c>
      <c r="D102" s="83" t="s">
        <v>18</v>
      </c>
      <c r="E102" s="90">
        <v>160.09</v>
      </c>
      <c r="F102" s="90"/>
      <c r="G102" s="90">
        <f t="shared" si="11"/>
        <v>0</v>
      </c>
    </row>
    <row r="103" spans="1:7" ht="45">
      <c r="A103" s="87" t="s">
        <v>920</v>
      </c>
      <c r="B103" s="88" t="s">
        <v>263</v>
      </c>
      <c r="C103" s="82" t="s">
        <v>265</v>
      </c>
      <c r="D103" s="83" t="s">
        <v>18</v>
      </c>
      <c r="E103" s="90">
        <v>130.99</v>
      </c>
      <c r="F103" s="90"/>
      <c r="G103" s="90">
        <f t="shared" si="11"/>
        <v>0</v>
      </c>
    </row>
    <row r="104" spans="1:7" ht="30">
      <c r="A104" s="87" t="s">
        <v>921</v>
      </c>
      <c r="B104" s="88" t="s">
        <v>266</v>
      </c>
      <c r="C104" s="82" t="s">
        <v>267</v>
      </c>
      <c r="D104" s="83" t="s">
        <v>21</v>
      </c>
      <c r="E104" s="90">
        <v>6.36</v>
      </c>
      <c r="F104" s="90"/>
      <c r="G104" s="90">
        <f t="shared" si="11"/>
        <v>0</v>
      </c>
    </row>
    <row r="105" spans="1:7" ht="30">
      <c r="A105" s="87" t="s">
        <v>922</v>
      </c>
      <c r="B105" s="88" t="s">
        <v>268</v>
      </c>
      <c r="C105" s="82" t="s">
        <v>269</v>
      </c>
      <c r="D105" s="83" t="s">
        <v>21</v>
      </c>
      <c r="E105" s="90">
        <v>81.819999999999993</v>
      </c>
      <c r="F105" s="90"/>
      <c r="G105" s="90">
        <f t="shared" si="11"/>
        <v>0</v>
      </c>
    </row>
    <row r="106" spans="1:7" ht="30">
      <c r="A106" s="87" t="s">
        <v>923</v>
      </c>
      <c r="B106" s="88" t="s">
        <v>270</v>
      </c>
      <c r="C106" s="82" t="s">
        <v>271</v>
      </c>
      <c r="D106" s="83" t="s">
        <v>21</v>
      </c>
      <c r="E106" s="90">
        <f>(114.968+28.741)-6.357-81.82</f>
        <v>55.53</v>
      </c>
      <c r="F106" s="90"/>
      <c r="G106" s="90">
        <f t="shared" si="11"/>
        <v>0</v>
      </c>
    </row>
    <row r="107" spans="1:7" ht="30">
      <c r="A107" s="87" t="s">
        <v>924</v>
      </c>
      <c r="B107" s="88" t="s">
        <v>272</v>
      </c>
      <c r="C107" s="82" t="s">
        <v>273</v>
      </c>
      <c r="D107" s="83" t="s">
        <v>21</v>
      </c>
      <c r="E107" s="90">
        <f>(114.968+28.741)-6.357-81.82</f>
        <v>55.53</v>
      </c>
      <c r="F107" s="90"/>
      <c r="G107" s="90">
        <f t="shared" si="11"/>
        <v>0</v>
      </c>
    </row>
    <row r="108" spans="1:7" ht="15">
      <c r="A108" s="87" t="s">
        <v>935</v>
      </c>
      <c r="B108" s="88"/>
      <c r="C108" s="82" t="s">
        <v>274</v>
      </c>
      <c r="D108" s="83" t="s">
        <v>138</v>
      </c>
      <c r="E108" s="90">
        <v>1</v>
      </c>
      <c r="F108" s="90"/>
      <c r="G108" s="90">
        <f t="shared" si="11"/>
        <v>0</v>
      </c>
    </row>
    <row r="109" spans="1:7" ht="15">
      <c r="A109" s="74" t="s">
        <v>470</v>
      </c>
      <c r="B109" s="157" t="s">
        <v>275</v>
      </c>
      <c r="C109" s="157"/>
      <c r="D109" s="35"/>
      <c r="E109" s="9"/>
      <c r="F109" s="9"/>
      <c r="G109" s="9">
        <f>SUM(G110:G121)</f>
        <v>0</v>
      </c>
    </row>
    <row r="110" spans="1:7" ht="15">
      <c r="A110" s="87" t="s">
        <v>556</v>
      </c>
      <c r="B110" s="88" t="s">
        <v>276</v>
      </c>
      <c r="C110" s="82" t="s">
        <v>383</v>
      </c>
      <c r="D110" s="84" t="s">
        <v>138</v>
      </c>
      <c r="E110" s="90">
        <v>1</v>
      </c>
      <c r="F110" s="90"/>
      <c r="G110" s="90">
        <f>E110*F110</f>
        <v>0</v>
      </c>
    </row>
    <row r="111" spans="1:7" ht="15">
      <c r="A111" s="87" t="s">
        <v>557</v>
      </c>
      <c r="B111" s="88" t="s">
        <v>277</v>
      </c>
      <c r="C111" s="82" t="s">
        <v>278</v>
      </c>
      <c r="D111" s="84" t="s">
        <v>81</v>
      </c>
      <c r="E111" s="90">
        <v>50.45</v>
      </c>
      <c r="F111" s="90"/>
      <c r="G111" s="90">
        <f t="shared" ref="G111:G121" si="12">E111*F111</f>
        <v>0</v>
      </c>
    </row>
    <row r="112" spans="1:7" ht="15">
      <c r="A112" s="87" t="s">
        <v>558</v>
      </c>
      <c r="B112" s="88" t="s">
        <v>281</v>
      </c>
      <c r="C112" s="82" t="s">
        <v>282</v>
      </c>
      <c r="D112" s="84" t="s">
        <v>81</v>
      </c>
      <c r="E112" s="90">
        <v>8.0500000000000007</v>
      </c>
      <c r="F112" s="90"/>
      <c r="G112" s="90">
        <f t="shared" si="12"/>
        <v>0</v>
      </c>
    </row>
    <row r="113" spans="1:7" ht="30">
      <c r="A113" s="87" t="s">
        <v>559</v>
      </c>
      <c r="B113" s="88" t="s">
        <v>292</v>
      </c>
      <c r="C113" s="82" t="s">
        <v>384</v>
      </c>
      <c r="D113" s="84" t="s">
        <v>294</v>
      </c>
      <c r="E113" s="90">
        <v>1</v>
      </c>
      <c r="F113" s="90"/>
      <c r="G113" s="90">
        <f t="shared" si="12"/>
        <v>0</v>
      </c>
    </row>
    <row r="114" spans="1:7" ht="30">
      <c r="A114" s="87" t="s">
        <v>560</v>
      </c>
      <c r="B114" s="88" t="s">
        <v>295</v>
      </c>
      <c r="C114" s="82" t="s">
        <v>385</v>
      </c>
      <c r="D114" s="84" t="s">
        <v>297</v>
      </c>
      <c r="E114" s="90">
        <v>2.4</v>
      </c>
      <c r="F114" s="90"/>
      <c r="G114" s="90">
        <f t="shared" si="12"/>
        <v>0</v>
      </c>
    </row>
    <row r="115" spans="1:7" ht="30">
      <c r="A115" s="87" t="s">
        <v>561</v>
      </c>
      <c r="B115" s="88" t="s">
        <v>292</v>
      </c>
      <c r="C115" s="82" t="s">
        <v>293</v>
      </c>
      <c r="D115" s="84" t="s">
        <v>294</v>
      </c>
      <c r="E115" s="90">
        <v>4</v>
      </c>
      <c r="F115" s="90"/>
      <c r="G115" s="90">
        <f t="shared" si="12"/>
        <v>0</v>
      </c>
    </row>
    <row r="116" spans="1:7" ht="30">
      <c r="A116" s="87" t="s">
        <v>562</v>
      </c>
      <c r="B116" s="88" t="s">
        <v>295</v>
      </c>
      <c r="C116" s="82" t="s">
        <v>296</v>
      </c>
      <c r="D116" s="84" t="s">
        <v>297</v>
      </c>
      <c r="E116" s="90">
        <v>-7.6</v>
      </c>
      <c r="F116" s="90"/>
      <c r="G116" s="90">
        <f t="shared" si="12"/>
        <v>0</v>
      </c>
    </row>
    <row r="117" spans="1:7" ht="30">
      <c r="A117" s="87" t="s">
        <v>563</v>
      </c>
      <c r="B117" s="88" t="s">
        <v>298</v>
      </c>
      <c r="C117" s="82" t="s">
        <v>299</v>
      </c>
      <c r="D117" s="84" t="s">
        <v>11</v>
      </c>
      <c r="E117" s="90">
        <v>5</v>
      </c>
      <c r="F117" s="90"/>
      <c r="G117" s="90">
        <f t="shared" si="12"/>
        <v>0</v>
      </c>
    </row>
    <row r="118" spans="1:7" ht="15">
      <c r="A118" s="87" t="s">
        <v>564</v>
      </c>
      <c r="B118" s="88" t="s">
        <v>285</v>
      </c>
      <c r="C118" s="82" t="s">
        <v>286</v>
      </c>
      <c r="D118" s="84" t="s">
        <v>138</v>
      </c>
      <c r="E118" s="90">
        <v>8</v>
      </c>
      <c r="F118" s="90"/>
      <c r="G118" s="90">
        <f t="shared" si="12"/>
        <v>0</v>
      </c>
    </row>
    <row r="119" spans="1:7" ht="15">
      <c r="A119" s="87" t="s">
        <v>565</v>
      </c>
      <c r="B119" s="88" t="s">
        <v>285</v>
      </c>
      <c r="C119" s="82" t="s">
        <v>288</v>
      </c>
      <c r="D119" s="84" t="s">
        <v>138</v>
      </c>
      <c r="E119" s="90">
        <v>10</v>
      </c>
      <c r="F119" s="90"/>
      <c r="G119" s="90">
        <f t="shared" si="12"/>
        <v>0</v>
      </c>
    </row>
    <row r="120" spans="1:7" ht="30">
      <c r="A120" s="87" t="s">
        <v>925</v>
      </c>
      <c r="B120" s="88" t="s">
        <v>290</v>
      </c>
      <c r="C120" s="82" t="s">
        <v>386</v>
      </c>
      <c r="D120" s="84" t="s">
        <v>21</v>
      </c>
      <c r="E120" s="90">
        <f>1.3*1.3*0.2</f>
        <v>0.34</v>
      </c>
      <c r="F120" s="90"/>
      <c r="G120" s="90">
        <f t="shared" si="12"/>
        <v>0</v>
      </c>
    </row>
    <row r="121" spans="1:7" ht="30">
      <c r="A121" s="87" t="s">
        <v>926</v>
      </c>
      <c r="B121" s="88" t="s">
        <v>300</v>
      </c>
      <c r="C121" s="82" t="s">
        <v>301</v>
      </c>
      <c r="D121" s="84" t="s">
        <v>302</v>
      </c>
      <c r="E121" s="90">
        <v>3</v>
      </c>
      <c r="F121" s="90"/>
      <c r="G121" s="90">
        <f t="shared" si="12"/>
        <v>0</v>
      </c>
    </row>
    <row r="122" spans="1:7" ht="27" customHeight="1">
      <c r="A122" s="42" t="s">
        <v>114</v>
      </c>
      <c r="B122" s="198" t="s">
        <v>387</v>
      </c>
      <c r="C122" s="198"/>
      <c r="D122" s="44"/>
      <c r="E122" s="37"/>
      <c r="F122" s="37"/>
      <c r="G122" s="37">
        <f>SUM(G133,G123,)</f>
        <v>0</v>
      </c>
    </row>
    <row r="123" spans="1:7" ht="15">
      <c r="A123" s="74" t="s">
        <v>472</v>
      </c>
      <c r="B123" s="157" t="s">
        <v>256</v>
      </c>
      <c r="C123" s="157"/>
      <c r="D123" s="35"/>
      <c r="E123" s="9"/>
      <c r="F123" s="9"/>
      <c r="G123" s="9">
        <f>SUM(G124:G132)</f>
        <v>0</v>
      </c>
    </row>
    <row r="124" spans="1:7" ht="30">
      <c r="A124" s="87" t="s">
        <v>567</v>
      </c>
      <c r="B124" s="88" t="s">
        <v>257</v>
      </c>
      <c r="C124" s="82" t="s">
        <v>258</v>
      </c>
      <c r="D124" s="83" t="s">
        <v>221</v>
      </c>
      <c r="E124" s="99">
        <f>3.25/1000</f>
        <v>3.0000000000000001E-3</v>
      </c>
      <c r="F124" s="90"/>
      <c r="G124" s="90">
        <f>E124*F124</f>
        <v>0</v>
      </c>
    </row>
    <row r="125" spans="1:7" ht="45">
      <c r="A125" s="87" t="s">
        <v>568</v>
      </c>
      <c r="B125" s="88" t="s">
        <v>259</v>
      </c>
      <c r="C125" s="82" t="s">
        <v>260</v>
      </c>
      <c r="D125" s="83" t="s">
        <v>21</v>
      </c>
      <c r="E125" s="90">
        <f>(5.25*1.65*0.8)*0.8</f>
        <v>5.54</v>
      </c>
      <c r="F125" s="90"/>
      <c r="G125" s="90">
        <f t="shared" ref="G125:G132" si="13">E125*F125</f>
        <v>0</v>
      </c>
    </row>
    <row r="126" spans="1:7" ht="45">
      <c r="A126" s="87" t="s">
        <v>569</v>
      </c>
      <c r="B126" s="88" t="s">
        <v>261</v>
      </c>
      <c r="C126" s="82" t="s">
        <v>262</v>
      </c>
      <c r="D126" s="83" t="s">
        <v>21</v>
      </c>
      <c r="E126" s="90">
        <f>(5.25*1.65*0.8)*0.2</f>
        <v>1.39</v>
      </c>
      <c r="F126" s="90"/>
      <c r="G126" s="90">
        <f t="shared" si="13"/>
        <v>0</v>
      </c>
    </row>
    <row r="127" spans="1:7" ht="45">
      <c r="A127" s="87" t="s">
        <v>570</v>
      </c>
      <c r="B127" s="88" t="s">
        <v>263</v>
      </c>
      <c r="C127" s="82" t="s">
        <v>388</v>
      </c>
      <c r="D127" s="83" t="s">
        <v>18</v>
      </c>
      <c r="E127" s="90">
        <f>5.25*1.65*2</f>
        <v>17.329999999999998</v>
      </c>
      <c r="F127" s="90"/>
      <c r="G127" s="90">
        <f t="shared" si="13"/>
        <v>0</v>
      </c>
    </row>
    <row r="128" spans="1:7" ht="30">
      <c r="A128" s="87" t="s">
        <v>571</v>
      </c>
      <c r="B128" s="88" t="s">
        <v>266</v>
      </c>
      <c r="C128" s="82" t="s">
        <v>267</v>
      </c>
      <c r="D128" s="83" t="s">
        <v>21</v>
      </c>
      <c r="E128" s="90">
        <f>5.25*0.8*0.1</f>
        <v>0.42</v>
      </c>
      <c r="F128" s="90"/>
      <c r="G128" s="90">
        <f t="shared" si="13"/>
        <v>0</v>
      </c>
    </row>
    <row r="129" spans="1:7" ht="30">
      <c r="A129" s="87" t="s">
        <v>572</v>
      </c>
      <c r="B129" s="88" t="s">
        <v>268</v>
      </c>
      <c r="C129" s="82" t="s">
        <v>269</v>
      </c>
      <c r="D129" s="83" t="s">
        <v>21</v>
      </c>
      <c r="E129" s="90">
        <f>5.25*0.38*0.8-3.14*0.04*0.04*3.25</f>
        <v>1.58</v>
      </c>
      <c r="F129" s="90"/>
      <c r="G129" s="90">
        <f t="shared" si="13"/>
        <v>0</v>
      </c>
    </row>
    <row r="130" spans="1:7" ht="30">
      <c r="A130" s="87" t="s">
        <v>909</v>
      </c>
      <c r="B130" s="88" t="s">
        <v>270</v>
      </c>
      <c r="C130" s="82" t="s">
        <v>271</v>
      </c>
      <c r="D130" s="83" t="s">
        <v>21</v>
      </c>
      <c r="E130" s="90">
        <f>(5.544+1.386)-0.42-1.58</f>
        <v>4.93</v>
      </c>
      <c r="F130" s="90"/>
      <c r="G130" s="90">
        <f t="shared" si="13"/>
        <v>0</v>
      </c>
    </row>
    <row r="131" spans="1:7" ht="30">
      <c r="A131" s="87" t="s">
        <v>910</v>
      </c>
      <c r="B131" s="88" t="s">
        <v>272</v>
      </c>
      <c r="C131" s="82" t="s">
        <v>273</v>
      </c>
      <c r="D131" s="83" t="s">
        <v>21</v>
      </c>
      <c r="E131" s="90">
        <f>(5.544+1.386)-0.42-1.58</f>
        <v>4.93</v>
      </c>
      <c r="F131" s="90"/>
      <c r="G131" s="90">
        <f t="shared" si="13"/>
        <v>0</v>
      </c>
    </row>
    <row r="132" spans="1:7" ht="15">
      <c r="A132" s="87" t="s">
        <v>911</v>
      </c>
      <c r="B132" s="88"/>
      <c r="C132" s="82" t="s">
        <v>274</v>
      </c>
      <c r="D132" s="83" t="s">
        <v>138</v>
      </c>
      <c r="E132" s="90">
        <v>1</v>
      </c>
      <c r="F132" s="90"/>
      <c r="G132" s="90">
        <f t="shared" si="13"/>
        <v>0</v>
      </c>
    </row>
    <row r="133" spans="1:7" ht="15">
      <c r="A133" s="87" t="s">
        <v>473</v>
      </c>
      <c r="B133" s="200" t="s">
        <v>275</v>
      </c>
      <c r="C133" s="200"/>
      <c r="D133" s="88"/>
      <c r="E133" s="90"/>
      <c r="F133" s="90"/>
      <c r="G133" s="90">
        <f>SUM(G134:G141)</f>
        <v>0</v>
      </c>
    </row>
    <row r="134" spans="1:7" ht="15">
      <c r="A134" s="87" t="s">
        <v>573</v>
      </c>
      <c r="B134" s="88" t="s">
        <v>390</v>
      </c>
      <c r="C134" s="82" t="s">
        <v>391</v>
      </c>
      <c r="D134" s="84" t="s">
        <v>88</v>
      </c>
      <c r="E134" s="90">
        <v>1</v>
      </c>
      <c r="F134" s="90"/>
      <c r="G134" s="90">
        <f>E134*F134</f>
        <v>0</v>
      </c>
    </row>
    <row r="135" spans="1:7" ht="30">
      <c r="A135" s="87" t="s">
        <v>574</v>
      </c>
      <c r="B135" s="88" t="s">
        <v>392</v>
      </c>
      <c r="C135" s="82" t="s">
        <v>393</v>
      </c>
      <c r="D135" s="84" t="s">
        <v>143</v>
      </c>
      <c r="E135" s="90">
        <v>1</v>
      </c>
      <c r="F135" s="90"/>
      <c r="G135" s="90">
        <f t="shared" ref="G135:G141" si="14">E135*F135</f>
        <v>0</v>
      </c>
    </row>
    <row r="136" spans="1:7" ht="30">
      <c r="A136" s="87" t="s">
        <v>575</v>
      </c>
      <c r="B136" s="88" t="s">
        <v>394</v>
      </c>
      <c r="C136" s="82" t="s">
        <v>395</v>
      </c>
      <c r="D136" s="84" t="s">
        <v>81</v>
      </c>
      <c r="E136" s="90">
        <v>3.25</v>
      </c>
      <c r="F136" s="90"/>
      <c r="G136" s="90">
        <f t="shared" si="14"/>
        <v>0</v>
      </c>
    </row>
    <row r="137" spans="1:7" ht="30">
      <c r="A137" s="87" t="s">
        <v>576</v>
      </c>
      <c r="B137" s="88" t="s">
        <v>396</v>
      </c>
      <c r="C137" s="82" t="s">
        <v>397</v>
      </c>
      <c r="D137" s="84" t="s">
        <v>324</v>
      </c>
      <c r="E137" s="90">
        <v>1</v>
      </c>
      <c r="F137" s="90"/>
      <c r="G137" s="90">
        <f t="shared" si="14"/>
        <v>0</v>
      </c>
    </row>
    <row r="138" spans="1:7" ht="30">
      <c r="A138" s="87" t="s">
        <v>577</v>
      </c>
      <c r="B138" s="88" t="s">
        <v>325</v>
      </c>
      <c r="C138" s="82" t="s">
        <v>326</v>
      </c>
      <c r="D138" s="84" t="s">
        <v>327</v>
      </c>
      <c r="E138" s="90">
        <v>1</v>
      </c>
      <c r="F138" s="90"/>
      <c r="G138" s="90">
        <f t="shared" si="14"/>
        <v>0</v>
      </c>
    </row>
    <row r="139" spans="1:7" ht="30">
      <c r="A139" s="87" t="s">
        <v>578</v>
      </c>
      <c r="B139" s="88" t="s">
        <v>328</v>
      </c>
      <c r="C139" s="82" t="s">
        <v>329</v>
      </c>
      <c r="D139" s="84" t="s">
        <v>327</v>
      </c>
      <c r="E139" s="90">
        <v>1</v>
      </c>
      <c r="F139" s="90"/>
      <c r="G139" s="90">
        <f t="shared" si="14"/>
        <v>0</v>
      </c>
    </row>
    <row r="140" spans="1:7" ht="30">
      <c r="A140" s="87" t="s">
        <v>579</v>
      </c>
      <c r="B140" s="88" t="s">
        <v>330</v>
      </c>
      <c r="C140" s="82" t="s">
        <v>331</v>
      </c>
      <c r="D140" s="84" t="s">
        <v>81</v>
      </c>
      <c r="E140" s="90">
        <v>3.25</v>
      </c>
      <c r="F140" s="90"/>
      <c r="G140" s="90">
        <f t="shared" si="14"/>
        <v>0</v>
      </c>
    </row>
    <row r="141" spans="1:7" ht="30">
      <c r="A141" s="87" t="s">
        <v>580</v>
      </c>
      <c r="B141" s="88" t="s">
        <v>398</v>
      </c>
      <c r="C141" s="82" t="s">
        <v>399</v>
      </c>
      <c r="D141" s="84" t="s">
        <v>88</v>
      </c>
      <c r="E141" s="90">
        <v>2</v>
      </c>
      <c r="F141" s="90"/>
      <c r="G141" s="90">
        <f t="shared" si="14"/>
        <v>0</v>
      </c>
    </row>
    <row r="142" spans="1:7" ht="22.5" customHeight="1">
      <c r="A142" s="81" t="s">
        <v>528</v>
      </c>
      <c r="B142" s="195" t="s">
        <v>633</v>
      </c>
      <c r="C142" s="195"/>
      <c r="D142" s="81"/>
      <c r="E142" s="46"/>
      <c r="F142" s="46"/>
      <c r="G142" s="47">
        <f>SUM(G143:G160)</f>
        <v>0</v>
      </c>
    </row>
    <row r="143" spans="1:7" ht="45">
      <c r="A143" s="83">
        <v>1</v>
      </c>
      <c r="B143" s="82" t="s">
        <v>400</v>
      </c>
      <c r="C143" s="82" t="s">
        <v>401</v>
      </c>
      <c r="D143" s="83" t="s">
        <v>138</v>
      </c>
      <c r="E143" s="90">
        <v>1</v>
      </c>
      <c r="F143" s="90"/>
      <c r="G143" s="90">
        <f>E143*F143</f>
        <v>0</v>
      </c>
    </row>
    <row r="144" spans="1:7" ht="30">
      <c r="A144" s="83">
        <v>2</v>
      </c>
      <c r="B144" s="82" t="s">
        <v>333</v>
      </c>
      <c r="C144" s="82" t="s">
        <v>334</v>
      </c>
      <c r="D144" s="83" t="s">
        <v>21</v>
      </c>
      <c r="E144" s="90">
        <v>12.8</v>
      </c>
      <c r="F144" s="90"/>
      <c r="G144" s="90">
        <f t="shared" ref="G144:G160" si="15">E144*F144</f>
        <v>0</v>
      </c>
    </row>
    <row r="145" spans="1:7" ht="30">
      <c r="A145" s="83">
        <v>3</v>
      </c>
      <c r="B145" s="82" t="s">
        <v>335</v>
      </c>
      <c r="C145" s="82" t="s">
        <v>336</v>
      </c>
      <c r="D145" s="83" t="s">
        <v>21</v>
      </c>
      <c r="E145" s="90">
        <v>12</v>
      </c>
      <c r="F145" s="90"/>
      <c r="G145" s="90">
        <f t="shared" si="15"/>
        <v>0</v>
      </c>
    </row>
    <row r="146" spans="1:7" ht="30">
      <c r="A146" s="83">
        <v>4</v>
      </c>
      <c r="B146" s="82" t="s">
        <v>337</v>
      </c>
      <c r="C146" s="82" t="s">
        <v>338</v>
      </c>
      <c r="D146" s="83" t="s">
        <v>81</v>
      </c>
      <c r="E146" s="90">
        <v>80</v>
      </c>
      <c r="F146" s="90"/>
      <c r="G146" s="90">
        <f t="shared" si="15"/>
        <v>0</v>
      </c>
    </row>
    <row r="147" spans="1:7" ht="30">
      <c r="A147" s="83">
        <v>5</v>
      </c>
      <c r="B147" s="82" t="s">
        <v>339</v>
      </c>
      <c r="C147" s="82" t="s">
        <v>340</v>
      </c>
      <c r="D147" s="83" t="s">
        <v>21</v>
      </c>
      <c r="E147" s="90">
        <v>9</v>
      </c>
      <c r="F147" s="90"/>
      <c r="G147" s="90">
        <f t="shared" si="15"/>
        <v>0</v>
      </c>
    </row>
    <row r="148" spans="1:7" ht="30">
      <c r="A148" s="83">
        <v>6</v>
      </c>
      <c r="B148" s="82" t="s">
        <v>341</v>
      </c>
      <c r="C148" s="82" t="s">
        <v>342</v>
      </c>
      <c r="D148" s="83" t="s">
        <v>21</v>
      </c>
      <c r="E148" s="90">
        <v>3.2</v>
      </c>
      <c r="F148" s="90"/>
      <c r="G148" s="90">
        <f t="shared" si="15"/>
        <v>0</v>
      </c>
    </row>
    <row r="149" spans="1:7" ht="30">
      <c r="A149" s="83">
        <v>7</v>
      </c>
      <c r="B149" s="82" t="s">
        <v>344</v>
      </c>
      <c r="C149" s="82" t="s">
        <v>345</v>
      </c>
      <c r="D149" s="83" t="s">
        <v>81</v>
      </c>
      <c r="E149" s="90">
        <v>31</v>
      </c>
      <c r="F149" s="90"/>
      <c r="G149" s="90">
        <f t="shared" si="15"/>
        <v>0</v>
      </c>
    </row>
    <row r="150" spans="1:7" ht="30">
      <c r="A150" s="83">
        <v>8</v>
      </c>
      <c r="B150" s="82" t="s">
        <v>344</v>
      </c>
      <c r="C150" s="82" t="s">
        <v>346</v>
      </c>
      <c r="D150" s="83" t="s">
        <v>81</v>
      </c>
      <c r="E150" s="90">
        <v>5</v>
      </c>
      <c r="F150" s="90"/>
      <c r="G150" s="90">
        <f t="shared" si="15"/>
        <v>0</v>
      </c>
    </row>
    <row r="151" spans="1:7" ht="30">
      <c r="A151" s="83">
        <v>9</v>
      </c>
      <c r="B151" s="82" t="s">
        <v>344</v>
      </c>
      <c r="C151" s="82" t="s">
        <v>402</v>
      </c>
      <c r="D151" s="83" t="s">
        <v>81</v>
      </c>
      <c r="E151" s="90">
        <v>2.5</v>
      </c>
      <c r="F151" s="90"/>
      <c r="G151" s="90">
        <f t="shared" si="15"/>
        <v>0</v>
      </c>
    </row>
    <row r="152" spans="1:7" ht="15">
      <c r="A152" s="83">
        <v>10</v>
      </c>
      <c r="B152" s="82" t="s">
        <v>347</v>
      </c>
      <c r="C152" s="82" t="s">
        <v>348</v>
      </c>
      <c r="D152" s="83" t="s">
        <v>349</v>
      </c>
      <c r="E152" s="90">
        <v>1</v>
      </c>
      <c r="F152" s="90"/>
      <c r="G152" s="90">
        <f t="shared" si="15"/>
        <v>0</v>
      </c>
    </row>
    <row r="153" spans="1:7" ht="15">
      <c r="A153" s="83">
        <v>11</v>
      </c>
      <c r="B153" s="82" t="s">
        <v>347</v>
      </c>
      <c r="C153" s="82" t="s">
        <v>350</v>
      </c>
      <c r="D153" s="83" t="s">
        <v>349</v>
      </c>
      <c r="E153" s="90">
        <v>1</v>
      </c>
      <c r="F153" s="90"/>
      <c r="G153" s="90">
        <f t="shared" si="15"/>
        <v>0</v>
      </c>
    </row>
    <row r="154" spans="1:7" ht="30">
      <c r="A154" s="83">
        <v>12</v>
      </c>
      <c r="B154" s="82" t="s">
        <v>351</v>
      </c>
      <c r="C154" s="82" t="s">
        <v>352</v>
      </c>
      <c r="D154" s="83" t="s">
        <v>353</v>
      </c>
      <c r="E154" s="90">
        <v>1</v>
      </c>
      <c r="F154" s="90"/>
      <c r="G154" s="90">
        <f t="shared" si="15"/>
        <v>0</v>
      </c>
    </row>
    <row r="155" spans="1:7" ht="15">
      <c r="A155" s="83">
        <v>13</v>
      </c>
      <c r="B155" s="82" t="s">
        <v>634</v>
      </c>
      <c r="C155" s="82" t="s">
        <v>403</v>
      </c>
      <c r="D155" s="83" t="s">
        <v>81</v>
      </c>
      <c r="E155" s="90">
        <v>52</v>
      </c>
      <c r="F155" s="90"/>
      <c r="G155" s="90">
        <f t="shared" si="15"/>
        <v>0</v>
      </c>
    </row>
    <row r="156" spans="1:7" ht="15">
      <c r="A156" s="83">
        <v>14</v>
      </c>
      <c r="B156" s="82" t="s">
        <v>634</v>
      </c>
      <c r="C156" s="82" t="s">
        <v>404</v>
      </c>
      <c r="D156" s="83" t="s">
        <v>81</v>
      </c>
      <c r="E156" s="90">
        <v>149</v>
      </c>
      <c r="F156" s="90"/>
      <c r="G156" s="90">
        <f t="shared" si="15"/>
        <v>0</v>
      </c>
    </row>
    <row r="157" spans="1:7" ht="15">
      <c r="A157" s="83">
        <v>15</v>
      </c>
      <c r="B157" s="82" t="s">
        <v>634</v>
      </c>
      <c r="C157" s="82" t="s">
        <v>405</v>
      </c>
      <c r="D157" s="83" t="s">
        <v>143</v>
      </c>
      <c r="E157" s="90">
        <v>1</v>
      </c>
      <c r="F157" s="90"/>
      <c r="G157" s="90">
        <f t="shared" si="15"/>
        <v>0</v>
      </c>
    </row>
    <row r="158" spans="1:7" ht="15">
      <c r="A158" s="83">
        <v>16</v>
      </c>
      <c r="B158" s="82" t="s">
        <v>634</v>
      </c>
      <c r="C158" s="82" t="s">
        <v>406</v>
      </c>
      <c r="D158" s="83" t="s">
        <v>143</v>
      </c>
      <c r="E158" s="90">
        <v>1</v>
      </c>
      <c r="F158" s="90"/>
      <c r="G158" s="90">
        <f t="shared" si="15"/>
        <v>0</v>
      </c>
    </row>
    <row r="159" spans="1:7" ht="15">
      <c r="A159" s="83">
        <v>17</v>
      </c>
      <c r="B159" s="82" t="s">
        <v>634</v>
      </c>
      <c r="C159" s="82" t="s">
        <v>359</v>
      </c>
      <c r="D159" s="83" t="s">
        <v>143</v>
      </c>
      <c r="E159" s="90">
        <v>1</v>
      </c>
      <c r="F159" s="90"/>
      <c r="G159" s="90">
        <f t="shared" si="15"/>
        <v>0</v>
      </c>
    </row>
    <row r="160" spans="1:7" ht="15">
      <c r="A160" s="83">
        <v>18</v>
      </c>
      <c r="B160" s="82" t="s">
        <v>634</v>
      </c>
      <c r="C160" s="82" t="s">
        <v>360</v>
      </c>
      <c r="D160" s="83" t="s">
        <v>143</v>
      </c>
      <c r="E160" s="90">
        <v>1</v>
      </c>
      <c r="F160" s="90"/>
      <c r="G160" s="90">
        <f t="shared" si="15"/>
        <v>0</v>
      </c>
    </row>
    <row r="161" spans="1:7" ht="21" customHeight="1">
      <c r="A161" s="140"/>
      <c r="B161" s="199" t="s">
        <v>819</v>
      </c>
      <c r="C161" s="199"/>
      <c r="D161" s="141"/>
      <c r="E161" s="141"/>
      <c r="F161" s="141"/>
      <c r="G161" s="139">
        <f>SUM(G142,G96,G76,G30,G3)</f>
        <v>0</v>
      </c>
    </row>
    <row r="162" spans="1:7" ht="7.5" customHeight="1"/>
    <row r="163" spans="1:7" ht="15.75">
      <c r="A163" s="148" t="s">
        <v>1013</v>
      </c>
      <c r="D163" s="153" t="s">
        <v>986</v>
      </c>
      <c r="E163" s="153"/>
      <c r="F163" s="153"/>
    </row>
    <row r="164" spans="1:7" ht="32.25" customHeight="1">
      <c r="D164" s="154" t="s">
        <v>987</v>
      </c>
      <c r="E164" s="154"/>
      <c r="F164" s="154"/>
    </row>
  </sheetData>
  <mergeCells count="18">
    <mergeCell ref="B2:C2"/>
    <mergeCell ref="B3:C3"/>
    <mergeCell ref="B4:C4"/>
    <mergeCell ref="B9:C9"/>
    <mergeCell ref="B15:C15"/>
    <mergeCell ref="D164:F164"/>
    <mergeCell ref="B142:C142"/>
    <mergeCell ref="B30:C30"/>
    <mergeCell ref="B76:C76"/>
    <mergeCell ref="B96:C96"/>
    <mergeCell ref="B97:C97"/>
    <mergeCell ref="B161:C161"/>
    <mergeCell ref="D163:F163"/>
    <mergeCell ref="B98:C98"/>
    <mergeCell ref="B109:C109"/>
    <mergeCell ref="B122:C122"/>
    <mergeCell ref="B123:C123"/>
    <mergeCell ref="B133:C133"/>
  </mergeCells>
  <printOptions horizontalCentered="1"/>
  <pageMargins left="0.19685039370078741" right="0.15748031496062992" top="0.67" bottom="0.39370078740157483" header="0.31496062992125984" footer="0.15748031496062992"/>
  <pageSetup paperSize="9" scale="77" orientation="portrait" r:id="rId1"/>
  <headerFooter>
    <oddHeader>&amp;RZałącznik nr 8 do SWZ  część A.IV</oddHeader>
    <oddFooter>&amp;LWIPP.ZP.271.1.2021&amp;R&amp;P/&amp;N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topLeftCell="A16" zoomScaleNormal="100" zoomScaleSheetLayoutView="100" workbookViewId="0">
      <selection activeCell="A22" sqref="A22"/>
    </sheetView>
  </sheetViews>
  <sheetFormatPr defaultRowHeight="15"/>
  <cols>
    <col min="1" max="1" width="6.625" style="86" customWidth="1"/>
    <col min="2" max="2" width="38.625" style="86" customWidth="1"/>
    <col min="3" max="3" width="9" style="89"/>
    <col min="4" max="4" width="9.875" style="91" bestFit="1" customWidth="1"/>
    <col min="5" max="5" width="9" style="91"/>
    <col min="6" max="6" width="15.375" style="91" customWidth="1"/>
    <col min="7" max="16384" width="9" style="86"/>
  </cols>
  <sheetData>
    <row r="1" spans="1:6" ht="30">
      <c r="A1" s="83" t="s">
        <v>0</v>
      </c>
      <c r="B1" s="84" t="s">
        <v>2</v>
      </c>
      <c r="C1" s="84" t="s">
        <v>407</v>
      </c>
      <c r="D1" s="85" t="s">
        <v>3</v>
      </c>
      <c r="E1" s="142" t="s">
        <v>4</v>
      </c>
      <c r="F1" s="85" t="s">
        <v>5</v>
      </c>
    </row>
    <row r="2" spans="1:6" ht="6" customHeight="1">
      <c r="A2" s="201"/>
      <c r="B2" s="202"/>
      <c r="C2" s="202"/>
      <c r="D2" s="202"/>
      <c r="E2" s="202"/>
      <c r="F2" s="203"/>
    </row>
    <row r="3" spans="1:6" ht="21.75" customHeight="1">
      <c r="A3" s="144" t="s">
        <v>980</v>
      </c>
      <c r="B3" s="160" t="s">
        <v>948</v>
      </c>
      <c r="C3" s="161"/>
      <c r="D3" s="161"/>
      <c r="E3" s="162"/>
      <c r="F3" s="36"/>
    </row>
    <row r="4" spans="1:6">
      <c r="A4" s="81" t="s">
        <v>485</v>
      </c>
      <c r="B4" s="204" t="s">
        <v>949</v>
      </c>
      <c r="C4" s="205"/>
      <c r="D4" s="205"/>
      <c r="E4" s="206"/>
      <c r="F4" s="38">
        <f>SUM(F5:F8)</f>
        <v>0</v>
      </c>
    </row>
    <row r="5" spans="1:6">
      <c r="A5" s="87" t="s">
        <v>7</v>
      </c>
      <c r="B5" s="58" t="s">
        <v>950</v>
      </c>
      <c r="C5" s="83" t="s">
        <v>11</v>
      </c>
      <c r="D5" s="90">
        <v>11</v>
      </c>
      <c r="E5" s="90"/>
      <c r="F5" s="90">
        <f>D5*E5</f>
        <v>0</v>
      </c>
    </row>
    <row r="6" spans="1:6" ht="25.5">
      <c r="A6" s="87" t="s">
        <v>41</v>
      </c>
      <c r="B6" s="58" t="s">
        <v>951</v>
      </c>
      <c r="C6" s="83" t="s">
        <v>11</v>
      </c>
      <c r="D6" s="90">
        <v>14</v>
      </c>
      <c r="E6" s="90"/>
      <c r="F6" s="90">
        <f t="shared" ref="F6:F8" si="0">D6*E6</f>
        <v>0</v>
      </c>
    </row>
    <row r="7" spans="1:6">
      <c r="A7" s="87" t="s">
        <v>65</v>
      </c>
      <c r="B7" s="58" t="s">
        <v>952</v>
      </c>
      <c r="C7" s="83" t="s">
        <v>11</v>
      </c>
      <c r="D7" s="90">
        <v>6</v>
      </c>
      <c r="E7" s="90"/>
      <c r="F7" s="90">
        <f t="shared" si="0"/>
        <v>0</v>
      </c>
    </row>
    <row r="8" spans="1:6" ht="25.5">
      <c r="A8" s="87" t="s">
        <v>86</v>
      </c>
      <c r="B8" s="58" t="s">
        <v>953</v>
      </c>
      <c r="C8" s="83" t="s">
        <v>11</v>
      </c>
      <c r="D8" s="90">
        <v>6</v>
      </c>
      <c r="E8" s="90"/>
      <c r="F8" s="90">
        <f t="shared" si="0"/>
        <v>0</v>
      </c>
    </row>
    <row r="9" spans="1:6">
      <c r="A9" s="81" t="s">
        <v>541</v>
      </c>
      <c r="B9" s="204" t="s">
        <v>954</v>
      </c>
      <c r="C9" s="205"/>
      <c r="D9" s="205"/>
      <c r="E9" s="206"/>
      <c r="F9" s="38">
        <f>SUM(F10:F18)</f>
        <v>0</v>
      </c>
    </row>
    <row r="10" spans="1:6" ht="25.5">
      <c r="A10" s="87" t="s">
        <v>749</v>
      </c>
      <c r="B10" s="58" t="s">
        <v>955</v>
      </c>
      <c r="C10" s="83" t="s">
        <v>11</v>
      </c>
      <c r="D10" s="90">
        <v>39</v>
      </c>
      <c r="E10" s="90"/>
      <c r="F10" s="90">
        <f>D10*E10</f>
        <v>0</v>
      </c>
    </row>
    <row r="11" spans="1:6">
      <c r="A11" s="87" t="s">
        <v>742</v>
      </c>
      <c r="B11" s="58" t="s">
        <v>957</v>
      </c>
      <c r="C11" s="83" t="s">
        <v>11</v>
      </c>
      <c r="D11" s="90">
        <v>55</v>
      </c>
      <c r="E11" s="90"/>
      <c r="F11" s="90">
        <f t="shared" ref="F11:F18" si="1">D11*E11</f>
        <v>0</v>
      </c>
    </row>
    <row r="12" spans="1:6">
      <c r="A12" s="87" t="s">
        <v>741</v>
      </c>
      <c r="B12" s="58" t="s">
        <v>958</v>
      </c>
      <c r="C12" s="83" t="s">
        <v>11</v>
      </c>
      <c r="D12" s="90">
        <v>10</v>
      </c>
      <c r="E12" s="90"/>
      <c r="F12" s="90">
        <f t="shared" si="1"/>
        <v>0</v>
      </c>
    </row>
    <row r="13" spans="1:6">
      <c r="A13" s="87" t="s">
        <v>739</v>
      </c>
      <c r="B13" s="58" t="s">
        <v>959</v>
      </c>
      <c r="C13" s="83" t="s">
        <v>81</v>
      </c>
      <c r="D13" s="90">
        <v>5</v>
      </c>
      <c r="E13" s="90"/>
      <c r="F13" s="90">
        <f t="shared" si="1"/>
        <v>0</v>
      </c>
    </row>
    <row r="14" spans="1:6">
      <c r="A14" s="87" t="s">
        <v>795</v>
      </c>
      <c r="B14" s="58" t="s">
        <v>960</v>
      </c>
      <c r="C14" s="83" t="s">
        <v>11</v>
      </c>
      <c r="D14" s="90">
        <v>215</v>
      </c>
      <c r="E14" s="90"/>
      <c r="F14" s="90">
        <f t="shared" si="1"/>
        <v>0</v>
      </c>
    </row>
    <row r="15" spans="1:6" ht="71.25" customHeight="1">
      <c r="A15" s="87" t="s">
        <v>799</v>
      </c>
      <c r="B15" s="58" t="s">
        <v>961</v>
      </c>
      <c r="C15" s="83" t="s">
        <v>18</v>
      </c>
      <c r="D15" s="90">
        <f>0.18*49+0.12*312+0.24*1448+0.5*10+15*0.2625+0.375*21+0.12*282+0.12*135+225*0.38</f>
        <v>546.13</v>
      </c>
      <c r="E15" s="90"/>
      <c r="F15" s="90">
        <f t="shared" si="1"/>
        <v>0</v>
      </c>
    </row>
    <row r="16" spans="1:6" ht="51">
      <c r="A16" s="87" t="s">
        <v>887</v>
      </c>
      <c r="B16" s="58" t="s">
        <v>962</v>
      </c>
      <c r="C16" s="83" t="s">
        <v>18</v>
      </c>
      <c r="D16" s="90">
        <f>14*0.662+4*0.76</f>
        <v>12.31</v>
      </c>
      <c r="E16" s="90"/>
      <c r="F16" s="90">
        <f t="shared" si="1"/>
        <v>0</v>
      </c>
    </row>
    <row r="17" spans="1:6" ht="51">
      <c r="A17" s="87" t="s">
        <v>956</v>
      </c>
      <c r="B17" s="58" t="s">
        <v>963</v>
      </c>
      <c r="C17" s="83" t="s">
        <v>18</v>
      </c>
      <c r="D17" s="90">
        <v>157.5</v>
      </c>
      <c r="E17" s="90"/>
      <c r="F17" s="90">
        <f t="shared" si="1"/>
        <v>0</v>
      </c>
    </row>
    <row r="18" spans="1:6" ht="51">
      <c r="A18" s="83"/>
      <c r="B18" s="58" t="s">
        <v>964</v>
      </c>
      <c r="C18" s="83" t="s">
        <v>18</v>
      </c>
      <c r="D18" s="90">
        <v>85.5</v>
      </c>
      <c r="E18" s="90"/>
      <c r="F18" s="90">
        <f t="shared" si="1"/>
        <v>0</v>
      </c>
    </row>
    <row r="19" spans="1:6" ht="23.25" customHeight="1">
      <c r="A19" s="35"/>
      <c r="B19" s="48" t="s">
        <v>967</v>
      </c>
      <c r="C19" s="48"/>
      <c r="D19" s="48"/>
      <c r="E19" s="48"/>
      <c r="F19" s="36">
        <f>SUM(F9,F4)</f>
        <v>0</v>
      </c>
    </row>
    <row r="21" spans="1:6" ht="15.75">
      <c r="A21" s="86" t="s">
        <v>1012</v>
      </c>
      <c r="D21" s="153" t="s">
        <v>986</v>
      </c>
      <c r="E21" s="153"/>
      <c r="F21" s="153"/>
    </row>
    <row r="22" spans="1:6" ht="29.25" customHeight="1">
      <c r="D22" s="154" t="s">
        <v>987</v>
      </c>
      <c r="E22" s="154"/>
      <c r="F22" s="154"/>
    </row>
  </sheetData>
  <mergeCells count="6">
    <mergeCell ref="A2:F2"/>
    <mergeCell ref="D21:F21"/>
    <mergeCell ref="D22:F22"/>
    <mergeCell ref="B4:E4"/>
    <mergeCell ref="B3:E3"/>
    <mergeCell ref="B9:E9"/>
  </mergeCells>
  <pageMargins left="0.70866141732283472" right="0.70866141732283472" top="0.82677165354330717" bottom="0.74803149606299213" header="0.31496062992125984" footer="0.31496062992125984"/>
  <pageSetup paperSize="9" scale="90" orientation="portrait" r:id="rId1"/>
  <headerFooter>
    <oddHeader>&amp;RZałącznik nr 8 do SWZ - część A.V</oddHeader>
    <oddFooter>&amp;LWIPP.ZP.271.1.2021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8</vt:i4>
      </vt:variant>
    </vt:vector>
  </HeadingPairs>
  <TitlesOfParts>
    <vt:vector size="14" baseType="lpstr">
      <vt:lpstr>ZZK_zestawienie</vt:lpstr>
      <vt:lpstr>Plac JPII</vt:lpstr>
      <vt:lpstr>drogi wojewódzkie</vt:lpstr>
      <vt:lpstr>parking gminny</vt:lpstr>
      <vt:lpstr>Ulanska</vt:lpstr>
      <vt:lpstr>SOR</vt:lpstr>
      <vt:lpstr>'parking gminny'!Obszar_wydruku</vt:lpstr>
      <vt:lpstr>'Plac JPII'!Obszar_wydruku</vt:lpstr>
      <vt:lpstr>Ulanska!Obszar_wydruku</vt:lpstr>
      <vt:lpstr>'drogi wojewódzkie'!Tytuły_wydruku</vt:lpstr>
      <vt:lpstr>'parking gminny'!Tytuły_wydruku</vt:lpstr>
      <vt:lpstr>'Plac JPII'!Tytuły_wydruku</vt:lpstr>
      <vt:lpstr>Ulanska!Tytuły_wydruku</vt:lpstr>
      <vt:lpstr>ZZK_zestawienie!Tytuły_wydruku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esprimo</dc:creator>
  <cp:lastModifiedBy>Tomasz Musiał</cp:lastModifiedBy>
  <cp:lastPrinted>2021-01-14T09:43:14Z</cp:lastPrinted>
  <dcterms:created xsi:type="dcterms:W3CDTF">2019-04-28T14:26:50Z</dcterms:created>
  <dcterms:modified xsi:type="dcterms:W3CDTF">2021-01-29T12:39:22Z</dcterms:modified>
</cp:coreProperties>
</file>