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omanowska\Desktop\przetarg kredyt\2024\"/>
    </mc:Choice>
  </mc:AlternateContent>
  <bookViews>
    <workbookView xWindow="-105" yWindow="-105" windowWidth="23250" windowHeight="12570"/>
  </bookViews>
  <sheets>
    <sheet name="harmonogram spłat" sheetId="29" r:id="rId1"/>
  </sheets>
  <calcPr calcId="191029"/>
</workbook>
</file>

<file path=xl/calcChain.xml><?xml version="1.0" encoding="utf-8"?>
<calcChain xmlns="http://schemas.openxmlformats.org/spreadsheetml/2006/main">
  <c r="K43" i="29" l="1"/>
  <c r="H7" i="29"/>
  <c r="F17" i="29"/>
  <c r="F22" i="29" s="1"/>
  <c r="F27" i="29" s="1"/>
  <c r="F32" i="29" s="1"/>
  <c r="F37" i="29" s="1"/>
  <c r="F36" i="29"/>
  <c r="E37" i="29"/>
  <c r="E34" i="29"/>
  <c r="E35" i="29"/>
  <c r="E36" i="29"/>
  <c r="E33" i="29"/>
  <c r="E32" i="29"/>
  <c r="E29" i="29"/>
  <c r="E30" i="29"/>
  <c r="E31" i="29"/>
  <c r="E28" i="29"/>
  <c r="E27" i="29"/>
  <c r="E24" i="29"/>
  <c r="E25" i="29"/>
  <c r="E26" i="29"/>
  <c r="E23" i="29"/>
  <c r="E43" i="29"/>
  <c r="H15" i="29"/>
  <c r="E15" i="29" s="1"/>
  <c r="H16" i="29"/>
  <c r="H25" i="29"/>
  <c r="H26" i="29"/>
  <c r="H36" i="29"/>
  <c r="H35" i="29"/>
  <c r="H34" i="29"/>
  <c r="H33" i="29"/>
  <c r="H31" i="29"/>
  <c r="H30" i="29"/>
  <c r="H29" i="29"/>
  <c r="H28" i="29"/>
  <c r="H24" i="29"/>
  <c r="H21" i="29"/>
  <c r="E21" i="29" s="1"/>
  <c r="H20" i="29"/>
  <c r="E20" i="29" s="1"/>
  <c r="H19" i="29"/>
  <c r="E19" i="29" s="1"/>
  <c r="H18" i="29"/>
  <c r="E18" i="29" s="1"/>
  <c r="H23" i="29"/>
  <c r="E14" i="29"/>
  <c r="E16" i="29"/>
  <c r="H14" i="29"/>
  <c r="H13" i="29"/>
  <c r="E13" i="29" s="1"/>
  <c r="H11" i="29"/>
  <c r="E11" i="29" s="1"/>
  <c r="H10" i="29"/>
  <c r="E10" i="29" s="1"/>
  <c r="H9" i="29"/>
  <c r="E9" i="29" s="1"/>
  <c r="H8" i="29"/>
  <c r="E8" i="29" s="1"/>
  <c r="H6" i="29"/>
  <c r="E6" i="29" s="1"/>
  <c r="H5" i="29"/>
  <c r="E5" i="29" s="1"/>
  <c r="F35" i="29"/>
  <c r="F34" i="29"/>
  <c r="F33" i="29"/>
  <c r="F31" i="29"/>
  <c r="F30" i="29"/>
  <c r="F29" i="29"/>
  <c r="F28" i="29"/>
  <c r="F25" i="29"/>
  <c r="F26" i="29" s="1"/>
  <c r="F24" i="29"/>
  <c r="F23" i="29"/>
  <c r="F21" i="29"/>
  <c r="F20" i="29"/>
  <c r="F19" i="29"/>
  <c r="F18" i="29"/>
  <c r="F15" i="29"/>
  <c r="F16" i="29" s="1"/>
  <c r="F14" i="29"/>
  <c r="F13" i="29"/>
  <c r="D42" i="29"/>
  <c r="D37" i="29"/>
  <c r="D32" i="29"/>
  <c r="D27" i="29"/>
  <c r="D22" i="29"/>
  <c r="D17" i="29"/>
  <c r="D12" i="29"/>
  <c r="D7" i="29"/>
  <c r="E17" i="29" l="1"/>
  <c r="E22" i="29"/>
  <c r="E12" i="29"/>
  <c r="D43" i="29"/>
  <c r="I41" i="29" l="1"/>
  <c r="I39" i="29"/>
  <c r="I40" i="29"/>
  <c r="I38" i="29"/>
  <c r="J42" i="29"/>
  <c r="J43" i="29" s="1"/>
  <c r="H38" i="29"/>
  <c r="H39" i="29"/>
  <c r="H40" i="29"/>
  <c r="H41" i="29"/>
  <c r="K38" i="29"/>
  <c r="K39" i="29"/>
  <c r="K40" i="29"/>
  <c r="K41" i="29"/>
  <c r="I42" i="29" l="1"/>
  <c r="K42" i="29"/>
  <c r="H42" i="29"/>
  <c r="H37" i="29"/>
  <c r="H32" i="29"/>
  <c r="H27" i="29"/>
  <c r="H22" i="29"/>
  <c r="H17" i="29"/>
  <c r="H12" i="29"/>
  <c r="E7" i="29"/>
  <c r="H43" i="29" l="1"/>
</calcChain>
</file>

<file path=xl/sharedStrings.xml><?xml version="1.0" encoding="utf-8"?>
<sst xmlns="http://schemas.openxmlformats.org/spreadsheetml/2006/main" count="23" uniqueCount="16">
  <si>
    <t>RATA</t>
  </si>
  <si>
    <t>SUMA</t>
  </si>
  <si>
    <t>RAZEM</t>
  </si>
  <si>
    <t>TERMIN</t>
  </si>
  <si>
    <t>KWOTA</t>
  </si>
  <si>
    <t>29.</t>
  </si>
  <si>
    <t>30.</t>
  </si>
  <si>
    <t>31.</t>
  </si>
  <si>
    <t>32.</t>
  </si>
  <si>
    <t>ODSETKI</t>
  </si>
  <si>
    <t xml:space="preserve">SALDO  DO SPŁATY </t>
  </si>
  <si>
    <t>II</t>
  </si>
  <si>
    <t>HARMONOGRAM SPŁATY KREDYTU DŁUGOTERMINOWEGO 2.204.049,01 zł</t>
  </si>
  <si>
    <t>Bank Spółdzielczy</t>
  </si>
  <si>
    <t>średnia</t>
  </si>
  <si>
    <t>ING (oferta mailowa)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</si>
</sst>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/>
    <xf numFmtId="43" fontId="2" fillId="0" borderId="0" xfId="0" applyNumberFormat="1" applyFont="1"/>
    <xf numFmtId="43" fontId="5" fillId="0" borderId="0" xfId="0" applyNumberFormat="1" applyFont="1"/>
    <xf numFmtId="43" fontId="6" fillId="0" borderId="0" xfId="0" applyNumberFormat="1" applyFont="1" applyAlignment="1">
      <alignment horizontal="center"/>
    </xf>
    <xf numFmtId="44" fontId="3" fillId="0" borderId="5" xfId="0" applyNumberFormat="1" applyFont="1" applyBorder="1" applyAlignment="1">
      <alignment horizontal="center" wrapText="1"/>
    </xf>
    <xf numFmtId="44" fontId="4" fillId="0" borderId="5" xfId="0" applyNumberFormat="1" applyFont="1" applyBorder="1" applyAlignment="1">
      <alignment horizontal="center" wrapText="1"/>
    </xf>
    <xf numFmtId="44" fontId="7" fillId="0" borderId="11" xfId="0" applyNumberFormat="1" applyFont="1" applyBorder="1" applyAlignment="1">
      <alignment horizontal="right"/>
    </xf>
    <xf numFmtId="10" fontId="2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44" fontId="7" fillId="0" borderId="0" xfId="0" applyNumberFormat="1" applyFont="1" applyAlignment="1">
      <alignment horizontal="right"/>
    </xf>
    <xf numFmtId="10" fontId="5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-* #,##0.00\ &quot;zł&quot;_-;\-* #,##0.00\ &quot;zł&quot;_-;_-* &quot;-&quot;??\ &quot;zł&quot;_-;_-@_-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yyyy/mm/dd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B2:D43" totalsRowShown="0" headerRowDxfId="9" headerRowBorderDxfId="8" tableBorderDxfId="7">
  <autoFilter ref="B2:D43"/>
  <tableColumns count="3">
    <tableColumn id="1" name="RATA" dataDxfId="6"/>
    <tableColumn id="2" name="TERMIN" dataDxfId="5"/>
    <tableColumn id="3" name="KWOTA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E2:F43" totalsRowShown="0" headerRowDxfId="3" dataDxfId="2">
  <autoFilter ref="E2:F43"/>
  <tableColumns count="2">
    <tableColumn id="1" name="ODSETKI" dataDxfId="1"/>
    <tableColumn id="2" name="SALDO  DO SPŁATY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N1" sqref="N1:N1048576"/>
    </sheetView>
  </sheetViews>
  <sheetFormatPr defaultColWidth="9.140625" defaultRowHeight="12.75" x14ac:dyDescent="0.2"/>
  <cols>
    <col min="1" max="1" width="6.5703125" style="1" customWidth="1"/>
    <col min="2" max="2" width="11.85546875" style="1" customWidth="1"/>
    <col min="3" max="3" width="16.28515625" style="1" customWidth="1"/>
    <col min="4" max="4" width="18.42578125" style="1" customWidth="1"/>
    <col min="5" max="5" width="16.7109375" style="1" hidden="1" customWidth="1"/>
    <col min="6" max="6" width="18.42578125" style="1" customWidth="1"/>
    <col min="7" max="7" width="9.140625" style="1"/>
    <col min="8" max="8" width="18.28515625" style="1" hidden="1" customWidth="1"/>
    <col min="9" max="9" width="16.28515625" style="1" hidden="1" customWidth="1"/>
    <col min="10" max="10" width="9.140625" style="1"/>
    <col min="11" max="11" width="16.28515625" style="1" hidden="1" customWidth="1"/>
    <col min="12" max="13" width="9.140625" style="1"/>
    <col min="14" max="14" width="14.85546875" style="1" hidden="1" customWidth="1"/>
    <col min="15" max="16384" width="9.140625" style="1"/>
  </cols>
  <sheetData>
    <row r="1" spans="1:14" ht="51.75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</row>
    <row r="2" spans="1:14" ht="15.75" customHeight="1" thickBot="1" x14ac:dyDescent="0.25">
      <c r="B2" s="11" t="s">
        <v>0</v>
      </c>
      <c r="C2" s="12" t="s">
        <v>3</v>
      </c>
      <c r="D2" s="13" t="s">
        <v>4</v>
      </c>
      <c r="E2" s="1" t="s">
        <v>9</v>
      </c>
      <c r="F2" s="1" t="s">
        <v>10</v>
      </c>
      <c r="H2" s="27">
        <v>6.3799999999999996E-2</v>
      </c>
      <c r="I2" s="1" t="s">
        <v>11</v>
      </c>
      <c r="K2" s="1" t="s">
        <v>14</v>
      </c>
    </row>
    <row r="3" spans="1:14" ht="15.75" customHeight="1" x14ac:dyDescent="0.2">
      <c r="B3" s="8"/>
      <c r="C3" s="7"/>
      <c r="D3" s="20">
        <v>0</v>
      </c>
      <c r="E3" s="24"/>
      <c r="F3" s="24"/>
      <c r="H3" s="17" t="s">
        <v>13</v>
      </c>
      <c r="I3" s="17" t="s">
        <v>15</v>
      </c>
      <c r="J3" s="17"/>
      <c r="K3" s="17"/>
    </row>
    <row r="4" spans="1:14" ht="15.75" customHeight="1" x14ac:dyDescent="0.2">
      <c r="B4" s="8"/>
      <c r="C4" s="7"/>
      <c r="D4" s="20">
        <v>0</v>
      </c>
      <c r="E4" s="24"/>
      <c r="F4" s="24">
        <v>2204049.0099999998</v>
      </c>
      <c r="H4" s="17"/>
      <c r="I4" s="17"/>
      <c r="J4" s="17"/>
      <c r="K4" s="17"/>
    </row>
    <row r="5" spans="1:14" ht="15.75" customHeight="1" x14ac:dyDescent="0.2">
      <c r="B5" s="8"/>
      <c r="C5" s="7">
        <v>45555</v>
      </c>
      <c r="D5" s="20">
        <v>0</v>
      </c>
      <c r="E5" s="24">
        <f>H5</f>
        <v>35443.523476975337</v>
      </c>
      <c r="F5" s="24">
        <v>2204049.0099999998</v>
      </c>
      <c r="H5" s="17">
        <f>F4*6.38%/365*92</f>
        <v>35443.523476975337</v>
      </c>
      <c r="I5" s="17"/>
      <c r="J5" s="17"/>
      <c r="K5" s="17"/>
    </row>
    <row r="6" spans="1:14" ht="15" customHeight="1" x14ac:dyDescent="0.2">
      <c r="B6" s="9"/>
      <c r="C6" s="5">
        <v>45646</v>
      </c>
      <c r="D6" s="20">
        <v>0</v>
      </c>
      <c r="E6" s="24">
        <f>H6</f>
        <v>35154.581709499995</v>
      </c>
      <c r="F6" s="24">
        <v>2204049.0099999998</v>
      </c>
      <c r="H6" s="17">
        <f>F5*6.38%/360*90</f>
        <v>35154.581709499995</v>
      </c>
      <c r="I6" s="17"/>
      <c r="J6" s="17"/>
      <c r="K6" s="17"/>
      <c r="N6" s="23">
        <v>6.3799999999999996E-2</v>
      </c>
    </row>
    <row r="7" spans="1:14" ht="15" customHeight="1" x14ac:dyDescent="0.25">
      <c r="B7" s="10" t="s">
        <v>2</v>
      </c>
      <c r="C7" s="2">
        <v>2024</v>
      </c>
      <c r="D7" s="21">
        <f>SUM(D3:D6)</f>
        <v>0</v>
      </c>
      <c r="E7" s="25">
        <f>SUM(E3:E6)</f>
        <v>70598.105186475324</v>
      </c>
      <c r="F7" s="16"/>
      <c r="H7" s="18">
        <f>H5+H6</f>
        <v>70598.105186475324</v>
      </c>
      <c r="I7" s="18"/>
      <c r="J7" s="18"/>
      <c r="K7" s="18"/>
    </row>
    <row r="8" spans="1:14" ht="15" customHeight="1" x14ac:dyDescent="0.2">
      <c r="B8" s="9"/>
      <c r="C8" s="5">
        <v>45736</v>
      </c>
      <c r="D8" s="20">
        <v>0</v>
      </c>
      <c r="E8" s="24">
        <f>H8</f>
        <v>35154.581709499995</v>
      </c>
      <c r="F8" s="24">
        <v>2204049.0099999998</v>
      </c>
      <c r="H8" s="17">
        <f>F6*6.38%/360*90</f>
        <v>35154.581709499995</v>
      </c>
      <c r="I8" s="17"/>
      <c r="J8" s="17"/>
      <c r="K8" s="17"/>
    </row>
    <row r="9" spans="1:14" ht="15" customHeight="1" x14ac:dyDescent="0.2">
      <c r="B9" s="9"/>
      <c r="C9" s="5">
        <v>45828</v>
      </c>
      <c r="D9" s="20">
        <v>0</v>
      </c>
      <c r="E9" s="24">
        <f t="shared" ref="E9:E11" si="0">H9</f>
        <v>35443.523476975337</v>
      </c>
      <c r="F9" s="24">
        <v>2204049.0099999998</v>
      </c>
      <c r="H9" s="17">
        <f>F8*6.38%/365*92</f>
        <v>35443.523476975337</v>
      </c>
      <c r="I9" s="17"/>
      <c r="J9" s="17"/>
      <c r="K9" s="17"/>
      <c r="N9" s="17">
        <v>2204049.0099999998</v>
      </c>
    </row>
    <row r="10" spans="1:14" ht="15" customHeight="1" x14ac:dyDescent="0.2">
      <c r="B10" s="9"/>
      <c r="C10" s="5">
        <v>45920</v>
      </c>
      <c r="D10" s="20">
        <v>0</v>
      </c>
      <c r="E10" s="24">
        <f t="shared" si="0"/>
        <v>35154.581709499995</v>
      </c>
      <c r="F10" s="24">
        <v>2204049.0099999998</v>
      </c>
      <c r="H10" s="17">
        <f>F9*6.38%/360*90</f>
        <v>35154.581709499995</v>
      </c>
      <c r="I10" s="17"/>
      <c r="J10" s="17"/>
      <c r="K10" s="17"/>
    </row>
    <row r="11" spans="1:14" ht="15" customHeight="1" x14ac:dyDescent="0.2">
      <c r="B11" s="9"/>
      <c r="C11" s="5">
        <v>46011</v>
      </c>
      <c r="D11" s="20">
        <v>0</v>
      </c>
      <c r="E11" s="24">
        <f t="shared" si="0"/>
        <v>35443.523476975337</v>
      </c>
      <c r="F11" s="24">
        <v>2204049.0099999998</v>
      </c>
      <c r="H11" s="17">
        <f>F10*6.38%/365*92</f>
        <v>35443.523476975337</v>
      </c>
      <c r="I11" s="17"/>
      <c r="J11" s="17"/>
      <c r="K11" s="17"/>
    </row>
    <row r="12" spans="1:14" s="3" customFormat="1" ht="15" customHeight="1" x14ac:dyDescent="0.25">
      <c r="B12" s="10" t="s">
        <v>2</v>
      </c>
      <c r="C12" s="2">
        <v>2025</v>
      </c>
      <c r="D12" s="21">
        <f>SUM(SUM(D8:D11))</f>
        <v>0</v>
      </c>
      <c r="E12" s="21">
        <f>SUM(SUM(E8:E11))</f>
        <v>141196.21037295065</v>
      </c>
      <c r="F12" s="16"/>
      <c r="H12" s="18">
        <f>H8+H9+H10+H11</f>
        <v>141196.21037295065</v>
      </c>
      <c r="I12" s="18"/>
      <c r="J12" s="18"/>
      <c r="K12" s="18"/>
    </row>
    <row r="13" spans="1:14" ht="15" customHeight="1" x14ac:dyDescent="0.2">
      <c r="B13" s="9">
        <v>1</v>
      </c>
      <c r="C13" s="5">
        <v>46101</v>
      </c>
      <c r="D13" s="20">
        <v>110202.5</v>
      </c>
      <c r="E13" s="24">
        <f>H13</f>
        <v>35443.523476975337</v>
      </c>
      <c r="F13" s="24">
        <f>F11-Tabela2[[#This Row],[KWOTA]]</f>
        <v>2093846.5099999998</v>
      </c>
      <c r="H13" s="17">
        <f>F11*6.38%/365*92</f>
        <v>35443.523476975337</v>
      </c>
      <c r="I13" s="17"/>
      <c r="J13" s="17"/>
      <c r="K13" s="17"/>
    </row>
    <row r="14" spans="1:14" ht="15" customHeight="1" x14ac:dyDescent="0.2">
      <c r="B14" s="9">
        <v>2</v>
      </c>
      <c r="C14" s="5">
        <v>46193</v>
      </c>
      <c r="D14" s="20">
        <v>110202.5</v>
      </c>
      <c r="E14" s="24">
        <f t="shared" ref="E14:E16" si="1">H14</f>
        <v>33396.851834499997</v>
      </c>
      <c r="F14" s="24">
        <f>F13-Tabela2[[#This Row],[KWOTA]]</f>
        <v>1983644.0099999998</v>
      </c>
      <c r="H14" s="17">
        <f>F13*6.38%/360*90</f>
        <v>33396.851834499997</v>
      </c>
      <c r="I14" s="17"/>
      <c r="J14" s="17"/>
      <c r="K14" s="17"/>
    </row>
    <row r="15" spans="1:14" ht="15" customHeight="1" x14ac:dyDescent="0.2">
      <c r="B15" s="9">
        <v>3</v>
      </c>
      <c r="C15" s="5">
        <v>46285</v>
      </c>
      <c r="D15" s="20">
        <v>110202.5</v>
      </c>
      <c r="E15" s="24">
        <f t="shared" si="1"/>
        <v>31899.169537249309</v>
      </c>
      <c r="F15" s="24">
        <f>F14-Tabela2[[#This Row],[KWOTA]]</f>
        <v>1873441.5099999998</v>
      </c>
      <c r="H15" s="17">
        <f>F14*6.38%/365*92</f>
        <v>31899.169537249309</v>
      </c>
      <c r="I15" s="17"/>
      <c r="J15" s="17"/>
      <c r="K15" s="17"/>
    </row>
    <row r="16" spans="1:14" ht="15" customHeight="1" x14ac:dyDescent="0.2">
      <c r="B16" s="9">
        <v>4</v>
      </c>
      <c r="C16" s="5">
        <v>46376</v>
      </c>
      <c r="D16" s="20">
        <v>110202.5</v>
      </c>
      <c r="E16" s="24">
        <f t="shared" si="1"/>
        <v>30126.992567386296</v>
      </c>
      <c r="F16" s="24">
        <f>F15-Tabela2[[#This Row],[KWOTA]]</f>
        <v>1763239.0099999998</v>
      </c>
      <c r="H16" s="17">
        <f>F15*6.38%/365*92</f>
        <v>30126.992567386296</v>
      </c>
      <c r="I16" s="17"/>
      <c r="J16" s="17"/>
      <c r="K16" s="17"/>
    </row>
    <row r="17" spans="2:11" s="3" customFormat="1" ht="15" customHeight="1" x14ac:dyDescent="0.25">
      <c r="B17" s="10" t="s">
        <v>2</v>
      </c>
      <c r="C17" s="2">
        <v>2026</v>
      </c>
      <c r="D17" s="21">
        <f>SUM(D13:D16)</f>
        <v>440810</v>
      </c>
      <c r="E17" s="25">
        <f>SUM(E13:E16)</f>
        <v>130866.53741611095</v>
      </c>
      <c r="F17" s="25">
        <f>F3-Tabela2[[#This Row],[KWOTA]]</f>
        <v>-440810</v>
      </c>
      <c r="H17" s="18">
        <f>H13+H14+H15+H16</f>
        <v>130866.53741611095</v>
      </c>
      <c r="I17" s="18"/>
      <c r="J17" s="18"/>
      <c r="K17" s="18"/>
    </row>
    <row r="18" spans="2:11" ht="15" customHeight="1" x14ac:dyDescent="0.2">
      <c r="B18" s="9">
        <v>5</v>
      </c>
      <c r="C18" s="5">
        <v>46466</v>
      </c>
      <c r="D18" s="20">
        <v>110202.5</v>
      </c>
      <c r="E18" s="24">
        <f>H18</f>
        <v>28123.662209499991</v>
      </c>
      <c r="F18" s="24">
        <f>F16-D19</f>
        <v>1653036.5099999998</v>
      </c>
      <c r="H18" s="17">
        <f>F16*6.38%/360*90</f>
        <v>28123.662209499991</v>
      </c>
      <c r="I18" s="17"/>
      <c r="J18" s="17"/>
      <c r="K18" s="17"/>
    </row>
    <row r="19" spans="2:11" ht="15" customHeight="1" x14ac:dyDescent="0.2">
      <c r="B19" s="9">
        <v>6</v>
      </c>
      <c r="C19" s="5">
        <v>46466</v>
      </c>
      <c r="D19" s="20">
        <v>110202.5</v>
      </c>
      <c r="E19" s="24">
        <f t="shared" ref="E19:E21" si="2">H19</f>
        <v>26582.638627660264</v>
      </c>
      <c r="F19" s="24">
        <f>F18-Tabela2[[#This Row],[KWOTA]]</f>
        <v>1542834.0099999998</v>
      </c>
      <c r="H19" s="17">
        <f>F18*6.38%/365*92</f>
        <v>26582.638627660264</v>
      </c>
      <c r="I19" s="17"/>
      <c r="J19" s="17"/>
      <c r="K19" s="17"/>
    </row>
    <row r="20" spans="2:11" ht="15" customHeight="1" x14ac:dyDescent="0.2">
      <c r="B20" s="9">
        <v>7</v>
      </c>
      <c r="C20" s="5">
        <v>46650</v>
      </c>
      <c r="D20" s="20">
        <v>110202.5</v>
      </c>
      <c r="E20" s="24">
        <f t="shared" si="2"/>
        <v>24810.461657797256</v>
      </c>
      <c r="F20" s="24">
        <f>F19-Tabela2[[#This Row],[KWOTA]]</f>
        <v>1432631.5099999998</v>
      </c>
      <c r="H20" s="17">
        <f>F19*6.38%/365*92</f>
        <v>24810.461657797256</v>
      </c>
      <c r="I20" s="17"/>
      <c r="J20" s="17"/>
      <c r="K20" s="17"/>
    </row>
    <row r="21" spans="2:11" ht="15" customHeight="1" x14ac:dyDescent="0.2">
      <c r="B21" s="9">
        <v>8</v>
      </c>
      <c r="C21" s="5">
        <v>46741</v>
      </c>
      <c r="D21" s="20">
        <v>110202.5</v>
      </c>
      <c r="E21" s="24">
        <f t="shared" si="2"/>
        <v>23038.28468793424</v>
      </c>
      <c r="F21" s="24">
        <f>F20-Tabela2[[#This Row],[KWOTA]]</f>
        <v>1322429.0099999998</v>
      </c>
      <c r="H21" s="17">
        <f>F20*6.38%/365*92</f>
        <v>23038.28468793424</v>
      </c>
      <c r="I21" s="17"/>
      <c r="J21" s="17"/>
      <c r="K21" s="17"/>
    </row>
    <row r="22" spans="2:11" ht="15" customHeight="1" x14ac:dyDescent="0.25">
      <c r="B22" s="10" t="s">
        <v>2</v>
      </c>
      <c r="C22" s="2">
        <v>2027</v>
      </c>
      <c r="D22" s="21">
        <f>SUM(D18:D21)</f>
        <v>440810</v>
      </c>
      <c r="E22" s="25">
        <f>SUM(E18:E21)</f>
        <v>102555.04718289175</v>
      </c>
      <c r="F22" s="25">
        <f>F17-Tabela2[[#This Row],[KWOTA]]</f>
        <v>-881620</v>
      </c>
      <c r="H22" s="18">
        <f>H18+H19+H20+H21</f>
        <v>102555.04718289175</v>
      </c>
      <c r="I22" s="18"/>
      <c r="J22" s="18"/>
      <c r="K22" s="18"/>
    </row>
    <row r="23" spans="2:11" ht="15" customHeight="1" x14ac:dyDescent="0.2">
      <c r="B23" s="9">
        <v>9</v>
      </c>
      <c r="C23" s="5">
        <v>46832</v>
      </c>
      <c r="D23" s="20">
        <v>110202.5</v>
      </c>
      <c r="E23" s="24">
        <f>H23</f>
        <v>21266.107718071227</v>
      </c>
      <c r="F23" s="24">
        <f>F21-Tabela2[[#This Row],[KWOTA]]</f>
        <v>1212226.5099999998</v>
      </c>
      <c r="H23" s="17">
        <f>F21*6.38%/365*92</f>
        <v>21266.107718071227</v>
      </c>
      <c r="I23" s="17"/>
      <c r="J23" s="17"/>
      <c r="K23" s="17"/>
    </row>
    <row r="24" spans="2:11" ht="15" customHeight="1" x14ac:dyDescent="0.2">
      <c r="B24" s="9">
        <v>10</v>
      </c>
      <c r="C24" s="5">
        <v>46924</v>
      </c>
      <c r="D24" s="20">
        <v>110202.5</v>
      </c>
      <c r="E24" s="24">
        <f t="shared" ref="E24:E26" si="3">H24</f>
        <v>19335.012834499994</v>
      </c>
      <c r="F24" s="24">
        <f>F23-Tabela2[[#This Row],[KWOTA]]</f>
        <v>1102024.0099999998</v>
      </c>
      <c r="H24" s="17">
        <f>F23*6.38%/360*90</f>
        <v>19335.012834499994</v>
      </c>
      <c r="I24" s="17"/>
      <c r="J24" s="17"/>
      <c r="K24" s="17"/>
    </row>
    <row r="25" spans="2:11" ht="15" customHeight="1" x14ac:dyDescent="0.2">
      <c r="B25" s="9">
        <v>11</v>
      </c>
      <c r="C25" s="5">
        <v>47016</v>
      </c>
      <c r="D25" s="20">
        <v>110202.5</v>
      </c>
      <c r="E25" s="24">
        <f t="shared" si="3"/>
        <v>17721.753778345203</v>
      </c>
      <c r="F25" s="24">
        <f>F24-Tabela2[[#This Row],[KWOTA]]</f>
        <v>991821.50999999978</v>
      </c>
      <c r="H25" s="17">
        <f>F24*6.38%/365*92</f>
        <v>17721.753778345203</v>
      </c>
      <c r="I25" s="17"/>
      <c r="J25" s="17"/>
      <c r="K25" s="17"/>
    </row>
    <row r="26" spans="2:11" ht="15" customHeight="1" x14ac:dyDescent="0.2">
      <c r="B26" s="9">
        <v>12</v>
      </c>
      <c r="C26" s="5">
        <v>47107</v>
      </c>
      <c r="D26" s="20">
        <v>110202.5</v>
      </c>
      <c r="E26" s="24">
        <f t="shared" si="3"/>
        <v>14061.823209499995</v>
      </c>
      <c r="F26" s="24">
        <f>F25-Tabela2[[#This Row],[KWOTA]]</f>
        <v>881619.00999999978</v>
      </c>
      <c r="H26" s="17">
        <f>F26*6.38%/360*90</f>
        <v>14061.823209499995</v>
      </c>
      <c r="I26" s="17"/>
      <c r="J26" s="17"/>
      <c r="K26" s="17"/>
    </row>
    <row r="27" spans="2:11" s="3" customFormat="1" ht="15" customHeight="1" x14ac:dyDescent="0.25">
      <c r="B27" s="10" t="s">
        <v>2</v>
      </c>
      <c r="C27" s="6">
        <v>2028</v>
      </c>
      <c r="D27" s="21">
        <f>SUM(D23:D26)</f>
        <v>440810</v>
      </c>
      <c r="E27" s="25">
        <f>SUM(E23:E26)</f>
        <v>72384.697540416426</v>
      </c>
      <c r="F27" s="25">
        <f>F22-Tabela2[[#This Row],[KWOTA]]</f>
        <v>-1322430</v>
      </c>
      <c r="H27" s="18">
        <f>H23+H24+H25+H26</f>
        <v>72384.697540416426</v>
      </c>
      <c r="I27" s="18"/>
      <c r="J27" s="18"/>
      <c r="K27" s="18"/>
    </row>
    <row r="28" spans="2:11" ht="15" customHeight="1" x14ac:dyDescent="0.2">
      <c r="B28" s="9">
        <v>13</v>
      </c>
      <c r="C28" s="5">
        <v>47197</v>
      </c>
      <c r="D28" s="20">
        <v>110202.5</v>
      </c>
      <c r="E28" s="24">
        <f>H28</f>
        <v>14061.823209499995</v>
      </c>
      <c r="F28" s="24">
        <f>F26-Tabela2[[#This Row],[KWOTA]]</f>
        <v>771416.50999999978</v>
      </c>
      <c r="H28" s="17">
        <f>F26*6.38%/360*90</f>
        <v>14061.823209499995</v>
      </c>
      <c r="I28" s="17"/>
      <c r="J28" s="17"/>
      <c r="K28" s="17"/>
    </row>
    <row r="29" spans="2:11" ht="15" customHeight="1" x14ac:dyDescent="0.2">
      <c r="B29" s="9">
        <v>14</v>
      </c>
      <c r="C29" s="5">
        <v>47289</v>
      </c>
      <c r="D29" s="20">
        <v>110202.5</v>
      </c>
      <c r="E29" s="24">
        <f t="shared" ref="E29:E31" si="4">H29</f>
        <v>12405.22286875616</v>
      </c>
      <c r="F29" s="24">
        <f>F28-Tabela2[[#This Row],[KWOTA]]</f>
        <v>661214.00999999978</v>
      </c>
      <c r="H29" s="17">
        <f>F28*6.38%/365*92</f>
        <v>12405.22286875616</v>
      </c>
      <c r="I29" s="17"/>
      <c r="J29" s="17"/>
      <c r="K29" s="17"/>
    </row>
    <row r="30" spans="2:11" ht="15" customHeight="1" x14ac:dyDescent="0.2">
      <c r="B30" s="9">
        <v>15</v>
      </c>
      <c r="C30" s="5">
        <v>47381</v>
      </c>
      <c r="D30" s="20">
        <v>110202.5</v>
      </c>
      <c r="E30" s="24">
        <f t="shared" si="4"/>
        <v>10546.363459499995</v>
      </c>
      <c r="F30" s="24">
        <f>F29-Tabela2[[#This Row],[KWOTA]]</f>
        <v>551011.50999999978</v>
      </c>
      <c r="H30" s="17">
        <f>F29*6.38%/360*90</f>
        <v>10546.363459499995</v>
      </c>
      <c r="I30" s="17"/>
      <c r="J30" s="17"/>
      <c r="K30" s="17"/>
    </row>
    <row r="31" spans="2:11" ht="15" customHeight="1" x14ac:dyDescent="0.2">
      <c r="B31" s="9">
        <v>16</v>
      </c>
      <c r="C31" s="5">
        <v>47472</v>
      </c>
      <c r="D31" s="20">
        <v>110202.5</v>
      </c>
      <c r="E31" s="24">
        <f t="shared" si="4"/>
        <v>8860.8689290301336</v>
      </c>
      <c r="F31" s="24">
        <f>F30-Tabela2[[#This Row],[KWOTA]]</f>
        <v>440809.00999999978</v>
      </c>
      <c r="H31" s="17">
        <f>F30*6.38%/365*92</f>
        <v>8860.8689290301336</v>
      </c>
      <c r="I31" s="17"/>
      <c r="J31" s="17"/>
      <c r="K31" s="17"/>
    </row>
    <row r="32" spans="2:11" s="3" customFormat="1" ht="15" customHeight="1" x14ac:dyDescent="0.25">
      <c r="B32" s="10" t="s">
        <v>2</v>
      </c>
      <c r="C32" s="6">
        <v>2029</v>
      </c>
      <c r="D32" s="21">
        <f>SUM(D28:D31)</f>
        <v>440810</v>
      </c>
      <c r="E32" s="25">
        <f>SUM(E28:E31)</f>
        <v>45874.278466786287</v>
      </c>
      <c r="F32" s="25">
        <f>F27-Tabela2[[#This Row],[KWOTA]]</f>
        <v>-1763240</v>
      </c>
      <c r="H32" s="18">
        <f>H28+H29+H30+H31</f>
        <v>45874.278466786287</v>
      </c>
      <c r="I32" s="18"/>
      <c r="J32" s="18"/>
      <c r="K32" s="18"/>
    </row>
    <row r="33" spans="2:11" ht="15" customHeight="1" x14ac:dyDescent="0.2">
      <c r="B33" s="9">
        <v>17</v>
      </c>
      <c r="C33" s="5">
        <v>47562</v>
      </c>
      <c r="D33" s="20">
        <v>110202.5</v>
      </c>
      <c r="E33" s="24">
        <f>H33</f>
        <v>7088.6919591671194</v>
      </c>
      <c r="F33" s="24">
        <f>F31-Tabela2[[#This Row],[KWOTA]]</f>
        <v>330606.50999999978</v>
      </c>
      <c r="H33" s="17">
        <f>F31*6.38%/365*92</f>
        <v>7088.6919591671194</v>
      </c>
      <c r="I33" s="17"/>
      <c r="J33" s="17"/>
      <c r="K33" s="17"/>
    </row>
    <row r="34" spans="2:11" ht="15" customHeight="1" x14ac:dyDescent="0.2">
      <c r="B34" s="9">
        <v>18</v>
      </c>
      <c r="C34" s="5">
        <v>47654</v>
      </c>
      <c r="D34" s="20">
        <v>110202.5</v>
      </c>
      <c r="E34" s="24">
        <f t="shared" ref="E34:E36" si="5">H34</f>
        <v>5273.1738344999958</v>
      </c>
      <c r="F34" s="24">
        <f>F33-Tabela2[[#This Row],[KWOTA]]</f>
        <v>220404.00999999978</v>
      </c>
      <c r="H34" s="17">
        <f>F33*6.38%/360*90</f>
        <v>5273.1738344999958</v>
      </c>
      <c r="I34" s="17"/>
      <c r="J34" s="17"/>
      <c r="K34" s="17"/>
    </row>
    <row r="35" spans="2:11" ht="15" customHeight="1" x14ac:dyDescent="0.2">
      <c r="B35" s="9">
        <v>19</v>
      </c>
      <c r="C35" s="5">
        <v>47746</v>
      </c>
      <c r="D35" s="20">
        <v>110202.5</v>
      </c>
      <c r="E35" s="24">
        <f t="shared" si="5"/>
        <v>3544.338019441092</v>
      </c>
      <c r="F35" s="24">
        <f>F34-Tabela2[[#This Row],[KWOTA]]</f>
        <v>110201.50999999978</v>
      </c>
      <c r="H35" s="17">
        <f>F34*6.38%/365*92</f>
        <v>3544.338019441092</v>
      </c>
      <c r="I35" s="17"/>
      <c r="J35" s="17"/>
      <c r="K35" s="17"/>
    </row>
    <row r="36" spans="2:11" ht="15" customHeight="1" x14ac:dyDescent="0.25">
      <c r="B36" s="9">
        <v>20</v>
      </c>
      <c r="C36" s="5">
        <v>47837</v>
      </c>
      <c r="D36" s="21">
        <v>110201.51</v>
      </c>
      <c r="E36" s="24">
        <f t="shared" si="5"/>
        <v>1757.7140844999963</v>
      </c>
      <c r="F36" s="24">
        <f>F35-D36</f>
        <v>-2.1827872842550278E-10</v>
      </c>
      <c r="H36" s="17">
        <f>F35*6.38%/360*90</f>
        <v>1757.7140844999963</v>
      </c>
      <c r="I36" s="17"/>
      <c r="J36" s="17"/>
      <c r="K36" s="17"/>
    </row>
    <row r="37" spans="2:11" ht="15" customHeight="1" x14ac:dyDescent="0.25">
      <c r="B37" s="10" t="s">
        <v>2</v>
      </c>
      <c r="C37" s="2">
        <v>2030</v>
      </c>
      <c r="D37" s="21">
        <f>SUM(D33:D36)</f>
        <v>440809.01</v>
      </c>
      <c r="E37" s="25">
        <f>SUM(E33:E36)</f>
        <v>17663.917897608204</v>
      </c>
      <c r="F37" s="24">
        <f>F32-Tabela2[[#This Row],[KWOTA]]</f>
        <v>-2204049.0099999998</v>
      </c>
      <c r="H37" s="18">
        <f>H33+H34+H35+H36</f>
        <v>17663.917897608204</v>
      </c>
      <c r="I37" s="18"/>
      <c r="J37" s="18"/>
      <c r="K37" s="18"/>
    </row>
    <row r="38" spans="2:11" ht="15" hidden="1" customHeight="1" x14ac:dyDescent="0.2">
      <c r="B38" s="9" t="s">
        <v>5</v>
      </c>
      <c r="C38" s="5">
        <v>47909</v>
      </c>
      <c r="D38" s="20">
        <v>0</v>
      </c>
      <c r="E38" s="24"/>
      <c r="F38" s="16"/>
      <c r="H38" s="17">
        <f t="shared" ref="H38" si="6">F38*7.83%/360*90</f>
        <v>0</v>
      </c>
      <c r="I38" s="17">
        <f>F38*(6.13%/360)*90</f>
        <v>0</v>
      </c>
      <c r="J38" s="17"/>
      <c r="K38" s="17">
        <f t="shared" ref="K38:K41" si="7">F38*6.06%/360*90</f>
        <v>0</v>
      </c>
    </row>
    <row r="39" spans="2:11" ht="15" hidden="1" customHeight="1" x14ac:dyDescent="0.2">
      <c r="B39" s="9" t="s">
        <v>6</v>
      </c>
      <c r="C39" s="5">
        <v>47659</v>
      </c>
      <c r="D39" s="20">
        <v>0</v>
      </c>
      <c r="E39" s="24"/>
      <c r="F39" s="16"/>
      <c r="H39" s="17">
        <f>Tabela1[[#This Row],[SALDO  DO SPŁATY ]]*7.83%/365*92</f>
        <v>0</v>
      </c>
      <c r="I39" s="17">
        <f t="shared" ref="I39:I40" si="8">F39*(6.13%/360)*90</f>
        <v>0</v>
      </c>
      <c r="J39" s="17"/>
      <c r="K39" s="17">
        <f t="shared" si="7"/>
        <v>0</v>
      </c>
    </row>
    <row r="40" spans="2:11" ht="15" hidden="1" customHeight="1" x14ac:dyDescent="0.2">
      <c r="B40" s="9" t="s">
        <v>7</v>
      </c>
      <c r="C40" s="5">
        <v>48116</v>
      </c>
      <c r="D40" s="20">
        <v>0</v>
      </c>
      <c r="E40" s="24"/>
      <c r="F40" s="16"/>
      <c r="H40" s="17">
        <f t="shared" ref="H40" si="9">F40*7.83%/360*90</f>
        <v>0</v>
      </c>
      <c r="I40" s="17">
        <f t="shared" si="8"/>
        <v>0</v>
      </c>
      <c r="J40" s="17"/>
      <c r="K40" s="17">
        <f t="shared" si="7"/>
        <v>0</v>
      </c>
    </row>
    <row r="41" spans="2:11" ht="15" hidden="1" customHeight="1" x14ac:dyDescent="0.2">
      <c r="B41" s="9" t="s">
        <v>8</v>
      </c>
      <c r="C41" s="5">
        <v>48207</v>
      </c>
      <c r="D41" s="20">
        <v>0</v>
      </c>
      <c r="E41" s="24"/>
      <c r="F41" s="16"/>
      <c r="H41" s="17">
        <f>Tabela1[[#This Row],[SALDO  DO SPŁATY ]]*7.83%/365*92</f>
        <v>0</v>
      </c>
      <c r="I41" s="17">
        <f>F41*(6.13%/360)*90</f>
        <v>0</v>
      </c>
      <c r="J41" s="17"/>
      <c r="K41" s="17">
        <f t="shared" si="7"/>
        <v>0</v>
      </c>
    </row>
    <row r="42" spans="2:11" s="3" customFormat="1" ht="15.75" hidden="1" customHeight="1" x14ac:dyDescent="0.25">
      <c r="B42" s="10" t="s">
        <v>2</v>
      </c>
      <c r="C42" s="6">
        <v>2031</v>
      </c>
      <c r="D42" s="21">
        <f>SUM(D38:D41)</f>
        <v>0</v>
      </c>
      <c r="E42" s="25"/>
      <c r="F42" s="16"/>
      <c r="H42" s="18">
        <f>H38+H39+H40+H41</f>
        <v>0</v>
      </c>
      <c r="I42" s="18">
        <f t="shared" ref="I42:K42" si="10">I38+I39+I40+I41</f>
        <v>0</v>
      </c>
      <c r="J42" s="18">
        <f t="shared" si="10"/>
        <v>0</v>
      </c>
      <c r="K42" s="18">
        <f t="shared" si="10"/>
        <v>0</v>
      </c>
    </row>
    <row r="43" spans="2:11" s="4" customFormat="1" ht="16.5" customHeight="1" x14ac:dyDescent="0.25">
      <c r="B43" s="14" t="s">
        <v>1</v>
      </c>
      <c r="C43" s="15"/>
      <c r="D43" s="22">
        <f>D42+D37+D32+D27+D22+D17</f>
        <v>2204049.0099999998</v>
      </c>
      <c r="E43" s="26">
        <f>E37+E32+E27+E22+E17+E12+E7</f>
        <v>581138.79406323959</v>
      </c>
      <c r="F43" s="3"/>
      <c r="H43" s="19">
        <f>H7+H12+H17+H22+H27+H32+H37+H42</f>
        <v>581138.79406323971</v>
      </c>
      <c r="I43" s="19">
        <v>603095.9</v>
      </c>
      <c r="J43" s="19">
        <f t="shared" ref="J43" si="11">J7+J12+J17+J22+J27+J32+J37+J42</f>
        <v>0</v>
      </c>
      <c r="K43" s="19">
        <f>(H43+I43)/2</f>
        <v>592117.34703161987</v>
      </c>
    </row>
    <row r="44" spans="2:11" x14ac:dyDescent="0.2">
      <c r="D44" s="17"/>
      <c r="E44" s="17"/>
    </row>
  </sheetData>
  <mergeCells count="1">
    <mergeCell ref="A1:H1"/>
  </mergeCells>
  <phoneticPr fontId="1" type="noConversion"/>
  <pageMargins left="0.25" right="0.25" top="0.75" bottom="0.75" header="0.3" footer="0.3"/>
  <pageSetup paperSize="9" orientation="portrait" r:id="rId1"/>
  <headerFooter alignWithMargins="0"/>
  <ignoredErrors>
    <ignoredError sqref="E17" formula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Romanowska</cp:lastModifiedBy>
  <cp:lastPrinted>2024-07-11T05:29:52Z</cp:lastPrinted>
  <dcterms:created xsi:type="dcterms:W3CDTF">1998-12-09T13:02:10Z</dcterms:created>
  <dcterms:modified xsi:type="dcterms:W3CDTF">2024-07-11T05:30:09Z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