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spergoNAS\Tarnów\PRACA\Z pelnomocnictwami\MORD KRAKÓW\komunikacja\SWZ ASPERGO flota 2024-25\Załączniki komunikacja\"/>
    </mc:Choice>
  </mc:AlternateContent>
  <xr:revisionPtr revIDLastSave="0" documentId="13_ncr:1_{6A66D054-ED66-4EBF-954E-DEAC516EF9B6}" xr6:coauthVersionLast="47" xr6:coauthVersionMax="47" xr10:uidLastSave="{00000000-0000-0000-0000-000000000000}"/>
  <bookViews>
    <workbookView xWindow="-28920" yWindow="-90" windowWidth="29040" windowHeight="15840" activeTab="1" xr2:uid="{00000000-000D-0000-FFFF-FFFF00000000}"/>
  </bookViews>
  <sheets>
    <sheet name="Wykaz Pojazdów" sheetId="1" r:id="rId1"/>
    <sheet name="Wykaz szkód" sheetId="3" r:id="rId2"/>
    <sheet name="hiddenSheet" sheetId="2" state="veryHidden" r:id="rId3"/>
  </sheets>
  <definedNames>
    <definedName name="_xlnm._FilterDatabase" localSheetId="1" hidden="1">'Wykaz szkód'!$A$1:$I$729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3" l="1"/>
  <c r="F605" i="3"/>
  <c r="F600" i="3"/>
  <c r="F590" i="3"/>
  <c r="F588" i="3"/>
  <c r="F587" i="3"/>
  <c r="F586" i="3"/>
  <c r="F584" i="3"/>
  <c r="F577" i="3"/>
  <c r="F574" i="3"/>
  <c r="F573" i="3"/>
  <c r="F572" i="3"/>
  <c r="F571" i="3"/>
  <c r="F568" i="3"/>
  <c r="F565" i="3"/>
  <c r="F564" i="3"/>
  <c r="F562" i="3"/>
  <c r="F560" i="3"/>
  <c r="F561" i="3"/>
  <c r="F558" i="3"/>
  <c r="F557" i="3"/>
  <c r="F552" i="3"/>
  <c r="F553" i="3"/>
  <c r="F551" i="3"/>
  <c r="F550" i="3"/>
  <c r="F549" i="3"/>
  <c r="F546" i="3"/>
  <c r="F545" i="3"/>
  <c r="F544" i="3"/>
  <c r="F542" i="3"/>
  <c r="F540" i="3"/>
  <c r="F539" i="3"/>
  <c r="F537" i="3"/>
  <c r="F534" i="3"/>
  <c r="F531" i="3"/>
  <c r="F529" i="3"/>
  <c r="F527" i="3"/>
  <c r="F526" i="3"/>
  <c r="F525" i="3"/>
  <c r="F524" i="3"/>
  <c r="F523" i="3"/>
  <c r="F522" i="3"/>
  <c r="F521" i="3"/>
  <c r="F520" i="3"/>
  <c r="F517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89" i="3"/>
  <c r="F488" i="3"/>
  <c r="F485" i="3"/>
  <c r="F483" i="3"/>
  <c r="F484" i="3"/>
  <c r="F480" i="3"/>
  <c r="F478" i="3"/>
  <c r="F477" i="3"/>
  <c r="F475" i="3"/>
  <c r="F474" i="3"/>
  <c r="F473" i="3"/>
  <c r="F472" i="3"/>
  <c r="F471" i="3"/>
  <c r="F467" i="3"/>
  <c r="F466" i="3"/>
  <c r="F465" i="3"/>
  <c r="F464" i="3"/>
  <c r="F463" i="3"/>
  <c r="F461" i="3"/>
  <c r="F460" i="3"/>
  <c r="F462" i="3"/>
  <c r="F459" i="3"/>
  <c r="F457" i="3"/>
  <c r="F456" i="3"/>
  <c r="F455" i="3"/>
  <c r="F453" i="3"/>
  <c r="F452" i="3"/>
  <c r="F451" i="3"/>
  <c r="F450" i="3"/>
  <c r="F448" i="3"/>
  <c r="F447" i="3"/>
  <c r="F446" i="3"/>
  <c r="F445" i="3"/>
  <c r="F444" i="3"/>
  <c r="F443" i="3"/>
  <c r="F442" i="3"/>
  <c r="F441" i="3"/>
  <c r="F440" i="3"/>
  <c r="F439" i="3"/>
  <c r="F436" i="3"/>
  <c r="F435" i="3"/>
  <c r="F434" i="3"/>
  <c r="F433" i="3"/>
  <c r="F432" i="3"/>
  <c r="F431" i="3"/>
  <c r="F438" i="3"/>
  <c r="F437" i="3"/>
  <c r="F430" i="3"/>
  <c r="F429" i="3"/>
  <c r="F428" i="3"/>
  <c r="F427" i="3"/>
  <c r="F426" i="3"/>
  <c r="F425" i="3"/>
  <c r="F424" i="3"/>
  <c r="F423" i="3"/>
  <c r="F422" i="3"/>
  <c r="F421" i="3"/>
  <c r="F417" i="3"/>
  <c r="F416" i="3"/>
  <c r="F419" i="3"/>
  <c r="F420" i="3"/>
  <c r="F415" i="3"/>
  <c r="F413" i="3"/>
  <c r="F412" i="3"/>
  <c r="F411" i="3"/>
  <c r="F410" i="3"/>
  <c r="F409" i="3"/>
  <c r="F408" i="3"/>
  <c r="F407" i="3"/>
  <c r="F403" i="3"/>
  <c r="F402" i="3"/>
  <c r="F401" i="3"/>
  <c r="F405" i="3"/>
  <c r="F404" i="3"/>
  <c r="F400" i="3"/>
  <c r="F399" i="3"/>
  <c r="F398" i="3"/>
  <c r="F397" i="3"/>
  <c r="F396" i="3"/>
  <c r="F395" i="3"/>
  <c r="F394" i="3"/>
  <c r="F392" i="3"/>
  <c r="F390" i="3"/>
  <c r="F389" i="3"/>
  <c r="F391" i="3"/>
  <c r="F385" i="3"/>
  <c r="F388" i="3"/>
  <c r="F386" i="3"/>
  <c r="F387" i="3"/>
  <c r="F382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89" i="3"/>
  <c r="F188" i="3"/>
  <c r="F187" i="3"/>
  <c r="F186" i="3"/>
  <c r="F184" i="3"/>
  <c r="F183" i="3"/>
  <c r="F182" i="3"/>
  <c r="F181" i="3"/>
  <c r="F180" i="3"/>
  <c r="F179" i="3"/>
  <c r="F178" i="3"/>
  <c r="F176" i="3"/>
  <c r="F175" i="3"/>
  <c r="F174" i="3"/>
  <c r="F173" i="3"/>
  <c r="F172" i="3"/>
  <c r="F171" i="3"/>
  <c r="F170" i="3"/>
  <c r="F169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3" i="3"/>
  <c r="F120" i="3"/>
  <c r="F122" i="3"/>
  <c r="F121" i="3"/>
  <c r="F119" i="3"/>
  <c r="F118" i="3"/>
  <c r="F116" i="3"/>
  <c r="F115" i="3"/>
  <c r="F113" i="3"/>
  <c r="F112" i="3"/>
  <c r="F111" i="3"/>
  <c r="F110" i="3"/>
  <c r="F109" i="3"/>
  <c r="F108" i="3"/>
  <c r="F107" i="3"/>
  <c r="F105" i="3"/>
  <c r="F104" i="3"/>
  <c r="F103" i="3"/>
  <c r="F102" i="3"/>
  <c r="F101" i="3"/>
  <c r="F100" i="3"/>
  <c r="F99" i="3"/>
  <c r="F97" i="3"/>
  <c r="F94" i="3"/>
  <c r="F93" i="3"/>
  <c r="F92" i="3"/>
  <c r="F91" i="3"/>
  <c r="F90" i="3"/>
  <c r="F89" i="3"/>
  <c r="F87" i="3"/>
  <c r="F85" i="3"/>
  <c r="F84" i="3"/>
  <c r="F83" i="3"/>
  <c r="F81" i="3"/>
  <c r="F79" i="3"/>
  <c r="F78" i="3"/>
  <c r="F76" i="3"/>
  <c r="F75" i="3"/>
  <c r="F74" i="3"/>
  <c r="F73" i="3"/>
  <c r="F72" i="3"/>
  <c r="F71" i="3"/>
  <c r="F69" i="3"/>
  <c r="F68" i="3"/>
  <c r="F67" i="3"/>
  <c r="F66" i="3"/>
  <c r="F65" i="3"/>
  <c r="F64" i="3"/>
  <c r="F63" i="3"/>
  <c r="F62" i="3"/>
  <c r="F60" i="3"/>
  <c r="F59" i="3"/>
  <c r="F57" i="3"/>
  <c r="F58" i="3"/>
  <c r="F56" i="3"/>
  <c r="F55" i="3"/>
  <c r="F53" i="3"/>
  <c r="F54" i="3"/>
  <c r="F52" i="3"/>
  <c r="F51" i="3"/>
  <c r="F49" i="3"/>
  <c r="F50" i="3"/>
  <c r="F48" i="3"/>
  <c r="F47" i="3"/>
  <c r="F44" i="3"/>
  <c r="F43" i="3"/>
  <c r="F42" i="3"/>
  <c r="F41" i="3"/>
  <c r="F40" i="3"/>
  <c r="F37" i="3"/>
  <c r="F36" i="3"/>
  <c r="F35" i="3"/>
  <c r="F34" i="3"/>
  <c r="F32" i="3"/>
  <c r="F31" i="3"/>
  <c r="F30" i="3"/>
  <c r="F29" i="3"/>
  <c r="F27" i="3"/>
  <c r="F28" i="3"/>
  <c r="F26" i="3"/>
  <c r="F25" i="3"/>
  <c r="F24" i="3"/>
  <c r="F23" i="3"/>
  <c r="F21" i="3"/>
  <c r="F19" i="3"/>
  <c r="F18" i="3"/>
  <c r="F16" i="3"/>
  <c r="F15" i="3"/>
  <c r="F14" i="3"/>
  <c r="F12" i="3"/>
  <c r="F11" i="3"/>
  <c r="F10" i="3"/>
  <c r="F9" i="3"/>
  <c r="F7" i="3"/>
  <c r="F6" i="3"/>
  <c r="F5" i="3"/>
  <c r="F3" i="3"/>
  <c r="F4" i="3"/>
  <c r="F2" i="3"/>
</calcChain>
</file>

<file path=xl/sharedStrings.xml><?xml version="1.0" encoding="utf-8"?>
<sst xmlns="http://schemas.openxmlformats.org/spreadsheetml/2006/main" count="3821" uniqueCount="1125">
  <si>
    <t>Właściciel pojazdu</t>
  </si>
  <si>
    <t>Numer VIN</t>
  </si>
  <si>
    <t>Rodzaj pojazdu</t>
  </si>
  <si>
    <t>Marka</t>
  </si>
  <si>
    <t>Model</t>
  </si>
  <si>
    <t>Rok produkcji</t>
  </si>
  <si>
    <t>Pojemność</t>
  </si>
  <si>
    <t>Ładowność</t>
  </si>
  <si>
    <t>Liczba miejsc</t>
  </si>
  <si>
    <t>Rodzaj SU</t>
  </si>
  <si>
    <t>MORD Kraków</t>
  </si>
  <si>
    <t>KR4W100</t>
  </si>
  <si>
    <t>SUADB4BMTHS610719</t>
  </si>
  <si>
    <t>Autobus</t>
  </si>
  <si>
    <t>AUTOSAN</t>
  </si>
  <si>
    <t>LIDER 10</t>
  </si>
  <si>
    <t>2017</t>
  </si>
  <si>
    <t>Brutto</t>
  </si>
  <si>
    <t>KR5E535</t>
  </si>
  <si>
    <t>VF624GPA000037987</t>
  </si>
  <si>
    <t>Samochód ciężarowy</t>
  </si>
  <si>
    <t>RENAULT</t>
  </si>
  <si>
    <t>PREMIUM 330 DXI</t>
  </si>
  <si>
    <t>2010</t>
  </si>
  <si>
    <t>KR4P488</t>
  </si>
  <si>
    <t>SXE1M220NGS000420</t>
  </si>
  <si>
    <t>Przyczepa lekka</t>
  </si>
  <si>
    <t>Neptun</t>
  </si>
  <si>
    <t>-</t>
  </si>
  <si>
    <t>2016</t>
  </si>
  <si>
    <t>KR8U916</t>
  </si>
  <si>
    <t>XLRAEL2700L458153</t>
  </si>
  <si>
    <t>DAF</t>
  </si>
  <si>
    <t>LF 250 FA 114/ZSP</t>
  </si>
  <si>
    <t>KR5697</t>
  </si>
  <si>
    <t>45700000000000000</t>
  </si>
  <si>
    <t>Ciągnik rolniczy</t>
  </si>
  <si>
    <t>Zetor</t>
  </si>
  <si>
    <t>5211</t>
  </si>
  <si>
    <t>1993</t>
  </si>
  <si>
    <t>KR5P586</t>
  </si>
  <si>
    <t>SU9ML1PMTBJ053001</t>
  </si>
  <si>
    <t>Marpol</t>
  </si>
  <si>
    <t>PMTB05</t>
  </si>
  <si>
    <t>2018</t>
  </si>
  <si>
    <t>KK5920</t>
  </si>
  <si>
    <t>1PY5055EHGE044861</t>
  </si>
  <si>
    <t>John Deere</t>
  </si>
  <si>
    <t>5055E</t>
  </si>
  <si>
    <t>KK663L</t>
  </si>
  <si>
    <t>JYARM182000005342</t>
  </si>
  <si>
    <t>Motocykl</t>
  </si>
  <si>
    <t>YAMAHA</t>
  </si>
  <si>
    <t>MT07 ABS</t>
  </si>
  <si>
    <t>KK665L</t>
  </si>
  <si>
    <t>JYARM182000002382</t>
  </si>
  <si>
    <t>KK662L</t>
  </si>
  <si>
    <t>JYARM172000011818</t>
  </si>
  <si>
    <t>KK661L</t>
  </si>
  <si>
    <t>JYARM172000011491</t>
  </si>
  <si>
    <t>KK664L</t>
  </si>
  <si>
    <t>JYARM172000010052</t>
  </si>
  <si>
    <t>KR5JA50</t>
  </si>
  <si>
    <t>WF0JXXWPCJJA16913</t>
  </si>
  <si>
    <t>Samochód osobowy</t>
  </si>
  <si>
    <t>FORD</t>
  </si>
  <si>
    <t>S-MAX</t>
  </si>
  <si>
    <t>KR6116K</t>
  </si>
  <si>
    <t>VF644ACA000018161</t>
  </si>
  <si>
    <t>Midlum 220</t>
  </si>
  <si>
    <t>2006</t>
  </si>
  <si>
    <t>KR6843P</t>
  </si>
  <si>
    <t>SWNB13010W0001394</t>
  </si>
  <si>
    <t>Przyczepa specjalna</t>
  </si>
  <si>
    <t>NIEWIADÓW</t>
  </si>
  <si>
    <t>B1301</t>
  </si>
  <si>
    <t>1998</t>
  </si>
  <si>
    <t>KR7997P</t>
  </si>
  <si>
    <t>SY900000080GK1001</t>
  </si>
  <si>
    <t>Przyczepa ciężarowa</t>
  </si>
  <si>
    <t>Gniotpol</t>
  </si>
  <si>
    <t>G7000</t>
  </si>
  <si>
    <t>2008</t>
  </si>
  <si>
    <t>KR43G3</t>
  </si>
  <si>
    <t>MLHJC91AXM5009835</t>
  </si>
  <si>
    <t>Honda</t>
  </si>
  <si>
    <t>CB 125R</t>
  </si>
  <si>
    <t>2021</t>
  </si>
  <si>
    <t>KR39G3</t>
  </si>
  <si>
    <t>MLHJC91A0M5009410</t>
  </si>
  <si>
    <t>KR9P446</t>
  </si>
  <si>
    <t>SXK023JG2KKAK1031</t>
  </si>
  <si>
    <t>KONAR</t>
  </si>
  <si>
    <t>JG2</t>
  </si>
  <si>
    <t>2019</t>
  </si>
  <si>
    <t>KK427S</t>
  </si>
  <si>
    <t>JYARM172000024748</t>
  </si>
  <si>
    <t>Yamaha</t>
  </si>
  <si>
    <t>MTN690-A</t>
  </si>
  <si>
    <t>KK428S</t>
  </si>
  <si>
    <t>KRX00922020700000</t>
  </si>
  <si>
    <t>KK425S</t>
  </si>
  <si>
    <t>JYARM172000024751</t>
  </si>
  <si>
    <t>KK426S</t>
  </si>
  <si>
    <t>JYARM172000024541</t>
  </si>
  <si>
    <t>KR3NT20</t>
  </si>
  <si>
    <t>NLHB251BALZ662586</t>
  </si>
  <si>
    <t>Hyundai</t>
  </si>
  <si>
    <t>I20</t>
  </si>
  <si>
    <t>2020</t>
  </si>
  <si>
    <t>KR3NT21</t>
  </si>
  <si>
    <t>NLHB251BALZ659090</t>
  </si>
  <si>
    <t>KR3NT22</t>
  </si>
  <si>
    <t>NLHB251BALZ660221</t>
  </si>
  <si>
    <t>KR3NT23</t>
  </si>
  <si>
    <t>NLHB251BALZ650362</t>
  </si>
  <si>
    <t>KR3NT25</t>
  </si>
  <si>
    <t>NLHB251BALZ660232</t>
  </si>
  <si>
    <t>KR3NT26</t>
  </si>
  <si>
    <t>NLHB251BALZ659083</t>
  </si>
  <si>
    <t>KR3NT29</t>
  </si>
  <si>
    <t>NLHB251BALZ658765</t>
  </si>
  <si>
    <t>KR3NT35</t>
  </si>
  <si>
    <t>NLHB251BALZ660223</t>
  </si>
  <si>
    <t>KR3NT31</t>
  </si>
  <si>
    <t>NLHB251BALZ670164</t>
  </si>
  <si>
    <t>KR3NT32</t>
  </si>
  <si>
    <t>NLHB251BALZ666824</t>
  </si>
  <si>
    <t>KR3NT33</t>
  </si>
  <si>
    <t>NLHB251BALZ660180</t>
  </si>
  <si>
    <t>KR3NT34</t>
  </si>
  <si>
    <t>NLHB251BALZ665104</t>
  </si>
  <si>
    <t>KR3NT45</t>
  </si>
  <si>
    <t>NLHB251BALZ648881</t>
  </si>
  <si>
    <t>KR3NT44</t>
  </si>
  <si>
    <t>NLHB251BALZ648870</t>
  </si>
  <si>
    <t>KR3NT43</t>
  </si>
  <si>
    <t>NLHB251BALZ648614</t>
  </si>
  <si>
    <t>KR3NT37</t>
  </si>
  <si>
    <t>NLHB251BALZ648615</t>
  </si>
  <si>
    <t>KR3NT42</t>
  </si>
  <si>
    <t>NLHB251BALZ648867</t>
  </si>
  <si>
    <t>KR3NT30</t>
  </si>
  <si>
    <t>NLHB251BALZ638903</t>
  </si>
  <si>
    <t>KR3NT04</t>
  </si>
  <si>
    <t>NLHB251BALZ632650</t>
  </si>
  <si>
    <t>KR3NT27</t>
  </si>
  <si>
    <t>NLHB251BALZ633002</t>
  </si>
  <si>
    <t>KR3NT17</t>
  </si>
  <si>
    <t>NLHB251BALZ631844</t>
  </si>
  <si>
    <t>KR3NT16</t>
  </si>
  <si>
    <t>NLHB251BALZ658949</t>
  </si>
  <si>
    <t>KR3NT19</t>
  </si>
  <si>
    <t>NLHB251BALZ658548</t>
  </si>
  <si>
    <t>KR3NT11</t>
  </si>
  <si>
    <t>NLHB251BALZ645309</t>
  </si>
  <si>
    <t>KR3NT28</t>
  </si>
  <si>
    <t>NLHB251BALZ668981</t>
  </si>
  <si>
    <t>KR3NT09</t>
  </si>
  <si>
    <t>NLHB251BALZ641050</t>
  </si>
  <si>
    <t>KR3NT02</t>
  </si>
  <si>
    <t>NLHB251BALZ658924</t>
  </si>
  <si>
    <t>KR3NT12</t>
  </si>
  <si>
    <t>NLHB251BALZ658958</t>
  </si>
  <si>
    <t>KR3NT06</t>
  </si>
  <si>
    <t>NLHB251BALZ666279</t>
  </si>
  <si>
    <t>KR3NT14</t>
  </si>
  <si>
    <t>NLHB251BALZ664968</t>
  </si>
  <si>
    <t>KR3NT18</t>
  </si>
  <si>
    <t>NLHB251BALZ664970</t>
  </si>
  <si>
    <t>KR3NT24</t>
  </si>
  <si>
    <t>NLHB251BALZ665470</t>
  </si>
  <si>
    <t>KR3NT10</t>
  </si>
  <si>
    <t>NLHB251BALZ658955</t>
  </si>
  <si>
    <t>KR3NT07</t>
  </si>
  <si>
    <t>NLHB251BALZ658951</t>
  </si>
  <si>
    <t>KR3NT05</t>
  </si>
  <si>
    <t>NLHB251BALZ658957</t>
  </si>
  <si>
    <t>KR3NT15</t>
  </si>
  <si>
    <t>NLHB251BALZ659830</t>
  </si>
  <si>
    <t>KR3NT13</t>
  </si>
  <si>
    <t>NLHB251BALZ641148</t>
  </si>
  <si>
    <t>KR3NT03</t>
  </si>
  <si>
    <t>NLHB251BALZ650358</t>
  </si>
  <si>
    <t>KR3NT01</t>
  </si>
  <si>
    <t>NLHB251BALZ669215</t>
  </si>
  <si>
    <t>KR3NT36</t>
  </si>
  <si>
    <t>NLHB251BALZ638847</t>
  </si>
  <si>
    <t>KR3NT38</t>
  </si>
  <si>
    <t>NLHB251BALZ658954</t>
  </si>
  <si>
    <t>KR3NT39</t>
  </si>
  <si>
    <t>NLHB251BALZ665471</t>
  </si>
  <si>
    <t>KR3NT40</t>
  </si>
  <si>
    <t>NLHB251BALZ659125</t>
  </si>
  <si>
    <t>KR3NT41</t>
  </si>
  <si>
    <t>NLHB251BALZ638851</t>
  </si>
  <si>
    <t>KK271F</t>
  </si>
  <si>
    <t>LTZPCBLA2L4000342</t>
  </si>
  <si>
    <t>Motorower</t>
  </si>
  <si>
    <t>Romet</t>
  </si>
  <si>
    <t>ZXT50</t>
  </si>
  <si>
    <t>KK268F</t>
  </si>
  <si>
    <t>LTZPCBLA2L4000289</t>
  </si>
  <si>
    <t>KK5551</t>
  </si>
  <si>
    <t>JYARM171000003535</t>
  </si>
  <si>
    <t>MT07</t>
  </si>
  <si>
    <t>KK5552</t>
  </si>
  <si>
    <t>JYARM171000004199</t>
  </si>
  <si>
    <t>KK5553</t>
  </si>
  <si>
    <t>JYARM171000002410</t>
  </si>
  <si>
    <t>KR40S4</t>
  </si>
  <si>
    <t>MH3RM461000002090</t>
  </si>
  <si>
    <t>MTN690-U</t>
  </si>
  <si>
    <t>2024</t>
  </si>
  <si>
    <t>KR42R9</t>
  </si>
  <si>
    <t>MLHJC91A1P5108774</t>
  </si>
  <si>
    <t>2023</t>
  </si>
  <si>
    <t>KR41R9</t>
  </si>
  <si>
    <t>MLHJC91A3P5108890</t>
  </si>
  <si>
    <t>KK5819P</t>
  </si>
  <si>
    <t>SWPS11A00PR000043</t>
  </si>
  <si>
    <t>STOPEXIM</t>
  </si>
  <si>
    <t>S11A</t>
  </si>
  <si>
    <t>GS0731C</t>
  </si>
  <si>
    <t>NLHB251BAJZ439916</t>
  </si>
  <si>
    <t>KK787F</t>
  </si>
  <si>
    <t>LTZPCBLE0N3000190</t>
  </si>
  <si>
    <t>Romet Motors</t>
  </si>
  <si>
    <t>2022</t>
  </si>
  <si>
    <t>KK788F</t>
  </si>
  <si>
    <t>LTZPCBLE1N3000165</t>
  </si>
  <si>
    <t>aspergo_pojazdymechaniczne:rSEfEdfOw3HEb3JxRD78kc8aGSrfnEtkQZ9TrfK9rsydARNVRbgyFKSkfL4GN7Oeed9qBoeAS+u1ag5fLSB3SQ==:aspergo_pojazdymechaniczneid=%28Nie%20modyfikowa%c4%87%29%20Pojazd%20mechaniczny&amp;checksumLogicalName=%28Nie%20modyfikowa%c4%87%29%20Suma%20kontrolna%20wiersza&amp;modifiedon=%28Nie%20modyfikowa%c4%87%29%20Data%20modyfikacji&amp;aspergo_uzytkownikpojazduid=Ubezpieczaj%c4%85cy%20UG&amp;aspergo_wlascicielid=W%c5%82a%c5%9bciciel%20pojazdu&amp;aspergo_vin=Nazwa&amp;aspergo_numervin=Numer%20VIN&amp;aspergo_rodzajpojazdu=Rodzaj%20pojazdu&amp;aspergo_marka=Marka&amp;aspergo_model=Model&amp;aspergo_rokprodukcji=Rok%20produkcji&amp;aspergo_pojemnosc=Pojemno%c5%9b%c4%87&amp;aspergo_ladownosc=%c5%81adowno%c5%9b%c4%87&amp;aspergo_liczbamiejsc=Liczba%20miejsc&amp;aspergo_poczatekoc=Pocz%c4%85tek%20OC&amp;aspergo_koniecoc=Koniec%20OC&amp;aspergo_pocztekac=Pocz%c4%85tek%20AC&amp;aspergo_koniecac=Koniec%20AC&amp;aspergo_paczateknw=Pocz%c4%85tek%20NW&amp;aspergo_koniecnw=Koniec%20NW&amp;aspergo_poczatekzk=Poczatek%20ZK&amp;aspergo_konieczk=Koniec%20ZK&amp;aspergo_poczatekassistance=Poczatek%20Assistance&amp;aspergo_koniecassistance=Koniec%20Assistance&amp;aspergo_poczatekszyby=Poczatek%20Szyby&amp;aspergo_koniecszyby=Koniec%20Szyby&amp;aspergo_sumaubezpieczenia=Suma%20ubezpieczenia&amp;aspergo_rodzajsu=Rodzaj%20SU&amp;new_uwagi=Uwagi&amp;aspergo_dataodmowy=Data%20odmowy%20ubezpieczenia</t>
  </si>
  <si>
    <t>Samochód specjalny</t>
  </si>
  <si>
    <t>Ciągnik samochodowy</t>
  </si>
  <si>
    <t>Naczepa ciężarowa</t>
  </si>
  <si>
    <t>Naczepa specjalna</t>
  </si>
  <si>
    <t>Samochodowy inny</t>
  </si>
  <si>
    <t>Netto</t>
  </si>
  <si>
    <t>50% VAT</t>
  </si>
  <si>
    <t>Nr rejestracyjny</t>
  </si>
  <si>
    <t>Ubezpieczający</t>
  </si>
  <si>
    <t>Suma ubezpieczenia AC</t>
  </si>
  <si>
    <t>Lp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</si>
  <si>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</si>
  <si>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</si>
  <si>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</si>
  <si>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</si>
  <si>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</si>
  <si>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</si>
  <si>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</si>
  <si>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</si>
  <si>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</si>
  <si>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</si>
  <si>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</si>
  <si>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</si>
  <si>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</si>
  <si>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</si>
  <si>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</si>
  <si>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</si>
  <si>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</si>
  <si>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</si>
  <si>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</si>
  <si>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</si>
  <si>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</si>
  <si>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</si>
  <si>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</si>
  <si>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</si>
  <si>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</si>
  <si>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</si>
  <si>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</si>
  <si>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</si>
  <si>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</si>
  <si>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</si>
  <si>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</si>
  <si>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</si>
  <si>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</si>
  <si>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</si>
  <si>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</si>
  <si>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</si>
  <si>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</si>
  <si>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</si>
  <si>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</si>
  <si>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</si>
  <si>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</si>
  <si>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</si>
  <si>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</si>
  <si>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</si>
  <si>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</si>
  <si>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</si>
  <si>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</si>
  <si>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</si>
  <si>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</si>
  <si>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</si>
  <si>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</si>
  <si>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</si>
  <si>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</si>
  <si>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</si>
  <si>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</si>
  <si>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</si>
  <si>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</si>
  <si>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</si>
  <si>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</si>
  <si>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</si>
  <si>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</si>
  <si>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</si>
  <si>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</si>
  <si>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</si>
  <si>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</si>
  <si>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</si>
  <si>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</si>
  <si>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</si>
  <si>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</si>
  <si>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</si>
  <si>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</si>
  <si>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</si>
  <si>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</si>
  <si>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</si>
  <si>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</si>
  <si>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</si>
  <si>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</si>
  <si>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</si>
  <si>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</si>
  <si>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Zakres ubezpieczenia</t>
  </si>
  <si>
    <t>DMC</t>
  </si>
  <si>
    <t>Lp.</t>
  </si>
  <si>
    <t>Numer szkody</t>
  </si>
  <si>
    <t>Rok szkody</t>
  </si>
  <si>
    <t>Data szkody</t>
  </si>
  <si>
    <t>Ryzyko</t>
  </si>
  <si>
    <t>Wypłacone odszkodowanie</t>
  </si>
  <si>
    <t>Rezerwa</t>
  </si>
  <si>
    <t>Nr rej.</t>
  </si>
  <si>
    <t>ZU</t>
  </si>
  <si>
    <t>2283432/1</t>
  </si>
  <si>
    <t>AC</t>
  </si>
  <si>
    <t>KR5JA29</t>
  </si>
  <si>
    <t>COMPENSA</t>
  </si>
  <si>
    <t>2287443/1</t>
  </si>
  <si>
    <t>KR5JA16</t>
  </si>
  <si>
    <t>2286822/1</t>
  </si>
  <si>
    <t>KR5JA23</t>
  </si>
  <si>
    <t>2288513/1</t>
  </si>
  <si>
    <t>KR5JA09</t>
  </si>
  <si>
    <t>2290017/1</t>
  </si>
  <si>
    <t>KR5JA02</t>
  </si>
  <si>
    <t>2322827/1</t>
  </si>
  <si>
    <t>KR5JA26</t>
  </si>
  <si>
    <t>2323990/1</t>
  </si>
  <si>
    <t>OC</t>
  </si>
  <si>
    <t>KR5JA37</t>
  </si>
  <si>
    <t>2322854/1</t>
  </si>
  <si>
    <t>KR5JA15</t>
  </si>
  <si>
    <t>2322854/2</t>
  </si>
  <si>
    <t>2332386/1</t>
  </si>
  <si>
    <t>KR5JA04</t>
  </si>
  <si>
    <t>2340337/1</t>
  </si>
  <si>
    <t>KR5JA35</t>
  </si>
  <si>
    <t>2339581/1</t>
  </si>
  <si>
    <t>KR5JA13</t>
  </si>
  <si>
    <t>2339581/2</t>
  </si>
  <si>
    <t>2712486/1</t>
  </si>
  <si>
    <t>KR5JA22</t>
  </si>
  <si>
    <t>2367080/1</t>
  </si>
  <si>
    <t>KR5JA05</t>
  </si>
  <si>
    <t>2373420/1</t>
  </si>
  <si>
    <t>2546848/1</t>
  </si>
  <si>
    <t>2680096/1</t>
  </si>
  <si>
    <t>KR5JA03</t>
  </si>
  <si>
    <t>2372288/1</t>
  </si>
  <si>
    <t>KR5JA34</t>
  </si>
  <si>
    <t>2372288/2</t>
  </si>
  <si>
    <t>2377561/1</t>
  </si>
  <si>
    <t>2407979/1</t>
  </si>
  <si>
    <t>KR5JA28</t>
  </si>
  <si>
    <t>2407979/2</t>
  </si>
  <si>
    <t>2551154/1</t>
  </si>
  <si>
    <t>KR5JA01</t>
  </si>
  <si>
    <t>2551191/1</t>
  </si>
  <si>
    <t>KR5JA12</t>
  </si>
  <si>
    <t>2713509/1</t>
  </si>
  <si>
    <t>KR5JA17</t>
  </si>
  <si>
    <t>2546924/1</t>
  </si>
  <si>
    <t>2459135/1</t>
  </si>
  <si>
    <t>KR5JA44</t>
  </si>
  <si>
    <t>2715251/1</t>
  </si>
  <si>
    <t>2461047/1</t>
  </si>
  <si>
    <t>KR5JA10</t>
  </si>
  <si>
    <t>2547143/1</t>
  </si>
  <si>
    <t>2535160/1</t>
  </si>
  <si>
    <t>2535160/2</t>
  </si>
  <si>
    <t>2546562/1</t>
  </si>
  <si>
    <t>2555809/1</t>
  </si>
  <si>
    <t>2586150/1</t>
  </si>
  <si>
    <t>KR5JA30</t>
  </si>
  <si>
    <t>2586150/2</t>
  </si>
  <si>
    <t>2588613/1</t>
  </si>
  <si>
    <t>2598885/1</t>
  </si>
  <si>
    <t>2675430/1</t>
  </si>
  <si>
    <t>2674250/1</t>
  </si>
  <si>
    <t>2675475/1</t>
  </si>
  <si>
    <t>2675580/1</t>
  </si>
  <si>
    <t>2716272/1</t>
  </si>
  <si>
    <t>KR600Y</t>
  </si>
  <si>
    <t>3447792/1</t>
  </si>
  <si>
    <t>NNW</t>
  </si>
  <si>
    <t>2712728/1</t>
  </si>
  <si>
    <t>KR5JA41</t>
  </si>
  <si>
    <t>2712522/1</t>
  </si>
  <si>
    <t>KR5JA36</t>
  </si>
  <si>
    <t>2724088/1</t>
  </si>
  <si>
    <t>2684541/1</t>
  </si>
  <si>
    <t>2718706/1</t>
  </si>
  <si>
    <t>2718743/1</t>
  </si>
  <si>
    <t>KR5JA08</t>
  </si>
  <si>
    <t>2713734/1</t>
  </si>
  <si>
    <t>KR5JA11</t>
  </si>
  <si>
    <t>2713720/1</t>
  </si>
  <si>
    <t>KR5JA39</t>
  </si>
  <si>
    <t>3046632/1</t>
  </si>
  <si>
    <t>2714484/1</t>
  </si>
  <si>
    <t>KK4737</t>
  </si>
  <si>
    <t>2719371/1</t>
  </si>
  <si>
    <t>2714370/1</t>
  </si>
  <si>
    <t>2718673/1</t>
  </si>
  <si>
    <t>2718690/1</t>
  </si>
  <si>
    <t>2721729/1</t>
  </si>
  <si>
    <t>2733315/1</t>
  </si>
  <si>
    <t>KR5JA21</t>
  </si>
  <si>
    <t>3091086/1</t>
  </si>
  <si>
    <t>3091094/1</t>
  </si>
  <si>
    <t>2733330/1</t>
  </si>
  <si>
    <t>KR5JA24</t>
  </si>
  <si>
    <t>2733330/2</t>
  </si>
  <si>
    <t>PL2019121800495</t>
  </si>
  <si>
    <t>PZU</t>
  </si>
  <si>
    <t>PL2020011400462</t>
  </si>
  <si>
    <t>PL2020011481406</t>
  </si>
  <si>
    <t>PL2021042682452</t>
  </si>
  <si>
    <t>PL2020011600358</t>
  </si>
  <si>
    <t>PL2020020500297</t>
  </si>
  <si>
    <t>PL2020012300328</t>
  </si>
  <si>
    <t>PL2020021700299</t>
  </si>
  <si>
    <t>2864791/1</t>
  </si>
  <si>
    <t>2864800/1</t>
  </si>
  <si>
    <t>2904675/1</t>
  </si>
  <si>
    <t>PL2020021700091</t>
  </si>
  <si>
    <t>PL2020021800712</t>
  </si>
  <si>
    <t>KR5JA40</t>
  </si>
  <si>
    <t>PL2020022680724</t>
  </si>
  <si>
    <t>KR5JA38</t>
  </si>
  <si>
    <t>PL2020022400707</t>
  </si>
  <si>
    <t>PL2020022482767</t>
  </si>
  <si>
    <t>PL2020022600105</t>
  </si>
  <si>
    <t>PL2020060800103</t>
  </si>
  <si>
    <t>PL2020060500073</t>
  </si>
  <si>
    <t>PL2020061500179</t>
  </si>
  <si>
    <t>PL2020061500385</t>
  </si>
  <si>
    <t>PL2020061700156</t>
  </si>
  <si>
    <t>KR5JA31</t>
  </si>
  <si>
    <t>PL2020061500438</t>
  </si>
  <si>
    <t>PL2020061600346</t>
  </si>
  <si>
    <t>KK5554</t>
  </si>
  <si>
    <t>PL2020062200083</t>
  </si>
  <si>
    <t>PL2020062200089</t>
  </si>
  <si>
    <t>PL2020062200125</t>
  </si>
  <si>
    <t>KR5JA07</t>
  </si>
  <si>
    <t>PL2020070600317</t>
  </si>
  <si>
    <t>PL2020070600231</t>
  </si>
  <si>
    <t>KR222M</t>
  </si>
  <si>
    <t>PL2020070600259</t>
  </si>
  <si>
    <t>PL2020070900375</t>
  </si>
  <si>
    <t>PL2020080300233</t>
  </si>
  <si>
    <t>PL2020080300337</t>
  </si>
  <si>
    <t>PL2020092400647</t>
  </si>
  <si>
    <t>KR5JA25</t>
  </si>
  <si>
    <t>PL2020072800101</t>
  </si>
  <si>
    <t>PL2020072800387</t>
  </si>
  <si>
    <t>PL2020072800393</t>
  </si>
  <si>
    <t>KR5JA27</t>
  </si>
  <si>
    <t>PL2020072800406</t>
  </si>
  <si>
    <t>PL2020072400636</t>
  </si>
  <si>
    <t>PL2020091400169</t>
  </si>
  <si>
    <t>PL2020080300454</t>
  </si>
  <si>
    <t>PL2020090300150</t>
  </si>
  <si>
    <t>KR5JA33</t>
  </si>
  <si>
    <t>PL2020091000536</t>
  </si>
  <si>
    <t>PL2020092400330</t>
  </si>
  <si>
    <t>PL2020092400338</t>
  </si>
  <si>
    <t>PL2020091400122</t>
  </si>
  <si>
    <t>PL2020091700172</t>
  </si>
  <si>
    <t>PL2020090900624</t>
  </si>
  <si>
    <t>PL2020091000572</t>
  </si>
  <si>
    <t>PL2020091400285</t>
  </si>
  <si>
    <t>PL2020090900642</t>
  </si>
  <si>
    <t>KR5JA06</t>
  </si>
  <si>
    <t>PL2020091700129</t>
  </si>
  <si>
    <t>PL2020091700163</t>
  </si>
  <si>
    <t>PL2020092400462</t>
  </si>
  <si>
    <t>PL2020092400485</t>
  </si>
  <si>
    <t>3194122/1</t>
  </si>
  <si>
    <t>KK4683</t>
  </si>
  <si>
    <t>PL2020092400262</t>
  </si>
  <si>
    <t>KR5JA14</t>
  </si>
  <si>
    <t>PL2020091700080</t>
  </si>
  <si>
    <t>PL2020091700438</t>
  </si>
  <si>
    <t>PL2020091000658</t>
  </si>
  <si>
    <t>PL2020091000701</t>
  </si>
  <si>
    <t>PL2020092300425</t>
  </si>
  <si>
    <t>PL2020100900475</t>
  </si>
  <si>
    <t>PL2020100100124</t>
  </si>
  <si>
    <t>PL2020100100590</t>
  </si>
  <si>
    <t>PL2020093000435</t>
  </si>
  <si>
    <t>PL2020091700068</t>
  </si>
  <si>
    <t>PL2020092300541</t>
  </si>
  <si>
    <t>PL2020101900232</t>
  </si>
  <si>
    <t>PL2020100500691</t>
  </si>
  <si>
    <t>PL2020100500697</t>
  </si>
  <si>
    <t>PL2020100500701</t>
  </si>
  <si>
    <t>PL2020100600659</t>
  </si>
  <si>
    <t>PL2020100500770</t>
  </si>
  <si>
    <t>PL2020100500772</t>
  </si>
  <si>
    <t>PL2020092400351</t>
  </si>
  <si>
    <t>PL2020100500681</t>
  </si>
  <si>
    <t>PL2020100900291</t>
  </si>
  <si>
    <t>PL2020092900296</t>
  </si>
  <si>
    <t>PL2020100900470</t>
  </si>
  <si>
    <t>PL2020100500598</t>
  </si>
  <si>
    <t>PL2020100500656</t>
  </si>
  <si>
    <t>PL2020100500664</t>
  </si>
  <si>
    <t>PL2020093000371</t>
  </si>
  <si>
    <t>PL2020093000381</t>
  </si>
  <si>
    <t>KR5JA19</t>
  </si>
  <si>
    <t>PL2020100600591</t>
  </si>
  <si>
    <t>PL2020100600632</t>
  </si>
  <si>
    <t>PL2020100900410</t>
  </si>
  <si>
    <t>KR996E</t>
  </si>
  <si>
    <t>PL2020110300203</t>
  </si>
  <si>
    <t>PL2020101600663</t>
  </si>
  <si>
    <t>PL2020102300028</t>
  </si>
  <si>
    <t>PL2020101500648</t>
  </si>
  <si>
    <t>PL2020102200666</t>
  </si>
  <si>
    <t>PL2020110400234</t>
  </si>
  <si>
    <t>PL2020101600464</t>
  </si>
  <si>
    <t>PL2020102000224</t>
  </si>
  <si>
    <t>PL2020101600666</t>
  </si>
  <si>
    <t>PL2020101900069</t>
  </si>
  <si>
    <t>PL2020102000471</t>
  </si>
  <si>
    <t>PL2020110400278</t>
  </si>
  <si>
    <t>PL2020110400313</t>
  </si>
  <si>
    <t>PL2020101300167</t>
  </si>
  <si>
    <t>PL2020110300178</t>
  </si>
  <si>
    <t>PL2020110400176</t>
  </si>
  <si>
    <t>PL2020102300041</t>
  </si>
  <si>
    <t>PL2020102000217</t>
  </si>
  <si>
    <t>PL2020102000288</t>
  </si>
  <si>
    <t>KR5JA20</t>
  </si>
  <si>
    <t>PL2020110200476</t>
  </si>
  <si>
    <t>PL2020110200489</t>
  </si>
  <si>
    <t>PL2020110300290</t>
  </si>
  <si>
    <t>PL2020101500656</t>
  </si>
  <si>
    <t>PL2020101500663</t>
  </si>
  <si>
    <t>PL2020101500686</t>
  </si>
  <si>
    <t>PL2020101600481</t>
  </si>
  <si>
    <t>PL2020101600511</t>
  </si>
  <si>
    <t>PL2020101600581</t>
  </si>
  <si>
    <t>PL2020101600584</t>
  </si>
  <si>
    <t>PL2020101600649</t>
  </si>
  <si>
    <t>PL2020101900116</t>
  </si>
  <si>
    <t>PL2020101900131</t>
  </si>
  <si>
    <t>PL2020101900137</t>
  </si>
  <si>
    <t>PL2020110300233</t>
  </si>
  <si>
    <t>PL2020110600476</t>
  </si>
  <si>
    <t>PL2020101900300</t>
  </si>
  <si>
    <t>PL2020102700074</t>
  </si>
  <si>
    <t>PL2020103000488</t>
  </si>
  <si>
    <t>PL2020102600383</t>
  </si>
  <si>
    <t>PL2020103000507</t>
  </si>
  <si>
    <t>PL2020110400399</t>
  </si>
  <si>
    <t>PL2020103000502</t>
  </si>
  <si>
    <t>KR5JA18</t>
  </si>
  <si>
    <t>PL2020102600386</t>
  </si>
  <si>
    <t>PL2020110300136</t>
  </si>
  <si>
    <t>PL2020110300310</t>
  </si>
  <si>
    <t>PL2020110300342</t>
  </si>
  <si>
    <t>PL2020110400221</t>
  </si>
  <si>
    <t>PL2020110400320</t>
  </si>
  <si>
    <t>PL2020110600454</t>
  </si>
  <si>
    <t>PL2020102300106</t>
  </si>
  <si>
    <t>PL2020110200418</t>
  </si>
  <si>
    <t>PL2020110300218</t>
  </si>
  <si>
    <t>PL2020110400280</t>
  </si>
  <si>
    <t>PL2020102300584</t>
  </si>
  <si>
    <t>PL2020102300588</t>
  </si>
  <si>
    <t>PL2020102600175</t>
  </si>
  <si>
    <t>PL2020102600186</t>
  </si>
  <si>
    <t>PL2020102600231</t>
  </si>
  <si>
    <t>PL2020102600253</t>
  </si>
  <si>
    <t>PL2020102600268</t>
  </si>
  <si>
    <t>PL2020102600296</t>
  </si>
  <si>
    <t>PL2020102600346</t>
  </si>
  <si>
    <t>PL2020102600460</t>
  </si>
  <si>
    <t>PL2020102600505</t>
  </si>
  <si>
    <t>PL2020102600510</t>
  </si>
  <si>
    <t>PL2020102600519</t>
  </si>
  <si>
    <t>PL2020102600527</t>
  </si>
  <si>
    <t>PL2020102700606</t>
  </si>
  <si>
    <t>PL2020102700619</t>
  </si>
  <si>
    <t>PL2020102800112</t>
  </si>
  <si>
    <t>PL2020102800194</t>
  </si>
  <si>
    <t>PL2020102800221</t>
  </si>
  <si>
    <t>PL2020102800226</t>
  </si>
  <si>
    <t>PL2020102800406</t>
  </si>
  <si>
    <t>PL2020103000182</t>
  </si>
  <si>
    <t>PL2020103000246</t>
  </si>
  <si>
    <t>PL2020103000248</t>
  </si>
  <si>
    <t>PL2020103000270</t>
  </si>
  <si>
    <t>PL2020103000359</t>
  </si>
  <si>
    <t>PL2020103000362</t>
  </si>
  <si>
    <t>PL2020103000379</t>
  </si>
  <si>
    <t>PL2020103000387</t>
  </si>
  <si>
    <t>PL2020103000396</t>
  </si>
  <si>
    <t>PL2020103000400</t>
  </si>
  <si>
    <t>PL2020103000402</t>
  </si>
  <si>
    <t>PL2020103000407</t>
  </si>
  <si>
    <t>PL2020103000417</t>
  </si>
  <si>
    <t>PL2020103000419</t>
  </si>
  <si>
    <t>PL2020103000422</t>
  </si>
  <si>
    <t>PL2020103000426</t>
  </si>
  <si>
    <t>PL2020103000435</t>
  </si>
  <si>
    <t>PL2020103000463</t>
  </si>
  <si>
    <t>PL2020103000468</t>
  </si>
  <si>
    <t>PL2020103000469</t>
  </si>
  <si>
    <t>PL2020103000471</t>
  </si>
  <si>
    <t>PL2020103000473</t>
  </si>
  <si>
    <t>PL2020103000476</t>
  </si>
  <si>
    <t>PL2020103000478</t>
  </si>
  <si>
    <t>PL2020103000480</t>
  </si>
  <si>
    <t>PL2020103000484</t>
  </si>
  <si>
    <t>PL2020110300347</t>
  </si>
  <si>
    <t>PL2020110400343</t>
  </si>
  <si>
    <t>PL2020102800446</t>
  </si>
  <si>
    <t>PL2020102800495</t>
  </si>
  <si>
    <t>PL2020102800502</t>
  </si>
  <si>
    <t>PL2020110200315</t>
  </si>
  <si>
    <t>PL2020110400545</t>
  </si>
  <si>
    <t>PL2020110400563</t>
  </si>
  <si>
    <t>KR5JA42</t>
  </si>
  <si>
    <t>PL2020110400583</t>
  </si>
  <si>
    <t>PL2020110400588</t>
  </si>
  <si>
    <t>PL2020110400597</t>
  </si>
  <si>
    <t>PL2020110400601</t>
  </si>
  <si>
    <t>PL2020110400605</t>
  </si>
  <si>
    <t>PL2020110600445</t>
  </si>
  <si>
    <t>PL2020110600451</t>
  </si>
  <si>
    <t>PL2020110600457</t>
  </si>
  <si>
    <t>PL2020110900701</t>
  </si>
  <si>
    <t>PL2020110200288</t>
  </si>
  <si>
    <t>PL2020110200416</t>
  </si>
  <si>
    <t>PL2020110200446</t>
  </si>
  <si>
    <t>PL2020110200492</t>
  </si>
  <si>
    <t>PL2020110200507</t>
  </si>
  <si>
    <t>PL2020110200518</t>
  </si>
  <si>
    <t>PL2020110200538</t>
  </si>
  <si>
    <t>PL2020110300129</t>
  </si>
  <si>
    <t>PL2020110300141</t>
  </si>
  <si>
    <t>PL2020110300147</t>
  </si>
  <si>
    <t>PL2020110300159</t>
  </si>
  <si>
    <t>PL2020110300183</t>
  </si>
  <si>
    <t>PL2020110300214</t>
  </si>
  <si>
    <t>PL2020110300226</t>
  </si>
  <si>
    <t>PL2020110400285</t>
  </si>
  <si>
    <t>PL2020110400289</t>
  </si>
  <si>
    <t>PL2020110400333</t>
  </si>
  <si>
    <t>PL2020110400362</t>
  </si>
  <si>
    <t>PL2020110400367</t>
  </si>
  <si>
    <t>PL2020110400383</t>
  </si>
  <si>
    <t>PL2020110400407</t>
  </si>
  <si>
    <t>PL2020110400423</t>
  </si>
  <si>
    <t>PL2020110400429</t>
  </si>
  <si>
    <t>PL2020110400437</t>
  </si>
  <si>
    <t>PL2020110400472</t>
  </si>
  <si>
    <t>PL2020110500138</t>
  </si>
  <si>
    <t>PL2020110200278</t>
  </si>
  <si>
    <t>PL2020110200282</t>
  </si>
  <si>
    <t>PL2020110300358</t>
  </si>
  <si>
    <t>PL2020110300371</t>
  </si>
  <si>
    <t>PL2020110400225</t>
  </si>
  <si>
    <t>KR5JA43</t>
  </si>
  <si>
    <t>PL2020110400238</t>
  </si>
  <si>
    <t>PL2020110400247</t>
  </si>
  <si>
    <t>PL2020110400620</t>
  </si>
  <si>
    <t>PL2020110600386</t>
  </si>
  <si>
    <t>PL2020110600391</t>
  </si>
  <si>
    <t>PL2020110600399</t>
  </si>
  <si>
    <t>PL2020110600405</t>
  </si>
  <si>
    <t>PL2020110600481</t>
  </si>
  <si>
    <t>PL2020110900276</t>
  </si>
  <si>
    <t>PL2020110900291</t>
  </si>
  <si>
    <t>PL2020110400611</t>
  </si>
  <si>
    <t>PL2020110400615</t>
  </si>
  <si>
    <t>PL2020110400633</t>
  </si>
  <si>
    <t>PL2020110400635</t>
  </si>
  <si>
    <t>PL2020110900581</t>
  </si>
  <si>
    <t>PL2020110900608</t>
  </si>
  <si>
    <t>PL2020110900170</t>
  </si>
  <si>
    <t>PL2020110900242</t>
  </si>
  <si>
    <t>PL2020110900518</t>
  </si>
  <si>
    <t>PL2020110900522</t>
  </si>
  <si>
    <t>PL2020111900416</t>
  </si>
  <si>
    <t>PL2020110600396</t>
  </si>
  <si>
    <t>PL2020110600419</t>
  </si>
  <si>
    <t>KR5JA45</t>
  </si>
  <si>
    <t>PL2020110600433</t>
  </si>
  <si>
    <t>PL2020110600462</t>
  </si>
  <si>
    <t>PL2020110600468</t>
  </si>
  <si>
    <t>PL2020110600485</t>
  </si>
  <si>
    <t>PL2020110600487</t>
  </si>
  <si>
    <t>PL2020110900321</t>
  </si>
  <si>
    <t>PL2020110900323</t>
  </si>
  <si>
    <t>PL2020110900332</t>
  </si>
  <si>
    <t>PL2020110900339</t>
  </si>
  <si>
    <t>PL2020110900341</t>
  </si>
  <si>
    <t>PL2020110900345</t>
  </si>
  <si>
    <t>PL2020110900351</t>
  </si>
  <si>
    <t>PL2020110900354</t>
  </si>
  <si>
    <t>PL2020110900360</t>
  </si>
  <si>
    <t>PL2020110900391</t>
  </si>
  <si>
    <t>PL2020110900397</t>
  </si>
  <si>
    <t>PL2020110900401</t>
  </si>
  <si>
    <t>PL2020110900404</t>
  </si>
  <si>
    <t>KR5JA32</t>
  </si>
  <si>
    <t>PL2020110900451</t>
  </si>
  <si>
    <t>PL2020110900423</t>
  </si>
  <si>
    <t>PL2020110900434</t>
  </si>
  <si>
    <t>PL2020110900448</t>
  </si>
  <si>
    <t>PL2020110900449</t>
  </si>
  <si>
    <t>PL2020110900529</t>
  </si>
  <si>
    <t>PL2020110900547</t>
  </si>
  <si>
    <t>PL2020110900552</t>
  </si>
  <si>
    <t>PL2020110900571</t>
  </si>
  <si>
    <t>PL2020110900579</t>
  </si>
  <si>
    <t>PL2020110900614</t>
  </si>
  <si>
    <t>PL2020110900622</t>
  </si>
  <si>
    <t>PL2020111000045</t>
  </si>
  <si>
    <t>PL2020111000053</t>
  </si>
  <si>
    <t>PL2020111000059</t>
  </si>
  <si>
    <t>PL2020111000061</t>
  </si>
  <si>
    <t>PL2020111000065</t>
  </si>
  <si>
    <t>PL2020110900585</t>
  </si>
  <si>
    <t>PL2020110900592</t>
  </si>
  <si>
    <t>PL2020110900594</t>
  </si>
  <si>
    <t>PL2020110900599</t>
  </si>
  <si>
    <t>PL2020110900693</t>
  </si>
  <si>
    <t>PL2020110900694</t>
  </si>
  <si>
    <t>PL2020110900695</t>
  </si>
  <si>
    <t>PL2020110900696</t>
  </si>
  <si>
    <t>PL2020110900698</t>
  </si>
  <si>
    <t>PL2020110900703</t>
  </si>
  <si>
    <t>PL2020110900704</t>
  </si>
  <si>
    <t>PL2020110900705</t>
  </si>
  <si>
    <t>PL2020110900707</t>
  </si>
  <si>
    <t>PL2020111000078</t>
  </si>
  <si>
    <t>PL2020111000086</t>
  </si>
  <si>
    <t>PL2020111000094</t>
  </si>
  <si>
    <t>PL2020111000110</t>
  </si>
  <si>
    <t>PL2020111000130</t>
  </si>
  <si>
    <t>PL2020111000131</t>
  </si>
  <si>
    <t>PL2020111000497</t>
  </si>
  <si>
    <t>PL2020111000481</t>
  </si>
  <si>
    <t>PL2020111000526</t>
  </si>
  <si>
    <t>PL2020111700270</t>
  </si>
  <si>
    <t>3308098/1</t>
  </si>
  <si>
    <t>3307445/1</t>
  </si>
  <si>
    <t>3332963/1</t>
  </si>
  <si>
    <t>3305608/1</t>
  </si>
  <si>
    <t>3305563/1</t>
  </si>
  <si>
    <t>PL2020112400341</t>
  </si>
  <si>
    <t>3308469/1</t>
  </si>
  <si>
    <t>3308483/1</t>
  </si>
  <si>
    <t>3310575/1</t>
  </si>
  <si>
    <t>3333894/1</t>
  </si>
  <si>
    <t>3334382/1</t>
  </si>
  <si>
    <t>3334382/2</t>
  </si>
  <si>
    <t>3334382/3</t>
  </si>
  <si>
    <t>3334382/4</t>
  </si>
  <si>
    <t>3334456/1</t>
  </si>
  <si>
    <t>3335532/1</t>
  </si>
  <si>
    <t>3403275/1</t>
  </si>
  <si>
    <t>3366782/1</t>
  </si>
  <si>
    <t>3366785/1</t>
  </si>
  <si>
    <t>3366387/1</t>
  </si>
  <si>
    <t>3366439/1</t>
  </si>
  <si>
    <t>3366478/1</t>
  </si>
  <si>
    <t>PL2020121800481</t>
  </si>
  <si>
    <t>PL2020121800491</t>
  </si>
  <si>
    <t>3391600/1</t>
  </si>
  <si>
    <t>3391604/1</t>
  </si>
  <si>
    <t>3391605/1</t>
  </si>
  <si>
    <t>3391930/1</t>
  </si>
  <si>
    <t>3391946/1</t>
  </si>
  <si>
    <t>3391958/1</t>
  </si>
  <si>
    <t>3392058/1</t>
  </si>
  <si>
    <t>PL2021011400211</t>
  </si>
  <si>
    <t>PL2021011300450</t>
  </si>
  <si>
    <t>3407027/1</t>
  </si>
  <si>
    <t>3407036/1</t>
  </si>
  <si>
    <t>3402340/1</t>
  </si>
  <si>
    <t>3403302/1</t>
  </si>
  <si>
    <t>3402260/1</t>
  </si>
  <si>
    <t>3402363/1</t>
  </si>
  <si>
    <t>3403225/1</t>
  </si>
  <si>
    <t>3403234/1</t>
  </si>
  <si>
    <t>3403467/1</t>
  </si>
  <si>
    <t>3403477/1</t>
  </si>
  <si>
    <t>3403502/1</t>
  </si>
  <si>
    <t>3403512/1</t>
  </si>
  <si>
    <t>3403519/1</t>
  </si>
  <si>
    <t>PL2021031200572</t>
  </si>
  <si>
    <t>PL2021031200580</t>
  </si>
  <si>
    <t>PL2021031800167</t>
  </si>
  <si>
    <t>3455895/1</t>
  </si>
  <si>
    <t>3455969/1</t>
  </si>
  <si>
    <t>3456478/1</t>
  </si>
  <si>
    <t>3456539/1</t>
  </si>
  <si>
    <t>3456559/1</t>
  </si>
  <si>
    <t>3456582/1</t>
  </si>
  <si>
    <t>PL2021061100205</t>
  </si>
  <si>
    <t>PL2021021000599</t>
  </si>
  <si>
    <t>KR3NT08</t>
  </si>
  <si>
    <t>3487099/1</t>
  </si>
  <si>
    <t>3487104/1</t>
  </si>
  <si>
    <t>3487108/1</t>
  </si>
  <si>
    <t>3487110/1</t>
  </si>
  <si>
    <t>3487112/1</t>
  </si>
  <si>
    <t>PL2021031200619</t>
  </si>
  <si>
    <t>PL2021022600366</t>
  </si>
  <si>
    <t>3490259/1</t>
  </si>
  <si>
    <t>3502355/1</t>
  </si>
  <si>
    <t>PL2021031200365</t>
  </si>
  <si>
    <t>PL2021031100305</t>
  </si>
  <si>
    <t>3549674/1</t>
  </si>
  <si>
    <t>PL2021031200570</t>
  </si>
  <si>
    <t>PL2021031100283</t>
  </si>
  <si>
    <t>3560184/1</t>
  </si>
  <si>
    <t>PL2021031200475</t>
  </si>
  <si>
    <t>PL2021031600370</t>
  </si>
  <si>
    <t>PL2021031600433</t>
  </si>
  <si>
    <t>PL2021031600453</t>
  </si>
  <si>
    <t>PL2021031600248</t>
  </si>
  <si>
    <t>3560194/1</t>
  </si>
  <si>
    <t>3560201/1</t>
  </si>
  <si>
    <t>3553060/1</t>
  </si>
  <si>
    <t>3553097/1</t>
  </si>
  <si>
    <t>PL2021032680077</t>
  </si>
  <si>
    <t>PL2021041282157</t>
  </si>
  <si>
    <t>PL2021041300525</t>
  </si>
  <si>
    <t>3615429/1</t>
  </si>
  <si>
    <t>3618841/1</t>
  </si>
  <si>
    <t>3893153/1</t>
  </si>
  <si>
    <t>PL2021042700351</t>
  </si>
  <si>
    <t>PL2021043000066</t>
  </si>
  <si>
    <t>PL2021043000073</t>
  </si>
  <si>
    <t>PL2021043000113</t>
  </si>
  <si>
    <t>PL2021043000136</t>
  </si>
  <si>
    <t>3675442/1</t>
  </si>
  <si>
    <t>PL2021050500479</t>
  </si>
  <si>
    <t>PL2021050600485</t>
  </si>
  <si>
    <t>KR645Y</t>
  </si>
  <si>
    <t>PL2021051300019</t>
  </si>
  <si>
    <t>PL2021051300254</t>
  </si>
  <si>
    <t>3685452/1</t>
  </si>
  <si>
    <t>3692187/1</t>
  </si>
  <si>
    <t>PL2021061800370</t>
  </si>
  <si>
    <t>3696362/1</t>
  </si>
  <si>
    <t>PL2021062200530</t>
  </si>
  <si>
    <t>3765111/1</t>
  </si>
  <si>
    <t>PL2021070900538</t>
  </si>
  <si>
    <t>PL2021072700546</t>
  </si>
  <si>
    <t>PL2021071400550</t>
  </si>
  <si>
    <t>PL2021071400575</t>
  </si>
  <si>
    <t>PL2021071400582</t>
  </si>
  <si>
    <t>PL2021071400603</t>
  </si>
  <si>
    <t>PL2021071400611</t>
  </si>
  <si>
    <t>PL2021071400615</t>
  </si>
  <si>
    <t>PL2021071400618</t>
  </si>
  <si>
    <t>PL2021071400623</t>
  </si>
  <si>
    <t>PL2021071400673</t>
  </si>
  <si>
    <t>PL2021071400677</t>
  </si>
  <si>
    <t>PL2021071400690</t>
  </si>
  <si>
    <t>PL2021071400691</t>
  </si>
  <si>
    <t>PL2021071400699</t>
  </si>
  <si>
    <t>PL2021071400704</t>
  </si>
  <si>
    <t>PL2021071400708</t>
  </si>
  <si>
    <t>PL2021071400712</t>
  </si>
  <si>
    <t>PL2021071400716</t>
  </si>
  <si>
    <t>PL2021071400721</t>
  </si>
  <si>
    <t>PL2021071400726</t>
  </si>
  <si>
    <t>PL2021071400730</t>
  </si>
  <si>
    <t>PL2021071400732</t>
  </si>
  <si>
    <t>PL2021071400737</t>
  </si>
  <si>
    <t>PL2021071400748</t>
  </si>
  <si>
    <t>3832624/1</t>
  </si>
  <si>
    <t>PL2021072000439</t>
  </si>
  <si>
    <t>PL2021072000482</t>
  </si>
  <si>
    <t>PL2021072700564</t>
  </si>
  <si>
    <t>PL2021080300175</t>
  </si>
  <si>
    <t>3896279/1</t>
  </si>
  <si>
    <t>3903877/1</t>
  </si>
  <si>
    <t>PL2021091400468</t>
  </si>
  <si>
    <t>3949612/1</t>
  </si>
  <si>
    <t>3969970/1</t>
  </si>
  <si>
    <t>PL2021092080032</t>
  </si>
  <si>
    <t>PL2021092100357</t>
  </si>
  <si>
    <t>3972312/1</t>
  </si>
  <si>
    <t>PL2021101380521</t>
  </si>
  <si>
    <t>PL2021101800389</t>
  </si>
  <si>
    <t>4053792/1</t>
  </si>
  <si>
    <t>4053792/2</t>
  </si>
  <si>
    <t>4056584/1</t>
  </si>
  <si>
    <t>4056655/1</t>
  </si>
  <si>
    <t>4089571/1</t>
  </si>
  <si>
    <t>4056641/1</t>
  </si>
  <si>
    <t>4255369/1</t>
  </si>
  <si>
    <t>4059643/1</t>
  </si>
  <si>
    <t>4059643/2</t>
  </si>
  <si>
    <t>4064350/1</t>
  </si>
  <si>
    <t>4096019/1</t>
  </si>
  <si>
    <t>4096019/2</t>
  </si>
  <si>
    <t>4095995/1</t>
  </si>
  <si>
    <t>4096830/1</t>
  </si>
  <si>
    <t>4096830/2</t>
  </si>
  <si>
    <t>4101009/1</t>
  </si>
  <si>
    <t>4164533/1</t>
  </si>
  <si>
    <t>4250461/1</t>
  </si>
  <si>
    <t>4250577/1</t>
  </si>
  <si>
    <t>4310682/1</t>
  </si>
  <si>
    <t>4319027/1</t>
  </si>
  <si>
    <t>4320395/1</t>
  </si>
  <si>
    <t>4326837/1</t>
  </si>
  <si>
    <t>4325185/1</t>
  </si>
  <si>
    <t>4325185/2</t>
  </si>
  <si>
    <t>4331061/1</t>
  </si>
  <si>
    <t>4328023/1</t>
  </si>
  <si>
    <t>4392899/1</t>
  </si>
  <si>
    <t>4401746/1</t>
  </si>
  <si>
    <t>4408941/1</t>
  </si>
  <si>
    <t>4411651/1</t>
  </si>
  <si>
    <t>4484002/1</t>
  </si>
  <si>
    <t>4484119/1</t>
  </si>
  <si>
    <t>4484075/1</t>
  </si>
  <si>
    <t>4481897/1</t>
  </si>
  <si>
    <t>4485840/1</t>
  </si>
  <si>
    <t>4484879/1</t>
  </si>
  <si>
    <t>4540927/1</t>
  </si>
  <si>
    <t>4541518/1</t>
  </si>
  <si>
    <t>4545526/1</t>
  </si>
  <si>
    <t>4550053/1</t>
  </si>
  <si>
    <t>4548950/1</t>
  </si>
  <si>
    <t>4548950/2</t>
  </si>
  <si>
    <t>4550992/1</t>
  </si>
  <si>
    <t>4630162/1</t>
  </si>
  <si>
    <t>4645358/1</t>
  </si>
  <si>
    <t>4639151/1</t>
  </si>
  <si>
    <t>4643838/1</t>
  </si>
  <si>
    <t>4646887/1</t>
  </si>
  <si>
    <t>4646556/1</t>
  </si>
  <si>
    <t>4646618/1</t>
  </si>
  <si>
    <t>4881946/1</t>
  </si>
  <si>
    <t>4720410/1</t>
  </si>
  <si>
    <t>4727369/1</t>
  </si>
  <si>
    <t>4734485/1</t>
  </si>
  <si>
    <t>4734451/2</t>
  </si>
  <si>
    <t>4734451/1</t>
  </si>
  <si>
    <t>4734446/1</t>
  </si>
  <si>
    <t>4881925/1</t>
  </si>
  <si>
    <t>4734413/1</t>
  </si>
  <si>
    <t>4734371/1</t>
  </si>
  <si>
    <t>4796924/1</t>
  </si>
  <si>
    <t>4818128/1</t>
  </si>
  <si>
    <t>4805792/1</t>
  </si>
  <si>
    <t>4807527/1</t>
  </si>
  <si>
    <t>4810950/1</t>
  </si>
  <si>
    <t>4810972/1</t>
  </si>
  <si>
    <t>4812247/1</t>
  </si>
  <si>
    <t>4883259/1</t>
  </si>
  <si>
    <t>4883288/1</t>
  </si>
  <si>
    <t>4883296/1</t>
  </si>
  <si>
    <t>4883283/1</t>
  </si>
  <si>
    <t>4883281/1</t>
  </si>
  <si>
    <t>4942638/1</t>
  </si>
  <si>
    <t>KR3NY16</t>
  </si>
  <si>
    <t>4944337/1</t>
  </si>
  <si>
    <t>5032346/1</t>
  </si>
  <si>
    <t>5032008/1</t>
  </si>
  <si>
    <t>5119210/1</t>
  </si>
  <si>
    <t>4951030/1</t>
  </si>
  <si>
    <t>5033288/2</t>
  </si>
  <si>
    <t>5033288/1</t>
  </si>
  <si>
    <t>5113523/1</t>
  </si>
  <si>
    <t>5131828/1</t>
  </si>
  <si>
    <t>5251027/1</t>
  </si>
  <si>
    <t>5264205/1</t>
  </si>
  <si>
    <t>5260917/1</t>
  </si>
  <si>
    <t>5355065/1</t>
  </si>
  <si>
    <t>5261277/1</t>
  </si>
  <si>
    <t>5260504/1</t>
  </si>
  <si>
    <t>5260903/1</t>
  </si>
  <si>
    <t>5261829/1</t>
  </si>
  <si>
    <t>5351988/1</t>
  </si>
  <si>
    <t>6448596/1</t>
  </si>
  <si>
    <t>5343404/1</t>
  </si>
  <si>
    <t>5343951/1</t>
  </si>
  <si>
    <t>5342872/1</t>
  </si>
  <si>
    <t>5343395/1</t>
  </si>
  <si>
    <t>5349997/1</t>
  </si>
  <si>
    <t>5355891/1</t>
  </si>
  <si>
    <t>5352021/1</t>
  </si>
  <si>
    <t>5411874/1</t>
  </si>
  <si>
    <t>5415603/1</t>
  </si>
  <si>
    <t>5418308/1</t>
  </si>
  <si>
    <t>5435006/1</t>
  </si>
  <si>
    <t>5426663/1</t>
  </si>
  <si>
    <t>5531559/1</t>
  </si>
  <si>
    <t>5531559/2</t>
  </si>
  <si>
    <t>5434712/1</t>
  </si>
  <si>
    <t>5540268/1</t>
  </si>
  <si>
    <t>5550278/1</t>
  </si>
  <si>
    <t>5643313/1</t>
  </si>
  <si>
    <t>5643576/1</t>
  </si>
  <si>
    <t>5653884/1</t>
  </si>
  <si>
    <t>5710236/1</t>
  </si>
  <si>
    <t>5722673/1</t>
  </si>
  <si>
    <t>5722470/1</t>
  </si>
  <si>
    <t>5816112/1</t>
  </si>
  <si>
    <t>5815134/1</t>
  </si>
  <si>
    <t>5815139/1</t>
  </si>
  <si>
    <t>5816038/1</t>
  </si>
  <si>
    <t>5819759/1</t>
  </si>
  <si>
    <t>5821904/1</t>
  </si>
  <si>
    <t>5821904/2</t>
  </si>
  <si>
    <t>5916612/1</t>
  </si>
  <si>
    <t>6045746/1</t>
  </si>
  <si>
    <t>6038723/1</t>
  </si>
  <si>
    <t>6118010/1</t>
  </si>
  <si>
    <t>6117977/1</t>
  </si>
  <si>
    <t>6117982/1</t>
  </si>
  <si>
    <t>6134375/1</t>
  </si>
  <si>
    <t>6129659/1</t>
  </si>
  <si>
    <t>6126204/1</t>
  </si>
  <si>
    <t>6134213/1</t>
  </si>
  <si>
    <t>6229105/1</t>
  </si>
  <si>
    <t>6221601/2</t>
  </si>
  <si>
    <t>6221601/1</t>
  </si>
  <si>
    <t>6224706/1</t>
  </si>
  <si>
    <t>6441233/1</t>
  </si>
  <si>
    <t>6229757/1</t>
  </si>
  <si>
    <t>6341167/1</t>
  </si>
  <si>
    <t>6327581/1</t>
  </si>
  <si>
    <t>6327656/1</t>
  </si>
  <si>
    <t>6338582/1</t>
  </si>
  <si>
    <t>6443226/1</t>
  </si>
  <si>
    <t>6541882/1</t>
  </si>
  <si>
    <t>6553161/1</t>
  </si>
  <si>
    <t>6549576/2</t>
  </si>
  <si>
    <t>6549576/1</t>
  </si>
  <si>
    <t>6560031/1</t>
  </si>
  <si>
    <t>6629449/1</t>
  </si>
  <si>
    <t>6559468/1</t>
  </si>
  <si>
    <t>6559468/2</t>
  </si>
  <si>
    <t>6628757/1</t>
  </si>
  <si>
    <t>6628688/1</t>
  </si>
  <si>
    <t>6631050/1</t>
  </si>
  <si>
    <t>6629425/1</t>
  </si>
  <si>
    <t>6631117/1</t>
  </si>
  <si>
    <t>6641962/1</t>
  </si>
  <si>
    <t>6641654/1</t>
  </si>
  <si>
    <t>6722222/1</t>
  </si>
  <si>
    <t>6735405/1</t>
  </si>
  <si>
    <t>6722264/1</t>
  </si>
  <si>
    <t>6723235/1</t>
  </si>
  <si>
    <t>6732905/1</t>
  </si>
  <si>
    <t>6734395/1</t>
  </si>
  <si>
    <t>6832250/1</t>
  </si>
  <si>
    <t>6829987/1</t>
  </si>
  <si>
    <t>6832904/1</t>
  </si>
  <si>
    <t>6832514/1</t>
  </si>
  <si>
    <t>6831891/1</t>
  </si>
  <si>
    <t>6832192/1</t>
  </si>
  <si>
    <t>6833063/1</t>
  </si>
  <si>
    <t>6835848/1</t>
  </si>
  <si>
    <t>6949567/1</t>
  </si>
  <si>
    <t>6961878/1</t>
  </si>
  <si>
    <t>6955699/1</t>
  </si>
  <si>
    <t>6953055/1</t>
  </si>
  <si>
    <t>6953086/1</t>
  </si>
  <si>
    <t>6954497/1</t>
  </si>
  <si>
    <t>6961921/1</t>
  </si>
  <si>
    <t>6960299/1</t>
  </si>
  <si>
    <t>6963574/1</t>
  </si>
  <si>
    <t>6959321/2</t>
  </si>
  <si>
    <t>6959321/1</t>
  </si>
  <si>
    <t>6974064/1</t>
  </si>
  <si>
    <t>6970686/1</t>
  </si>
  <si>
    <t>6963649/1</t>
  </si>
  <si>
    <t>6970575/1</t>
  </si>
  <si>
    <t>OC+AC+NNW+ASS</t>
  </si>
  <si>
    <t>OC+AC+NNW</t>
  </si>
  <si>
    <t>OC+AC</t>
  </si>
  <si>
    <t>Początek okresu ubezpieczenia</t>
  </si>
  <si>
    <t>Koniec okresu ubezpieczenia</t>
  </si>
  <si>
    <t>7155496/1</t>
  </si>
  <si>
    <t>7154278/1</t>
  </si>
  <si>
    <t>7152462/1</t>
  </si>
  <si>
    <t>7152035/1</t>
  </si>
  <si>
    <t>7152029/1</t>
  </si>
  <si>
    <t>7146910/1</t>
  </si>
  <si>
    <t>7144411/1</t>
  </si>
  <si>
    <t>7144361/1</t>
  </si>
  <si>
    <t>7144353/1</t>
  </si>
  <si>
    <t>7142989/1</t>
  </si>
  <si>
    <t>7142466/1</t>
  </si>
  <si>
    <t>7140873/1</t>
  </si>
  <si>
    <t>7086621/1</t>
  </si>
  <si>
    <t>7086553/1</t>
  </si>
  <si>
    <t>6970575/2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</si>
</sst>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name val="Aptos Narrow"/>
    </font>
    <font>
      <sz val="11"/>
      <color theme="1"/>
      <name val="Aptos Narrow"/>
      <family val="2"/>
      <charset val="238"/>
      <scheme val="minor"/>
    </font>
    <font>
      <sz val="8"/>
      <name val="Aptos Narrow"/>
      <family val="2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14" fontId="0" fillId="0" borderId="3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49" fontId="4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</cellXfs>
  <cellStyles count="1">
    <cellStyle name="Normalny" xfId="0" builtinId="0"/>
  </cellStyles>
  <dxfs count="20">
    <dxf>
      <numFmt numFmtId="30" formatCode="@"/>
    </dxf>
    <dxf>
      <numFmt numFmtId="30" formatCode="@"/>
    </dxf>
    <dxf>
      <numFmt numFmtId="164" formatCode="#,##0.00\ &quot;zł&quot;"/>
    </dxf>
    <dxf>
      <numFmt numFmtId="19" formatCode="dd/mm/yyyy"/>
    </dxf>
    <dxf>
      <numFmt numFmtId="19" formatCode="dd/mm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80" totalsRowShown="0">
  <autoFilter ref="A1:R80" xr:uid="{00000000-0009-0000-0100-000001000000}"/>
  <sortState xmlns:xlrd2="http://schemas.microsoft.com/office/spreadsheetml/2017/richdata2" ref="A2:R80">
    <sortCondition ref="N1:N80"/>
  </sortState>
  <tableColumns count="18">
    <tableColumn id="4" xr3:uid="{00000000-0010-0000-0000-000004000000}" name="Lp" totalsRowDxfId="19"/>
    <tableColumn id="25" xr3:uid="{A5491B70-E983-4977-A874-8028B8331DB7}" name="Ubezpieczający" dataDxfId="18" totalsRowDxfId="17"/>
    <tableColumn id="5" xr3:uid="{00000000-0010-0000-0000-000005000000}" name="Właściciel pojazdu" totalsRowDxfId="16"/>
    <tableColumn id="6" xr3:uid="{00000000-0010-0000-0000-000006000000}" name="Nr rejestracyjny" totalsRowDxfId="15"/>
    <tableColumn id="7" xr3:uid="{00000000-0010-0000-0000-000007000000}" name="Numer VIN" totalsRowDxfId="14"/>
    <tableColumn id="8" xr3:uid="{00000000-0010-0000-0000-000008000000}" name="Rodzaj pojazdu" totalsRowDxfId="13"/>
    <tableColumn id="9" xr3:uid="{00000000-0010-0000-0000-000009000000}" name="Marka" totalsRowDxfId="12"/>
    <tableColumn id="10" xr3:uid="{00000000-0010-0000-0000-00000A000000}" name="Model" totalsRowDxfId="11"/>
    <tableColumn id="11" xr3:uid="{00000000-0010-0000-0000-00000B000000}" name="Rok produkcji" totalsRowDxfId="10"/>
    <tableColumn id="12" xr3:uid="{00000000-0010-0000-0000-00000C000000}" name="Pojemność" totalsRowDxfId="9"/>
    <tableColumn id="13" xr3:uid="{00000000-0010-0000-0000-00000D000000}" name="Ładowność" totalsRowDxfId="8"/>
    <tableColumn id="26" xr3:uid="{F622AF68-CB51-4297-85AB-D72319E44AE3}" name="DMC" dataDxfId="7" totalsRowDxfId="6"/>
    <tableColumn id="14" xr3:uid="{00000000-0010-0000-0000-00000E000000}" name="Liczba miejsc" totalsRowDxfId="5"/>
    <tableColumn id="3" xr3:uid="{B9D37D54-EF04-4F4B-863C-02EC20EC86DA}" name="Początek okresu ubezpieczenia" dataDxfId="4"/>
    <tableColumn id="17" xr3:uid="{D596ADEE-437A-4560-8B95-97D25295513F}" name="Koniec okresu ubezpieczenia" dataDxfId="3"/>
    <tableColumn id="22" xr3:uid="{359B4359-A38F-40B0-91A7-D944581E96D7}" name="Suma ubezpieczenia AC" dataDxfId="2"/>
    <tableColumn id="28" xr3:uid="{00000000-0010-0000-0000-00001C000000}" name="Rodzaj SU" totalsRowDxfId="1"/>
    <tableColumn id="29" xr3:uid="{00000000-0010-0000-0000-00001D000000}" name="Zakres ubezpieczeni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R80"/>
  <sheetViews>
    <sheetView topLeftCell="E1" workbookViewId="0">
      <selection activeCell="P23" sqref="P23"/>
    </sheetView>
  </sheetViews>
  <sheetFormatPr defaultRowHeight="15" x14ac:dyDescent="0.25"/>
  <cols>
    <col min="1" max="1" width="5.42578125" style="1" bestFit="1" customWidth="1"/>
    <col min="2" max="2" width="18.140625" style="1" bestFit="1" customWidth="1"/>
    <col min="3" max="3" width="20.28515625" style="1" customWidth="1"/>
    <col min="4" max="4" width="17.7109375" style="1" bestFit="1" customWidth="1"/>
    <col min="5" max="6" width="21" style="1" customWidth="1"/>
    <col min="7" max="7" width="13.28515625" style="1" customWidth="1"/>
    <col min="8" max="8" width="16.28515625" style="1" customWidth="1"/>
    <col min="9" max="9" width="15.7109375" style="1" customWidth="1"/>
    <col min="10" max="12" width="13.28515625" style="2" customWidth="1"/>
    <col min="13" max="13" width="15.42578125" style="2" customWidth="1"/>
    <col min="14" max="14" width="31.7109375" style="3" bestFit="1" customWidth="1"/>
    <col min="15" max="15" width="29.85546875" style="3" customWidth="1"/>
    <col min="16" max="16" width="26" style="4" customWidth="1"/>
    <col min="17" max="17" width="12.140625" style="1" customWidth="1"/>
    <col min="18" max="18" width="22.7109375" style="1" bestFit="1" customWidth="1"/>
  </cols>
  <sheetData>
    <row r="1" spans="1:18" x14ac:dyDescent="0.25">
      <c r="A1" t="s">
        <v>242</v>
      </c>
      <c r="B1" t="s">
        <v>240</v>
      </c>
      <c r="C1" t="s">
        <v>0</v>
      </c>
      <c r="D1" t="s">
        <v>239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323</v>
      </c>
      <c r="M1" t="s">
        <v>8</v>
      </c>
      <c r="N1" t="s">
        <v>1108</v>
      </c>
      <c r="O1" t="s">
        <v>1109</v>
      </c>
      <c r="P1" s="4" t="s">
        <v>241</v>
      </c>
      <c r="Q1" t="s">
        <v>9</v>
      </c>
      <c r="R1" t="s">
        <v>322</v>
      </c>
    </row>
    <row r="2" spans="1:18" x14ac:dyDescent="0.25">
      <c r="A2" s="26" t="s">
        <v>243</v>
      </c>
      <c r="B2" s="1" t="s">
        <v>10</v>
      </c>
      <c r="C2" s="1" t="s">
        <v>10</v>
      </c>
      <c r="D2" s="1" t="s">
        <v>186</v>
      </c>
      <c r="E2" s="1" t="s">
        <v>187</v>
      </c>
      <c r="F2" s="1" t="s">
        <v>64</v>
      </c>
      <c r="G2" s="1" t="s">
        <v>107</v>
      </c>
      <c r="H2" s="1" t="s">
        <v>108</v>
      </c>
      <c r="I2" s="1" t="s">
        <v>109</v>
      </c>
      <c r="J2" s="2">
        <v>1248</v>
      </c>
      <c r="K2" s="2">
        <v>0</v>
      </c>
      <c r="M2" s="2">
        <v>5</v>
      </c>
      <c r="N2" s="3">
        <v>45608</v>
      </c>
      <c r="O2" s="3">
        <v>45972</v>
      </c>
      <c r="P2" s="4">
        <v>56321.72</v>
      </c>
      <c r="Q2" s="1" t="s">
        <v>17</v>
      </c>
      <c r="R2" s="1" t="s">
        <v>1105</v>
      </c>
    </row>
    <row r="3" spans="1:18" x14ac:dyDescent="0.25">
      <c r="A3" s="26" t="s">
        <v>244</v>
      </c>
      <c r="B3" s="1" t="s">
        <v>10</v>
      </c>
      <c r="C3" s="1" t="s">
        <v>10</v>
      </c>
      <c r="D3" s="1" t="s">
        <v>188</v>
      </c>
      <c r="E3" s="1" t="s">
        <v>189</v>
      </c>
      <c r="F3" s="1" t="s">
        <v>64</v>
      </c>
      <c r="G3" s="1" t="s">
        <v>107</v>
      </c>
      <c r="H3" s="1" t="s">
        <v>108</v>
      </c>
      <c r="I3" s="1" t="s">
        <v>109</v>
      </c>
      <c r="J3" s="2">
        <v>1248</v>
      </c>
      <c r="K3" s="2">
        <v>0</v>
      </c>
      <c r="M3" s="2">
        <v>5</v>
      </c>
      <c r="N3" s="3">
        <v>45608</v>
      </c>
      <c r="O3" s="3">
        <v>45972</v>
      </c>
      <c r="P3" s="4">
        <v>56621.72</v>
      </c>
      <c r="Q3" s="1" t="s">
        <v>17</v>
      </c>
      <c r="R3" s="1" t="s">
        <v>1105</v>
      </c>
    </row>
    <row r="4" spans="1:18" x14ac:dyDescent="0.25">
      <c r="A4" s="26" t="s">
        <v>245</v>
      </c>
      <c r="B4" s="1" t="s">
        <v>10</v>
      </c>
      <c r="C4" s="1" t="s">
        <v>10</v>
      </c>
      <c r="D4" s="1" t="s">
        <v>190</v>
      </c>
      <c r="E4" s="1" t="s">
        <v>191</v>
      </c>
      <c r="F4" s="1" t="s">
        <v>64</v>
      </c>
      <c r="G4" s="1" t="s">
        <v>107</v>
      </c>
      <c r="H4" s="1" t="s">
        <v>108</v>
      </c>
      <c r="I4" s="1" t="s">
        <v>109</v>
      </c>
      <c r="J4" s="2">
        <v>1248</v>
      </c>
      <c r="K4" s="2">
        <v>0</v>
      </c>
      <c r="M4" s="2">
        <v>5</v>
      </c>
      <c r="N4" s="3">
        <v>45608</v>
      </c>
      <c r="O4" s="3">
        <v>45972</v>
      </c>
      <c r="P4" s="4">
        <v>56521.72</v>
      </c>
      <c r="Q4" s="1" t="s">
        <v>17</v>
      </c>
      <c r="R4" s="1" t="s">
        <v>1105</v>
      </c>
    </row>
    <row r="5" spans="1:18" x14ac:dyDescent="0.25">
      <c r="A5" s="26" t="s">
        <v>246</v>
      </c>
      <c r="B5" s="1" t="s">
        <v>10</v>
      </c>
      <c r="C5" s="1" t="s">
        <v>10</v>
      </c>
      <c r="D5" s="1" t="s">
        <v>192</v>
      </c>
      <c r="E5" s="1" t="s">
        <v>193</v>
      </c>
      <c r="F5" s="1" t="s">
        <v>64</v>
      </c>
      <c r="G5" s="1" t="s">
        <v>107</v>
      </c>
      <c r="H5" s="1" t="s">
        <v>108</v>
      </c>
      <c r="I5" s="1" t="s">
        <v>109</v>
      </c>
      <c r="J5" s="2">
        <v>1248</v>
      </c>
      <c r="K5" s="2">
        <v>0</v>
      </c>
      <c r="M5" s="2">
        <v>5</v>
      </c>
      <c r="N5" s="3">
        <v>45608</v>
      </c>
      <c r="O5" s="3">
        <v>45972</v>
      </c>
      <c r="P5" s="4">
        <v>56421.72</v>
      </c>
      <c r="Q5" s="1" t="s">
        <v>17</v>
      </c>
      <c r="R5" s="1" t="s">
        <v>1105</v>
      </c>
    </row>
    <row r="6" spans="1:18" x14ac:dyDescent="0.25">
      <c r="A6" s="26" t="s">
        <v>247</v>
      </c>
      <c r="B6" s="1" t="s">
        <v>10</v>
      </c>
      <c r="C6" s="1" t="s">
        <v>10</v>
      </c>
      <c r="D6" s="1" t="s">
        <v>194</v>
      </c>
      <c r="E6" s="1" t="s">
        <v>195</v>
      </c>
      <c r="F6" s="1" t="s">
        <v>64</v>
      </c>
      <c r="G6" s="1" t="s">
        <v>107</v>
      </c>
      <c r="H6" s="1" t="s">
        <v>108</v>
      </c>
      <c r="I6" s="1" t="s">
        <v>109</v>
      </c>
      <c r="J6" s="2">
        <v>1248</v>
      </c>
      <c r="K6" s="2">
        <v>0</v>
      </c>
      <c r="M6" s="2">
        <v>5</v>
      </c>
      <c r="N6" s="3">
        <v>45608</v>
      </c>
      <c r="O6" s="3">
        <v>45972</v>
      </c>
      <c r="P6" s="4">
        <v>56621.72</v>
      </c>
      <c r="Q6" s="1" t="s">
        <v>17</v>
      </c>
      <c r="R6" s="1" t="s">
        <v>1105</v>
      </c>
    </row>
    <row r="7" spans="1:18" x14ac:dyDescent="0.25">
      <c r="A7" s="26" t="s">
        <v>248</v>
      </c>
      <c r="B7" s="1" t="s">
        <v>10</v>
      </c>
      <c r="C7" s="1" t="s">
        <v>10</v>
      </c>
      <c r="D7" s="1" t="s">
        <v>142</v>
      </c>
      <c r="E7" s="1" t="s">
        <v>143</v>
      </c>
      <c r="F7" s="1" t="s">
        <v>64</v>
      </c>
      <c r="G7" s="1" t="s">
        <v>107</v>
      </c>
      <c r="H7" s="1" t="s">
        <v>108</v>
      </c>
      <c r="I7" s="1" t="s">
        <v>109</v>
      </c>
      <c r="J7" s="2">
        <v>1248</v>
      </c>
      <c r="K7" s="2">
        <v>0</v>
      </c>
      <c r="M7" s="2">
        <v>5</v>
      </c>
      <c r="N7" s="3">
        <v>45626</v>
      </c>
      <c r="O7" s="3">
        <v>45990</v>
      </c>
      <c r="P7" s="4">
        <v>56321.72</v>
      </c>
      <c r="Q7" s="1" t="s">
        <v>17</v>
      </c>
      <c r="R7" s="1" t="s">
        <v>1105</v>
      </c>
    </row>
    <row r="8" spans="1:18" x14ac:dyDescent="0.25">
      <c r="A8" s="26" t="s">
        <v>249</v>
      </c>
      <c r="B8" s="1" t="s">
        <v>10</v>
      </c>
      <c r="C8" s="1" t="s">
        <v>10</v>
      </c>
      <c r="D8" s="1" t="s">
        <v>138</v>
      </c>
      <c r="E8" s="1" t="s">
        <v>139</v>
      </c>
      <c r="F8" s="1" t="s">
        <v>64</v>
      </c>
      <c r="G8" s="1" t="s">
        <v>107</v>
      </c>
      <c r="H8" s="1" t="s">
        <v>108</v>
      </c>
      <c r="I8" s="1" t="s">
        <v>109</v>
      </c>
      <c r="J8" s="2">
        <v>1248</v>
      </c>
      <c r="K8" s="2">
        <v>0</v>
      </c>
      <c r="M8" s="2">
        <v>5</v>
      </c>
      <c r="N8" s="3">
        <v>45626</v>
      </c>
      <c r="O8" s="3">
        <v>45990</v>
      </c>
      <c r="P8" s="4">
        <v>56421.72</v>
      </c>
      <c r="Q8" s="1" t="s">
        <v>17</v>
      </c>
      <c r="R8" s="1" t="s">
        <v>1105</v>
      </c>
    </row>
    <row r="9" spans="1:18" x14ac:dyDescent="0.25">
      <c r="A9" s="26" t="s">
        <v>250</v>
      </c>
      <c r="B9" s="1" t="s">
        <v>10</v>
      </c>
      <c r="C9" s="1" t="s">
        <v>10</v>
      </c>
      <c r="D9" s="1" t="s">
        <v>140</v>
      </c>
      <c r="E9" s="1" t="s">
        <v>141</v>
      </c>
      <c r="F9" s="1" t="s">
        <v>64</v>
      </c>
      <c r="G9" s="1" t="s">
        <v>107</v>
      </c>
      <c r="H9" s="1" t="s">
        <v>108</v>
      </c>
      <c r="I9" s="1" t="s">
        <v>109</v>
      </c>
      <c r="J9" s="2">
        <v>1248</v>
      </c>
      <c r="K9" s="2">
        <v>0</v>
      </c>
      <c r="M9" s="2">
        <v>5</v>
      </c>
      <c r="N9" s="3">
        <v>45626</v>
      </c>
      <c r="O9" s="3">
        <v>45990</v>
      </c>
      <c r="P9" s="4">
        <v>56321.72</v>
      </c>
      <c r="Q9" s="1" t="s">
        <v>17</v>
      </c>
      <c r="R9" s="1" t="s">
        <v>1105</v>
      </c>
    </row>
    <row r="10" spans="1:18" x14ac:dyDescent="0.25">
      <c r="A10" s="26" t="s">
        <v>251</v>
      </c>
      <c r="B10" s="1" t="s">
        <v>10</v>
      </c>
      <c r="C10" s="1" t="s">
        <v>10</v>
      </c>
      <c r="D10" s="1" t="s">
        <v>136</v>
      </c>
      <c r="E10" s="1" t="s">
        <v>137</v>
      </c>
      <c r="F10" s="1" t="s">
        <v>64</v>
      </c>
      <c r="G10" s="1" t="s">
        <v>107</v>
      </c>
      <c r="H10" s="1" t="s">
        <v>108</v>
      </c>
      <c r="I10" s="1" t="s">
        <v>109</v>
      </c>
      <c r="J10" s="2">
        <v>1248</v>
      </c>
      <c r="K10" s="2">
        <v>0</v>
      </c>
      <c r="M10" s="2">
        <v>5</v>
      </c>
      <c r="N10" s="3">
        <v>45626</v>
      </c>
      <c r="O10" s="3">
        <v>45990</v>
      </c>
      <c r="P10" s="4">
        <v>56621.72</v>
      </c>
      <c r="Q10" s="1" t="s">
        <v>17</v>
      </c>
      <c r="R10" s="1" t="s">
        <v>1105</v>
      </c>
    </row>
    <row r="11" spans="1:18" x14ac:dyDescent="0.25">
      <c r="A11" s="26" t="s">
        <v>252</v>
      </c>
      <c r="B11" s="1" t="s">
        <v>10</v>
      </c>
      <c r="C11" s="1" t="s">
        <v>10</v>
      </c>
      <c r="D11" s="1" t="s">
        <v>134</v>
      </c>
      <c r="E11" s="1" t="s">
        <v>135</v>
      </c>
      <c r="F11" s="1" t="s">
        <v>64</v>
      </c>
      <c r="G11" s="1" t="s">
        <v>107</v>
      </c>
      <c r="H11" s="1" t="s">
        <v>108</v>
      </c>
      <c r="I11" s="1" t="s">
        <v>109</v>
      </c>
      <c r="J11" s="2">
        <v>1248</v>
      </c>
      <c r="K11" s="2">
        <v>0</v>
      </c>
      <c r="M11" s="2">
        <v>5</v>
      </c>
      <c r="N11" s="3">
        <v>45626</v>
      </c>
      <c r="O11" s="3">
        <v>45990</v>
      </c>
      <c r="P11" s="4">
        <v>56421.72</v>
      </c>
      <c r="Q11" s="1" t="s">
        <v>17</v>
      </c>
      <c r="R11" s="1" t="s">
        <v>1105</v>
      </c>
    </row>
    <row r="12" spans="1:18" x14ac:dyDescent="0.25">
      <c r="A12" s="26" t="s">
        <v>253</v>
      </c>
      <c r="B12" s="1" t="s">
        <v>10</v>
      </c>
      <c r="C12" s="1" t="s">
        <v>10</v>
      </c>
      <c r="D12" s="1" t="s">
        <v>132</v>
      </c>
      <c r="E12" s="1" t="s">
        <v>133</v>
      </c>
      <c r="F12" s="1" t="s">
        <v>64</v>
      </c>
      <c r="G12" s="1" t="s">
        <v>107</v>
      </c>
      <c r="H12" s="1" t="s">
        <v>108</v>
      </c>
      <c r="I12" s="1" t="s">
        <v>109</v>
      </c>
      <c r="J12" s="2">
        <v>1248</v>
      </c>
      <c r="K12" s="2">
        <v>0</v>
      </c>
      <c r="M12" s="2">
        <v>5</v>
      </c>
      <c r="N12" s="3">
        <v>45626</v>
      </c>
      <c r="O12" s="3">
        <v>45990</v>
      </c>
      <c r="P12" s="4">
        <v>56821.72</v>
      </c>
      <c r="Q12" s="1" t="s">
        <v>17</v>
      </c>
      <c r="R12" s="1" t="s">
        <v>1105</v>
      </c>
    </row>
    <row r="13" spans="1:18" x14ac:dyDescent="0.25">
      <c r="A13" s="26" t="s">
        <v>254</v>
      </c>
      <c r="B13" s="1" t="s">
        <v>10</v>
      </c>
      <c r="C13" s="1" t="s">
        <v>10</v>
      </c>
      <c r="D13" s="1" t="s">
        <v>219</v>
      </c>
      <c r="E13" s="1" t="s">
        <v>220</v>
      </c>
      <c r="F13" s="1" t="s">
        <v>26</v>
      </c>
      <c r="G13" s="1" t="s">
        <v>221</v>
      </c>
      <c r="H13" s="1" t="s">
        <v>222</v>
      </c>
      <c r="I13" s="1" t="s">
        <v>216</v>
      </c>
      <c r="J13" s="2">
        <v>0</v>
      </c>
      <c r="K13" s="2">
        <v>260</v>
      </c>
      <c r="L13" s="2">
        <v>450</v>
      </c>
      <c r="M13" s="2">
        <v>0</v>
      </c>
      <c r="N13" s="3">
        <v>45627</v>
      </c>
      <c r="O13" s="3">
        <v>45991</v>
      </c>
      <c r="R13" s="1" t="s">
        <v>348</v>
      </c>
    </row>
    <row r="14" spans="1:18" x14ac:dyDescent="0.25">
      <c r="A14" s="26" t="s">
        <v>255</v>
      </c>
      <c r="B14" s="1" t="s">
        <v>10</v>
      </c>
      <c r="C14" s="1" t="s">
        <v>10</v>
      </c>
      <c r="D14" s="1" t="s">
        <v>34</v>
      </c>
      <c r="E14" s="1" t="s">
        <v>35</v>
      </c>
      <c r="F14" s="1" t="s">
        <v>36</v>
      </c>
      <c r="G14" s="1" t="s">
        <v>37</v>
      </c>
      <c r="H14" s="1" t="s">
        <v>38</v>
      </c>
      <c r="I14" s="1" t="s">
        <v>39</v>
      </c>
      <c r="J14" s="2">
        <v>2696</v>
      </c>
      <c r="K14" s="2">
        <v>0</v>
      </c>
      <c r="M14" s="2">
        <v>2</v>
      </c>
      <c r="N14" s="3">
        <v>45642</v>
      </c>
      <c r="O14" s="3">
        <v>46006</v>
      </c>
      <c r="P14" s="4">
        <v>20500</v>
      </c>
      <c r="Q14" s="1" t="s">
        <v>17</v>
      </c>
      <c r="R14" s="1" t="s">
        <v>1106</v>
      </c>
    </row>
    <row r="15" spans="1:18" x14ac:dyDescent="0.25">
      <c r="A15" s="26" t="s">
        <v>256</v>
      </c>
      <c r="B15" s="1" t="s">
        <v>10</v>
      </c>
      <c r="C15" s="1" t="s">
        <v>10</v>
      </c>
      <c r="D15" s="1" t="s">
        <v>67</v>
      </c>
      <c r="E15" s="1" t="s">
        <v>68</v>
      </c>
      <c r="F15" s="1" t="s">
        <v>20</v>
      </c>
      <c r="G15" s="1" t="s">
        <v>21</v>
      </c>
      <c r="H15" s="1" t="s">
        <v>69</v>
      </c>
      <c r="I15" s="1" t="s">
        <v>70</v>
      </c>
      <c r="J15" s="2">
        <v>6174</v>
      </c>
      <c r="K15" s="2">
        <v>8310</v>
      </c>
      <c r="L15" s="2">
        <v>14000</v>
      </c>
      <c r="M15" s="2">
        <v>2</v>
      </c>
      <c r="N15" s="3">
        <v>45642</v>
      </c>
      <c r="O15" s="3">
        <v>46006</v>
      </c>
      <c r="P15" s="4">
        <v>36700</v>
      </c>
      <c r="Q15" s="1" t="s">
        <v>17</v>
      </c>
      <c r="R15" s="1" t="s">
        <v>1106</v>
      </c>
    </row>
    <row r="16" spans="1:18" x14ac:dyDescent="0.25">
      <c r="A16" s="26" t="s">
        <v>257</v>
      </c>
      <c r="B16" s="1" t="s">
        <v>10</v>
      </c>
      <c r="C16" s="1" t="s">
        <v>10</v>
      </c>
      <c r="D16" s="1" t="s">
        <v>71</v>
      </c>
      <c r="E16" s="1" t="s">
        <v>72</v>
      </c>
      <c r="F16" s="1" t="s">
        <v>79</v>
      </c>
      <c r="G16" s="1" t="s">
        <v>74</v>
      </c>
      <c r="H16" s="1" t="s">
        <v>75</v>
      </c>
      <c r="I16" s="1" t="s">
        <v>76</v>
      </c>
      <c r="J16" s="2">
        <v>0</v>
      </c>
      <c r="K16" s="2">
        <v>0</v>
      </c>
      <c r="L16" s="2">
        <v>1300</v>
      </c>
      <c r="M16" s="2">
        <v>0</v>
      </c>
      <c r="N16" s="3">
        <v>45642</v>
      </c>
      <c r="O16" s="3">
        <v>46006</v>
      </c>
      <c r="R16" s="1" t="s">
        <v>348</v>
      </c>
    </row>
    <row r="17" spans="1:18" x14ac:dyDescent="0.25">
      <c r="A17" s="26" t="s">
        <v>258</v>
      </c>
      <c r="B17" s="1" t="s">
        <v>10</v>
      </c>
      <c r="C17" s="1" t="s">
        <v>10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81</v>
      </c>
      <c r="I17" s="1" t="s">
        <v>82</v>
      </c>
      <c r="J17" s="2">
        <v>0</v>
      </c>
      <c r="K17" s="2">
        <v>5000</v>
      </c>
      <c r="L17" s="2">
        <v>7000</v>
      </c>
      <c r="M17" s="2">
        <v>0</v>
      </c>
      <c r="N17" s="3">
        <v>45642</v>
      </c>
      <c r="O17" s="3">
        <v>46006</v>
      </c>
      <c r="R17" s="1" t="s">
        <v>348</v>
      </c>
    </row>
    <row r="18" spans="1:18" x14ac:dyDescent="0.25">
      <c r="A18" s="26" t="s">
        <v>259</v>
      </c>
      <c r="B18" s="1" t="s">
        <v>10</v>
      </c>
      <c r="C18" s="1" t="s">
        <v>10</v>
      </c>
      <c r="D18" s="1" t="s">
        <v>90</v>
      </c>
      <c r="E18" s="1" t="s">
        <v>91</v>
      </c>
      <c r="F18" s="1" t="s">
        <v>79</v>
      </c>
      <c r="G18" s="1" t="s">
        <v>92</v>
      </c>
      <c r="H18" s="1" t="s">
        <v>93</v>
      </c>
      <c r="I18" s="1" t="s">
        <v>94</v>
      </c>
      <c r="J18" s="2">
        <v>0</v>
      </c>
      <c r="K18" s="2">
        <v>5200</v>
      </c>
      <c r="L18" s="2">
        <v>8000</v>
      </c>
      <c r="M18" s="2">
        <v>0</v>
      </c>
      <c r="N18" s="3">
        <v>45642</v>
      </c>
      <c r="O18" s="3">
        <v>46006</v>
      </c>
      <c r="P18" s="4">
        <v>71000</v>
      </c>
      <c r="Q18" s="1" t="s">
        <v>17</v>
      </c>
      <c r="R18" s="1" t="s">
        <v>1107</v>
      </c>
    </row>
    <row r="19" spans="1:18" x14ac:dyDescent="0.25">
      <c r="A19" s="26" t="s">
        <v>260</v>
      </c>
      <c r="B19" s="1" t="s">
        <v>10</v>
      </c>
      <c r="C19" s="1" t="s">
        <v>10</v>
      </c>
      <c r="D19" s="1" t="s">
        <v>30</v>
      </c>
      <c r="E19" s="1" t="s">
        <v>31</v>
      </c>
      <c r="F19" s="1" t="s">
        <v>20</v>
      </c>
      <c r="G19" s="1" t="s">
        <v>32</v>
      </c>
      <c r="H19" s="1" t="s">
        <v>33</v>
      </c>
      <c r="I19" s="1" t="s">
        <v>29</v>
      </c>
      <c r="J19" s="2">
        <v>6700</v>
      </c>
      <c r="K19" s="2">
        <v>7890</v>
      </c>
      <c r="L19" s="2">
        <v>14000</v>
      </c>
      <c r="M19" s="2">
        <v>3</v>
      </c>
      <c r="N19" s="3">
        <v>45653</v>
      </c>
      <c r="O19" s="3">
        <v>46017</v>
      </c>
      <c r="P19" s="4">
        <v>121800</v>
      </c>
      <c r="Q19" s="1" t="s">
        <v>17</v>
      </c>
      <c r="R19" s="1" t="s">
        <v>1106</v>
      </c>
    </row>
    <row r="20" spans="1:18" x14ac:dyDescent="0.25">
      <c r="A20" s="26" t="s">
        <v>261</v>
      </c>
      <c r="B20" s="1" t="s">
        <v>10</v>
      </c>
      <c r="C20" s="1" t="s">
        <v>10</v>
      </c>
      <c r="D20" s="1" t="s">
        <v>58</v>
      </c>
      <c r="E20" s="1" t="s">
        <v>59</v>
      </c>
      <c r="F20" s="1" t="s">
        <v>51</v>
      </c>
      <c r="G20" s="1" t="s">
        <v>52</v>
      </c>
      <c r="H20" s="1" t="s">
        <v>53</v>
      </c>
      <c r="I20" s="1" t="s">
        <v>44</v>
      </c>
      <c r="J20" s="2">
        <v>689</v>
      </c>
      <c r="K20" s="2">
        <v>0</v>
      </c>
      <c r="M20" s="2">
        <v>2</v>
      </c>
      <c r="N20" s="3">
        <v>45686</v>
      </c>
      <c r="O20" s="3">
        <v>46050</v>
      </c>
      <c r="P20" s="4">
        <v>20900</v>
      </c>
      <c r="Q20" s="1" t="s">
        <v>17</v>
      </c>
      <c r="R20" s="1" t="s">
        <v>1105</v>
      </c>
    </row>
    <row r="21" spans="1:18" x14ac:dyDescent="0.25">
      <c r="A21" s="26" t="s">
        <v>262</v>
      </c>
      <c r="B21" s="1" t="s">
        <v>10</v>
      </c>
      <c r="C21" s="1" t="s">
        <v>10</v>
      </c>
      <c r="D21" s="1" t="s">
        <v>56</v>
      </c>
      <c r="E21" s="1" t="s">
        <v>57</v>
      </c>
      <c r="F21" s="1" t="s">
        <v>51</v>
      </c>
      <c r="G21" s="1" t="s">
        <v>52</v>
      </c>
      <c r="H21" s="1" t="s">
        <v>53</v>
      </c>
      <c r="I21" s="1" t="s">
        <v>44</v>
      </c>
      <c r="J21" s="2">
        <v>689</v>
      </c>
      <c r="K21" s="2">
        <v>0</v>
      </c>
      <c r="M21" s="2">
        <v>2</v>
      </c>
      <c r="N21" s="3">
        <v>45686</v>
      </c>
      <c r="O21" s="3">
        <v>46050</v>
      </c>
      <c r="P21" s="4">
        <v>21000</v>
      </c>
      <c r="Q21" s="1" t="s">
        <v>17</v>
      </c>
      <c r="R21" s="1" t="s">
        <v>1105</v>
      </c>
    </row>
    <row r="22" spans="1:18" x14ac:dyDescent="0.25">
      <c r="A22" s="26" t="s">
        <v>263</v>
      </c>
      <c r="B22" s="1" t="s">
        <v>10</v>
      </c>
      <c r="C22" s="1" t="s">
        <v>10</v>
      </c>
      <c r="D22" s="1" t="s">
        <v>49</v>
      </c>
      <c r="E22" s="1" t="s">
        <v>50</v>
      </c>
      <c r="F22" s="1" t="s">
        <v>51</v>
      </c>
      <c r="G22" s="1" t="s">
        <v>52</v>
      </c>
      <c r="H22" s="1" t="s">
        <v>53</v>
      </c>
      <c r="I22" s="1" t="s">
        <v>44</v>
      </c>
      <c r="J22" s="2">
        <v>689</v>
      </c>
      <c r="K22" s="2">
        <v>0</v>
      </c>
      <c r="M22" s="2">
        <v>2</v>
      </c>
      <c r="N22" s="3">
        <v>45686</v>
      </c>
      <c r="O22" s="3">
        <v>46050</v>
      </c>
      <c r="P22" s="4">
        <v>21600</v>
      </c>
      <c r="Q22" s="1" t="s">
        <v>17</v>
      </c>
      <c r="R22" s="1" t="s">
        <v>1105</v>
      </c>
    </row>
    <row r="23" spans="1:18" x14ac:dyDescent="0.25">
      <c r="A23" s="26" t="s">
        <v>264</v>
      </c>
      <c r="B23" s="1" t="s">
        <v>10</v>
      </c>
      <c r="C23" s="1" t="s">
        <v>10</v>
      </c>
      <c r="D23" s="1" t="s">
        <v>60</v>
      </c>
      <c r="E23" s="1" t="s">
        <v>61</v>
      </c>
      <c r="F23" s="1" t="s">
        <v>51</v>
      </c>
      <c r="G23" s="1" t="s">
        <v>52</v>
      </c>
      <c r="H23" s="1" t="s">
        <v>53</v>
      </c>
      <c r="I23" s="1" t="s">
        <v>44</v>
      </c>
      <c r="J23" s="2">
        <v>689</v>
      </c>
      <c r="K23" s="2">
        <v>0</v>
      </c>
      <c r="M23" s="2">
        <v>2</v>
      </c>
      <c r="N23" s="3">
        <v>45686</v>
      </c>
      <c r="O23" s="3">
        <v>46050</v>
      </c>
      <c r="P23" s="4">
        <v>20900</v>
      </c>
      <c r="Q23" s="1" t="s">
        <v>17</v>
      </c>
      <c r="R23" s="1" t="s">
        <v>1105</v>
      </c>
    </row>
    <row r="24" spans="1:18" x14ac:dyDescent="0.25">
      <c r="A24" s="26" t="s">
        <v>265</v>
      </c>
      <c r="B24" s="1" t="s">
        <v>10</v>
      </c>
      <c r="C24" s="1" t="s">
        <v>10</v>
      </c>
      <c r="D24" s="1" t="s">
        <v>54</v>
      </c>
      <c r="E24" s="1" t="s">
        <v>55</v>
      </c>
      <c r="F24" s="1" t="s">
        <v>51</v>
      </c>
      <c r="G24" s="1" t="s">
        <v>52</v>
      </c>
      <c r="H24" s="1" t="s">
        <v>53</v>
      </c>
      <c r="I24" s="1" t="s">
        <v>44</v>
      </c>
      <c r="J24" s="2">
        <v>689</v>
      </c>
      <c r="K24" s="2">
        <v>0</v>
      </c>
      <c r="M24" s="2">
        <v>2</v>
      </c>
      <c r="N24" s="3">
        <v>45686</v>
      </c>
      <c r="O24" s="3">
        <v>46050</v>
      </c>
      <c r="P24" s="4">
        <v>21500</v>
      </c>
      <c r="Q24" s="1" t="s">
        <v>17</v>
      </c>
      <c r="R24" s="1" t="s">
        <v>1105</v>
      </c>
    </row>
    <row r="25" spans="1:18" x14ac:dyDescent="0.25">
      <c r="A25" s="26" t="s">
        <v>266</v>
      </c>
      <c r="B25" s="1" t="s">
        <v>10</v>
      </c>
      <c r="C25" s="1" t="s">
        <v>10</v>
      </c>
      <c r="D25" s="1" t="s">
        <v>62</v>
      </c>
      <c r="E25" s="1" t="s">
        <v>63</v>
      </c>
      <c r="F25" s="1" t="s">
        <v>64</v>
      </c>
      <c r="G25" s="1" t="s">
        <v>65</v>
      </c>
      <c r="H25" s="1" t="s">
        <v>66</v>
      </c>
      <c r="I25" s="1" t="s">
        <v>44</v>
      </c>
      <c r="J25" s="2">
        <v>1498</v>
      </c>
      <c r="K25" s="2">
        <v>0</v>
      </c>
      <c r="M25" s="2">
        <v>5</v>
      </c>
      <c r="N25" s="3">
        <v>45686</v>
      </c>
      <c r="O25" s="3">
        <v>46050</v>
      </c>
      <c r="P25" s="4">
        <v>86500</v>
      </c>
      <c r="Q25" s="1" t="s">
        <v>17</v>
      </c>
      <c r="R25" s="1" t="s">
        <v>1105</v>
      </c>
    </row>
    <row r="26" spans="1:18" x14ac:dyDescent="0.25">
      <c r="A26" s="26" t="s">
        <v>267</v>
      </c>
      <c r="B26" s="1" t="s">
        <v>10</v>
      </c>
      <c r="C26" s="1" t="s">
        <v>10</v>
      </c>
      <c r="D26" s="1" t="s">
        <v>203</v>
      </c>
      <c r="E26" s="1" t="s">
        <v>204</v>
      </c>
      <c r="F26" s="1" t="s">
        <v>51</v>
      </c>
      <c r="G26" s="1" t="s">
        <v>52</v>
      </c>
      <c r="H26" s="1" t="s">
        <v>205</v>
      </c>
      <c r="I26" s="1" t="s">
        <v>29</v>
      </c>
      <c r="J26" s="2">
        <v>689</v>
      </c>
      <c r="K26" s="2">
        <v>0</v>
      </c>
      <c r="M26" s="2">
        <v>2</v>
      </c>
      <c r="N26" s="3">
        <v>45711</v>
      </c>
      <c r="O26" s="3">
        <v>46075</v>
      </c>
      <c r="P26" s="4">
        <v>19300</v>
      </c>
      <c r="Q26" s="1" t="s">
        <v>17</v>
      </c>
      <c r="R26" s="1" t="s">
        <v>1105</v>
      </c>
    </row>
    <row r="27" spans="1:18" x14ac:dyDescent="0.25">
      <c r="A27" s="26" t="s">
        <v>268</v>
      </c>
      <c r="B27" s="1" t="s">
        <v>10</v>
      </c>
      <c r="C27" s="1" t="s">
        <v>10</v>
      </c>
      <c r="D27" s="1" t="s">
        <v>206</v>
      </c>
      <c r="E27" s="1" t="s">
        <v>207</v>
      </c>
      <c r="F27" s="1" t="s">
        <v>51</v>
      </c>
      <c r="G27" s="1" t="s">
        <v>52</v>
      </c>
      <c r="H27" s="1" t="s">
        <v>205</v>
      </c>
      <c r="I27" s="1" t="s">
        <v>29</v>
      </c>
      <c r="J27" s="2">
        <v>689</v>
      </c>
      <c r="K27" s="2">
        <v>0</v>
      </c>
      <c r="M27" s="2">
        <v>2</v>
      </c>
      <c r="N27" s="3">
        <v>45711</v>
      </c>
      <c r="O27" s="3">
        <v>46075</v>
      </c>
      <c r="P27" s="4">
        <v>19100</v>
      </c>
      <c r="Q27" s="1" t="s">
        <v>17</v>
      </c>
      <c r="R27" s="1" t="s">
        <v>1105</v>
      </c>
    </row>
    <row r="28" spans="1:18" x14ac:dyDescent="0.25">
      <c r="A28" s="26" t="s">
        <v>269</v>
      </c>
      <c r="B28" s="1" t="s">
        <v>10</v>
      </c>
      <c r="C28" s="1" t="s">
        <v>10</v>
      </c>
      <c r="D28" s="1" t="s">
        <v>208</v>
      </c>
      <c r="E28" s="1" t="s">
        <v>209</v>
      </c>
      <c r="F28" s="1" t="s">
        <v>51</v>
      </c>
      <c r="G28" s="1" t="s">
        <v>52</v>
      </c>
      <c r="H28" s="1" t="s">
        <v>205</v>
      </c>
      <c r="I28" s="1" t="s">
        <v>29</v>
      </c>
      <c r="J28" s="2">
        <v>689</v>
      </c>
      <c r="K28" s="2">
        <v>0</v>
      </c>
      <c r="M28" s="2">
        <v>2</v>
      </c>
      <c r="N28" s="3">
        <v>45711</v>
      </c>
      <c r="O28" s="3">
        <v>46075</v>
      </c>
      <c r="P28" s="4">
        <v>19300</v>
      </c>
      <c r="Q28" s="1" t="s">
        <v>17</v>
      </c>
      <c r="R28" s="1" t="s">
        <v>1105</v>
      </c>
    </row>
    <row r="29" spans="1:18" x14ac:dyDescent="0.25">
      <c r="A29" s="26" t="s">
        <v>270</v>
      </c>
      <c r="B29" s="1" t="s">
        <v>10</v>
      </c>
      <c r="C29" s="1" t="s">
        <v>10</v>
      </c>
      <c r="D29" s="1" t="s">
        <v>88</v>
      </c>
      <c r="E29" s="1" t="s">
        <v>89</v>
      </c>
      <c r="F29" s="1" t="s">
        <v>51</v>
      </c>
      <c r="G29" s="1" t="s">
        <v>85</v>
      </c>
      <c r="H29" s="1" t="s">
        <v>86</v>
      </c>
      <c r="I29" s="1" t="s">
        <v>87</v>
      </c>
      <c r="J29" s="2">
        <v>125</v>
      </c>
      <c r="K29" s="2">
        <v>0</v>
      </c>
      <c r="M29" s="2">
        <v>2</v>
      </c>
      <c r="N29" s="3">
        <v>45712</v>
      </c>
      <c r="O29" s="3">
        <v>46076</v>
      </c>
      <c r="P29" s="4">
        <v>17600</v>
      </c>
      <c r="Q29" s="1" t="s">
        <v>17</v>
      </c>
      <c r="R29" s="1" t="s">
        <v>1105</v>
      </c>
    </row>
    <row r="30" spans="1:18" x14ac:dyDescent="0.25">
      <c r="A30" s="26" t="s">
        <v>271</v>
      </c>
      <c r="B30" s="1" t="s">
        <v>10</v>
      </c>
      <c r="C30" s="1" t="s">
        <v>10</v>
      </c>
      <c r="D30" s="1" t="s">
        <v>83</v>
      </c>
      <c r="E30" s="1" t="s">
        <v>84</v>
      </c>
      <c r="F30" s="1" t="s">
        <v>51</v>
      </c>
      <c r="G30" s="1" t="s">
        <v>85</v>
      </c>
      <c r="H30" s="1" t="s">
        <v>86</v>
      </c>
      <c r="I30" s="1" t="s">
        <v>87</v>
      </c>
      <c r="J30" s="2">
        <v>125</v>
      </c>
      <c r="K30" s="2">
        <v>0</v>
      </c>
      <c r="M30" s="2">
        <v>2</v>
      </c>
      <c r="N30" s="3">
        <v>45712</v>
      </c>
      <c r="O30" s="3">
        <v>46076</v>
      </c>
      <c r="P30" s="4">
        <v>17400</v>
      </c>
      <c r="Q30" s="1" t="s">
        <v>17</v>
      </c>
      <c r="R30" s="1" t="s">
        <v>1105</v>
      </c>
    </row>
    <row r="31" spans="1:18" x14ac:dyDescent="0.25">
      <c r="A31" s="26" t="s">
        <v>272</v>
      </c>
      <c r="B31" s="1" t="s">
        <v>10</v>
      </c>
      <c r="C31" s="1" t="s">
        <v>10</v>
      </c>
      <c r="D31" s="1" t="s">
        <v>101</v>
      </c>
      <c r="E31" s="1" t="s">
        <v>102</v>
      </c>
      <c r="F31" s="1" t="s">
        <v>51</v>
      </c>
      <c r="G31" s="1" t="s">
        <v>97</v>
      </c>
      <c r="H31" s="1" t="s">
        <v>98</v>
      </c>
      <c r="I31" s="1" t="s">
        <v>94</v>
      </c>
      <c r="J31" s="2">
        <v>689</v>
      </c>
      <c r="K31" s="2">
        <v>0</v>
      </c>
      <c r="M31" s="2">
        <v>2</v>
      </c>
      <c r="N31" s="3">
        <v>45714</v>
      </c>
      <c r="O31" s="3">
        <v>46078</v>
      </c>
      <c r="P31" s="4">
        <v>24400</v>
      </c>
      <c r="Q31" s="1" t="s">
        <v>17</v>
      </c>
      <c r="R31" s="1" t="s">
        <v>1105</v>
      </c>
    </row>
    <row r="32" spans="1:18" x14ac:dyDescent="0.25">
      <c r="A32" s="26" t="s">
        <v>273</v>
      </c>
      <c r="B32" s="1" t="s">
        <v>10</v>
      </c>
      <c r="C32" s="1" t="s">
        <v>10</v>
      </c>
      <c r="D32" s="1" t="s">
        <v>103</v>
      </c>
      <c r="E32" s="1" t="s">
        <v>104</v>
      </c>
      <c r="F32" s="1" t="s">
        <v>51</v>
      </c>
      <c r="G32" s="1" t="s">
        <v>97</v>
      </c>
      <c r="H32" s="1" t="s">
        <v>98</v>
      </c>
      <c r="I32" s="1" t="s">
        <v>94</v>
      </c>
      <c r="J32" s="2">
        <v>689</v>
      </c>
      <c r="K32" s="2">
        <v>0</v>
      </c>
      <c r="M32" s="2">
        <v>2</v>
      </c>
      <c r="N32" s="3">
        <v>45714</v>
      </c>
      <c r="O32" s="3">
        <v>46078</v>
      </c>
      <c r="P32" s="4">
        <v>23900</v>
      </c>
      <c r="Q32" s="1" t="s">
        <v>17</v>
      </c>
      <c r="R32" s="1" t="s">
        <v>1105</v>
      </c>
    </row>
    <row r="33" spans="1:18" x14ac:dyDescent="0.25">
      <c r="A33" s="26" t="s">
        <v>274</v>
      </c>
      <c r="B33" s="1" t="s">
        <v>10</v>
      </c>
      <c r="C33" s="1" t="s">
        <v>10</v>
      </c>
      <c r="D33" s="1" t="s">
        <v>95</v>
      </c>
      <c r="E33" s="1" t="s">
        <v>96</v>
      </c>
      <c r="F33" s="1" t="s">
        <v>51</v>
      </c>
      <c r="G33" s="1" t="s">
        <v>97</v>
      </c>
      <c r="H33" s="1" t="s">
        <v>98</v>
      </c>
      <c r="I33" s="1" t="s">
        <v>94</v>
      </c>
      <c r="J33" s="2">
        <v>689</v>
      </c>
      <c r="K33" s="2">
        <v>0</v>
      </c>
      <c r="M33" s="2">
        <v>2</v>
      </c>
      <c r="N33" s="3">
        <v>45714</v>
      </c>
      <c r="O33" s="3">
        <v>46078</v>
      </c>
      <c r="P33" s="4">
        <v>24200</v>
      </c>
      <c r="Q33" s="1" t="s">
        <v>17</v>
      </c>
      <c r="R33" s="1" t="s">
        <v>1105</v>
      </c>
    </row>
    <row r="34" spans="1:18" x14ac:dyDescent="0.25">
      <c r="A34" s="26" t="s">
        <v>275</v>
      </c>
      <c r="B34" s="1" t="s">
        <v>10</v>
      </c>
      <c r="C34" s="1" t="s">
        <v>10</v>
      </c>
      <c r="D34" s="1" t="s">
        <v>99</v>
      </c>
      <c r="E34" s="1" t="s">
        <v>100</v>
      </c>
      <c r="F34" s="1" t="s">
        <v>51</v>
      </c>
      <c r="G34" s="1" t="s">
        <v>97</v>
      </c>
      <c r="H34" s="1" t="s">
        <v>98</v>
      </c>
      <c r="I34" s="1" t="s">
        <v>94</v>
      </c>
      <c r="J34" s="2">
        <v>689</v>
      </c>
      <c r="K34" s="2">
        <v>0</v>
      </c>
      <c r="M34" s="2">
        <v>2</v>
      </c>
      <c r="N34" s="3">
        <v>45714</v>
      </c>
      <c r="O34" s="3">
        <v>46078</v>
      </c>
      <c r="P34" s="4">
        <v>24200</v>
      </c>
      <c r="Q34" s="1" t="s">
        <v>17</v>
      </c>
      <c r="R34" s="1" t="s">
        <v>1105</v>
      </c>
    </row>
    <row r="35" spans="1:18" x14ac:dyDescent="0.25">
      <c r="A35" s="26" t="s">
        <v>276</v>
      </c>
      <c r="B35" s="1" t="s">
        <v>10</v>
      </c>
      <c r="C35" s="1" t="s">
        <v>10</v>
      </c>
      <c r="D35" s="1" t="s">
        <v>40</v>
      </c>
      <c r="E35" s="1" t="s">
        <v>41</v>
      </c>
      <c r="F35" s="1" t="s">
        <v>26</v>
      </c>
      <c r="G35" s="1" t="s">
        <v>42</v>
      </c>
      <c r="H35" s="1" t="s">
        <v>43</v>
      </c>
      <c r="I35" s="1" t="s">
        <v>44</v>
      </c>
      <c r="J35" s="2">
        <v>0</v>
      </c>
      <c r="K35" s="2">
        <v>0</v>
      </c>
      <c r="L35" s="2">
        <v>6900</v>
      </c>
      <c r="M35" s="2">
        <v>0</v>
      </c>
      <c r="N35" s="3">
        <v>45722</v>
      </c>
      <c r="O35" s="3">
        <v>46086</v>
      </c>
      <c r="R35" s="1" t="s">
        <v>348</v>
      </c>
    </row>
    <row r="36" spans="1:18" x14ac:dyDescent="0.25">
      <c r="A36" s="26" t="s">
        <v>277</v>
      </c>
      <c r="B36" s="1" t="s">
        <v>10</v>
      </c>
      <c r="C36" s="1" t="s">
        <v>10</v>
      </c>
      <c r="D36" s="1" t="s">
        <v>223</v>
      </c>
      <c r="E36" s="1" t="s">
        <v>224</v>
      </c>
      <c r="F36" s="1" t="s">
        <v>64</v>
      </c>
      <c r="G36" s="1" t="s">
        <v>107</v>
      </c>
      <c r="H36" s="1" t="s">
        <v>108</v>
      </c>
      <c r="I36" s="1" t="s">
        <v>44</v>
      </c>
      <c r="J36" s="2">
        <v>1248</v>
      </c>
      <c r="K36" s="2">
        <v>0</v>
      </c>
      <c r="M36" s="2">
        <v>5</v>
      </c>
      <c r="N36" s="3">
        <v>45736</v>
      </c>
      <c r="O36" s="3">
        <v>46100</v>
      </c>
      <c r="P36" s="4">
        <v>49621.72</v>
      </c>
      <c r="Q36" s="1" t="s">
        <v>17</v>
      </c>
      <c r="R36" s="1" t="s">
        <v>1105</v>
      </c>
    </row>
    <row r="37" spans="1:18" x14ac:dyDescent="0.25">
      <c r="A37" s="26" t="s">
        <v>278</v>
      </c>
      <c r="B37" s="1" t="s">
        <v>10</v>
      </c>
      <c r="C37" s="1" t="s">
        <v>10</v>
      </c>
      <c r="D37" s="1" t="s">
        <v>217</v>
      </c>
      <c r="E37" s="1" t="s">
        <v>218</v>
      </c>
      <c r="F37" s="1" t="s">
        <v>51</v>
      </c>
      <c r="G37" s="1" t="s">
        <v>85</v>
      </c>
      <c r="H37" s="1" t="s">
        <v>86</v>
      </c>
      <c r="I37" s="1" t="s">
        <v>216</v>
      </c>
      <c r="J37" s="2">
        <v>125</v>
      </c>
      <c r="K37" s="2">
        <v>0</v>
      </c>
      <c r="M37" s="2">
        <v>2</v>
      </c>
      <c r="N37" s="3">
        <v>45741</v>
      </c>
      <c r="O37" s="3">
        <v>46105</v>
      </c>
      <c r="P37" s="4">
        <v>20300</v>
      </c>
      <c r="Q37" s="1" t="s">
        <v>17</v>
      </c>
      <c r="R37" s="1" t="s">
        <v>1105</v>
      </c>
    </row>
    <row r="38" spans="1:18" x14ac:dyDescent="0.25">
      <c r="A38" s="26" t="s">
        <v>279</v>
      </c>
      <c r="B38" s="1" t="s">
        <v>10</v>
      </c>
      <c r="C38" s="1" t="s">
        <v>10</v>
      </c>
      <c r="D38" s="1" t="s">
        <v>214</v>
      </c>
      <c r="E38" s="1" t="s">
        <v>215</v>
      </c>
      <c r="F38" s="1" t="s">
        <v>51</v>
      </c>
      <c r="G38" s="1" t="s">
        <v>85</v>
      </c>
      <c r="H38" s="1" t="s">
        <v>86</v>
      </c>
      <c r="I38" s="1" t="s">
        <v>216</v>
      </c>
      <c r="J38" s="2">
        <v>125</v>
      </c>
      <c r="K38" s="2">
        <v>0</v>
      </c>
      <c r="M38" s="2">
        <v>2</v>
      </c>
      <c r="N38" s="3">
        <v>45741</v>
      </c>
      <c r="O38" s="3">
        <v>46105</v>
      </c>
      <c r="P38" s="4">
        <v>20300</v>
      </c>
      <c r="Q38" s="1" t="s">
        <v>17</v>
      </c>
      <c r="R38" s="1" t="s">
        <v>1105</v>
      </c>
    </row>
    <row r="39" spans="1:18" x14ac:dyDescent="0.25">
      <c r="A39" s="26" t="s">
        <v>280</v>
      </c>
      <c r="B39" s="1" t="s">
        <v>10</v>
      </c>
      <c r="C39" s="1" t="s">
        <v>10</v>
      </c>
      <c r="D39" s="1" t="s">
        <v>45</v>
      </c>
      <c r="E39" s="1" t="s">
        <v>46</v>
      </c>
      <c r="F39" s="1" t="s">
        <v>36</v>
      </c>
      <c r="G39" s="1" t="s">
        <v>47</v>
      </c>
      <c r="H39" s="1" t="s">
        <v>48</v>
      </c>
      <c r="I39" s="1" t="s">
        <v>29</v>
      </c>
      <c r="J39" s="2">
        <v>2940</v>
      </c>
      <c r="K39" s="2">
        <v>0</v>
      </c>
      <c r="M39" s="2">
        <v>2</v>
      </c>
      <c r="N39" s="3">
        <v>45743</v>
      </c>
      <c r="O39" s="3">
        <v>46107</v>
      </c>
      <c r="P39" s="4">
        <v>109200</v>
      </c>
      <c r="Q39" s="1" t="s">
        <v>17</v>
      </c>
      <c r="R39" s="1" t="s">
        <v>1106</v>
      </c>
    </row>
    <row r="40" spans="1:18" x14ac:dyDescent="0.25">
      <c r="A40" s="26" t="s">
        <v>281</v>
      </c>
      <c r="B40" s="1" t="s">
        <v>10</v>
      </c>
      <c r="C40" s="1" t="s">
        <v>10</v>
      </c>
      <c r="D40" s="1" t="s">
        <v>196</v>
      </c>
      <c r="E40" s="1" t="s">
        <v>197</v>
      </c>
      <c r="F40" s="1" t="s">
        <v>198</v>
      </c>
      <c r="G40" s="1" t="s">
        <v>199</v>
      </c>
      <c r="H40" s="1" t="s">
        <v>200</v>
      </c>
      <c r="I40" s="1" t="s">
        <v>109</v>
      </c>
      <c r="J40" s="2">
        <v>49</v>
      </c>
      <c r="K40" s="2">
        <v>0</v>
      </c>
      <c r="M40" s="2">
        <v>2</v>
      </c>
      <c r="N40" s="3">
        <v>45746</v>
      </c>
      <c r="O40" s="3">
        <v>46110</v>
      </c>
      <c r="P40" s="4">
        <v>5700</v>
      </c>
      <c r="Q40" s="1" t="s">
        <v>17</v>
      </c>
      <c r="R40" s="1" t="s">
        <v>1105</v>
      </c>
    </row>
    <row r="41" spans="1:18" x14ac:dyDescent="0.25">
      <c r="A41" s="26" t="s">
        <v>282</v>
      </c>
      <c r="B41" s="1" t="s">
        <v>10</v>
      </c>
      <c r="C41" s="1" t="s">
        <v>10</v>
      </c>
      <c r="D41" s="1" t="s">
        <v>225</v>
      </c>
      <c r="E41" s="1" t="s">
        <v>226</v>
      </c>
      <c r="F41" s="1" t="s">
        <v>198</v>
      </c>
      <c r="G41" s="1" t="s">
        <v>227</v>
      </c>
      <c r="H41" s="1" t="s">
        <v>200</v>
      </c>
      <c r="I41" s="1" t="s">
        <v>228</v>
      </c>
      <c r="J41" s="2">
        <v>49</v>
      </c>
      <c r="K41" s="2">
        <v>0</v>
      </c>
      <c r="M41" s="2">
        <v>2</v>
      </c>
      <c r="N41" s="3">
        <v>45753</v>
      </c>
      <c r="O41" s="3">
        <v>46117</v>
      </c>
      <c r="P41" s="4">
        <v>6000</v>
      </c>
      <c r="Q41" s="1" t="s">
        <v>17</v>
      </c>
      <c r="R41" s="1" t="s">
        <v>1105</v>
      </c>
    </row>
    <row r="42" spans="1:18" x14ac:dyDescent="0.25">
      <c r="A42" s="26" t="s">
        <v>283</v>
      </c>
      <c r="B42" s="1" t="s">
        <v>10</v>
      </c>
      <c r="C42" s="1" t="s">
        <v>10</v>
      </c>
      <c r="D42" s="1" t="s">
        <v>229</v>
      </c>
      <c r="E42" s="1" t="s">
        <v>230</v>
      </c>
      <c r="F42" s="1" t="s">
        <v>198</v>
      </c>
      <c r="G42" s="1" t="s">
        <v>227</v>
      </c>
      <c r="H42" s="1" t="s">
        <v>200</v>
      </c>
      <c r="I42" s="1" t="s">
        <v>228</v>
      </c>
      <c r="J42" s="2">
        <v>49</v>
      </c>
      <c r="K42" s="2">
        <v>0</v>
      </c>
      <c r="M42" s="2">
        <v>2</v>
      </c>
      <c r="N42" s="3">
        <v>45753</v>
      </c>
      <c r="O42" s="3">
        <v>46117</v>
      </c>
      <c r="P42" s="4">
        <v>6000</v>
      </c>
      <c r="Q42" s="1" t="s">
        <v>17</v>
      </c>
      <c r="R42" s="1" t="s">
        <v>1105</v>
      </c>
    </row>
    <row r="43" spans="1:18" x14ac:dyDescent="0.25">
      <c r="A43" s="26" t="s">
        <v>284</v>
      </c>
      <c r="B43" s="1" t="s">
        <v>10</v>
      </c>
      <c r="C43" s="1" t="s">
        <v>10</v>
      </c>
      <c r="D43" s="1" t="s">
        <v>201</v>
      </c>
      <c r="E43" s="1" t="s">
        <v>202</v>
      </c>
      <c r="F43" s="1" t="s">
        <v>198</v>
      </c>
      <c r="G43" s="1" t="s">
        <v>199</v>
      </c>
      <c r="H43" s="1" t="s">
        <v>200</v>
      </c>
      <c r="I43" s="1" t="s">
        <v>109</v>
      </c>
      <c r="J43" s="2">
        <v>49</v>
      </c>
      <c r="K43" s="2">
        <v>0</v>
      </c>
      <c r="M43" s="2">
        <v>2</v>
      </c>
      <c r="N43" s="3">
        <v>45762</v>
      </c>
      <c r="O43" s="3">
        <v>46126</v>
      </c>
      <c r="P43" s="4">
        <v>5700</v>
      </c>
      <c r="Q43" s="1" t="s">
        <v>17</v>
      </c>
      <c r="R43" s="1" t="s">
        <v>1105</v>
      </c>
    </row>
    <row r="44" spans="1:18" x14ac:dyDescent="0.25">
      <c r="A44" s="26" t="s">
        <v>285</v>
      </c>
      <c r="B44" s="1" t="s">
        <v>10</v>
      </c>
      <c r="C44" s="1" t="s">
        <v>10</v>
      </c>
      <c r="D44" s="1" t="s">
        <v>210</v>
      </c>
      <c r="E44" s="1" t="s">
        <v>211</v>
      </c>
      <c r="F44" s="1" t="s">
        <v>51</v>
      </c>
      <c r="G44" s="1" t="s">
        <v>52</v>
      </c>
      <c r="H44" s="1" t="s">
        <v>212</v>
      </c>
      <c r="I44" s="1" t="s">
        <v>213</v>
      </c>
      <c r="J44" s="2">
        <v>689</v>
      </c>
      <c r="K44" s="2">
        <v>0</v>
      </c>
      <c r="M44" s="2">
        <v>2</v>
      </c>
      <c r="N44" s="3">
        <v>45777</v>
      </c>
      <c r="O44" s="3">
        <v>46141</v>
      </c>
      <c r="P44" s="4">
        <v>32800</v>
      </c>
      <c r="Q44" s="1" t="s">
        <v>17</v>
      </c>
      <c r="R44" s="1" t="s">
        <v>1105</v>
      </c>
    </row>
    <row r="45" spans="1:18" x14ac:dyDescent="0.25">
      <c r="A45" s="26" t="s">
        <v>286</v>
      </c>
      <c r="B45" s="1" t="s">
        <v>10</v>
      </c>
      <c r="C45" s="1" t="s">
        <v>10</v>
      </c>
      <c r="D45" s="1" t="s">
        <v>11</v>
      </c>
      <c r="E45" s="1" t="s">
        <v>12</v>
      </c>
      <c r="F45" s="1" t="s">
        <v>13</v>
      </c>
      <c r="G45" s="1" t="s">
        <v>14</v>
      </c>
      <c r="H45" s="1" t="s">
        <v>15</v>
      </c>
      <c r="I45" s="1" t="s">
        <v>16</v>
      </c>
      <c r="J45" s="2">
        <v>6700</v>
      </c>
      <c r="K45" s="2">
        <v>0</v>
      </c>
      <c r="M45" s="2">
        <v>43</v>
      </c>
      <c r="N45" s="3">
        <v>45794</v>
      </c>
      <c r="O45" s="3">
        <v>46158</v>
      </c>
      <c r="P45" s="4">
        <v>263000</v>
      </c>
      <c r="Q45" s="1" t="s">
        <v>17</v>
      </c>
      <c r="R45" s="1" t="s">
        <v>1106</v>
      </c>
    </row>
    <row r="46" spans="1:18" x14ac:dyDescent="0.25">
      <c r="A46" s="26" t="s">
        <v>287</v>
      </c>
      <c r="B46" s="1" t="s">
        <v>10</v>
      </c>
      <c r="C46" s="1" t="s">
        <v>10</v>
      </c>
      <c r="D46" s="1" t="s">
        <v>18</v>
      </c>
      <c r="E46" s="1" t="s">
        <v>19</v>
      </c>
      <c r="F46" s="1" t="s">
        <v>20</v>
      </c>
      <c r="G46" s="1" t="s">
        <v>21</v>
      </c>
      <c r="H46" s="1" t="s">
        <v>22</v>
      </c>
      <c r="I46" s="1" t="s">
        <v>23</v>
      </c>
      <c r="J46" s="2">
        <v>7146</v>
      </c>
      <c r="K46" s="2">
        <v>10460</v>
      </c>
      <c r="L46" s="2">
        <v>18000</v>
      </c>
      <c r="M46" s="2">
        <v>2</v>
      </c>
      <c r="N46" s="3">
        <v>45812</v>
      </c>
      <c r="O46" s="3">
        <v>46176</v>
      </c>
      <c r="P46" s="4">
        <v>76800</v>
      </c>
      <c r="Q46" s="1" t="s">
        <v>17</v>
      </c>
      <c r="R46" s="1" t="s">
        <v>1106</v>
      </c>
    </row>
    <row r="47" spans="1:18" x14ac:dyDescent="0.25">
      <c r="A47" s="26" t="s">
        <v>288</v>
      </c>
      <c r="B47" s="1" t="s">
        <v>10</v>
      </c>
      <c r="C47" s="1" t="s">
        <v>10</v>
      </c>
      <c r="D47" s="1" t="s">
        <v>144</v>
      </c>
      <c r="E47" s="1" t="s">
        <v>145</v>
      </c>
      <c r="F47" s="1" t="s">
        <v>64</v>
      </c>
      <c r="G47" s="1" t="s">
        <v>107</v>
      </c>
      <c r="H47" s="1" t="s">
        <v>108</v>
      </c>
      <c r="I47" s="1" t="s">
        <v>109</v>
      </c>
      <c r="J47" s="2">
        <v>1248</v>
      </c>
      <c r="K47" s="2">
        <v>0</v>
      </c>
      <c r="M47" s="2">
        <v>5</v>
      </c>
      <c r="N47" s="3">
        <v>45938</v>
      </c>
      <c r="O47" s="3">
        <v>46302</v>
      </c>
      <c r="P47" s="4">
        <v>55221.72</v>
      </c>
      <c r="Q47" s="1" t="s">
        <v>17</v>
      </c>
      <c r="R47" s="1" t="s">
        <v>1105</v>
      </c>
    </row>
    <row r="48" spans="1:18" x14ac:dyDescent="0.25">
      <c r="A48" s="26" t="s">
        <v>289</v>
      </c>
      <c r="B48" s="1" t="s">
        <v>10</v>
      </c>
      <c r="C48" s="1" t="s">
        <v>10</v>
      </c>
      <c r="D48" s="1" t="s">
        <v>148</v>
      </c>
      <c r="E48" s="1" t="s">
        <v>149</v>
      </c>
      <c r="F48" s="1" t="s">
        <v>64</v>
      </c>
      <c r="G48" s="1" t="s">
        <v>107</v>
      </c>
      <c r="H48" s="1" t="s">
        <v>108</v>
      </c>
      <c r="I48" s="1" t="s">
        <v>109</v>
      </c>
      <c r="J48" s="2">
        <v>1248</v>
      </c>
      <c r="K48" s="2">
        <v>0</v>
      </c>
      <c r="M48" s="2">
        <v>5</v>
      </c>
      <c r="N48" s="3">
        <v>45938</v>
      </c>
      <c r="O48" s="3">
        <v>46302</v>
      </c>
      <c r="P48" s="4">
        <v>55621.72</v>
      </c>
      <c r="Q48" s="1" t="s">
        <v>17</v>
      </c>
      <c r="R48" s="1" t="s">
        <v>1105</v>
      </c>
    </row>
    <row r="49" spans="1:18" x14ac:dyDescent="0.25">
      <c r="A49" s="26" t="s">
        <v>290</v>
      </c>
      <c r="B49" s="1" t="s">
        <v>10</v>
      </c>
      <c r="C49" s="1" t="s">
        <v>10</v>
      </c>
      <c r="D49" s="1" t="s">
        <v>146</v>
      </c>
      <c r="E49" s="1" t="s">
        <v>147</v>
      </c>
      <c r="F49" s="1" t="s">
        <v>64</v>
      </c>
      <c r="G49" s="1" t="s">
        <v>107</v>
      </c>
      <c r="H49" s="1" t="s">
        <v>108</v>
      </c>
      <c r="I49" s="1" t="s">
        <v>109</v>
      </c>
      <c r="J49" s="2">
        <v>1248</v>
      </c>
      <c r="K49" s="2">
        <v>0</v>
      </c>
      <c r="M49" s="2">
        <v>5</v>
      </c>
      <c r="N49" s="3">
        <v>45938</v>
      </c>
      <c r="O49" s="3">
        <v>46302</v>
      </c>
      <c r="P49" s="4">
        <v>56121.72</v>
      </c>
      <c r="Q49" s="1" t="s">
        <v>17</v>
      </c>
      <c r="R49" s="1" t="s">
        <v>1105</v>
      </c>
    </row>
    <row r="50" spans="1:18" x14ac:dyDescent="0.25">
      <c r="A50" s="26" t="s">
        <v>291</v>
      </c>
      <c r="B50" s="1" t="s">
        <v>10</v>
      </c>
      <c r="C50" s="1" t="s">
        <v>10</v>
      </c>
      <c r="D50" s="1" t="s">
        <v>158</v>
      </c>
      <c r="E50" s="1" t="s">
        <v>159</v>
      </c>
      <c r="F50" s="1" t="s">
        <v>64</v>
      </c>
      <c r="G50" s="1" t="s">
        <v>107</v>
      </c>
      <c r="H50" s="1" t="s">
        <v>108</v>
      </c>
      <c r="I50" s="1" t="s">
        <v>109</v>
      </c>
      <c r="J50" s="2">
        <v>1248</v>
      </c>
      <c r="K50" s="2">
        <v>0</v>
      </c>
      <c r="M50" s="2">
        <v>5</v>
      </c>
      <c r="N50" s="3">
        <v>45943</v>
      </c>
      <c r="O50" s="3">
        <v>46307</v>
      </c>
      <c r="P50" s="4">
        <v>54921.72</v>
      </c>
      <c r="Q50" s="1" t="s">
        <v>17</v>
      </c>
      <c r="R50" s="1" t="s">
        <v>1105</v>
      </c>
    </row>
    <row r="51" spans="1:18" x14ac:dyDescent="0.25">
      <c r="A51" s="26" t="s">
        <v>292</v>
      </c>
      <c r="B51" s="1" t="s">
        <v>10</v>
      </c>
      <c r="C51" s="1" t="s">
        <v>10</v>
      </c>
      <c r="D51" s="1" t="s">
        <v>154</v>
      </c>
      <c r="E51" s="1" t="s">
        <v>155</v>
      </c>
      <c r="F51" s="1" t="s">
        <v>64</v>
      </c>
      <c r="G51" s="1" t="s">
        <v>107</v>
      </c>
      <c r="H51" s="1" t="s">
        <v>108</v>
      </c>
      <c r="I51" s="1" t="s">
        <v>109</v>
      </c>
      <c r="J51" s="2">
        <v>1248</v>
      </c>
      <c r="K51" s="2">
        <v>0</v>
      </c>
      <c r="M51" s="2">
        <v>5</v>
      </c>
      <c r="N51" s="3">
        <v>45943</v>
      </c>
      <c r="O51" s="3">
        <v>46307</v>
      </c>
      <c r="P51" s="4">
        <v>55521.72</v>
      </c>
      <c r="Q51" s="1" t="s">
        <v>17</v>
      </c>
      <c r="R51" s="1" t="s">
        <v>1105</v>
      </c>
    </row>
    <row r="52" spans="1:18" x14ac:dyDescent="0.25">
      <c r="A52" s="26" t="s">
        <v>293</v>
      </c>
      <c r="B52" s="1" t="s">
        <v>10</v>
      </c>
      <c r="C52" s="1" t="s">
        <v>10</v>
      </c>
      <c r="D52" s="1" t="s">
        <v>150</v>
      </c>
      <c r="E52" s="1" t="s">
        <v>151</v>
      </c>
      <c r="F52" s="1" t="s">
        <v>64</v>
      </c>
      <c r="G52" s="1" t="s">
        <v>107</v>
      </c>
      <c r="H52" s="1" t="s">
        <v>108</v>
      </c>
      <c r="I52" s="1" t="s">
        <v>109</v>
      </c>
      <c r="J52" s="2">
        <v>1248</v>
      </c>
      <c r="K52" s="2">
        <v>0</v>
      </c>
      <c r="M52" s="2">
        <v>5</v>
      </c>
      <c r="N52" s="3">
        <v>45943</v>
      </c>
      <c r="O52" s="3">
        <v>46307</v>
      </c>
      <c r="P52" s="4">
        <v>55621.72</v>
      </c>
      <c r="Q52" s="1" t="s">
        <v>17</v>
      </c>
      <c r="R52" s="1" t="s">
        <v>1105</v>
      </c>
    </row>
    <row r="53" spans="1:18" x14ac:dyDescent="0.25">
      <c r="A53" s="26" t="s">
        <v>294</v>
      </c>
      <c r="B53" s="1" t="s">
        <v>10</v>
      </c>
      <c r="C53" s="1" t="s">
        <v>10</v>
      </c>
      <c r="D53" s="1" t="s">
        <v>152</v>
      </c>
      <c r="E53" s="1" t="s">
        <v>153</v>
      </c>
      <c r="F53" s="1" t="s">
        <v>64</v>
      </c>
      <c r="G53" s="1" t="s">
        <v>107</v>
      </c>
      <c r="H53" s="1" t="s">
        <v>108</v>
      </c>
      <c r="I53" s="1" t="s">
        <v>109</v>
      </c>
      <c r="J53" s="2">
        <v>1248</v>
      </c>
      <c r="K53" s="2">
        <v>0</v>
      </c>
      <c r="M53" s="2">
        <v>5</v>
      </c>
      <c r="N53" s="3">
        <v>45943</v>
      </c>
      <c r="O53" s="3">
        <v>46307</v>
      </c>
      <c r="P53" s="4">
        <v>55421.72</v>
      </c>
      <c r="Q53" s="1" t="s">
        <v>17</v>
      </c>
      <c r="R53" s="1" t="s">
        <v>1105</v>
      </c>
    </row>
    <row r="54" spans="1:18" x14ac:dyDescent="0.25">
      <c r="A54" s="26" t="s">
        <v>295</v>
      </c>
      <c r="B54" s="1" t="s">
        <v>10</v>
      </c>
      <c r="C54" s="1" t="s">
        <v>10</v>
      </c>
      <c r="D54" s="1" t="s">
        <v>156</v>
      </c>
      <c r="E54" s="1" t="s">
        <v>157</v>
      </c>
      <c r="F54" s="1" t="s">
        <v>64</v>
      </c>
      <c r="G54" s="1" t="s">
        <v>107</v>
      </c>
      <c r="H54" s="1" t="s">
        <v>108</v>
      </c>
      <c r="I54" s="1" t="s">
        <v>109</v>
      </c>
      <c r="J54" s="2">
        <v>1248</v>
      </c>
      <c r="K54" s="2">
        <v>0</v>
      </c>
      <c r="M54" s="2">
        <v>5</v>
      </c>
      <c r="N54" s="3">
        <v>45943</v>
      </c>
      <c r="O54" s="3">
        <v>46307</v>
      </c>
      <c r="P54" s="4">
        <v>56521.72</v>
      </c>
      <c r="Q54" s="1" t="s">
        <v>17</v>
      </c>
      <c r="R54" s="1" t="s">
        <v>1105</v>
      </c>
    </row>
    <row r="55" spans="1:18" x14ac:dyDescent="0.25">
      <c r="A55" s="26" t="s">
        <v>296</v>
      </c>
      <c r="B55" s="1" t="s">
        <v>10</v>
      </c>
      <c r="C55" s="1" t="s">
        <v>10</v>
      </c>
      <c r="D55" s="1" t="s">
        <v>24</v>
      </c>
      <c r="E55" s="1" t="s">
        <v>25</v>
      </c>
      <c r="F55" s="1" t="s">
        <v>26</v>
      </c>
      <c r="G55" s="1" t="s">
        <v>27</v>
      </c>
      <c r="H55" s="1" t="s">
        <v>28</v>
      </c>
      <c r="I55" s="1" t="s">
        <v>29</v>
      </c>
      <c r="J55" s="2">
        <v>0</v>
      </c>
      <c r="K55" s="2">
        <v>483</v>
      </c>
      <c r="L55" s="2">
        <v>750</v>
      </c>
      <c r="M55" s="2">
        <v>0</v>
      </c>
      <c r="N55" s="3">
        <v>45951</v>
      </c>
      <c r="O55" s="3">
        <v>46315</v>
      </c>
      <c r="R55" s="1" t="s">
        <v>348</v>
      </c>
    </row>
    <row r="56" spans="1:18" x14ac:dyDescent="0.25">
      <c r="A56" s="26" t="s">
        <v>297</v>
      </c>
      <c r="B56" s="1" t="s">
        <v>10</v>
      </c>
      <c r="C56" s="1" t="s">
        <v>10</v>
      </c>
      <c r="D56" s="1" t="s">
        <v>160</v>
      </c>
      <c r="E56" s="1" t="s">
        <v>161</v>
      </c>
      <c r="F56" s="1" t="s">
        <v>64</v>
      </c>
      <c r="G56" s="1" t="s">
        <v>107</v>
      </c>
      <c r="H56" s="1" t="s">
        <v>108</v>
      </c>
      <c r="I56" s="1" t="s">
        <v>109</v>
      </c>
      <c r="J56" s="2">
        <v>1248</v>
      </c>
      <c r="K56" s="2">
        <v>0</v>
      </c>
      <c r="M56" s="2">
        <v>5</v>
      </c>
      <c r="N56" s="3">
        <v>45958</v>
      </c>
      <c r="O56" s="3">
        <v>46322</v>
      </c>
      <c r="P56" s="4">
        <v>55121.72</v>
      </c>
      <c r="Q56" s="1" t="s">
        <v>17</v>
      </c>
      <c r="R56" s="1" t="s">
        <v>1105</v>
      </c>
    </row>
    <row r="57" spans="1:18" x14ac:dyDescent="0.25">
      <c r="A57" s="26" t="s">
        <v>298</v>
      </c>
      <c r="B57" s="1" t="s">
        <v>10</v>
      </c>
      <c r="C57" s="1" t="s">
        <v>10</v>
      </c>
      <c r="D57" s="1" t="s">
        <v>164</v>
      </c>
      <c r="E57" s="1" t="s">
        <v>165</v>
      </c>
      <c r="F57" s="1" t="s">
        <v>64</v>
      </c>
      <c r="G57" s="1" t="s">
        <v>107</v>
      </c>
      <c r="H57" s="1" t="s">
        <v>108</v>
      </c>
      <c r="I57" s="1" t="s">
        <v>109</v>
      </c>
      <c r="J57" s="2">
        <v>1248</v>
      </c>
      <c r="K57" s="2">
        <v>0</v>
      </c>
      <c r="M57" s="2">
        <v>5</v>
      </c>
      <c r="N57" s="3">
        <v>45958</v>
      </c>
      <c r="O57" s="3">
        <v>46322</v>
      </c>
      <c r="P57" s="4">
        <v>54421.72</v>
      </c>
      <c r="Q57" s="1" t="s">
        <v>17</v>
      </c>
      <c r="R57" s="1" t="s">
        <v>1105</v>
      </c>
    </row>
    <row r="58" spans="1:18" x14ac:dyDescent="0.25">
      <c r="A58" s="26" t="s">
        <v>299</v>
      </c>
      <c r="B58" s="1" t="s">
        <v>10</v>
      </c>
      <c r="C58" s="1" t="s">
        <v>10</v>
      </c>
      <c r="D58" s="1" t="s">
        <v>162</v>
      </c>
      <c r="E58" s="1" t="s">
        <v>163</v>
      </c>
      <c r="F58" s="1" t="s">
        <v>64</v>
      </c>
      <c r="G58" s="1" t="s">
        <v>107</v>
      </c>
      <c r="H58" s="1" t="s">
        <v>108</v>
      </c>
      <c r="I58" s="1" t="s">
        <v>109</v>
      </c>
      <c r="J58" s="2">
        <v>1248</v>
      </c>
      <c r="K58" s="2">
        <v>0</v>
      </c>
      <c r="M58" s="2">
        <v>5</v>
      </c>
      <c r="N58" s="3">
        <v>45958</v>
      </c>
      <c r="O58" s="3">
        <v>46322</v>
      </c>
      <c r="P58" s="4">
        <v>55621.72</v>
      </c>
      <c r="Q58" s="1" t="s">
        <v>17</v>
      </c>
      <c r="R58" s="1" t="s">
        <v>1105</v>
      </c>
    </row>
    <row r="59" spans="1:18" x14ac:dyDescent="0.25">
      <c r="A59" s="26" t="s">
        <v>300</v>
      </c>
      <c r="B59" s="1" t="s">
        <v>10</v>
      </c>
      <c r="C59" s="1" t="s">
        <v>10</v>
      </c>
      <c r="D59" s="1" t="s">
        <v>166</v>
      </c>
      <c r="E59" s="1" t="s">
        <v>167</v>
      </c>
      <c r="F59" s="1" t="s">
        <v>64</v>
      </c>
      <c r="G59" s="1" t="s">
        <v>107</v>
      </c>
      <c r="H59" s="1" t="s">
        <v>108</v>
      </c>
      <c r="I59" s="1" t="s">
        <v>109</v>
      </c>
      <c r="J59" s="2">
        <v>1248</v>
      </c>
      <c r="K59" s="2">
        <v>0</v>
      </c>
      <c r="M59" s="2">
        <v>5</v>
      </c>
      <c r="N59" s="3">
        <v>45958</v>
      </c>
      <c r="O59" s="3">
        <v>46322</v>
      </c>
      <c r="P59" s="4">
        <v>55721.72</v>
      </c>
      <c r="Q59" s="1" t="s">
        <v>17</v>
      </c>
      <c r="R59" s="1" t="s">
        <v>1105</v>
      </c>
    </row>
    <row r="60" spans="1:18" x14ac:dyDescent="0.25">
      <c r="A60" s="26" t="s">
        <v>301</v>
      </c>
      <c r="B60" s="1" t="s">
        <v>10</v>
      </c>
      <c r="C60" s="1" t="s">
        <v>10</v>
      </c>
      <c r="D60" s="1" t="s">
        <v>168</v>
      </c>
      <c r="E60" s="1" t="s">
        <v>169</v>
      </c>
      <c r="F60" s="1" t="s">
        <v>64</v>
      </c>
      <c r="G60" s="1" t="s">
        <v>107</v>
      </c>
      <c r="H60" s="1" t="s">
        <v>108</v>
      </c>
      <c r="I60" s="1" t="s">
        <v>109</v>
      </c>
      <c r="J60" s="2">
        <v>1248</v>
      </c>
      <c r="K60" s="2">
        <v>0</v>
      </c>
      <c r="M60" s="2">
        <v>5</v>
      </c>
      <c r="N60" s="3">
        <v>45958</v>
      </c>
      <c r="O60" s="3">
        <v>46322</v>
      </c>
      <c r="P60" s="4">
        <v>55621.72</v>
      </c>
      <c r="Q60" s="1" t="s">
        <v>17</v>
      </c>
      <c r="R60" s="1" t="s">
        <v>1105</v>
      </c>
    </row>
    <row r="61" spans="1:18" x14ac:dyDescent="0.25">
      <c r="A61" s="26" t="s">
        <v>302</v>
      </c>
      <c r="B61" s="1" t="s">
        <v>10</v>
      </c>
      <c r="C61" s="1" t="s">
        <v>10</v>
      </c>
      <c r="D61" s="1" t="s">
        <v>184</v>
      </c>
      <c r="E61" s="1" t="s">
        <v>185</v>
      </c>
      <c r="F61" s="1" t="s">
        <v>64</v>
      </c>
      <c r="G61" s="1" t="s">
        <v>107</v>
      </c>
      <c r="H61" s="1" t="s">
        <v>108</v>
      </c>
      <c r="I61" s="1" t="s">
        <v>109</v>
      </c>
      <c r="J61" s="2">
        <v>1248</v>
      </c>
      <c r="K61" s="2">
        <v>0</v>
      </c>
      <c r="M61" s="2">
        <v>5</v>
      </c>
      <c r="N61" s="3">
        <v>45963</v>
      </c>
      <c r="O61" s="3">
        <v>46327</v>
      </c>
      <c r="P61" s="4">
        <v>55721.72</v>
      </c>
      <c r="Q61" s="1" t="s">
        <v>17</v>
      </c>
      <c r="R61" s="1" t="s">
        <v>1105</v>
      </c>
    </row>
    <row r="62" spans="1:18" x14ac:dyDescent="0.25">
      <c r="A62" s="26" t="s">
        <v>303</v>
      </c>
      <c r="B62" s="1" t="s">
        <v>10</v>
      </c>
      <c r="C62" s="1" t="s">
        <v>10</v>
      </c>
      <c r="D62" s="1" t="s">
        <v>182</v>
      </c>
      <c r="E62" s="1" t="s">
        <v>183</v>
      </c>
      <c r="F62" s="1" t="s">
        <v>64</v>
      </c>
      <c r="G62" s="1" t="s">
        <v>107</v>
      </c>
      <c r="H62" s="1" t="s">
        <v>108</v>
      </c>
      <c r="I62" s="1" t="s">
        <v>109</v>
      </c>
      <c r="J62" s="2">
        <v>1248</v>
      </c>
      <c r="K62" s="2">
        <v>0</v>
      </c>
      <c r="M62" s="2">
        <v>5</v>
      </c>
      <c r="N62" s="3">
        <v>45963</v>
      </c>
      <c r="O62" s="3">
        <v>46327</v>
      </c>
      <c r="P62" s="4">
        <v>57421.72</v>
      </c>
      <c r="Q62" s="1" t="s">
        <v>17</v>
      </c>
      <c r="R62" s="1" t="s">
        <v>1105</v>
      </c>
    </row>
    <row r="63" spans="1:18" x14ac:dyDescent="0.25">
      <c r="A63" s="26" t="s">
        <v>304</v>
      </c>
      <c r="B63" s="1" t="s">
        <v>10</v>
      </c>
      <c r="C63" s="1" t="s">
        <v>10</v>
      </c>
      <c r="D63" s="1" t="s">
        <v>176</v>
      </c>
      <c r="E63" s="1" t="s">
        <v>177</v>
      </c>
      <c r="F63" s="1" t="s">
        <v>64</v>
      </c>
      <c r="G63" s="1" t="s">
        <v>107</v>
      </c>
      <c r="H63" s="1" t="s">
        <v>108</v>
      </c>
      <c r="I63" s="1" t="s">
        <v>109</v>
      </c>
      <c r="J63" s="2">
        <v>1248</v>
      </c>
      <c r="K63" s="2">
        <v>0</v>
      </c>
      <c r="M63" s="2">
        <v>5</v>
      </c>
      <c r="N63" s="3">
        <v>45963</v>
      </c>
      <c r="O63" s="3">
        <v>46327</v>
      </c>
      <c r="P63" s="4">
        <v>54621.72</v>
      </c>
      <c r="Q63" s="1" t="s">
        <v>17</v>
      </c>
      <c r="R63" s="1" t="s">
        <v>1105</v>
      </c>
    </row>
    <row r="64" spans="1:18" x14ac:dyDescent="0.25">
      <c r="A64" s="26" t="s">
        <v>305</v>
      </c>
      <c r="B64" s="1" t="s">
        <v>10</v>
      </c>
      <c r="C64" s="1" t="s">
        <v>10</v>
      </c>
      <c r="D64" s="1" t="s">
        <v>174</v>
      </c>
      <c r="E64" s="1" t="s">
        <v>175</v>
      </c>
      <c r="F64" s="1" t="s">
        <v>64</v>
      </c>
      <c r="G64" s="1" t="s">
        <v>107</v>
      </c>
      <c r="H64" s="1" t="s">
        <v>108</v>
      </c>
      <c r="I64" s="1" t="s">
        <v>109</v>
      </c>
      <c r="J64" s="2">
        <v>1248</v>
      </c>
      <c r="K64" s="2">
        <v>0</v>
      </c>
      <c r="M64" s="2">
        <v>5</v>
      </c>
      <c r="N64" s="3">
        <v>45963</v>
      </c>
      <c r="O64" s="3">
        <v>46327</v>
      </c>
      <c r="P64" s="4">
        <v>55121.72</v>
      </c>
      <c r="Q64" s="1" t="s">
        <v>17</v>
      </c>
      <c r="R64" s="1" t="s">
        <v>1105</v>
      </c>
    </row>
    <row r="65" spans="1:18" x14ac:dyDescent="0.25">
      <c r="A65" s="26" t="s">
        <v>306</v>
      </c>
      <c r="B65" s="1" t="s">
        <v>10</v>
      </c>
      <c r="C65" s="1" t="s">
        <v>10</v>
      </c>
      <c r="D65" s="1" t="s">
        <v>172</v>
      </c>
      <c r="E65" s="1" t="s">
        <v>173</v>
      </c>
      <c r="F65" s="1" t="s">
        <v>64</v>
      </c>
      <c r="G65" s="1" t="s">
        <v>107</v>
      </c>
      <c r="H65" s="1" t="s">
        <v>108</v>
      </c>
      <c r="I65" s="1" t="s">
        <v>109</v>
      </c>
      <c r="J65" s="2">
        <v>1248</v>
      </c>
      <c r="K65" s="2">
        <v>0</v>
      </c>
      <c r="M65" s="2">
        <v>5</v>
      </c>
      <c r="N65" s="3">
        <v>45963</v>
      </c>
      <c r="O65" s="3">
        <v>46327</v>
      </c>
      <c r="P65" s="4">
        <v>55121.72</v>
      </c>
      <c r="Q65" s="1" t="s">
        <v>17</v>
      </c>
      <c r="R65" s="1" t="s">
        <v>1105</v>
      </c>
    </row>
    <row r="66" spans="1:18" x14ac:dyDescent="0.25">
      <c r="A66" s="26" t="s">
        <v>307</v>
      </c>
      <c r="B66" s="1" t="s">
        <v>10</v>
      </c>
      <c r="C66" s="1" t="s">
        <v>10</v>
      </c>
      <c r="D66" s="1" t="s">
        <v>180</v>
      </c>
      <c r="E66" s="1" t="s">
        <v>181</v>
      </c>
      <c r="F66" s="1" t="s">
        <v>64</v>
      </c>
      <c r="G66" s="1" t="s">
        <v>107</v>
      </c>
      <c r="H66" s="1" t="s">
        <v>108</v>
      </c>
      <c r="I66" s="1" t="s">
        <v>109</v>
      </c>
      <c r="J66" s="2">
        <v>1248</v>
      </c>
      <c r="K66" s="2">
        <v>0</v>
      </c>
      <c r="M66" s="2">
        <v>5</v>
      </c>
      <c r="N66" s="3">
        <v>45963</v>
      </c>
      <c r="O66" s="3">
        <v>46327</v>
      </c>
      <c r="P66" s="4">
        <v>56321.72</v>
      </c>
      <c r="Q66" s="1" t="s">
        <v>17</v>
      </c>
      <c r="R66" s="1" t="s">
        <v>1105</v>
      </c>
    </row>
    <row r="67" spans="1:18" x14ac:dyDescent="0.25">
      <c r="A67" s="26" t="s">
        <v>308</v>
      </c>
      <c r="B67" s="1" t="s">
        <v>10</v>
      </c>
      <c r="C67" s="1" t="s">
        <v>10</v>
      </c>
      <c r="D67" s="1" t="s">
        <v>178</v>
      </c>
      <c r="E67" s="1" t="s">
        <v>179</v>
      </c>
      <c r="F67" s="1" t="s">
        <v>64</v>
      </c>
      <c r="G67" s="1" t="s">
        <v>107</v>
      </c>
      <c r="H67" s="1" t="s">
        <v>108</v>
      </c>
      <c r="I67" s="1" t="s">
        <v>109</v>
      </c>
      <c r="J67" s="2">
        <v>1248</v>
      </c>
      <c r="K67" s="2">
        <v>0</v>
      </c>
      <c r="M67" s="2">
        <v>5</v>
      </c>
      <c r="N67" s="3">
        <v>45963</v>
      </c>
      <c r="O67" s="3">
        <v>46327</v>
      </c>
      <c r="P67" s="4">
        <v>56421.72</v>
      </c>
      <c r="Q67" s="1" t="s">
        <v>17</v>
      </c>
      <c r="R67" s="1" t="s">
        <v>1105</v>
      </c>
    </row>
    <row r="68" spans="1:18" x14ac:dyDescent="0.25">
      <c r="A68" s="26" t="s">
        <v>309</v>
      </c>
      <c r="B68" s="1" t="s">
        <v>10</v>
      </c>
      <c r="C68" s="1" t="s">
        <v>10</v>
      </c>
      <c r="D68" s="1" t="s">
        <v>170</v>
      </c>
      <c r="E68" s="1" t="s">
        <v>171</v>
      </c>
      <c r="F68" s="1" t="s">
        <v>64</v>
      </c>
      <c r="G68" s="1" t="s">
        <v>107</v>
      </c>
      <c r="H68" s="1" t="s">
        <v>108</v>
      </c>
      <c r="I68" s="1" t="s">
        <v>109</v>
      </c>
      <c r="J68" s="2">
        <v>1248</v>
      </c>
      <c r="K68" s="2">
        <v>0</v>
      </c>
      <c r="M68" s="2">
        <v>5</v>
      </c>
      <c r="N68" s="3">
        <v>45963</v>
      </c>
      <c r="O68" s="3">
        <v>46327</v>
      </c>
      <c r="P68" s="4">
        <v>56421.72</v>
      </c>
      <c r="Q68" s="1" t="s">
        <v>17</v>
      </c>
      <c r="R68" s="1" t="s">
        <v>1105</v>
      </c>
    </row>
    <row r="69" spans="1:18" x14ac:dyDescent="0.25">
      <c r="A69" s="26" t="s">
        <v>310</v>
      </c>
      <c r="B69" s="1" t="s">
        <v>10</v>
      </c>
      <c r="C69" s="1" t="s">
        <v>10</v>
      </c>
      <c r="D69" s="1" t="s">
        <v>105</v>
      </c>
      <c r="E69" s="1" t="s">
        <v>106</v>
      </c>
      <c r="F69" s="1" t="s">
        <v>64</v>
      </c>
      <c r="G69" s="1" t="s">
        <v>107</v>
      </c>
      <c r="H69" s="1" t="s">
        <v>108</v>
      </c>
      <c r="I69" s="1" t="s">
        <v>109</v>
      </c>
      <c r="J69" s="2">
        <v>1248</v>
      </c>
      <c r="K69" s="2">
        <v>0</v>
      </c>
      <c r="M69" s="2">
        <v>5</v>
      </c>
      <c r="N69" s="3">
        <v>45964</v>
      </c>
      <c r="O69" s="3">
        <v>46328</v>
      </c>
      <c r="P69" s="4">
        <v>56321.72</v>
      </c>
      <c r="Q69" s="1" t="s">
        <v>17</v>
      </c>
      <c r="R69" s="1" t="s">
        <v>1105</v>
      </c>
    </row>
    <row r="70" spans="1:18" x14ac:dyDescent="0.25">
      <c r="A70" s="26" t="s">
        <v>311</v>
      </c>
      <c r="B70" s="1" t="s">
        <v>10</v>
      </c>
      <c r="C70" s="1" t="s">
        <v>10</v>
      </c>
      <c r="D70" s="1" t="s">
        <v>110</v>
      </c>
      <c r="E70" s="1" t="s">
        <v>111</v>
      </c>
      <c r="F70" s="1" t="s">
        <v>64</v>
      </c>
      <c r="G70" s="1" t="s">
        <v>107</v>
      </c>
      <c r="H70" s="1" t="s">
        <v>108</v>
      </c>
      <c r="I70" s="1" t="s">
        <v>109</v>
      </c>
      <c r="J70" s="2">
        <v>1248</v>
      </c>
      <c r="K70" s="2">
        <v>0</v>
      </c>
      <c r="M70" s="2">
        <v>5</v>
      </c>
      <c r="N70" s="3">
        <v>45964</v>
      </c>
      <c r="O70" s="3">
        <v>46328</v>
      </c>
      <c r="P70" s="4">
        <v>56121.72</v>
      </c>
      <c r="Q70" s="1" t="s">
        <v>17</v>
      </c>
      <c r="R70" s="1" t="s">
        <v>1105</v>
      </c>
    </row>
    <row r="71" spans="1:18" x14ac:dyDescent="0.25">
      <c r="A71" s="26" t="s">
        <v>312</v>
      </c>
      <c r="B71" s="1" t="s">
        <v>10</v>
      </c>
      <c r="C71" s="1" t="s">
        <v>10</v>
      </c>
      <c r="D71" s="1" t="s">
        <v>112</v>
      </c>
      <c r="E71" s="1" t="s">
        <v>113</v>
      </c>
      <c r="F71" s="1" t="s">
        <v>64</v>
      </c>
      <c r="G71" s="1" t="s">
        <v>107</v>
      </c>
      <c r="H71" s="1" t="s">
        <v>108</v>
      </c>
      <c r="I71" s="1" t="s">
        <v>109</v>
      </c>
      <c r="J71" s="2">
        <v>1248</v>
      </c>
      <c r="K71" s="2">
        <v>0</v>
      </c>
      <c r="M71" s="2">
        <v>5</v>
      </c>
      <c r="N71" s="3">
        <v>45964</v>
      </c>
      <c r="O71" s="3">
        <v>46328</v>
      </c>
      <c r="P71" s="4">
        <v>56421.72</v>
      </c>
      <c r="Q71" s="1" t="s">
        <v>17</v>
      </c>
      <c r="R71" s="1" t="s">
        <v>1105</v>
      </c>
    </row>
    <row r="72" spans="1:18" x14ac:dyDescent="0.25">
      <c r="A72" s="26" t="s">
        <v>313</v>
      </c>
      <c r="B72" s="1" t="s">
        <v>10</v>
      </c>
      <c r="C72" s="1" t="s">
        <v>10</v>
      </c>
      <c r="D72" s="1" t="s">
        <v>114</v>
      </c>
      <c r="E72" s="1" t="s">
        <v>115</v>
      </c>
      <c r="F72" s="1" t="s">
        <v>64</v>
      </c>
      <c r="G72" s="1" t="s">
        <v>107</v>
      </c>
      <c r="H72" s="1" t="s">
        <v>108</v>
      </c>
      <c r="I72" s="1" t="s">
        <v>109</v>
      </c>
      <c r="J72" s="2">
        <v>1248</v>
      </c>
      <c r="K72" s="2">
        <v>0</v>
      </c>
      <c r="M72" s="2">
        <v>5</v>
      </c>
      <c r="N72" s="3">
        <v>45964</v>
      </c>
      <c r="O72" s="3">
        <v>46328</v>
      </c>
      <c r="P72" s="4">
        <v>56421.72</v>
      </c>
      <c r="Q72" s="1" t="s">
        <v>17</v>
      </c>
      <c r="R72" s="1" t="s">
        <v>1105</v>
      </c>
    </row>
    <row r="73" spans="1:18" x14ac:dyDescent="0.25">
      <c r="A73" s="26" t="s">
        <v>314</v>
      </c>
      <c r="B73" s="1" t="s">
        <v>10</v>
      </c>
      <c r="C73" s="1" t="s">
        <v>10</v>
      </c>
      <c r="D73" s="1" t="s">
        <v>116</v>
      </c>
      <c r="E73" s="1" t="s">
        <v>117</v>
      </c>
      <c r="F73" s="1" t="s">
        <v>64</v>
      </c>
      <c r="G73" s="1" t="s">
        <v>107</v>
      </c>
      <c r="H73" s="1" t="s">
        <v>108</v>
      </c>
      <c r="I73" s="1" t="s">
        <v>109</v>
      </c>
      <c r="J73" s="2">
        <v>1248</v>
      </c>
      <c r="K73" s="2">
        <v>0</v>
      </c>
      <c r="M73" s="2">
        <v>5</v>
      </c>
      <c r="N73" s="3">
        <v>45964</v>
      </c>
      <c r="O73" s="3">
        <v>46328</v>
      </c>
      <c r="P73" s="4">
        <v>56321.72</v>
      </c>
      <c r="Q73" s="1" t="s">
        <v>17</v>
      </c>
      <c r="R73" s="1" t="s">
        <v>1105</v>
      </c>
    </row>
    <row r="74" spans="1:18" x14ac:dyDescent="0.25">
      <c r="A74" s="26" t="s">
        <v>315</v>
      </c>
      <c r="B74" s="1" t="s">
        <v>10</v>
      </c>
      <c r="C74" s="1" t="s">
        <v>10</v>
      </c>
      <c r="D74" s="1" t="s">
        <v>118</v>
      </c>
      <c r="E74" s="1" t="s">
        <v>119</v>
      </c>
      <c r="F74" s="1" t="s">
        <v>64</v>
      </c>
      <c r="G74" s="1" t="s">
        <v>107</v>
      </c>
      <c r="H74" s="1" t="s">
        <v>108</v>
      </c>
      <c r="I74" s="1" t="s">
        <v>109</v>
      </c>
      <c r="J74" s="2">
        <v>1248</v>
      </c>
      <c r="K74" s="2">
        <v>0</v>
      </c>
      <c r="M74" s="2">
        <v>5</v>
      </c>
      <c r="N74" s="3">
        <v>45964</v>
      </c>
      <c r="O74" s="3">
        <v>46328</v>
      </c>
      <c r="P74" s="4">
        <v>56321.72</v>
      </c>
      <c r="Q74" s="1" t="s">
        <v>17</v>
      </c>
      <c r="R74" s="1" t="s">
        <v>1105</v>
      </c>
    </row>
    <row r="75" spans="1:18" x14ac:dyDescent="0.25">
      <c r="A75" s="26" t="s">
        <v>316</v>
      </c>
      <c r="B75" s="1" t="s">
        <v>10</v>
      </c>
      <c r="C75" s="1" t="s">
        <v>10</v>
      </c>
      <c r="D75" s="1" t="s">
        <v>120</v>
      </c>
      <c r="E75" s="1" t="s">
        <v>121</v>
      </c>
      <c r="F75" s="1" t="s">
        <v>64</v>
      </c>
      <c r="G75" s="1" t="s">
        <v>107</v>
      </c>
      <c r="H75" s="1" t="s">
        <v>108</v>
      </c>
      <c r="I75" s="1" t="s">
        <v>109</v>
      </c>
      <c r="J75" s="2">
        <v>1248</v>
      </c>
      <c r="K75" s="2">
        <v>0</v>
      </c>
      <c r="M75" s="2">
        <v>5</v>
      </c>
      <c r="N75" s="3">
        <v>45964</v>
      </c>
      <c r="O75" s="3">
        <v>46328</v>
      </c>
      <c r="P75" s="4">
        <v>56521.72</v>
      </c>
      <c r="Q75" s="1" t="s">
        <v>17</v>
      </c>
      <c r="R75" s="1" t="s">
        <v>1105</v>
      </c>
    </row>
    <row r="76" spans="1:18" x14ac:dyDescent="0.25">
      <c r="A76" s="26" t="s">
        <v>317</v>
      </c>
      <c r="B76" s="1" t="s">
        <v>10</v>
      </c>
      <c r="C76" s="1" t="s">
        <v>10</v>
      </c>
      <c r="D76" s="1" t="s">
        <v>124</v>
      </c>
      <c r="E76" s="1" t="s">
        <v>125</v>
      </c>
      <c r="F76" s="1" t="s">
        <v>64</v>
      </c>
      <c r="G76" s="1" t="s">
        <v>107</v>
      </c>
      <c r="H76" s="1" t="s">
        <v>108</v>
      </c>
      <c r="I76" s="1" t="s">
        <v>109</v>
      </c>
      <c r="J76" s="2">
        <v>1248</v>
      </c>
      <c r="K76" s="2">
        <v>0</v>
      </c>
      <c r="M76" s="2">
        <v>5</v>
      </c>
      <c r="N76" s="3">
        <v>45964</v>
      </c>
      <c r="O76" s="3">
        <v>46328</v>
      </c>
      <c r="P76" s="4">
        <v>56421.72</v>
      </c>
      <c r="Q76" s="1" t="s">
        <v>17</v>
      </c>
      <c r="R76" s="1" t="s">
        <v>1105</v>
      </c>
    </row>
    <row r="77" spans="1:18" x14ac:dyDescent="0.25">
      <c r="A77" s="26" t="s">
        <v>318</v>
      </c>
      <c r="B77" s="1" t="s">
        <v>10</v>
      </c>
      <c r="C77" s="1" t="s">
        <v>10</v>
      </c>
      <c r="D77" s="1" t="s">
        <v>126</v>
      </c>
      <c r="E77" s="1" t="s">
        <v>127</v>
      </c>
      <c r="F77" s="1" t="s">
        <v>64</v>
      </c>
      <c r="G77" s="1" t="s">
        <v>107</v>
      </c>
      <c r="H77" s="1" t="s">
        <v>108</v>
      </c>
      <c r="I77" s="1" t="s">
        <v>109</v>
      </c>
      <c r="J77" s="2">
        <v>1248</v>
      </c>
      <c r="K77" s="2">
        <v>0</v>
      </c>
      <c r="M77" s="2">
        <v>5</v>
      </c>
      <c r="N77" s="3">
        <v>45964</v>
      </c>
      <c r="O77" s="3">
        <v>46328</v>
      </c>
      <c r="P77" s="4">
        <v>56521.72</v>
      </c>
      <c r="Q77" s="1" t="s">
        <v>17</v>
      </c>
      <c r="R77" s="1" t="s">
        <v>1105</v>
      </c>
    </row>
    <row r="78" spans="1:18" x14ac:dyDescent="0.25">
      <c r="A78" s="26" t="s">
        <v>319</v>
      </c>
      <c r="B78" s="1" t="s">
        <v>10</v>
      </c>
      <c r="C78" s="1" t="s">
        <v>10</v>
      </c>
      <c r="D78" s="1" t="s">
        <v>128</v>
      </c>
      <c r="E78" s="1" t="s">
        <v>129</v>
      </c>
      <c r="F78" s="1" t="s">
        <v>64</v>
      </c>
      <c r="G78" s="1" t="s">
        <v>107</v>
      </c>
      <c r="H78" s="1" t="s">
        <v>108</v>
      </c>
      <c r="I78" s="1" t="s">
        <v>109</v>
      </c>
      <c r="J78" s="2">
        <v>1248</v>
      </c>
      <c r="K78" s="2">
        <v>0</v>
      </c>
      <c r="M78" s="2">
        <v>5</v>
      </c>
      <c r="N78" s="3">
        <v>45964</v>
      </c>
      <c r="O78" s="3">
        <v>46328</v>
      </c>
      <c r="P78" s="4">
        <v>56721.72</v>
      </c>
      <c r="Q78" s="1" t="s">
        <v>17</v>
      </c>
      <c r="R78" s="1" t="s">
        <v>1105</v>
      </c>
    </row>
    <row r="79" spans="1:18" x14ac:dyDescent="0.25">
      <c r="A79" s="26" t="s">
        <v>320</v>
      </c>
      <c r="B79" s="1" t="s">
        <v>10</v>
      </c>
      <c r="C79" s="1" t="s">
        <v>10</v>
      </c>
      <c r="D79" s="1" t="s">
        <v>130</v>
      </c>
      <c r="E79" s="1" t="s">
        <v>131</v>
      </c>
      <c r="F79" s="1" t="s">
        <v>64</v>
      </c>
      <c r="G79" s="1" t="s">
        <v>107</v>
      </c>
      <c r="H79" s="1" t="s">
        <v>108</v>
      </c>
      <c r="I79" s="1" t="s">
        <v>109</v>
      </c>
      <c r="J79" s="2">
        <v>1248</v>
      </c>
      <c r="K79" s="2">
        <v>0</v>
      </c>
      <c r="M79" s="2">
        <v>5</v>
      </c>
      <c r="N79" s="3">
        <v>45964</v>
      </c>
      <c r="O79" s="3">
        <v>46328</v>
      </c>
      <c r="P79" s="4">
        <v>56421.72</v>
      </c>
      <c r="Q79" s="1" t="s">
        <v>17</v>
      </c>
      <c r="R79" s="1" t="s">
        <v>1105</v>
      </c>
    </row>
    <row r="80" spans="1:18" x14ac:dyDescent="0.25">
      <c r="A80" s="26" t="s">
        <v>321</v>
      </c>
      <c r="B80" s="1" t="s">
        <v>10</v>
      </c>
      <c r="C80" s="1" t="s">
        <v>10</v>
      </c>
      <c r="D80" s="1" t="s">
        <v>122</v>
      </c>
      <c r="E80" s="1" t="s">
        <v>123</v>
      </c>
      <c r="F80" s="1" t="s">
        <v>64</v>
      </c>
      <c r="G80" s="1" t="s">
        <v>107</v>
      </c>
      <c r="H80" s="1" t="s">
        <v>108</v>
      </c>
      <c r="I80" s="1" t="s">
        <v>109</v>
      </c>
      <c r="J80" s="2">
        <v>1248</v>
      </c>
      <c r="K80" s="2">
        <v>0</v>
      </c>
      <c r="M80" s="2">
        <v>5</v>
      </c>
      <c r="N80" s="3">
        <v>45964</v>
      </c>
      <c r="O80" s="3">
        <v>46328</v>
      </c>
      <c r="P80" s="4">
        <v>56521.72</v>
      </c>
      <c r="Q80" s="1" t="s">
        <v>17</v>
      </c>
      <c r="R80" s="1" t="s">
        <v>1105</v>
      </c>
    </row>
  </sheetData>
  <phoneticPr fontId="2" type="noConversion"/>
  <dataValidations xWindow="1573" yWindow="916" count="12">
    <dataValidation showInputMessage="1" showErrorMessage="1" error=" " promptTitle="Wyszukiwanie (wymagane)" prompt="Ten rekord Ubezpieczający UG musi już istnieć w usłudze Microsoft Dynamics 365 lub w tym pliku źródłowym." sqref="A2:B1048576" xr:uid="{00000000-0002-0000-0000-000001000000}"/>
    <dataValidation showInputMessage="1" showErrorMessage="1" error=" " promptTitle="Wyszukiwanie (wymagane)" prompt="Ten rekord Właściciel pojazdu musi już istnieć w usłudze Microsoft Dynamics 365 lub w tym pliku źródłowym." sqref="C2:C1048576" xr:uid="{00000000-0002-0000-0000-000002000000}"/>
    <dataValidation type="textLength" operator="lessThanOrEqual" allowBlank="1" showInputMessage="1" showErrorMessage="1" errorTitle="Przekroczono długość" error="Ta wartość musi zawierać 256 znaków lub mniej." promptTitle="Tekst" prompt="Maksymalna długość: 256 znaków." sqref="D2:D1048576" xr:uid="{00000000-0002-0000-0000-000003000000}">
      <formula1>256</formula1>
    </dataValidation>
    <dataValidation type="textLength" operator="lessThanOrEqual" showInputMessage="1" showErrorMessage="1" errorTitle="Przekroczono długość" error="Ta wartość musi zawierać 25 znaków lub mniej." promptTitle="Tekst (wymagane)" prompt="Maksymalna długość: 25 znaków." sqref="E2:E1048576" xr:uid="{00000000-0002-0000-0000-000004000000}">
      <formula1>25</formula1>
    </dataValidation>
    <dataValidation type="textLength" operator="lessThanOrEqual" showInputMessage="1" showErrorMessage="1" errorTitle="Przekroczono długość" error="Ta wartość musi zawierać 100 znaków lub mniej." promptTitle="Tekst (wymagane)" prompt="Maksymalna długość: 100 znaków." sqref="G2:H1048576" xr:uid="{00000000-0002-0000-0000-000006000000}">
      <formula1>100</formula1>
    </dataValidation>
    <dataValidation type="textLength" operator="lessThanOrEqual" showInputMessage="1" showErrorMessage="1" errorTitle="Przekroczono długość" error="Ta wartość musi zawierać 4 znaków lub mniej." promptTitle="Tekst (wymagane)" prompt="Maksymalna długość: 4 znaków." sqref="I2:I1048576" xr:uid="{00000000-0002-0000-0000-000008000000}">
      <formula1>4</formula1>
    </dataValidation>
    <dataValidation type="decimal" allowBlank="1" showInputMessage="1" showErrorMessage="1" errorTitle="Wartość spoza zakresu" error="Pojemność musi być liczbą z zakresu od 0 do 100000000000." promptTitle="Liczba dziesiętna" prompt="Minimalna wartość: 0._x000d__x000a_Maksymalna wartość: 100000000000._x000d__x000a_  " sqref="J2:J1048576" xr:uid="{00000000-0002-0000-0000-000009000000}">
      <formula1>0</formula1>
      <formula2>100000000000</formula2>
    </dataValidation>
    <dataValidation type="decimal" allowBlank="1" showInputMessage="1" showErrorMessage="1" errorTitle="Wartość spoza zakresu" error="Ładowność musi być liczbą z zakresu od 0 do 1000000000." promptTitle="Liczba dziesiętna" prompt="Minimalna wartość: 0._x000d__x000a_Maksymalna wartość: 1000000000._x000d__x000a_  " sqref="K2:L1048576" xr:uid="{00000000-0002-0000-0000-00000A000000}">
      <formula1>0</formula1>
      <formula2>1000000000</formula2>
    </dataValidation>
    <dataValidation type="decimal" allowBlank="1" showInputMessage="1" showErrorMessage="1" errorTitle="Wartość spoza zakresu" error="Liczba miejsc musi być liczbą całkowitą z zakresu od 0 do 2147483647." promptTitle="Liczba całkowita" prompt="Minimalna wartość: 0._x000d__x000a_Maksymalna wartość: 2147483647._x000d__x000a_  " sqref="M2:M1048576" xr:uid="{00000000-0002-0000-0000-00000B000000}">
      <formula1>0</formula1>
      <formula2>2147483647</formula2>
    </dataValidation>
    <dataValidation type="textLength" operator="lessThanOrEqual" allowBlank="1" showInputMessage="1" showErrorMessage="1" errorTitle="Przekroczono długość" error="Ta wartość musi zawierać 1000 znaków lub mniej." promptTitle="Tekst" prompt="Maksymalna długość: 1000 znaków." sqref="R2:R1048576" xr:uid="{00000000-0002-0000-0000-00001A000000}">
      <formula1>1000</formula1>
    </dataValidation>
    <dataValidation type="decimal" allowBlank="1" showInputMessage="1" showErrorMessage="1" errorTitle="Wartość spoza zakresu" error="Suma ubezpieczenia musi być liczbą z zakresu od -922337203685477 do 922337203685477." promptTitle="Liczba dziesiętna" prompt="Minimalna wartość: -922337203685477._x000d__x000a_Maksymalna wartość: 922337203685477._x000d__x000a_  " sqref="P2:P1048576" xr:uid="{00000000-0002-0000-0000-000018000000}">
      <formula1>-922337203685477</formula1>
      <formula2>922337203685477</formula2>
    </dataValidation>
    <dataValidation type="date" operator="greaterThanOrEqual" allowBlank="1" showInputMessage="1" showErrorMessage="1" errorTitle="Nieprawidłowa data" error="Koniec OC musi mieć poprawny format daty." promptTitle="Data" prompt=" " sqref="N2:O1048576" xr:uid="{00000000-0002-0000-0000-00000D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xWindow="1573" yWindow="916" count="2">
        <x14:dataValidation type="list" allowBlank="1" showInputMessage="1" showErrorMessage="1" errorTitle="Wartość z listy" error="Rodzaj pojazdu trzeba wybrać z listy rozwijanej." promptTitle="Zestaw opcji" prompt="Wybierz wartość z listy rozwijanej." xr:uid="{00000000-0002-0000-0000-000005000000}">
          <x14:formula1>
            <xm:f>hiddenSheet!$A$2:$N$2</xm:f>
          </x14:formula1>
          <xm:sqref>F2:F1048576</xm:sqref>
        </x14:dataValidation>
        <x14:dataValidation type="list" allowBlank="1" showInputMessage="1" showErrorMessage="1" errorTitle="Wartość z listy" error="Rodzaj SU trzeba wybrać z listy rozwijanej." promptTitle="Zestaw opcji" prompt="Wybierz wartość z listy rozwijanej." xr:uid="{00000000-0002-0000-0000-000019000000}">
          <x14:formula1>
            <xm:f>hiddenSheet!$A$3:$C$3</xm:f>
          </x14:formula1>
          <xm:sqref>Q2:Q1048576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47B7-03E3-4866-A848-75135BBF1EF8}">
  <dimension ref="A1:I729"/>
  <sheetViews>
    <sheetView tabSelected="1" topLeftCell="A704" workbookViewId="0">
      <selection activeCell="G725" sqref="G725"/>
    </sheetView>
  </sheetViews>
  <sheetFormatPr defaultRowHeight="15" x14ac:dyDescent="0.25"/>
  <cols>
    <col min="1" max="1" width="8.28515625" bestFit="1" customWidth="1"/>
    <col min="2" max="2" width="18.42578125" bestFit="1" customWidth="1"/>
    <col min="3" max="3" width="15.5703125" bestFit="1" customWidth="1"/>
    <col min="4" max="4" width="16.28515625" style="3" bestFit="1" customWidth="1"/>
    <col min="5" max="5" width="11.85546875" bestFit="1" customWidth="1"/>
    <col min="6" max="6" width="30.42578125" style="4" bestFit="1" customWidth="1"/>
    <col min="7" max="7" width="13.140625" style="4" bestFit="1" customWidth="1"/>
    <col min="8" max="8" width="11.140625" bestFit="1" customWidth="1"/>
    <col min="9" max="9" width="10.85546875" bestFit="1" customWidth="1"/>
  </cols>
  <sheetData>
    <row r="1" spans="1:9" x14ac:dyDescent="0.25">
      <c r="A1" s="5" t="s">
        <v>324</v>
      </c>
      <c r="B1" s="5" t="s">
        <v>325</v>
      </c>
      <c r="C1" s="5" t="s">
        <v>326</v>
      </c>
      <c r="D1" s="6" t="s">
        <v>327</v>
      </c>
      <c r="E1" s="5" t="s">
        <v>328</v>
      </c>
      <c r="F1" s="7" t="s">
        <v>329</v>
      </c>
      <c r="G1" s="7" t="s">
        <v>330</v>
      </c>
      <c r="H1" s="5" t="s">
        <v>331</v>
      </c>
      <c r="I1" s="5" t="s">
        <v>332</v>
      </c>
    </row>
    <row r="2" spans="1:9" x14ac:dyDescent="0.25">
      <c r="A2" s="8">
        <v>1</v>
      </c>
      <c r="B2" s="9" t="s">
        <v>333</v>
      </c>
      <c r="C2" s="10">
        <v>2019</v>
      </c>
      <c r="D2" s="11">
        <v>43480</v>
      </c>
      <c r="E2" s="9" t="s">
        <v>334</v>
      </c>
      <c r="F2" s="12">
        <f>1593.26+1038.21</f>
        <v>2631.4700000000003</v>
      </c>
      <c r="G2" s="12">
        <v>0</v>
      </c>
      <c r="H2" s="13" t="s">
        <v>335</v>
      </c>
      <c r="I2" s="14" t="s">
        <v>336</v>
      </c>
    </row>
    <row r="3" spans="1:9" x14ac:dyDescent="0.25">
      <c r="A3" s="8">
        <v>2</v>
      </c>
      <c r="B3" s="9" t="s">
        <v>339</v>
      </c>
      <c r="C3" s="10">
        <v>2019</v>
      </c>
      <c r="D3" s="11">
        <v>43496</v>
      </c>
      <c r="E3" s="9" t="s">
        <v>334</v>
      </c>
      <c r="F3" s="12">
        <f>774.99+565.11</f>
        <v>1340.1</v>
      </c>
      <c r="G3" s="12">
        <v>0</v>
      </c>
      <c r="H3" s="9" t="s">
        <v>340</v>
      </c>
      <c r="I3" s="14" t="s">
        <v>336</v>
      </c>
    </row>
    <row r="4" spans="1:9" x14ac:dyDescent="0.25">
      <c r="A4" s="8">
        <v>3</v>
      </c>
      <c r="B4" s="9" t="s">
        <v>337</v>
      </c>
      <c r="C4" s="10">
        <v>2019</v>
      </c>
      <c r="D4" s="11">
        <v>43496</v>
      </c>
      <c r="E4" s="9" t="s">
        <v>334</v>
      </c>
      <c r="F4" s="12">
        <f>565.11+631.84</f>
        <v>1196.95</v>
      </c>
      <c r="G4" s="12">
        <v>0</v>
      </c>
      <c r="H4" s="9" t="s">
        <v>338</v>
      </c>
      <c r="I4" s="14" t="s">
        <v>336</v>
      </c>
    </row>
    <row r="5" spans="1:9" x14ac:dyDescent="0.25">
      <c r="A5" s="8">
        <v>4</v>
      </c>
      <c r="B5" s="9" t="s">
        <v>341</v>
      </c>
      <c r="C5" s="10">
        <v>2019</v>
      </c>
      <c r="D5" s="11">
        <v>43502</v>
      </c>
      <c r="E5" s="9" t="s">
        <v>334</v>
      </c>
      <c r="F5" s="12">
        <f>650.07+789.21</f>
        <v>1439.2800000000002</v>
      </c>
      <c r="G5" s="12">
        <v>0</v>
      </c>
      <c r="H5" s="9" t="s">
        <v>342</v>
      </c>
      <c r="I5" s="14" t="s">
        <v>336</v>
      </c>
    </row>
    <row r="6" spans="1:9" x14ac:dyDescent="0.25">
      <c r="A6" s="8">
        <v>5</v>
      </c>
      <c r="B6" s="9" t="s">
        <v>343</v>
      </c>
      <c r="C6" s="10">
        <v>2019</v>
      </c>
      <c r="D6" s="11">
        <v>43504</v>
      </c>
      <c r="E6" s="9" t="s">
        <v>334</v>
      </c>
      <c r="F6" s="12">
        <f>777.35+853.59</f>
        <v>1630.94</v>
      </c>
      <c r="G6" s="12">
        <v>0</v>
      </c>
      <c r="H6" s="9" t="s">
        <v>344</v>
      </c>
      <c r="I6" s="14" t="s">
        <v>336</v>
      </c>
    </row>
    <row r="7" spans="1:9" x14ac:dyDescent="0.25">
      <c r="A7" s="8">
        <v>6</v>
      </c>
      <c r="B7" s="9" t="s">
        <v>345</v>
      </c>
      <c r="C7" s="10">
        <v>2019</v>
      </c>
      <c r="D7" s="11">
        <v>43518</v>
      </c>
      <c r="E7" s="9" t="s">
        <v>334</v>
      </c>
      <c r="F7" s="12">
        <f>598.94+927.07</f>
        <v>1526.0100000000002</v>
      </c>
      <c r="G7" s="12">
        <v>0</v>
      </c>
      <c r="H7" s="9" t="s">
        <v>346</v>
      </c>
      <c r="I7" s="14" t="s">
        <v>336</v>
      </c>
    </row>
    <row r="8" spans="1:9" x14ac:dyDescent="0.25">
      <c r="A8" s="8">
        <v>7</v>
      </c>
      <c r="B8" s="9" t="s">
        <v>347</v>
      </c>
      <c r="C8" s="10">
        <v>2019</v>
      </c>
      <c r="D8" s="11">
        <v>43521</v>
      </c>
      <c r="E8" s="9" t="s">
        <v>348</v>
      </c>
      <c r="F8" s="12">
        <v>296.74</v>
      </c>
      <c r="G8" s="12">
        <v>0</v>
      </c>
      <c r="H8" s="9" t="s">
        <v>349</v>
      </c>
      <c r="I8" s="14" t="s">
        <v>336</v>
      </c>
    </row>
    <row r="9" spans="1:9" x14ac:dyDescent="0.25">
      <c r="A9" s="8">
        <v>8</v>
      </c>
      <c r="B9" s="9" t="s">
        <v>350</v>
      </c>
      <c r="C9" s="10">
        <v>2019</v>
      </c>
      <c r="D9" s="11">
        <v>43522</v>
      </c>
      <c r="E9" s="9" t="s">
        <v>334</v>
      </c>
      <c r="F9" s="12">
        <f>746.07+565.11</f>
        <v>1311.18</v>
      </c>
      <c r="G9" s="12">
        <v>0</v>
      </c>
      <c r="H9" s="9" t="s">
        <v>351</v>
      </c>
      <c r="I9" s="14" t="s">
        <v>336</v>
      </c>
    </row>
    <row r="10" spans="1:9" x14ac:dyDescent="0.25">
      <c r="A10" s="8">
        <v>9</v>
      </c>
      <c r="B10" s="9" t="s">
        <v>352</v>
      </c>
      <c r="C10" s="10">
        <v>2019</v>
      </c>
      <c r="D10" s="11">
        <v>43522</v>
      </c>
      <c r="E10" s="9" t="s">
        <v>348</v>
      </c>
      <c r="F10" s="12">
        <f>910.95+910.95</f>
        <v>1821.9</v>
      </c>
      <c r="G10" s="12">
        <v>0</v>
      </c>
      <c r="H10" s="9" t="s">
        <v>351</v>
      </c>
      <c r="I10" s="14" t="s">
        <v>336</v>
      </c>
    </row>
    <row r="11" spans="1:9" x14ac:dyDescent="0.25">
      <c r="A11" s="8">
        <v>10</v>
      </c>
      <c r="B11" s="9" t="s">
        <v>353</v>
      </c>
      <c r="C11" s="10">
        <v>2019</v>
      </c>
      <c r="D11" s="11">
        <v>43532</v>
      </c>
      <c r="E11" s="9" t="s">
        <v>334</v>
      </c>
      <c r="F11" s="12">
        <f>1188.88+1290.8</f>
        <v>2479.6800000000003</v>
      </c>
      <c r="G11" s="12">
        <v>0</v>
      </c>
      <c r="H11" s="9" t="s">
        <v>354</v>
      </c>
      <c r="I11" s="14" t="s">
        <v>336</v>
      </c>
    </row>
    <row r="12" spans="1:9" x14ac:dyDescent="0.25">
      <c r="A12" s="8">
        <v>11</v>
      </c>
      <c r="B12" s="9" t="s">
        <v>355</v>
      </c>
      <c r="C12" s="10">
        <v>2019</v>
      </c>
      <c r="D12" s="11">
        <v>43538</v>
      </c>
      <c r="E12" s="9" t="s">
        <v>334</v>
      </c>
      <c r="F12" s="12">
        <f>876.51+612.05</f>
        <v>1488.56</v>
      </c>
      <c r="G12" s="12">
        <v>0</v>
      </c>
      <c r="H12" s="9" t="s">
        <v>356</v>
      </c>
      <c r="I12" s="14" t="s">
        <v>336</v>
      </c>
    </row>
    <row r="13" spans="1:9" x14ac:dyDescent="0.25">
      <c r="A13" s="8">
        <v>12</v>
      </c>
      <c r="B13" s="9" t="s">
        <v>357</v>
      </c>
      <c r="C13" s="10">
        <v>2019</v>
      </c>
      <c r="D13" s="11">
        <v>43544</v>
      </c>
      <c r="E13" s="9" t="s">
        <v>348</v>
      </c>
      <c r="F13" s="12">
        <v>2700</v>
      </c>
      <c r="G13" s="12">
        <v>0</v>
      </c>
      <c r="H13" s="9" t="s">
        <v>358</v>
      </c>
      <c r="I13" s="14" t="s">
        <v>336</v>
      </c>
    </row>
    <row r="14" spans="1:9" x14ac:dyDescent="0.25">
      <c r="A14" s="8">
        <v>13</v>
      </c>
      <c r="B14" s="9" t="s">
        <v>359</v>
      </c>
      <c r="C14" s="10">
        <v>2019</v>
      </c>
      <c r="D14" s="11">
        <v>43544</v>
      </c>
      <c r="E14" s="9" t="s">
        <v>334</v>
      </c>
      <c r="F14" s="12">
        <f>2328.74+3322.67</f>
        <v>5651.41</v>
      </c>
      <c r="G14" s="12">
        <v>0</v>
      </c>
      <c r="H14" s="9" t="s">
        <v>358</v>
      </c>
      <c r="I14" s="14" t="s">
        <v>336</v>
      </c>
    </row>
    <row r="15" spans="1:9" x14ac:dyDescent="0.25">
      <c r="A15" s="8">
        <v>14</v>
      </c>
      <c r="B15" s="9" t="s">
        <v>360</v>
      </c>
      <c r="C15" s="10">
        <v>2019</v>
      </c>
      <c r="D15" s="11">
        <v>43544</v>
      </c>
      <c r="E15" s="9" t="s">
        <v>334</v>
      </c>
      <c r="F15" s="12">
        <f>376.23+343.79</f>
        <v>720.02</v>
      </c>
      <c r="G15" s="12">
        <v>0</v>
      </c>
      <c r="H15" s="9" t="s">
        <v>361</v>
      </c>
      <c r="I15" s="14" t="s">
        <v>336</v>
      </c>
    </row>
    <row r="16" spans="1:9" x14ac:dyDescent="0.25">
      <c r="A16" s="8">
        <v>15</v>
      </c>
      <c r="B16" s="9" t="s">
        <v>362</v>
      </c>
      <c r="C16" s="10">
        <v>2019</v>
      </c>
      <c r="D16" s="11">
        <v>43545</v>
      </c>
      <c r="E16" s="9" t="s">
        <v>334</v>
      </c>
      <c r="F16" s="12">
        <f>632.76+1013.72</f>
        <v>1646.48</v>
      </c>
      <c r="G16" s="12">
        <v>0</v>
      </c>
      <c r="H16" s="9" t="s">
        <v>363</v>
      </c>
      <c r="I16" s="14" t="s">
        <v>336</v>
      </c>
    </row>
    <row r="17" spans="1:9" x14ac:dyDescent="0.25">
      <c r="A17" s="8">
        <v>16</v>
      </c>
      <c r="B17" s="9" t="s">
        <v>364</v>
      </c>
      <c r="C17" s="10">
        <v>2019</v>
      </c>
      <c r="D17" s="11">
        <v>43550</v>
      </c>
      <c r="E17" s="9" t="s">
        <v>334</v>
      </c>
      <c r="F17" s="12">
        <v>125</v>
      </c>
      <c r="G17" s="12">
        <v>0</v>
      </c>
      <c r="H17" s="9" t="s">
        <v>58</v>
      </c>
      <c r="I17" s="14" t="s">
        <v>336</v>
      </c>
    </row>
    <row r="18" spans="1:9" x14ac:dyDescent="0.25">
      <c r="A18" s="8">
        <v>17</v>
      </c>
      <c r="B18" s="9" t="s">
        <v>365</v>
      </c>
      <c r="C18" s="10">
        <v>2019</v>
      </c>
      <c r="D18" s="11">
        <v>43558</v>
      </c>
      <c r="E18" s="9" t="s">
        <v>334</v>
      </c>
      <c r="F18" s="12">
        <f>879.5+777.09</f>
        <v>1656.5900000000001</v>
      </c>
      <c r="G18" s="12">
        <v>0</v>
      </c>
      <c r="H18" s="9" t="s">
        <v>62</v>
      </c>
      <c r="I18" s="14" t="s">
        <v>336</v>
      </c>
    </row>
    <row r="19" spans="1:9" x14ac:dyDescent="0.25">
      <c r="A19" s="8">
        <v>18</v>
      </c>
      <c r="B19" s="9" t="s">
        <v>366</v>
      </c>
      <c r="C19" s="10">
        <v>2019</v>
      </c>
      <c r="D19" s="11">
        <v>43559</v>
      </c>
      <c r="E19" s="9" t="s">
        <v>334</v>
      </c>
      <c r="F19" s="12">
        <f>666.86+669.14</f>
        <v>1336</v>
      </c>
      <c r="G19" s="12">
        <v>0</v>
      </c>
      <c r="H19" s="9" t="s">
        <v>367</v>
      </c>
      <c r="I19" s="14" t="s">
        <v>336</v>
      </c>
    </row>
    <row r="20" spans="1:9" x14ac:dyDescent="0.25">
      <c r="A20" s="8">
        <v>19</v>
      </c>
      <c r="B20" s="9" t="s">
        <v>368</v>
      </c>
      <c r="C20" s="10">
        <v>2019</v>
      </c>
      <c r="D20" s="11">
        <v>43564</v>
      </c>
      <c r="E20" s="9" t="s">
        <v>348</v>
      </c>
      <c r="F20" s="12">
        <v>394.72</v>
      </c>
      <c r="G20" s="12">
        <v>0</v>
      </c>
      <c r="H20" s="9" t="s">
        <v>369</v>
      </c>
      <c r="I20" s="14" t="s">
        <v>336</v>
      </c>
    </row>
    <row r="21" spans="1:9" x14ac:dyDescent="0.25">
      <c r="A21" s="8">
        <v>20</v>
      </c>
      <c r="B21" s="9" t="s">
        <v>370</v>
      </c>
      <c r="C21" s="10">
        <v>2019</v>
      </c>
      <c r="D21" s="11">
        <v>43564</v>
      </c>
      <c r="E21" s="9" t="s">
        <v>334</v>
      </c>
      <c r="F21" s="12">
        <f>666.86+960.79</f>
        <v>1627.65</v>
      </c>
      <c r="G21" s="12">
        <v>0</v>
      </c>
      <c r="H21" s="9" t="s">
        <v>369</v>
      </c>
      <c r="I21" s="14" t="s">
        <v>336</v>
      </c>
    </row>
    <row r="22" spans="1:9" x14ac:dyDescent="0.25">
      <c r="A22" s="8">
        <v>21</v>
      </c>
      <c r="B22" s="9" t="s">
        <v>371</v>
      </c>
      <c r="C22" s="10">
        <v>2019</v>
      </c>
      <c r="D22" s="11">
        <v>43575</v>
      </c>
      <c r="E22" s="9" t="s">
        <v>348</v>
      </c>
      <c r="F22" s="12">
        <v>1016</v>
      </c>
      <c r="G22" s="12">
        <v>0</v>
      </c>
      <c r="H22" s="9" t="s">
        <v>361</v>
      </c>
      <c r="I22" s="14" t="s">
        <v>336</v>
      </c>
    </row>
    <row r="23" spans="1:9" x14ac:dyDescent="0.25">
      <c r="A23" s="8">
        <v>22</v>
      </c>
      <c r="B23" s="9" t="s">
        <v>372</v>
      </c>
      <c r="C23" s="10">
        <v>2019</v>
      </c>
      <c r="D23" s="11">
        <v>43592</v>
      </c>
      <c r="E23" s="9" t="s">
        <v>348</v>
      </c>
      <c r="F23" s="12">
        <f>728.06+83.72</f>
        <v>811.78</v>
      </c>
      <c r="G23" s="12">
        <v>0</v>
      </c>
      <c r="H23" s="9" t="s">
        <v>373</v>
      </c>
      <c r="I23" s="14" t="s">
        <v>336</v>
      </c>
    </row>
    <row r="24" spans="1:9" x14ac:dyDescent="0.25">
      <c r="A24" s="8">
        <v>23</v>
      </c>
      <c r="B24" s="9" t="s">
        <v>374</v>
      </c>
      <c r="C24" s="10">
        <v>2019</v>
      </c>
      <c r="D24" s="11">
        <v>43592</v>
      </c>
      <c r="E24" s="9" t="s">
        <v>334</v>
      </c>
      <c r="F24" s="12">
        <f>666.86+907.3</f>
        <v>1574.1599999999999</v>
      </c>
      <c r="G24" s="12">
        <v>0</v>
      </c>
      <c r="H24" s="9" t="s">
        <v>373</v>
      </c>
      <c r="I24" s="14" t="s">
        <v>336</v>
      </c>
    </row>
    <row r="25" spans="1:9" x14ac:dyDescent="0.25">
      <c r="A25" s="8">
        <v>24</v>
      </c>
      <c r="B25" s="9" t="s">
        <v>375</v>
      </c>
      <c r="C25" s="10">
        <v>2019</v>
      </c>
      <c r="D25" s="11">
        <v>43594</v>
      </c>
      <c r="E25" s="9" t="s">
        <v>334</v>
      </c>
      <c r="F25" s="12">
        <f>385.45+262.09+92.27</f>
        <v>739.81</v>
      </c>
      <c r="G25" s="12">
        <v>0</v>
      </c>
      <c r="H25" s="9" t="s">
        <v>376</v>
      </c>
      <c r="I25" s="14" t="s">
        <v>336</v>
      </c>
    </row>
    <row r="26" spans="1:9" x14ac:dyDescent="0.25">
      <c r="A26" s="8">
        <v>25</v>
      </c>
      <c r="B26" s="9" t="s">
        <v>377</v>
      </c>
      <c r="C26" s="10">
        <v>2019</v>
      </c>
      <c r="D26" s="11">
        <v>43594</v>
      </c>
      <c r="E26" s="9" t="s">
        <v>334</v>
      </c>
      <c r="F26" s="12">
        <f>679.98+614.41</f>
        <v>1294.3899999999999</v>
      </c>
      <c r="G26" s="12">
        <v>0</v>
      </c>
      <c r="H26" s="9" t="s">
        <v>378</v>
      </c>
      <c r="I26" s="14" t="s">
        <v>336</v>
      </c>
    </row>
    <row r="27" spans="1:9" x14ac:dyDescent="0.25">
      <c r="A27" s="8">
        <v>26</v>
      </c>
      <c r="B27" s="9" t="s">
        <v>381</v>
      </c>
      <c r="C27" s="10">
        <v>2019</v>
      </c>
      <c r="D27" s="11">
        <v>43602</v>
      </c>
      <c r="E27" s="9" t="s">
        <v>334</v>
      </c>
      <c r="F27" s="12">
        <f>1023.84+602.22</f>
        <v>1626.06</v>
      </c>
      <c r="G27" s="12">
        <v>0</v>
      </c>
      <c r="H27" s="9" t="s">
        <v>62</v>
      </c>
      <c r="I27" s="14" t="s">
        <v>336</v>
      </c>
    </row>
    <row r="28" spans="1:9" x14ac:dyDescent="0.25">
      <c r="A28" s="8">
        <v>27</v>
      </c>
      <c r="B28" s="9" t="s">
        <v>379</v>
      </c>
      <c r="C28" s="10">
        <v>2019</v>
      </c>
      <c r="D28" s="11">
        <v>43602</v>
      </c>
      <c r="E28" s="9" t="s">
        <v>334</v>
      </c>
      <c r="F28" s="12">
        <f>1794.34+1893.75</f>
        <v>3688.09</v>
      </c>
      <c r="G28" s="12">
        <v>0</v>
      </c>
      <c r="H28" s="9" t="s">
        <v>380</v>
      </c>
      <c r="I28" s="14" t="s">
        <v>336</v>
      </c>
    </row>
    <row r="29" spans="1:9" x14ac:dyDescent="0.25">
      <c r="A29" s="8">
        <v>28</v>
      </c>
      <c r="B29" s="9" t="s">
        <v>382</v>
      </c>
      <c r="C29" s="10">
        <v>2019</v>
      </c>
      <c r="D29" s="11">
        <v>43614</v>
      </c>
      <c r="E29" s="9" t="s">
        <v>334</v>
      </c>
      <c r="F29" s="12">
        <f>1576.15+529.88+484.38</f>
        <v>2590.4100000000003</v>
      </c>
      <c r="G29" s="12">
        <v>0</v>
      </c>
      <c r="H29" s="9" t="s">
        <v>383</v>
      </c>
      <c r="I29" s="14" t="s">
        <v>336</v>
      </c>
    </row>
    <row r="30" spans="1:9" x14ac:dyDescent="0.25">
      <c r="A30" s="8">
        <v>29</v>
      </c>
      <c r="B30" s="9" t="s">
        <v>384</v>
      </c>
      <c r="C30" s="10">
        <v>2019</v>
      </c>
      <c r="D30" s="11">
        <v>43622</v>
      </c>
      <c r="E30" s="9" t="s">
        <v>334</v>
      </c>
      <c r="F30" s="12">
        <f>1124.01+2873.49</f>
        <v>3997.5</v>
      </c>
      <c r="G30" s="12">
        <v>0</v>
      </c>
      <c r="H30" s="9" t="s">
        <v>11</v>
      </c>
      <c r="I30" s="14" t="s">
        <v>336</v>
      </c>
    </row>
    <row r="31" spans="1:9" x14ac:dyDescent="0.25">
      <c r="A31" s="8">
        <v>30</v>
      </c>
      <c r="B31" s="9" t="s">
        <v>385</v>
      </c>
      <c r="C31" s="10">
        <v>2019</v>
      </c>
      <c r="D31" s="11">
        <v>43624</v>
      </c>
      <c r="E31" s="9" t="s">
        <v>334</v>
      </c>
      <c r="F31" s="12">
        <f>5153.88+7898.1+225+909.21</f>
        <v>14186.189999999999</v>
      </c>
      <c r="G31" s="12">
        <v>0</v>
      </c>
      <c r="H31" s="9" t="s">
        <v>386</v>
      </c>
      <c r="I31" s="14" t="s">
        <v>336</v>
      </c>
    </row>
    <row r="32" spans="1:9" x14ac:dyDescent="0.25">
      <c r="A32" s="8">
        <v>31</v>
      </c>
      <c r="B32" s="9" t="s">
        <v>387</v>
      </c>
      <c r="C32" s="10">
        <v>2019</v>
      </c>
      <c r="D32" s="11">
        <v>43642</v>
      </c>
      <c r="E32" s="9" t="s">
        <v>334</v>
      </c>
      <c r="F32" s="12">
        <f>1143.42+1002.73</f>
        <v>2146.15</v>
      </c>
      <c r="G32" s="12">
        <v>0</v>
      </c>
      <c r="H32" s="9" t="s">
        <v>62</v>
      </c>
      <c r="I32" s="14" t="s">
        <v>336</v>
      </c>
    </row>
    <row r="33" spans="1:9" x14ac:dyDescent="0.25">
      <c r="A33" s="8">
        <v>32</v>
      </c>
      <c r="B33" s="9" t="s">
        <v>388</v>
      </c>
      <c r="C33" s="10">
        <v>2019</v>
      </c>
      <c r="D33" s="11">
        <v>43650</v>
      </c>
      <c r="E33" s="9" t="s">
        <v>348</v>
      </c>
      <c r="F33" s="12">
        <v>1212.75</v>
      </c>
      <c r="G33" s="12">
        <v>0</v>
      </c>
      <c r="H33" s="9" t="s">
        <v>349</v>
      </c>
      <c r="I33" s="14" t="s">
        <v>336</v>
      </c>
    </row>
    <row r="34" spans="1:9" x14ac:dyDescent="0.25">
      <c r="A34" s="8">
        <v>33</v>
      </c>
      <c r="B34" s="9" t="s">
        <v>389</v>
      </c>
      <c r="C34" s="10">
        <v>2019</v>
      </c>
      <c r="D34" s="11">
        <v>43650</v>
      </c>
      <c r="E34" s="9" t="s">
        <v>334</v>
      </c>
      <c r="F34" s="12">
        <f>712.99+541.36</f>
        <v>1254.3499999999999</v>
      </c>
      <c r="G34" s="12">
        <v>0</v>
      </c>
      <c r="H34" s="9" t="s">
        <v>349</v>
      </c>
      <c r="I34" s="14" t="s">
        <v>336</v>
      </c>
    </row>
    <row r="35" spans="1:9" x14ac:dyDescent="0.25">
      <c r="A35" s="8">
        <v>34</v>
      </c>
      <c r="B35" s="9" t="s">
        <v>390</v>
      </c>
      <c r="C35" s="10">
        <v>2019</v>
      </c>
      <c r="D35" s="11">
        <v>43656</v>
      </c>
      <c r="E35" s="9" t="s">
        <v>334</v>
      </c>
      <c r="F35" s="12">
        <f>759.11+770.11</f>
        <v>1529.22</v>
      </c>
      <c r="G35" s="12">
        <v>0</v>
      </c>
      <c r="H35" s="9" t="s">
        <v>351</v>
      </c>
      <c r="I35" s="14" t="s">
        <v>336</v>
      </c>
    </row>
    <row r="36" spans="1:9" x14ac:dyDescent="0.25">
      <c r="A36" s="8">
        <v>35</v>
      </c>
      <c r="B36" s="9" t="s">
        <v>391</v>
      </c>
      <c r="C36" s="10">
        <v>2019</v>
      </c>
      <c r="D36" s="11">
        <v>43668</v>
      </c>
      <c r="E36" s="9" t="s">
        <v>334</v>
      </c>
      <c r="F36" s="12">
        <f>1284.15+2099.19+225</f>
        <v>3608.34</v>
      </c>
      <c r="G36" s="12">
        <v>0</v>
      </c>
      <c r="H36" s="9" t="s">
        <v>349</v>
      </c>
      <c r="I36" s="14" t="s">
        <v>336</v>
      </c>
    </row>
    <row r="37" spans="1:9" x14ac:dyDescent="0.25">
      <c r="A37" s="8">
        <v>36</v>
      </c>
      <c r="B37" s="9" t="s">
        <v>392</v>
      </c>
      <c r="C37" s="10">
        <v>2019</v>
      </c>
      <c r="D37" s="11">
        <v>43676</v>
      </c>
      <c r="E37" s="9" t="s">
        <v>334</v>
      </c>
      <c r="F37" s="12">
        <f>2996.68+6270.5+225</f>
        <v>9492.18</v>
      </c>
      <c r="G37" s="12">
        <v>0</v>
      </c>
      <c r="H37" s="9" t="s">
        <v>393</v>
      </c>
      <c r="I37" s="14" t="s">
        <v>336</v>
      </c>
    </row>
    <row r="38" spans="1:9" x14ac:dyDescent="0.25">
      <c r="A38" s="8">
        <v>37</v>
      </c>
      <c r="B38" s="9" t="s">
        <v>394</v>
      </c>
      <c r="C38" s="10">
        <v>2019</v>
      </c>
      <c r="D38" s="11">
        <v>43676</v>
      </c>
      <c r="E38" s="9" t="s">
        <v>348</v>
      </c>
      <c r="F38" s="12">
        <v>6738.1</v>
      </c>
      <c r="G38" s="12">
        <v>0</v>
      </c>
      <c r="H38" s="9" t="s">
        <v>393</v>
      </c>
      <c r="I38" s="14" t="s">
        <v>336</v>
      </c>
    </row>
    <row r="39" spans="1:9" x14ac:dyDescent="0.25">
      <c r="A39" s="8">
        <v>38</v>
      </c>
      <c r="B39" s="9" t="s">
        <v>395</v>
      </c>
      <c r="C39" s="10">
        <v>2019</v>
      </c>
      <c r="D39" s="11">
        <v>43686</v>
      </c>
      <c r="E39" s="9" t="s">
        <v>334</v>
      </c>
      <c r="F39" s="12">
        <v>12017.12</v>
      </c>
      <c r="G39" s="12">
        <v>0</v>
      </c>
      <c r="H39" s="9" t="s">
        <v>56</v>
      </c>
      <c r="I39" s="14" t="s">
        <v>336</v>
      </c>
    </row>
    <row r="40" spans="1:9" x14ac:dyDescent="0.25">
      <c r="A40" s="8">
        <v>39</v>
      </c>
      <c r="B40" s="9" t="s">
        <v>396</v>
      </c>
      <c r="C40" s="10">
        <v>2019</v>
      </c>
      <c r="D40" s="11">
        <v>43701</v>
      </c>
      <c r="E40" s="9" t="s">
        <v>334</v>
      </c>
      <c r="F40" s="12">
        <f>6581.3+5451.27</f>
        <v>12032.57</v>
      </c>
      <c r="G40" s="12">
        <v>0</v>
      </c>
      <c r="H40" s="9" t="s">
        <v>203</v>
      </c>
      <c r="I40" s="14" t="s">
        <v>336</v>
      </c>
    </row>
    <row r="41" spans="1:9" x14ac:dyDescent="0.25">
      <c r="A41" s="8">
        <v>40</v>
      </c>
      <c r="B41" s="9" t="s">
        <v>397</v>
      </c>
      <c r="C41" s="10">
        <v>2019</v>
      </c>
      <c r="D41" s="11">
        <v>43712</v>
      </c>
      <c r="E41" s="9" t="s">
        <v>334</v>
      </c>
      <c r="F41" s="12">
        <f>726.11+708.32</f>
        <v>1434.43</v>
      </c>
      <c r="G41" s="12">
        <v>0</v>
      </c>
      <c r="H41" s="9" t="s">
        <v>346</v>
      </c>
      <c r="I41" s="14" t="s">
        <v>336</v>
      </c>
    </row>
    <row r="42" spans="1:9" x14ac:dyDescent="0.25">
      <c r="A42" s="8">
        <v>41</v>
      </c>
      <c r="B42" s="9" t="s">
        <v>398</v>
      </c>
      <c r="C42" s="10">
        <v>2019</v>
      </c>
      <c r="D42" s="11">
        <v>43726</v>
      </c>
      <c r="E42" s="9" t="s">
        <v>334</v>
      </c>
      <c r="F42" s="12">
        <f>165.04+37.96</f>
        <v>203</v>
      </c>
      <c r="G42" s="12">
        <v>0</v>
      </c>
      <c r="H42" s="9" t="s">
        <v>208</v>
      </c>
      <c r="I42" s="14" t="s">
        <v>336</v>
      </c>
    </row>
    <row r="43" spans="1:9" x14ac:dyDescent="0.25">
      <c r="A43" s="8">
        <v>42</v>
      </c>
      <c r="B43" s="9" t="s">
        <v>399</v>
      </c>
      <c r="C43" s="10">
        <v>2019</v>
      </c>
      <c r="D43" s="11">
        <v>43729</v>
      </c>
      <c r="E43" s="9" t="s">
        <v>334</v>
      </c>
      <c r="F43" s="12">
        <f>1019.46+2369.61+697.83</f>
        <v>4086.9</v>
      </c>
      <c r="G43" s="12">
        <v>0</v>
      </c>
      <c r="H43" s="9" t="s">
        <v>346</v>
      </c>
      <c r="I43" s="14" t="s">
        <v>336</v>
      </c>
    </row>
    <row r="44" spans="1:9" x14ac:dyDescent="0.25">
      <c r="A44" s="8">
        <v>43</v>
      </c>
      <c r="B44" s="9" t="s">
        <v>400</v>
      </c>
      <c r="C44" s="10">
        <v>2019</v>
      </c>
      <c r="D44" s="11">
        <v>43735</v>
      </c>
      <c r="E44" s="9" t="s">
        <v>334</v>
      </c>
      <c r="F44" s="12">
        <f>2069.4+1341.63</f>
        <v>3411.03</v>
      </c>
      <c r="G44" s="12">
        <v>0</v>
      </c>
      <c r="H44" s="9" t="s">
        <v>49</v>
      </c>
      <c r="I44" s="14" t="s">
        <v>336</v>
      </c>
    </row>
    <row r="45" spans="1:9" x14ac:dyDescent="0.25">
      <c r="A45" s="8">
        <v>44</v>
      </c>
      <c r="B45" s="9" t="s">
        <v>401</v>
      </c>
      <c r="C45" s="10">
        <v>2019</v>
      </c>
      <c r="D45" s="11">
        <v>43745</v>
      </c>
      <c r="E45" s="9" t="s">
        <v>334</v>
      </c>
      <c r="F45" s="12">
        <v>250</v>
      </c>
      <c r="G45" s="12">
        <v>0</v>
      </c>
      <c r="H45" s="9" t="s">
        <v>402</v>
      </c>
      <c r="I45" s="14" t="s">
        <v>336</v>
      </c>
    </row>
    <row r="46" spans="1:9" x14ac:dyDescent="0.25">
      <c r="A46" s="8">
        <v>45</v>
      </c>
      <c r="B46" s="9" t="s">
        <v>403</v>
      </c>
      <c r="C46" s="10">
        <v>2019</v>
      </c>
      <c r="D46" s="11">
        <v>43745</v>
      </c>
      <c r="E46" s="9" t="s">
        <v>404</v>
      </c>
      <c r="F46" s="12">
        <v>700</v>
      </c>
      <c r="G46" s="12">
        <v>0</v>
      </c>
      <c r="H46" s="9" t="s">
        <v>402</v>
      </c>
      <c r="I46" s="14" t="s">
        <v>336</v>
      </c>
    </row>
    <row r="47" spans="1:9" x14ac:dyDescent="0.25">
      <c r="A47" s="8">
        <v>46</v>
      </c>
      <c r="B47" s="9" t="s">
        <v>405</v>
      </c>
      <c r="C47" s="10">
        <v>2019</v>
      </c>
      <c r="D47" s="11">
        <v>43746</v>
      </c>
      <c r="E47" s="9" t="s">
        <v>334</v>
      </c>
      <c r="F47" s="12">
        <f>1572.83+1006.92+384.48</f>
        <v>2964.23</v>
      </c>
      <c r="G47" s="12">
        <v>0</v>
      </c>
      <c r="H47" s="9" t="s">
        <v>406</v>
      </c>
      <c r="I47" s="14" t="s">
        <v>336</v>
      </c>
    </row>
    <row r="48" spans="1:9" x14ac:dyDescent="0.25">
      <c r="A48" s="8">
        <v>47</v>
      </c>
      <c r="B48" s="9" t="s">
        <v>407</v>
      </c>
      <c r="C48" s="10">
        <v>2019</v>
      </c>
      <c r="D48" s="11">
        <v>43748</v>
      </c>
      <c r="E48" s="9" t="s">
        <v>334</v>
      </c>
      <c r="F48" s="12">
        <f>666.86+776.61</f>
        <v>1443.47</v>
      </c>
      <c r="G48" s="12">
        <v>0</v>
      </c>
      <c r="H48" s="9" t="s">
        <v>408</v>
      </c>
      <c r="I48" s="14" t="s">
        <v>336</v>
      </c>
    </row>
    <row r="49" spans="1:9" x14ac:dyDescent="0.25">
      <c r="A49" s="8">
        <v>48</v>
      </c>
      <c r="B49" s="9" t="s">
        <v>410</v>
      </c>
      <c r="C49" s="10">
        <v>2019</v>
      </c>
      <c r="D49" s="11">
        <v>43749</v>
      </c>
      <c r="E49" s="9" t="s">
        <v>334</v>
      </c>
      <c r="F49" s="12">
        <f>1154.88+2479.55</f>
        <v>3634.4300000000003</v>
      </c>
      <c r="G49" s="12">
        <v>0</v>
      </c>
      <c r="H49" s="9" t="s">
        <v>49</v>
      </c>
      <c r="I49" s="14" t="s">
        <v>336</v>
      </c>
    </row>
    <row r="50" spans="1:9" x14ac:dyDescent="0.25">
      <c r="A50" s="8">
        <v>49</v>
      </c>
      <c r="B50" s="9" t="s">
        <v>409</v>
      </c>
      <c r="C50" s="10">
        <v>2019</v>
      </c>
      <c r="D50" s="11">
        <v>43749</v>
      </c>
      <c r="E50" s="9" t="s">
        <v>334</v>
      </c>
      <c r="F50" s="12">
        <f>2183.79+2023.22</f>
        <v>4207.01</v>
      </c>
      <c r="G50" s="12">
        <v>0</v>
      </c>
      <c r="H50" s="9" t="s">
        <v>60</v>
      </c>
      <c r="I50" s="14" t="s">
        <v>336</v>
      </c>
    </row>
    <row r="51" spans="1:9" x14ac:dyDescent="0.25">
      <c r="A51" s="8">
        <v>50</v>
      </c>
      <c r="B51" s="9" t="s">
        <v>411</v>
      </c>
      <c r="C51" s="10">
        <v>2019</v>
      </c>
      <c r="D51" s="11">
        <v>43751</v>
      </c>
      <c r="E51" s="9" t="s">
        <v>334</v>
      </c>
      <c r="F51" s="12">
        <f>666.86+1141.86</f>
        <v>1808.7199999999998</v>
      </c>
      <c r="G51" s="12">
        <v>0</v>
      </c>
      <c r="H51" s="9" t="s">
        <v>376</v>
      </c>
      <c r="I51" s="14" t="s">
        <v>336</v>
      </c>
    </row>
    <row r="52" spans="1:9" x14ac:dyDescent="0.25">
      <c r="A52" s="8">
        <v>51</v>
      </c>
      <c r="B52" s="9" t="s">
        <v>412</v>
      </c>
      <c r="C52" s="10">
        <v>2019</v>
      </c>
      <c r="D52" s="11">
        <v>43751</v>
      </c>
      <c r="E52" s="9" t="s">
        <v>334</v>
      </c>
      <c r="F52" s="12">
        <f>679.98+785.8</f>
        <v>1465.78</v>
      </c>
      <c r="G52" s="12">
        <v>0</v>
      </c>
      <c r="H52" s="9" t="s">
        <v>413</v>
      </c>
      <c r="I52" s="14" t="s">
        <v>336</v>
      </c>
    </row>
    <row r="53" spans="1:9" x14ac:dyDescent="0.25">
      <c r="A53" s="8">
        <v>52</v>
      </c>
      <c r="B53" s="9" t="s">
        <v>416</v>
      </c>
      <c r="C53" s="10">
        <v>2019</v>
      </c>
      <c r="D53" s="11">
        <v>43753</v>
      </c>
      <c r="E53" s="9" t="s">
        <v>334</v>
      </c>
      <c r="F53" s="12">
        <f>361.11+582.23</f>
        <v>943.34</v>
      </c>
      <c r="G53" s="12">
        <v>0</v>
      </c>
      <c r="H53" s="9" t="s">
        <v>417</v>
      </c>
      <c r="I53" s="14" t="s">
        <v>336</v>
      </c>
    </row>
    <row r="54" spans="1:9" x14ac:dyDescent="0.25">
      <c r="A54" s="8">
        <v>53</v>
      </c>
      <c r="B54" s="9" t="s">
        <v>414</v>
      </c>
      <c r="C54" s="10">
        <v>2019</v>
      </c>
      <c r="D54" s="11">
        <v>43753</v>
      </c>
      <c r="E54" s="9" t="s">
        <v>334</v>
      </c>
      <c r="F54" s="12">
        <f>781.36+1027.4</f>
        <v>1808.7600000000002</v>
      </c>
      <c r="G54" s="12">
        <v>0</v>
      </c>
      <c r="H54" s="9" t="s">
        <v>415</v>
      </c>
      <c r="I54" s="14" t="s">
        <v>336</v>
      </c>
    </row>
    <row r="55" spans="1:9" x14ac:dyDescent="0.25">
      <c r="A55" s="8">
        <v>54</v>
      </c>
      <c r="B55" s="9" t="s">
        <v>418</v>
      </c>
      <c r="C55" s="10">
        <v>2019</v>
      </c>
      <c r="D55" s="11">
        <v>43753</v>
      </c>
      <c r="E55" s="9" t="s">
        <v>334</v>
      </c>
      <c r="F55" s="12">
        <f>318.39+273.52</f>
        <v>591.91</v>
      </c>
      <c r="G55" s="12">
        <v>0</v>
      </c>
      <c r="H55" s="9" t="s">
        <v>417</v>
      </c>
      <c r="I55" s="14" t="s">
        <v>336</v>
      </c>
    </row>
    <row r="56" spans="1:9" x14ac:dyDescent="0.25">
      <c r="A56" s="8">
        <v>55</v>
      </c>
      <c r="B56" s="9" t="s">
        <v>419</v>
      </c>
      <c r="C56" s="10">
        <v>2019</v>
      </c>
      <c r="D56" s="11">
        <v>43759</v>
      </c>
      <c r="E56" s="9" t="s">
        <v>334</v>
      </c>
      <c r="F56" s="12">
        <f>1568.4+1429.42</f>
        <v>2997.82</v>
      </c>
      <c r="G56" s="12">
        <v>0</v>
      </c>
      <c r="H56" s="9" t="s">
        <v>420</v>
      </c>
      <c r="I56" s="14" t="s">
        <v>336</v>
      </c>
    </row>
    <row r="57" spans="1:9" x14ac:dyDescent="0.25">
      <c r="A57" s="8">
        <v>56</v>
      </c>
      <c r="B57" s="9" t="s">
        <v>422</v>
      </c>
      <c r="C57" s="10">
        <v>2019</v>
      </c>
      <c r="D57" s="11">
        <v>43760</v>
      </c>
      <c r="E57" s="9" t="s">
        <v>334</v>
      </c>
      <c r="F57" s="12">
        <f>686.06+3048.44</f>
        <v>3734.5</v>
      </c>
      <c r="G57" s="12">
        <v>0</v>
      </c>
      <c r="H57" s="9" t="s">
        <v>58</v>
      </c>
      <c r="I57" s="14" t="s">
        <v>336</v>
      </c>
    </row>
    <row r="58" spans="1:9" x14ac:dyDescent="0.25">
      <c r="A58" s="8">
        <v>57</v>
      </c>
      <c r="B58" s="9" t="s">
        <v>421</v>
      </c>
      <c r="C58" s="10">
        <v>2019</v>
      </c>
      <c r="D58" s="11">
        <v>43760</v>
      </c>
      <c r="E58" s="9" t="s">
        <v>334</v>
      </c>
      <c r="F58" s="12">
        <f>1257+1322.75</f>
        <v>2579.75</v>
      </c>
      <c r="G58" s="12">
        <v>0</v>
      </c>
      <c r="H58" s="9" t="s">
        <v>406</v>
      </c>
      <c r="I58" s="14" t="s">
        <v>336</v>
      </c>
    </row>
    <row r="59" spans="1:9" x14ac:dyDescent="0.25">
      <c r="A59" s="8">
        <v>58</v>
      </c>
      <c r="B59" s="9" t="s">
        <v>423</v>
      </c>
      <c r="C59" s="10">
        <v>2019</v>
      </c>
      <c r="D59" s="11">
        <v>43762</v>
      </c>
      <c r="E59" s="9" t="s">
        <v>334</v>
      </c>
      <c r="F59" s="12">
        <f>666.86+856.52</f>
        <v>1523.38</v>
      </c>
      <c r="G59" s="12">
        <v>0</v>
      </c>
      <c r="H59" s="9" t="s">
        <v>361</v>
      </c>
      <c r="I59" s="14" t="s">
        <v>336</v>
      </c>
    </row>
    <row r="60" spans="1:9" x14ac:dyDescent="0.25">
      <c r="A60" s="8">
        <v>59</v>
      </c>
      <c r="B60" s="9" t="s">
        <v>424</v>
      </c>
      <c r="C60" s="10">
        <v>2019</v>
      </c>
      <c r="D60" s="11">
        <v>43762</v>
      </c>
      <c r="E60" s="9" t="s">
        <v>334</v>
      </c>
      <c r="F60" s="12">
        <f>350.78+870.78</f>
        <v>1221.56</v>
      </c>
      <c r="G60" s="12">
        <v>0</v>
      </c>
      <c r="H60" s="9" t="s">
        <v>361</v>
      </c>
      <c r="I60" s="14" t="s">
        <v>336</v>
      </c>
    </row>
    <row r="61" spans="1:9" x14ac:dyDescent="0.25">
      <c r="A61" s="8">
        <v>60</v>
      </c>
      <c r="B61" s="9" t="s">
        <v>425</v>
      </c>
      <c r="C61" s="10">
        <v>2019</v>
      </c>
      <c r="D61" s="11">
        <v>43768</v>
      </c>
      <c r="E61" s="9" t="s">
        <v>334</v>
      </c>
      <c r="F61" s="12">
        <v>1358.79</v>
      </c>
      <c r="G61" s="12">
        <v>0</v>
      </c>
      <c r="H61" s="9" t="s">
        <v>386</v>
      </c>
      <c r="I61" s="14" t="s">
        <v>336</v>
      </c>
    </row>
    <row r="62" spans="1:9" x14ac:dyDescent="0.25">
      <c r="A62" s="8">
        <v>61</v>
      </c>
      <c r="B62" s="9" t="s">
        <v>426</v>
      </c>
      <c r="C62" s="10">
        <v>2019</v>
      </c>
      <c r="D62" s="11">
        <v>43774</v>
      </c>
      <c r="E62" s="9" t="s">
        <v>334</v>
      </c>
      <c r="F62" s="12">
        <f>592.02+1078.14</f>
        <v>1670.16</v>
      </c>
      <c r="G62" s="12">
        <v>0</v>
      </c>
      <c r="H62" s="9" t="s">
        <v>427</v>
      </c>
      <c r="I62" s="14" t="s">
        <v>336</v>
      </c>
    </row>
    <row r="63" spans="1:9" x14ac:dyDescent="0.25">
      <c r="A63" s="8">
        <v>62</v>
      </c>
      <c r="B63" s="9" t="s">
        <v>428</v>
      </c>
      <c r="C63" s="10">
        <v>2019</v>
      </c>
      <c r="D63" s="11">
        <v>43774</v>
      </c>
      <c r="E63" s="9" t="s">
        <v>334</v>
      </c>
      <c r="F63" s="12">
        <f>208.4+485.65</f>
        <v>694.05</v>
      </c>
      <c r="G63" s="12">
        <v>0</v>
      </c>
      <c r="H63" s="9" t="s">
        <v>427</v>
      </c>
      <c r="I63" s="14" t="s">
        <v>336</v>
      </c>
    </row>
    <row r="64" spans="1:9" x14ac:dyDescent="0.25">
      <c r="A64" s="8">
        <v>63</v>
      </c>
      <c r="B64" s="9" t="s">
        <v>429</v>
      </c>
      <c r="C64" s="10">
        <v>2019</v>
      </c>
      <c r="D64" s="11">
        <v>43774</v>
      </c>
      <c r="E64" s="9" t="s">
        <v>334</v>
      </c>
      <c r="F64" s="12">
        <f>986.84+1404.67</f>
        <v>2391.5100000000002</v>
      </c>
      <c r="G64" s="12">
        <v>0</v>
      </c>
      <c r="H64" s="9" t="s">
        <v>427</v>
      </c>
      <c r="I64" s="14" t="s">
        <v>336</v>
      </c>
    </row>
    <row r="65" spans="1:9" x14ac:dyDescent="0.25">
      <c r="A65" s="8">
        <v>64</v>
      </c>
      <c r="B65" s="9" t="s">
        <v>430</v>
      </c>
      <c r="C65" s="10">
        <v>2019</v>
      </c>
      <c r="D65" s="11">
        <v>43776</v>
      </c>
      <c r="E65" s="9" t="s">
        <v>334</v>
      </c>
      <c r="F65" s="12">
        <f>698.43+951.66</f>
        <v>1650.09</v>
      </c>
      <c r="G65" s="12">
        <v>0</v>
      </c>
      <c r="H65" s="9" t="s">
        <v>431</v>
      </c>
      <c r="I65" s="14" t="s">
        <v>336</v>
      </c>
    </row>
    <row r="66" spans="1:9" x14ac:dyDescent="0.25">
      <c r="A66" s="8">
        <v>65</v>
      </c>
      <c r="B66" s="9" t="s">
        <v>432</v>
      </c>
      <c r="C66" s="10">
        <v>2019</v>
      </c>
      <c r="D66" s="11">
        <v>43776</v>
      </c>
      <c r="E66" s="9" t="s">
        <v>334</v>
      </c>
      <c r="F66" s="12">
        <f>477.68+494.44+82.81</f>
        <v>1054.93</v>
      </c>
      <c r="G66" s="12">
        <v>0</v>
      </c>
      <c r="H66" s="9" t="s">
        <v>431</v>
      </c>
      <c r="I66" s="14" t="s">
        <v>336</v>
      </c>
    </row>
    <row r="67" spans="1:9" x14ac:dyDescent="0.25">
      <c r="A67" s="8">
        <v>66</v>
      </c>
      <c r="B67" s="9" t="s">
        <v>433</v>
      </c>
      <c r="C67" s="10">
        <v>2019</v>
      </c>
      <c r="D67" s="11">
        <v>43815</v>
      </c>
      <c r="E67" s="9" t="s">
        <v>334</v>
      </c>
      <c r="F67" s="12">
        <f>1637.74+4095.74+2388.72</f>
        <v>8122.1999999999989</v>
      </c>
      <c r="G67" s="12">
        <v>0</v>
      </c>
      <c r="H67" s="9" t="s">
        <v>373</v>
      </c>
      <c r="I67" s="14" t="s">
        <v>434</v>
      </c>
    </row>
    <row r="68" spans="1:9" x14ac:dyDescent="0.25">
      <c r="A68" s="8">
        <v>67</v>
      </c>
      <c r="B68" s="9" t="s">
        <v>435</v>
      </c>
      <c r="C68" s="10">
        <v>2020</v>
      </c>
      <c r="D68" s="11">
        <v>43843</v>
      </c>
      <c r="E68" s="9" t="s">
        <v>334</v>
      </c>
      <c r="F68" s="12">
        <f>267.8+285.63</f>
        <v>553.43000000000006</v>
      </c>
      <c r="G68" s="12">
        <v>0</v>
      </c>
      <c r="H68" s="9" t="s">
        <v>367</v>
      </c>
      <c r="I68" s="14" t="s">
        <v>434</v>
      </c>
    </row>
    <row r="69" spans="1:9" x14ac:dyDescent="0.25">
      <c r="A69" s="8">
        <v>68</v>
      </c>
      <c r="B69" s="9" t="s">
        <v>436</v>
      </c>
      <c r="C69" s="10">
        <v>2020</v>
      </c>
      <c r="D69" s="11">
        <v>43843</v>
      </c>
      <c r="E69" s="9" t="s">
        <v>348</v>
      </c>
      <c r="F69" s="12">
        <f>732.02+770.01</f>
        <v>1502.03</v>
      </c>
      <c r="G69" s="12">
        <v>0</v>
      </c>
      <c r="H69" s="9" t="s">
        <v>367</v>
      </c>
      <c r="I69" s="14" t="s">
        <v>434</v>
      </c>
    </row>
    <row r="70" spans="1:9" x14ac:dyDescent="0.25">
      <c r="A70" s="8">
        <v>69</v>
      </c>
      <c r="B70" s="9" t="s">
        <v>437</v>
      </c>
      <c r="C70" s="10">
        <v>2020</v>
      </c>
      <c r="D70" s="11">
        <v>43844</v>
      </c>
      <c r="E70" s="9" t="s">
        <v>404</v>
      </c>
      <c r="F70" s="12">
        <v>400</v>
      </c>
      <c r="G70" s="12">
        <v>0</v>
      </c>
      <c r="H70" s="9" t="s">
        <v>356</v>
      </c>
      <c r="I70" s="14" t="s">
        <v>434</v>
      </c>
    </row>
    <row r="71" spans="1:9" x14ac:dyDescent="0.25">
      <c r="A71" s="8">
        <v>70</v>
      </c>
      <c r="B71" s="9" t="s">
        <v>438</v>
      </c>
      <c r="C71" s="10">
        <v>2020</v>
      </c>
      <c r="D71" s="11">
        <v>43845</v>
      </c>
      <c r="E71" s="9" t="s">
        <v>334</v>
      </c>
      <c r="F71" s="12">
        <f>883.29+665.09</f>
        <v>1548.38</v>
      </c>
      <c r="G71" s="12">
        <v>0</v>
      </c>
      <c r="H71" s="9" t="s">
        <v>356</v>
      </c>
      <c r="I71" s="14" t="s">
        <v>434</v>
      </c>
    </row>
    <row r="72" spans="1:9" x14ac:dyDescent="0.25">
      <c r="A72" s="8">
        <v>71</v>
      </c>
      <c r="B72" s="9" t="s">
        <v>439</v>
      </c>
      <c r="C72" s="10">
        <v>2020</v>
      </c>
      <c r="D72" s="11">
        <v>43846</v>
      </c>
      <c r="E72" s="9" t="s">
        <v>334</v>
      </c>
      <c r="F72" s="12">
        <f>1973.62+1542.86</f>
        <v>3516.4799999999996</v>
      </c>
      <c r="G72" s="12">
        <v>0</v>
      </c>
      <c r="H72" s="9" t="s">
        <v>383</v>
      </c>
      <c r="I72" s="14" t="s">
        <v>434</v>
      </c>
    </row>
    <row r="73" spans="1:9" x14ac:dyDescent="0.25">
      <c r="A73" s="8">
        <v>72</v>
      </c>
      <c r="B73" s="9" t="s">
        <v>440</v>
      </c>
      <c r="C73" s="10">
        <v>2020</v>
      </c>
      <c r="D73" s="11">
        <v>43851</v>
      </c>
      <c r="E73" s="9" t="s">
        <v>334</v>
      </c>
      <c r="F73" s="12">
        <f>1574.07+1171.75</f>
        <v>2745.8199999999997</v>
      </c>
      <c r="G73" s="12">
        <v>0</v>
      </c>
      <c r="H73" s="9" t="s">
        <v>376</v>
      </c>
      <c r="I73" s="14" t="s">
        <v>434</v>
      </c>
    </row>
    <row r="74" spans="1:9" x14ac:dyDescent="0.25">
      <c r="A74" s="8">
        <v>73</v>
      </c>
      <c r="B74" s="9" t="s">
        <v>441</v>
      </c>
      <c r="C74" s="10">
        <v>2020</v>
      </c>
      <c r="D74" s="11">
        <v>43854</v>
      </c>
      <c r="E74" s="9" t="s">
        <v>334</v>
      </c>
      <c r="F74" s="12">
        <f>61.5+1995.48+882.95</f>
        <v>2939.9300000000003</v>
      </c>
      <c r="G74" s="12">
        <v>0</v>
      </c>
      <c r="H74" s="9" t="s">
        <v>393</v>
      </c>
      <c r="I74" s="14" t="s">
        <v>434</v>
      </c>
    </row>
    <row r="75" spans="1:9" x14ac:dyDescent="0.25">
      <c r="A75" s="8">
        <v>74</v>
      </c>
      <c r="B75" s="9" t="s">
        <v>442</v>
      </c>
      <c r="C75" s="10">
        <v>2020</v>
      </c>
      <c r="D75" s="11">
        <v>43859</v>
      </c>
      <c r="E75" s="9" t="s">
        <v>334</v>
      </c>
      <c r="F75" s="12">
        <f>1750.78+277.6</f>
        <v>2028.38</v>
      </c>
      <c r="G75" s="12">
        <v>0</v>
      </c>
      <c r="H75" s="9" t="s">
        <v>206</v>
      </c>
      <c r="I75" s="14" t="s">
        <v>336</v>
      </c>
    </row>
    <row r="76" spans="1:9" x14ac:dyDescent="0.25">
      <c r="A76" s="8">
        <v>75</v>
      </c>
      <c r="B76" s="9" t="s">
        <v>443</v>
      </c>
      <c r="C76" s="10">
        <v>2020</v>
      </c>
      <c r="D76" s="11">
        <v>43859</v>
      </c>
      <c r="E76" s="9" t="s">
        <v>334</v>
      </c>
      <c r="F76" s="12">
        <f>1656.61+1993.84</f>
        <v>3650.45</v>
      </c>
      <c r="G76" s="12">
        <v>0</v>
      </c>
      <c r="H76" s="9" t="s">
        <v>208</v>
      </c>
      <c r="I76" s="14" t="s">
        <v>336</v>
      </c>
    </row>
    <row r="77" spans="1:9" x14ac:dyDescent="0.25">
      <c r="A77" s="8">
        <v>76</v>
      </c>
      <c r="B77" s="9" t="s">
        <v>444</v>
      </c>
      <c r="C77" s="10">
        <v>2020</v>
      </c>
      <c r="D77" s="11">
        <v>43872</v>
      </c>
      <c r="E77" s="9" t="s">
        <v>334</v>
      </c>
      <c r="F77" s="12">
        <v>628.32000000000005</v>
      </c>
      <c r="G77" s="12">
        <v>0</v>
      </c>
      <c r="H77" s="9" t="s">
        <v>18</v>
      </c>
      <c r="I77" s="14" t="s">
        <v>336</v>
      </c>
    </row>
    <row r="78" spans="1:9" x14ac:dyDescent="0.25">
      <c r="A78" s="8">
        <v>77</v>
      </c>
      <c r="B78" s="9" t="s">
        <v>445</v>
      </c>
      <c r="C78" s="10">
        <v>2020</v>
      </c>
      <c r="D78" s="11">
        <v>43873</v>
      </c>
      <c r="E78" s="9" t="s">
        <v>334</v>
      </c>
      <c r="F78" s="12">
        <f>80+719.8+3384.05+1961.72</f>
        <v>6145.5700000000006</v>
      </c>
      <c r="G78" s="12">
        <v>0</v>
      </c>
      <c r="H78" s="9" t="s">
        <v>346</v>
      </c>
      <c r="I78" s="14" t="s">
        <v>434</v>
      </c>
    </row>
    <row r="79" spans="1:9" x14ac:dyDescent="0.25">
      <c r="A79" s="8">
        <v>78</v>
      </c>
      <c r="B79" s="9" t="s">
        <v>446</v>
      </c>
      <c r="C79" s="10">
        <v>2020</v>
      </c>
      <c r="D79" s="11">
        <v>43875</v>
      </c>
      <c r="E79" s="9" t="s">
        <v>334</v>
      </c>
      <c r="F79" s="12">
        <f>436.67+3914.48+3577.05</f>
        <v>7928.2</v>
      </c>
      <c r="G79" s="12">
        <v>0</v>
      </c>
      <c r="H79" s="9" t="s">
        <v>447</v>
      </c>
      <c r="I79" s="14" t="s">
        <v>434</v>
      </c>
    </row>
    <row r="80" spans="1:9" x14ac:dyDescent="0.25">
      <c r="A80" s="8">
        <v>79</v>
      </c>
      <c r="B80" s="9" t="s">
        <v>448</v>
      </c>
      <c r="C80" s="10">
        <v>2020</v>
      </c>
      <c r="D80" s="11">
        <v>43875</v>
      </c>
      <c r="E80" s="9" t="s">
        <v>348</v>
      </c>
      <c r="F80" s="12">
        <v>865.33</v>
      </c>
      <c r="G80" s="12">
        <v>0</v>
      </c>
      <c r="H80" s="9" t="s">
        <v>449</v>
      </c>
      <c r="I80" s="14" t="s">
        <v>434</v>
      </c>
    </row>
    <row r="81" spans="1:9" x14ac:dyDescent="0.25">
      <c r="A81" s="8">
        <v>80</v>
      </c>
      <c r="B81" s="9" t="s">
        <v>450</v>
      </c>
      <c r="C81" s="10">
        <v>2020</v>
      </c>
      <c r="D81" s="11">
        <v>43879</v>
      </c>
      <c r="E81" s="9" t="s">
        <v>334</v>
      </c>
      <c r="F81" s="12">
        <f>1203.46+963.98</f>
        <v>2167.44</v>
      </c>
      <c r="G81" s="12">
        <v>0</v>
      </c>
      <c r="H81" s="9" t="s">
        <v>449</v>
      </c>
      <c r="I81" s="14" t="s">
        <v>434</v>
      </c>
    </row>
    <row r="82" spans="1:9" x14ac:dyDescent="0.25">
      <c r="A82" s="8">
        <v>81</v>
      </c>
      <c r="B82" s="9" t="s">
        <v>451</v>
      </c>
      <c r="C82" s="10">
        <v>2020</v>
      </c>
      <c r="D82" s="11">
        <v>43879</v>
      </c>
      <c r="E82" s="9" t="s">
        <v>348</v>
      </c>
      <c r="F82" s="12">
        <v>744.01</v>
      </c>
      <c r="G82" s="12">
        <v>0</v>
      </c>
      <c r="H82" s="9" t="s">
        <v>413</v>
      </c>
      <c r="I82" s="14" t="s">
        <v>434</v>
      </c>
    </row>
    <row r="83" spans="1:9" x14ac:dyDescent="0.25">
      <c r="A83" s="8">
        <v>82</v>
      </c>
      <c r="B83" s="9" t="s">
        <v>452</v>
      </c>
      <c r="C83" s="10">
        <v>2020</v>
      </c>
      <c r="D83" s="11">
        <v>43882</v>
      </c>
      <c r="E83" s="9" t="s">
        <v>334</v>
      </c>
      <c r="F83" s="12">
        <f>1009.28+945.53</f>
        <v>1954.81</v>
      </c>
      <c r="G83" s="12">
        <v>0</v>
      </c>
      <c r="H83" s="9" t="s">
        <v>447</v>
      </c>
      <c r="I83" s="14" t="s">
        <v>434</v>
      </c>
    </row>
    <row r="84" spans="1:9" x14ac:dyDescent="0.25">
      <c r="A84" s="8">
        <v>83</v>
      </c>
      <c r="B84" s="9" t="s">
        <v>453</v>
      </c>
      <c r="C84" s="10">
        <v>2020</v>
      </c>
      <c r="D84" s="11">
        <v>43985</v>
      </c>
      <c r="E84" s="9" t="s">
        <v>334</v>
      </c>
      <c r="F84" s="12">
        <f>479.73+222.17</f>
        <v>701.9</v>
      </c>
      <c r="G84" s="12">
        <v>0</v>
      </c>
      <c r="H84" s="9" t="s">
        <v>49</v>
      </c>
      <c r="I84" s="14" t="s">
        <v>434</v>
      </c>
    </row>
    <row r="85" spans="1:9" x14ac:dyDescent="0.25">
      <c r="A85" s="8">
        <v>84</v>
      </c>
      <c r="B85" s="9" t="s">
        <v>454</v>
      </c>
      <c r="C85" s="10">
        <v>2020</v>
      </c>
      <c r="D85" s="11">
        <v>43986</v>
      </c>
      <c r="E85" s="9" t="s">
        <v>334</v>
      </c>
      <c r="F85" s="12">
        <f>1549.69+3558.88</f>
        <v>5108.57</v>
      </c>
      <c r="G85" s="12">
        <v>0</v>
      </c>
      <c r="H85" s="9" t="s">
        <v>413</v>
      </c>
      <c r="I85" s="14" t="s">
        <v>434</v>
      </c>
    </row>
    <row r="86" spans="1:9" x14ac:dyDescent="0.25">
      <c r="A86" s="8">
        <v>85</v>
      </c>
      <c r="B86" s="9" t="s">
        <v>455</v>
      </c>
      <c r="C86" s="10">
        <v>2020</v>
      </c>
      <c r="D86" s="11">
        <v>43990</v>
      </c>
      <c r="E86" s="9" t="s">
        <v>334</v>
      </c>
      <c r="F86" s="12">
        <v>1561.13</v>
      </c>
      <c r="G86" s="12">
        <v>0</v>
      </c>
      <c r="H86" s="9" t="s">
        <v>408</v>
      </c>
      <c r="I86" s="14" t="s">
        <v>434</v>
      </c>
    </row>
    <row r="87" spans="1:9" x14ac:dyDescent="0.25">
      <c r="A87" s="8">
        <v>86</v>
      </c>
      <c r="B87" s="9" t="s">
        <v>456</v>
      </c>
      <c r="C87" s="10">
        <v>2020</v>
      </c>
      <c r="D87" s="11">
        <v>43990</v>
      </c>
      <c r="E87" s="9" t="s">
        <v>334</v>
      </c>
      <c r="F87" s="12">
        <f>626.46+849.86</f>
        <v>1476.3200000000002</v>
      </c>
      <c r="G87" s="12">
        <v>0</v>
      </c>
      <c r="H87" s="9" t="s">
        <v>408</v>
      </c>
      <c r="I87" s="14" t="s">
        <v>434</v>
      </c>
    </row>
    <row r="88" spans="1:9" x14ac:dyDescent="0.25">
      <c r="A88" s="8">
        <v>87</v>
      </c>
      <c r="B88" s="9" t="s">
        <v>457</v>
      </c>
      <c r="C88" s="10">
        <v>2020</v>
      </c>
      <c r="D88" s="11">
        <v>43990</v>
      </c>
      <c r="E88" s="9" t="s">
        <v>334</v>
      </c>
      <c r="F88" s="12">
        <v>480.07</v>
      </c>
      <c r="G88" s="12">
        <v>0</v>
      </c>
      <c r="H88" s="9" t="s">
        <v>458</v>
      </c>
      <c r="I88" s="14" t="s">
        <v>434</v>
      </c>
    </row>
    <row r="89" spans="1:9" x14ac:dyDescent="0.25">
      <c r="A89" s="8">
        <v>88</v>
      </c>
      <c r="B89" s="9" t="s">
        <v>459</v>
      </c>
      <c r="C89" s="10">
        <v>2020</v>
      </c>
      <c r="D89" s="11">
        <v>43991</v>
      </c>
      <c r="E89" s="9" t="s">
        <v>334</v>
      </c>
      <c r="F89" s="12">
        <f>295.2+1008.11+961.91</f>
        <v>2265.2199999999998</v>
      </c>
      <c r="G89" s="12">
        <v>0</v>
      </c>
      <c r="H89" s="9" t="s">
        <v>458</v>
      </c>
      <c r="I89" s="14" t="s">
        <v>434</v>
      </c>
    </row>
    <row r="90" spans="1:9" x14ac:dyDescent="0.25">
      <c r="A90" s="8">
        <v>89</v>
      </c>
      <c r="B90" s="9" t="s">
        <v>460</v>
      </c>
      <c r="C90" s="10">
        <v>2020</v>
      </c>
      <c r="D90" s="11">
        <v>43992</v>
      </c>
      <c r="E90" s="9" t="s">
        <v>334</v>
      </c>
      <c r="F90" s="12">
        <f>796.86+643.79</f>
        <v>1440.65</v>
      </c>
      <c r="G90" s="12">
        <v>0</v>
      </c>
      <c r="H90" s="9" t="s">
        <v>461</v>
      </c>
      <c r="I90" s="14" t="s">
        <v>434</v>
      </c>
    </row>
    <row r="91" spans="1:9" x14ac:dyDescent="0.25">
      <c r="A91" s="8">
        <v>90</v>
      </c>
      <c r="B91" s="9" t="s">
        <v>462</v>
      </c>
      <c r="C91" s="10">
        <v>2020</v>
      </c>
      <c r="D91" s="11">
        <v>43998</v>
      </c>
      <c r="E91" s="9" t="s">
        <v>334</v>
      </c>
      <c r="F91" s="12">
        <f>971.23+657.51</f>
        <v>1628.74</v>
      </c>
      <c r="G91" s="12">
        <v>0</v>
      </c>
      <c r="H91" s="9" t="s">
        <v>380</v>
      </c>
      <c r="I91" s="14" t="s">
        <v>434</v>
      </c>
    </row>
    <row r="92" spans="1:9" x14ac:dyDescent="0.25">
      <c r="A92" s="8">
        <v>91</v>
      </c>
      <c r="B92" s="9" t="s">
        <v>463</v>
      </c>
      <c r="C92" s="10">
        <v>2020</v>
      </c>
      <c r="D92" s="11">
        <v>43998</v>
      </c>
      <c r="E92" s="9" t="s">
        <v>334</v>
      </c>
      <c r="F92" s="12">
        <f>520.09+355.24</f>
        <v>875.33</v>
      </c>
      <c r="G92" s="12">
        <v>0</v>
      </c>
      <c r="H92" s="9" t="s">
        <v>380</v>
      </c>
      <c r="I92" s="14" t="s">
        <v>434</v>
      </c>
    </row>
    <row r="93" spans="1:9" x14ac:dyDescent="0.25">
      <c r="A93" s="8">
        <v>92</v>
      </c>
      <c r="B93" s="9" t="s">
        <v>464</v>
      </c>
      <c r="C93" s="10">
        <v>2020</v>
      </c>
      <c r="D93" s="11">
        <v>43999</v>
      </c>
      <c r="E93" s="9" t="s">
        <v>334</v>
      </c>
      <c r="F93" s="12">
        <f>1053.03+994.07</f>
        <v>2047.1</v>
      </c>
      <c r="G93" s="12">
        <v>0</v>
      </c>
      <c r="H93" s="9" t="s">
        <v>465</v>
      </c>
      <c r="I93" s="14" t="s">
        <v>434</v>
      </c>
    </row>
    <row r="94" spans="1:9" x14ac:dyDescent="0.25">
      <c r="A94" s="8">
        <v>93</v>
      </c>
      <c r="B94" s="9" t="s">
        <v>466</v>
      </c>
      <c r="C94" s="10">
        <v>2020</v>
      </c>
      <c r="D94" s="11">
        <v>44012</v>
      </c>
      <c r="E94" s="9" t="s">
        <v>334</v>
      </c>
      <c r="F94" s="12">
        <f>564+827.5+419.5</f>
        <v>1811</v>
      </c>
      <c r="G94" s="12">
        <v>0</v>
      </c>
      <c r="H94" s="9" t="s">
        <v>101</v>
      </c>
      <c r="I94" s="14" t="s">
        <v>434</v>
      </c>
    </row>
    <row r="95" spans="1:9" x14ac:dyDescent="0.25">
      <c r="A95" s="8">
        <v>94</v>
      </c>
      <c r="B95" s="9" t="s">
        <v>467</v>
      </c>
      <c r="C95" s="10">
        <v>2020</v>
      </c>
      <c r="D95" s="11">
        <v>44013</v>
      </c>
      <c r="E95" s="9" t="s">
        <v>334</v>
      </c>
      <c r="F95" s="12">
        <v>1843.72</v>
      </c>
      <c r="G95" s="12">
        <v>0</v>
      </c>
      <c r="H95" s="9" t="s">
        <v>468</v>
      </c>
      <c r="I95" s="14" t="s">
        <v>434</v>
      </c>
    </row>
    <row r="96" spans="1:9" x14ac:dyDescent="0.25">
      <c r="A96" s="8">
        <v>95</v>
      </c>
      <c r="B96" s="9" t="s">
        <v>469</v>
      </c>
      <c r="C96" s="10">
        <v>2020</v>
      </c>
      <c r="D96" s="11">
        <v>44015</v>
      </c>
      <c r="E96" s="9" t="s">
        <v>334</v>
      </c>
      <c r="F96" s="12">
        <v>348.4</v>
      </c>
      <c r="G96" s="12">
        <v>0</v>
      </c>
      <c r="H96" s="9" t="s">
        <v>338</v>
      </c>
      <c r="I96" s="14" t="s">
        <v>434</v>
      </c>
    </row>
    <row r="97" spans="1:9" x14ac:dyDescent="0.25">
      <c r="A97" s="8">
        <v>96</v>
      </c>
      <c r="B97" s="9" t="s">
        <v>470</v>
      </c>
      <c r="C97" s="10">
        <v>2020</v>
      </c>
      <c r="D97" s="11">
        <v>44015</v>
      </c>
      <c r="E97" s="9" t="s">
        <v>334</v>
      </c>
      <c r="F97" s="12">
        <f>632.89+463.99</f>
        <v>1096.8800000000001</v>
      </c>
      <c r="G97" s="12">
        <v>0</v>
      </c>
      <c r="H97" s="9" t="s">
        <v>338</v>
      </c>
      <c r="I97" s="14" t="s">
        <v>434</v>
      </c>
    </row>
    <row r="98" spans="1:9" x14ac:dyDescent="0.25">
      <c r="A98" s="8">
        <v>97</v>
      </c>
      <c r="B98" s="9" t="s">
        <v>471</v>
      </c>
      <c r="C98" s="10">
        <v>2020</v>
      </c>
      <c r="D98" s="11">
        <v>44020</v>
      </c>
      <c r="E98" s="9" t="s">
        <v>334</v>
      </c>
      <c r="F98" s="12">
        <v>1014.52</v>
      </c>
      <c r="G98" s="12">
        <v>0</v>
      </c>
      <c r="H98" s="9" t="s">
        <v>465</v>
      </c>
      <c r="I98" s="14" t="s">
        <v>434</v>
      </c>
    </row>
    <row r="99" spans="1:9" x14ac:dyDescent="0.25">
      <c r="A99" s="8">
        <v>98</v>
      </c>
      <c r="B99" s="9" t="s">
        <v>472</v>
      </c>
      <c r="C99" s="10">
        <v>2020</v>
      </c>
      <c r="D99" s="11">
        <v>44020</v>
      </c>
      <c r="E99" s="9" t="s">
        <v>334</v>
      </c>
      <c r="F99" s="12">
        <f>270.6+835.11+656.09</f>
        <v>1761.8000000000002</v>
      </c>
      <c r="G99" s="12">
        <v>0</v>
      </c>
      <c r="H99" s="9" t="s">
        <v>465</v>
      </c>
      <c r="I99" s="14" t="s">
        <v>434</v>
      </c>
    </row>
    <row r="100" spans="1:9" x14ac:dyDescent="0.25">
      <c r="A100" s="8">
        <v>99</v>
      </c>
      <c r="B100" s="9" t="s">
        <v>473</v>
      </c>
      <c r="C100" s="10">
        <v>2020</v>
      </c>
      <c r="D100" s="11">
        <v>44021</v>
      </c>
      <c r="E100" s="9" t="s">
        <v>334</v>
      </c>
      <c r="F100" s="12">
        <f>79.95+171.92+549.32</f>
        <v>801.19</v>
      </c>
      <c r="G100" s="12">
        <v>0</v>
      </c>
      <c r="H100" s="9" t="s">
        <v>474</v>
      </c>
      <c r="I100" s="14" t="s">
        <v>434</v>
      </c>
    </row>
    <row r="101" spans="1:9" x14ac:dyDescent="0.25">
      <c r="A101" s="8">
        <v>100</v>
      </c>
      <c r="B101" s="9" t="s">
        <v>475</v>
      </c>
      <c r="C101" s="10">
        <v>2020</v>
      </c>
      <c r="D101" s="11">
        <v>44028</v>
      </c>
      <c r="E101" s="9" t="s">
        <v>334</v>
      </c>
      <c r="F101" s="12">
        <f>837.45+674.54</f>
        <v>1511.99</v>
      </c>
      <c r="G101" s="12">
        <v>0</v>
      </c>
      <c r="H101" s="9" t="s">
        <v>474</v>
      </c>
      <c r="I101" s="14" t="s">
        <v>434</v>
      </c>
    </row>
    <row r="102" spans="1:9" x14ac:dyDescent="0.25">
      <c r="A102" s="8">
        <v>101</v>
      </c>
      <c r="B102" s="9" t="s">
        <v>476</v>
      </c>
      <c r="C102" s="10">
        <v>2020</v>
      </c>
      <c r="D102" s="11">
        <v>44033</v>
      </c>
      <c r="E102" s="9" t="s">
        <v>334</v>
      </c>
      <c r="F102" s="12">
        <f>190.65+391.99+586.09</f>
        <v>1168.73</v>
      </c>
      <c r="G102" s="12">
        <v>0</v>
      </c>
      <c r="H102" s="9" t="s">
        <v>474</v>
      </c>
      <c r="I102" s="14" t="s">
        <v>434</v>
      </c>
    </row>
    <row r="103" spans="1:9" x14ac:dyDescent="0.25">
      <c r="A103" s="8">
        <v>102</v>
      </c>
      <c r="B103" s="9" t="s">
        <v>477</v>
      </c>
      <c r="C103" s="10">
        <v>2020</v>
      </c>
      <c r="D103" s="11">
        <v>44033</v>
      </c>
      <c r="E103" s="9" t="s">
        <v>334</v>
      </c>
      <c r="F103" s="12">
        <f>135.29+541.51+549.19</f>
        <v>1225.99</v>
      </c>
      <c r="G103" s="12">
        <v>0</v>
      </c>
      <c r="H103" s="9" t="s">
        <v>478</v>
      </c>
      <c r="I103" s="14" t="s">
        <v>434</v>
      </c>
    </row>
    <row r="104" spans="1:9" x14ac:dyDescent="0.25">
      <c r="A104" s="8">
        <v>103</v>
      </c>
      <c r="B104" s="9" t="s">
        <v>479</v>
      </c>
      <c r="C104" s="10">
        <v>2020</v>
      </c>
      <c r="D104" s="11">
        <v>44034</v>
      </c>
      <c r="E104" s="9" t="s">
        <v>334</v>
      </c>
      <c r="F104" s="12">
        <f>282.9+830.32+643.79</f>
        <v>1757.01</v>
      </c>
      <c r="G104" s="12">
        <v>0</v>
      </c>
      <c r="H104" s="9" t="s">
        <v>340</v>
      </c>
      <c r="I104" s="14" t="s">
        <v>434</v>
      </c>
    </row>
    <row r="105" spans="1:9" x14ac:dyDescent="0.25">
      <c r="A105" s="8">
        <v>104</v>
      </c>
      <c r="B105" s="9" t="s">
        <v>480</v>
      </c>
      <c r="C105" s="10">
        <v>2020</v>
      </c>
      <c r="D105" s="11">
        <v>44035</v>
      </c>
      <c r="E105" s="9" t="s">
        <v>334</v>
      </c>
      <c r="F105" s="12">
        <f>260.32+699.82+863.03</f>
        <v>1823.17</v>
      </c>
      <c r="G105" s="12">
        <v>0</v>
      </c>
      <c r="H105" s="9" t="s">
        <v>11</v>
      </c>
      <c r="I105" s="14" t="s">
        <v>434</v>
      </c>
    </row>
    <row r="106" spans="1:9" x14ac:dyDescent="0.25">
      <c r="A106" s="8">
        <v>105</v>
      </c>
      <c r="B106" s="9" t="s">
        <v>481</v>
      </c>
      <c r="C106" s="10">
        <v>2020</v>
      </c>
      <c r="D106" s="11">
        <v>44042</v>
      </c>
      <c r="E106" s="9" t="s">
        <v>334</v>
      </c>
      <c r="F106" s="12">
        <v>2322.5500000000002</v>
      </c>
      <c r="G106" s="12">
        <v>0</v>
      </c>
      <c r="H106" s="9" t="s">
        <v>478</v>
      </c>
      <c r="I106" s="14" t="s">
        <v>434</v>
      </c>
    </row>
    <row r="107" spans="1:9" x14ac:dyDescent="0.25">
      <c r="A107" s="8">
        <v>106</v>
      </c>
      <c r="B107" s="9" t="s">
        <v>482</v>
      </c>
      <c r="C107" s="10">
        <v>2020</v>
      </c>
      <c r="D107" s="11">
        <v>44043</v>
      </c>
      <c r="E107" s="9" t="s">
        <v>334</v>
      </c>
      <c r="F107" s="12">
        <f>674.35+1349.54</f>
        <v>2023.8899999999999</v>
      </c>
      <c r="G107" s="12">
        <v>0</v>
      </c>
      <c r="H107" s="9" t="s">
        <v>206</v>
      </c>
      <c r="I107" s="14" t="s">
        <v>434</v>
      </c>
    </row>
    <row r="108" spans="1:9" x14ac:dyDescent="0.25">
      <c r="A108" s="8">
        <v>107</v>
      </c>
      <c r="B108" s="9" t="s">
        <v>483</v>
      </c>
      <c r="C108" s="10">
        <v>2020</v>
      </c>
      <c r="D108" s="11">
        <v>44046</v>
      </c>
      <c r="E108" s="9" t="s">
        <v>334</v>
      </c>
      <c r="F108" s="12">
        <f>92.89+770.14+1306.03</f>
        <v>2169.06</v>
      </c>
      <c r="G108" s="12">
        <v>0</v>
      </c>
      <c r="H108" s="9" t="s">
        <v>484</v>
      </c>
      <c r="I108" s="14" t="s">
        <v>434</v>
      </c>
    </row>
    <row r="109" spans="1:9" x14ac:dyDescent="0.25">
      <c r="A109" s="8">
        <v>108</v>
      </c>
      <c r="B109" s="9" t="s">
        <v>485</v>
      </c>
      <c r="C109" s="10">
        <v>2020</v>
      </c>
      <c r="D109" s="11">
        <v>44047</v>
      </c>
      <c r="E109" s="9" t="s">
        <v>334</v>
      </c>
      <c r="F109" s="12">
        <f>661.98+678.75+227.56</f>
        <v>1568.29</v>
      </c>
      <c r="G109" s="12">
        <v>0</v>
      </c>
      <c r="H109" s="9" t="s">
        <v>354</v>
      </c>
      <c r="I109" s="14" t="s">
        <v>434</v>
      </c>
    </row>
    <row r="110" spans="1:9" x14ac:dyDescent="0.25">
      <c r="A110" s="8">
        <v>109</v>
      </c>
      <c r="B110" s="9" t="s">
        <v>486</v>
      </c>
      <c r="C110" s="10">
        <v>2020</v>
      </c>
      <c r="D110" s="11">
        <v>44053</v>
      </c>
      <c r="E110" s="9" t="s">
        <v>334</v>
      </c>
      <c r="F110" s="12">
        <f>851.59+857.27</f>
        <v>1708.8600000000001</v>
      </c>
      <c r="G110" s="12">
        <v>0</v>
      </c>
      <c r="H110" s="9" t="s">
        <v>354</v>
      </c>
      <c r="I110" s="14" t="s">
        <v>434</v>
      </c>
    </row>
    <row r="111" spans="1:9" x14ac:dyDescent="0.25">
      <c r="A111" s="8">
        <v>110</v>
      </c>
      <c r="B111" s="9" t="s">
        <v>487</v>
      </c>
      <c r="C111" s="10">
        <v>2020</v>
      </c>
      <c r="D111" s="11">
        <v>44053</v>
      </c>
      <c r="E111" s="9" t="s">
        <v>334</v>
      </c>
      <c r="F111" s="12">
        <f>492.49+523.21</f>
        <v>1015.7</v>
      </c>
      <c r="G111" s="12">
        <v>0</v>
      </c>
      <c r="H111" s="9" t="s">
        <v>354</v>
      </c>
      <c r="I111" s="14" t="s">
        <v>434</v>
      </c>
    </row>
    <row r="112" spans="1:9" x14ac:dyDescent="0.25">
      <c r="A112" s="8">
        <v>111</v>
      </c>
      <c r="B112" s="9" t="s">
        <v>488</v>
      </c>
      <c r="C112" s="10">
        <v>2020</v>
      </c>
      <c r="D112" s="11">
        <v>44061</v>
      </c>
      <c r="E112" s="9" t="s">
        <v>334</v>
      </c>
      <c r="F112" s="12">
        <f>528.9+1239.45+1066.69</f>
        <v>2835.04</v>
      </c>
      <c r="G112" s="12">
        <v>0</v>
      </c>
      <c r="H112" s="9" t="s">
        <v>11</v>
      </c>
      <c r="I112" s="14" t="s">
        <v>434</v>
      </c>
    </row>
    <row r="113" spans="1:9" x14ac:dyDescent="0.25">
      <c r="A113" s="8">
        <v>112</v>
      </c>
      <c r="B113" s="9" t="s">
        <v>489</v>
      </c>
      <c r="C113" s="10">
        <v>2020</v>
      </c>
      <c r="D113" s="11">
        <v>44061</v>
      </c>
      <c r="E113" s="9" t="s">
        <v>334</v>
      </c>
      <c r="F113" s="12">
        <f>4749.98+3553.06</f>
        <v>8303.0399999999991</v>
      </c>
      <c r="G113" s="12">
        <v>0</v>
      </c>
      <c r="H113" s="9" t="s">
        <v>344</v>
      </c>
      <c r="I113" s="14" t="s">
        <v>434</v>
      </c>
    </row>
    <row r="114" spans="1:9" x14ac:dyDescent="0.25">
      <c r="A114" s="8">
        <v>113</v>
      </c>
      <c r="B114" s="9" t="s">
        <v>490</v>
      </c>
      <c r="C114" s="10">
        <v>2020</v>
      </c>
      <c r="D114" s="11">
        <v>44068</v>
      </c>
      <c r="E114" s="9" t="s">
        <v>334</v>
      </c>
      <c r="F114" s="12">
        <v>816.21</v>
      </c>
      <c r="G114" s="12">
        <v>0</v>
      </c>
      <c r="H114" s="9" t="s">
        <v>101</v>
      </c>
      <c r="I114" s="14" t="s">
        <v>434</v>
      </c>
    </row>
    <row r="115" spans="1:9" x14ac:dyDescent="0.25">
      <c r="A115" s="8">
        <v>114</v>
      </c>
      <c r="B115" s="9" t="s">
        <v>491</v>
      </c>
      <c r="C115" s="10">
        <v>2020</v>
      </c>
      <c r="D115" s="11">
        <v>44068</v>
      </c>
      <c r="E115" s="9" t="s">
        <v>334</v>
      </c>
      <c r="F115" s="12">
        <f>329.02+1125.75+476.13</f>
        <v>1930.9</v>
      </c>
      <c r="G115" s="12">
        <v>0</v>
      </c>
      <c r="H115" s="9" t="s">
        <v>101</v>
      </c>
      <c r="I115" s="14" t="s">
        <v>434</v>
      </c>
    </row>
    <row r="116" spans="1:9" x14ac:dyDescent="0.25">
      <c r="A116" s="8">
        <v>115</v>
      </c>
      <c r="B116" s="9" t="s">
        <v>492</v>
      </c>
      <c r="C116" s="10">
        <v>2020</v>
      </c>
      <c r="D116" s="11">
        <v>44071</v>
      </c>
      <c r="E116" s="9" t="s">
        <v>334</v>
      </c>
      <c r="F116" s="12">
        <f>347.13+1859.18</f>
        <v>2206.31</v>
      </c>
      <c r="G116" s="12">
        <v>0</v>
      </c>
      <c r="H116" s="9" t="s">
        <v>103</v>
      </c>
      <c r="I116" s="14" t="s">
        <v>434</v>
      </c>
    </row>
    <row r="117" spans="1:9" x14ac:dyDescent="0.25">
      <c r="A117" s="8">
        <v>116</v>
      </c>
      <c r="B117" s="9" t="s">
        <v>493</v>
      </c>
      <c r="C117" s="10">
        <v>2020</v>
      </c>
      <c r="D117" s="11">
        <v>44075</v>
      </c>
      <c r="E117" s="9" t="s">
        <v>334</v>
      </c>
      <c r="F117" s="12">
        <v>616.73</v>
      </c>
      <c r="G117" s="12">
        <v>0</v>
      </c>
      <c r="H117" s="9" t="s">
        <v>494</v>
      </c>
      <c r="I117" s="14" t="s">
        <v>434</v>
      </c>
    </row>
    <row r="118" spans="1:9" x14ac:dyDescent="0.25">
      <c r="A118" s="8">
        <v>117</v>
      </c>
      <c r="B118" s="9" t="s">
        <v>495</v>
      </c>
      <c r="C118" s="10">
        <v>2020</v>
      </c>
      <c r="D118" s="11">
        <v>44075</v>
      </c>
      <c r="E118" s="9" t="s">
        <v>334</v>
      </c>
      <c r="F118" s="12">
        <f>957.81+414.43</f>
        <v>1372.24</v>
      </c>
      <c r="G118" s="12">
        <v>0</v>
      </c>
      <c r="H118" s="9" t="s">
        <v>494</v>
      </c>
      <c r="I118" s="14" t="s">
        <v>434</v>
      </c>
    </row>
    <row r="119" spans="1:9" x14ac:dyDescent="0.25">
      <c r="A119" s="8">
        <v>118</v>
      </c>
      <c r="B119" s="9" t="s">
        <v>496</v>
      </c>
      <c r="C119" s="10">
        <v>2020</v>
      </c>
      <c r="D119" s="11">
        <v>44075</v>
      </c>
      <c r="E119" s="9" t="s">
        <v>334</v>
      </c>
      <c r="F119" s="12">
        <f>528.98+1395.35+910.8</f>
        <v>2835.13</v>
      </c>
      <c r="G119" s="12">
        <v>0</v>
      </c>
      <c r="H119" s="9" t="s">
        <v>494</v>
      </c>
      <c r="I119" s="14" t="s">
        <v>434</v>
      </c>
    </row>
    <row r="120" spans="1:9" x14ac:dyDescent="0.25">
      <c r="A120" s="8">
        <v>119</v>
      </c>
      <c r="B120" s="9" t="s">
        <v>499</v>
      </c>
      <c r="C120" s="10">
        <v>2020</v>
      </c>
      <c r="D120" s="11">
        <v>44076</v>
      </c>
      <c r="E120" s="9" t="s">
        <v>334</v>
      </c>
      <c r="F120" s="12">
        <f>1642.3+1744.82</f>
        <v>3387.12</v>
      </c>
      <c r="G120" s="12">
        <v>0</v>
      </c>
      <c r="H120" s="9" t="s">
        <v>500</v>
      </c>
      <c r="I120" s="14" t="s">
        <v>336</v>
      </c>
    </row>
    <row r="121" spans="1:9" x14ac:dyDescent="0.25">
      <c r="A121" s="8">
        <v>120</v>
      </c>
      <c r="B121" s="9" t="s">
        <v>497</v>
      </c>
      <c r="C121" s="10">
        <v>2020</v>
      </c>
      <c r="D121" s="11">
        <v>44076</v>
      </c>
      <c r="E121" s="9" t="s">
        <v>334</v>
      </c>
      <c r="F121" s="12">
        <f>178.34+443.46+796.49</f>
        <v>1418.29</v>
      </c>
      <c r="G121" s="12">
        <v>0</v>
      </c>
      <c r="H121" s="9" t="s">
        <v>103</v>
      </c>
      <c r="I121" s="14" t="s">
        <v>434</v>
      </c>
    </row>
    <row r="122" spans="1:9" x14ac:dyDescent="0.25">
      <c r="A122" s="8">
        <v>121</v>
      </c>
      <c r="B122" s="9" t="s">
        <v>498</v>
      </c>
      <c r="C122" s="10">
        <v>2020</v>
      </c>
      <c r="D122" s="11">
        <v>44076</v>
      </c>
      <c r="E122" s="9" t="s">
        <v>334</v>
      </c>
      <c r="F122" s="12">
        <f>547.35+1197.88+1147.32</f>
        <v>2892.55</v>
      </c>
      <c r="G122" s="12">
        <v>0</v>
      </c>
      <c r="H122" s="9" t="s">
        <v>393</v>
      </c>
      <c r="I122" s="14" t="s">
        <v>434</v>
      </c>
    </row>
    <row r="123" spans="1:9" x14ac:dyDescent="0.25">
      <c r="A123" s="8">
        <v>122</v>
      </c>
      <c r="B123" s="9" t="s">
        <v>501</v>
      </c>
      <c r="C123" s="10">
        <v>2020</v>
      </c>
      <c r="D123" s="11">
        <v>44077</v>
      </c>
      <c r="E123" s="9" t="s">
        <v>334</v>
      </c>
      <c r="F123" s="12">
        <f>377.51+494.61</f>
        <v>872.12</v>
      </c>
      <c r="G123" s="12">
        <v>0</v>
      </c>
      <c r="H123" s="9" t="s">
        <v>502</v>
      </c>
      <c r="I123" s="14" t="s">
        <v>434</v>
      </c>
    </row>
    <row r="124" spans="1:9" x14ac:dyDescent="0.25">
      <c r="A124" s="8">
        <v>123</v>
      </c>
      <c r="B124" s="9" t="s">
        <v>503</v>
      </c>
      <c r="C124" s="10">
        <v>2020</v>
      </c>
      <c r="D124" s="11">
        <v>44078</v>
      </c>
      <c r="E124" s="9" t="s">
        <v>334</v>
      </c>
      <c r="F124" s="12">
        <v>1097.73</v>
      </c>
      <c r="G124" s="12">
        <v>0</v>
      </c>
      <c r="H124" s="9" t="s">
        <v>502</v>
      </c>
      <c r="I124" s="14" t="s">
        <v>434</v>
      </c>
    </row>
    <row r="125" spans="1:9" x14ac:dyDescent="0.25">
      <c r="A125" s="8">
        <v>124</v>
      </c>
      <c r="B125" s="9" t="s">
        <v>504</v>
      </c>
      <c r="C125" s="10">
        <v>2020</v>
      </c>
      <c r="D125" s="11">
        <v>44078</v>
      </c>
      <c r="E125" s="9" t="s">
        <v>334</v>
      </c>
      <c r="F125" s="12">
        <f>502.27+1230.75</f>
        <v>1733.02</v>
      </c>
      <c r="G125" s="12">
        <v>0</v>
      </c>
      <c r="H125" s="9" t="s">
        <v>502</v>
      </c>
      <c r="I125" s="14" t="s">
        <v>434</v>
      </c>
    </row>
    <row r="126" spans="1:9" x14ac:dyDescent="0.25">
      <c r="A126" s="8">
        <v>125</v>
      </c>
      <c r="B126" s="9" t="s">
        <v>505</v>
      </c>
      <c r="C126" s="10">
        <v>2020</v>
      </c>
      <c r="D126" s="11">
        <v>44081</v>
      </c>
      <c r="E126" s="9" t="s">
        <v>334</v>
      </c>
      <c r="F126" s="12">
        <f>488.92+2281.32+2183.57</f>
        <v>4953.8100000000004</v>
      </c>
      <c r="G126" s="12">
        <v>0</v>
      </c>
      <c r="H126" s="9" t="s">
        <v>502</v>
      </c>
      <c r="I126" s="14" t="s">
        <v>434</v>
      </c>
    </row>
    <row r="127" spans="1:9" x14ac:dyDescent="0.25">
      <c r="A127" s="8">
        <v>126</v>
      </c>
      <c r="B127" s="9" t="s">
        <v>506</v>
      </c>
      <c r="C127" s="10">
        <v>2020</v>
      </c>
      <c r="D127" s="11">
        <v>44081</v>
      </c>
      <c r="E127" s="9" t="s">
        <v>334</v>
      </c>
      <c r="F127" s="12">
        <f>3145.45+967.48</f>
        <v>4112.93</v>
      </c>
      <c r="G127" s="12">
        <v>0</v>
      </c>
      <c r="H127" s="9" t="s">
        <v>494</v>
      </c>
      <c r="I127" s="14" t="s">
        <v>434</v>
      </c>
    </row>
    <row r="128" spans="1:9" x14ac:dyDescent="0.25">
      <c r="A128" s="8">
        <v>127</v>
      </c>
      <c r="B128" s="9" t="s">
        <v>507</v>
      </c>
      <c r="C128" s="10">
        <v>2020</v>
      </c>
      <c r="D128" s="11">
        <v>44082</v>
      </c>
      <c r="E128" s="9" t="s">
        <v>334</v>
      </c>
      <c r="F128" s="12">
        <f>912.54+632.17+289.05</f>
        <v>1833.76</v>
      </c>
      <c r="G128" s="12">
        <v>0</v>
      </c>
      <c r="H128" s="9" t="s">
        <v>380</v>
      </c>
      <c r="I128" s="14" t="s">
        <v>434</v>
      </c>
    </row>
    <row r="129" spans="1:9" x14ac:dyDescent="0.25">
      <c r="A129" s="8">
        <v>128</v>
      </c>
      <c r="B129" s="9" t="s">
        <v>508</v>
      </c>
      <c r="C129" s="10">
        <v>2020</v>
      </c>
      <c r="D129" s="11">
        <v>44082</v>
      </c>
      <c r="E129" s="9" t="s">
        <v>334</v>
      </c>
      <c r="F129" s="12">
        <f>153.76+300.73+660.36</f>
        <v>1114.8499999999999</v>
      </c>
      <c r="G129" s="12">
        <v>0</v>
      </c>
      <c r="H129" s="9" t="s">
        <v>380</v>
      </c>
      <c r="I129" s="14" t="s">
        <v>434</v>
      </c>
    </row>
    <row r="130" spans="1:9" x14ac:dyDescent="0.25">
      <c r="A130" s="8">
        <v>129</v>
      </c>
      <c r="B130" s="9" t="s">
        <v>509</v>
      </c>
      <c r="C130" s="10">
        <v>2020</v>
      </c>
      <c r="D130" s="11">
        <v>44085</v>
      </c>
      <c r="E130" s="9" t="s">
        <v>334</v>
      </c>
      <c r="F130" s="12">
        <f>301.34+1494.84</f>
        <v>1796.1799999999998</v>
      </c>
      <c r="G130" s="12">
        <v>0</v>
      </c>
      <c r="H130" s="9" t="s">
        <v>415</v>
      </c>
      <c r="I130" s="14" t="s">
        <v>434</v>
      </c>
    </row>
    <row r="131" spans="1:9" x14ac:dyDescent="0.25">
      <c r="A131" s="8">
        <v>130</v>
      </c>
      <c r="B131" s="9" t="s">
        <v>510</v>
      </c>
      <c r="C131" s="10">
        <v>2020</v>
      </c>
      <c r="D131" s="11">
        <v>44085</v>
      </c>
      <c r="E131" s="9" t="s">
        <v>334</v>
      </c>
      <c r="F131" s="12">
        <f>393.6+1506.38+452.49</f>
        <v>2352.4700000000003</v>
      </c>
      <c r="G131" s="12">
        <v>0</v>
      </c>
      <c r="H131" s="9" t="s">
        <v>415</v>
      </c>
      <c r="I131" s="14" t="s">
        <v>434</v>
      </c>
    </row>
    <row r="132" spans="1:9" x14ac:dyDescent="0.25">
      <c r="A132" s="8">
        <v>131</v>
      </c>
      <c r="B132" s="9" t="s">
        <v>511</v>
      </c>
      <c r="C132" s="10">
        <v>2020</v>
      </c>
      <c r="D132" s="11">
        <v>44088</v>
      </c>
      <c r="E132" s="9" t="s">
        <v>334</v>
      </c>
      <c r="F132" s="12">
        <f>535.04+2309.54</f>
        <v>2844.58</v>
      </c>
      <c r="G132" s="12">
        <v>0</v>
      </c>
      <c r="H132" s="9" t="s">
        <v>354</v>
      </c>
      <c r="I132" s="14" t="s">
        <v>434</v>
      </c>
    </row>
    <row r="133" spans="1:9" x14ac:dyDescent="0.25">
      <c r="A133" s="8">
        <v>132</v>
      </c>
      <c r="B133" s="9" t="s">
        <v>512</v>
      </c>
      <c r="C133" s="10">
        <v>2020</v>
      </c>
      <c r="D133" s="11">
        <v>44089</v>
      </c>
      <c r="E133" s="9" t="s">
        <v>334</v>
      </c>
      <c r="F133" s="12">
        <f>1910.53+4256.09</f>
        <v>6166.62</v>
      </c>
      <c r="G133" s="12">
        <v>0</v>
      </c>
      <c r="H133" s="9" t="s">
        <v>354</v>
      </c>
      <c r="I133" s="14" t="s">
        <v>434</v>
      </c>
    </row>
    <row r="134" spans="1:9" x14ac:dyDescent="0.25">
      <c r="A134" s="8">
        <v>133</v>
      </c>
      <c r="B134" s="9" t="s">
        <v>513</v>
      </c>
      <c r="C134" s="10">
        <v>2020</v>
      </c>
      <c r="D134" s="11">
        <v>44089</v>
      </c>
      <c r="E134" s="9" t="s">
        <v>334</v>
      </c>
      <c r="F134" s="12">
        <f>1252.99+1124.5+553.49</f>
        <v>2930.9799999999996</v>
      </c>
      <c r="G134" s="12">
        <v>0</v>
      </c>
      <c r="H134" s="9" t="s">
        <v>478</v>
      </c>
      <c r="I134" s="14" t="s">
        <v>434</v>
      </c>
    </row>
    <row r="135" spans="1:9" x14ac:dyDescent="0.25">
      <c r="A135" s="8">
        <v>134</v>
      </c>
      <c r="B135" s="9" t="s">
        <v>514</v>
      </c>
      <c r="C135" s="10">
        <v>2020</v>
      </c>
      <c r="D135" s="11">
        <v>44091</v>
      </c>
      <c r="E135" s="9" t="s">
        <v>334</v>
      </c>
      <c r="F135" s="12">
        <f>1271.52+495.17</f>
        <v>1766.69</v>
      </c>
      <c r="G135" s="12">
        <v>0</v>
      </c>
      <c r="H135" s="9" t="s">
        <v>431</v>
      </c>
      <c r="I135" s="14" t="s">
        <v>434</v>
      </c>
    </row>
    <row r="136" spans="1:9" x14ac:dyDescent="0.25">
      <c r="A136" s="8">
        <v>135</v>
      </c>
      <c r="B136" s="9" t="s">
        <v>515</v>
      </c>
      <c r="C136" s="10">
        <v>2020</v>
      </c>
      <c r="D136" s="11">
        <v>44092</v>
      </c>
      <c r="E136" s="9" t="s">
        <v>334</v>
      </c>
      <c r="F136" s="12">
        <f>424.35+1918.46</f>
        <v>2342.81</v>
      </c>
      <c r="G136" s="12">
        <v>0</v>
      </c>
      <c r="H136" s="9" t="s">
        <v>380</v>
      </c>
      <c r="I136" s="14" t="s">
        <v>434</v>
      </c>
    </row>
    <row r="137" spans="1:9" x14ac:dyDescent="0.25">
      <c r="A137" s="8">
        <v>136</v>
      </c>
      <c r="B137" s="9" t="s">
        <v>516</v>
      </c>
      <c r="C137" s="10">
        <v>2020</v>
      </c>
      <c r="D137" s="11">
        <v>44092</v>
      </c>
      <c r="E137" s="9" t="s">
        <v>334</v>
      </c>
      <c r="F137" s="12">
        <f>387.46+1860.32</f>
        <v>2247.7799999999997</v>
      </c>
      <c r="G137" s="12">
        <v>0</v>
      </c>
      <c r="H137" s="9" t="s">
        <v>380</v>
      </c>
      <c r="I137" s="14" t="s">
        <v>434</v>
      </c>
    </row>
    <row r="138" spans="1:9" x14ac:dyDescent="0.25">
      <c r="A138" s="8">
        <v>137</v>
      </c>
      <c r="B138" s="9" t="s">
        <v>517</v>
      </c>
      <c r="C138" s="10">
        <v>2020</v>
      </c>
      <c r="D138" s="11">
        <v>44092</v>
      </c>
      <c r="E138" s="9" t="s">
        <v>334</v>
      </c>
      <c r="F138" s="12">
        <f>153.75+961.1</f>
        <v>1114.8499999999999</v>
      </c>
      <c r="G138" s="12">
        <v>0</v>
      </c>
      <c r="H138" s="9" t="s">
        <v>431</v>
      </c>
      <c r="I138" s="14" t="s">
        <v>434</v>
      </c>
    </row>
    <row r="139" spans="1:9" x14ac:dyDescent="0.25">
      <c r="A139" s="8">
        <v>138</v>
      </c>
      <c r="B139" s="9" t="s">
        <v>518</v>
      </c>
      <c r="C139" s="10">
        <v>2020</v>
      </c>
      <c r="D139" s="11">
        <v>44092</v>
      </c>
      <c r="E139" s="9" t="s">
        <v>334</v>
      </c>
      <c r="F139" s="12">
        <f>902.56+2362.4</f>
        <v>3264.96</v>
      </c>
      <c r="G139" s="12">
        <v>0</v>
      </c>
      <c r="H139" s="9" t="s">
        <v>431</v>
      </c>
      <c r="I139" s="14" t="s">
        <v>434</v>
      </c>
    </row>
    <row r="140" spans="1:9" x14ac:dyDescent="0.25">
      <c r="A140" s="8">
        <v>139</v>
      </c>
      <c r="B140" s="9" t="s">
        <v>519</v>
      </c>
      <c r="C140" s="10">
        <v>2020</v>
      </c>
      <c r="D140" s="11">
        <v>44094</v>
      </c>
      <c r="E140" s="9" t="s">
        <v>334</v>
      </c>
      <c r="F140" s="12">
        <f>316.72+1121.31+379.28</f>
        <v>1817.31</v>
      </c>
      <c r="G140" s="12">
        <v>0</v>
      </c>
      <c r="H140" s="9" t="s">
        <v>431</v>
      </c>
      <c r="I140" s="14" t="s">
        <v>434</v>
      </c>
    </row>
    <row r="141" spans="1:9" x14ac:dyDescent="0.25">
      <c r="A141" s="8">
        <v>140</v>
      </c>
      <c r="B141" s="9" t="s">
        <v>520</v>
      </c>
      <c r="C141" s="10">
        <v>2020</v>
      </c>
      <c r="D141" s="11">
        <v>44094</v>
      </c>
      <c r="E141" s="9" t="s">
        <v>334</v>
      </c>
      <c r="F141" s="12">
        <f>135.3+320.58+189.69</f>
        <v>645.56999999999994</v>
      </c>
      <c r="G141" s="12">
        <v>0</v>
      </c>
      <c r="H141" s="9" t="s">
        <v>478</v>
      </c>
      <c r="I141" s="14" t="s">
        <v>434</v>
      </c>
    </row>
    <row r="142" spans="1:9" x14ac:dyDescent="0.25">
      <c r="A142" s="8">
        <v>141</v>
      </c>
      <c r="B142" s="9" t="s">
        <v>521</v>
      </c>
      <c r="C142" s="10">
        <v>2020</v>
      </c>
      <c r="D142" s="11">
        <v>44095</v>
      </c>
      <c r="E142" s="9" t="s">
        <v>334</v>
      </c>
      <c r="F142" s="12">
        <f>221.4+696.26+553.89</f>
        <v>1471.55</v>
      </c>
      <c r="G142" s="12">
        <v>0</v>
      </c>
      <c r="H142" s="9" t="s">
        <v>478</v>
      </c>
      <c r="I142" s="14" t="s">
        <v>434</v>
      </c>
    </row>
    <row r="143" spans="1:9" x14ac:dyDescent="0.25">
      <c r="A143" s="8">
        <v>142</v>
      </c>
      <c r="B143" s="9" t="s">
        <v>522</v>
      </c>
      <c r="C143" s="10">
        <v>2020</v>
      </c>
      <c r="D143" s="11">
        <v>44096</v>
      </c>
      <c r="E143" s="9" t="s">
        <v>334</v>
      </c>
      <c r="F143" s="12">
        <f>277.55+1339.21</f>
        <v>1616.76</v>
      </c>
      <c r="G143" s="12">
        <v>0</v>
      </c>
      <c r="H143" s="9" t="s">
        <v>380</v>
      </c>
      <c r="I143" s="14" t="s">
        <v>434</v>
      </c>
    </row>
    <row r="144" spans="1:9" x14ac:dyDescent="0.25">
      <c r="A144" s="8">
        <v>143</v>
      </c>
      <c r="B144" s="9" t="s">
        <v>523</v>
      </c>
      <c r="C144" s="10">
        <v>2020</v>
      </c>
      <c r="D144" s="11">
        <v>44097</v>
      </c>
      <c r="E144" s="9" t="s">
        <v>334</v>
      </c>
      <c r="F144" s="12">
        <f>325.94+935.71+902.3</f>
        <v>2163.9499999999998</v>
      </c>
      <c r="G144" s="12">
        <v>0</v>
      </c>
      <c r="H144" s="9" t="s">
        <v>380</v>
      </c>
      <c r="I144" s="14" t="s">
        <v>434</v>
      </c>
    </row>
    <row r="145" spans="1:9" x14ac:dyDescent="0.25">
      <c r="A145" s="8">
        <v>144</v>
      </c>
      <c r="B145" s="9" t="s">
        <v>524</v>
      </c>
      <c r="C145" s="10">
        <v>2020</v>
      </c>
      <c r="D145" s="11">
        <v>44098</v>
      </c>
      <c r="E145" s="9" t="s">
        <v>334</v>
      </c>
      <c r="F145" s="12">
        <f>535.04+2689</f>
        <v>3224.04</v>
      </c>
      <c r="G145" s="12">
        <v>0</v>
      </c>
      <c r="H145" s="9" t="s">
        <v>380</v>
      </c>
      <c r="I145" s="14" t="s">
        <v>434</v>
      </c>
    </row>
    <row r="146" spans="1:9" x14ac:dyDescent="0.25">
      <c r="A146" s="8">
        <v>145</v>
      </c>
      <c r="B146" s="9" t="s">
        <v>525</v>
      </c>
      <c r="C146" s="10">
        <v>2020</v>
      </c>
      <c r="D146" s="11">
        <v>44098</v>
      </c>
      <c r="E146" s="9" t="s">
        <v>334</v>
      </c>
      <c r="F146" s="12">
        <f>618.08+1167.74+1321.3</f>
        <v>3107.12</v>
      </c>
      <c r="G146" s="12">
        <v>0</v>
      </c>
      <c r="H146" s="9" t="s">
        <v>49</v>
      </c>
      <c r="I146" s="14" t="s">
        <v>434</v>
      </c>
    </row>
    <row r="147" spans="1:9" x14ac:dyDescent="0.25">
      <c r="A147" s="8">
        <v>146</v>
      </c>
      <c r="B147" s="9" t="s">
        <v>526</v>
      </c>
      <c r="C147" s="10">
        <v>2020</v>
      </c>
      <c r="D147" s="11">
        <v>44099</v>
      </c>
      <c r="E147" s="9" t="s">
        <v>334</v>
      </c>
      <c r="F147" s="12">
        <f>301.34+1886.51</f>
        <v>2187.85</v>
      </c>
      <c r="G147" s="12">
        <v>0</v>
      </c>
      <c r="H147" s="9" t="s">
        <v>58</v>
      </c>
      <c r="I147" s="14" t="s">
        <v>434</v>
      </c>
    </row>
    <row r="148" spans="1:9" x14ac:dyDescent="0.25">
      <c r="A148" s="8">
        <v>147</v>
      </c>
      <c r="B148" s="9" t="s">
        <v>527</v>
      </c>
      <c r="C148" s="10">
        <v>2020</v>
      </c>
      <c r="D148" s="11">
        <v>44099</v>
      </c>
      <c r="E148" s="9" t="s">
        <v>334</v>
      </c>
      <c r="F148" s="12">
        <f>498.1+2607.43</f>
        <v>3105.5299999999997</v>
      </c>
      <c r="G148" s="12">
        <v>0</v>
      </c>
      <c r="H148" s="9" t="s">
        <v>415</v>
      </c>
      <c r="I148" s="14" t="s">
        <v>434</v>
      </c>
    </row>
    <row r="149" spans="1:9" x14ac:dyDescent="0.25">
      <c r="A149" s="8">
        <v>148</v>
      </c>
      <c r="B149" s="9" t="s">
        <v>528</v>
      </c>
      <c r="C149" s="10">
        <v>2020</v>
      </c>
      <c r="D149" s="11">
        <v>44099</v>
      </c>
      <c r="E149" s="9" t="s">
        <v>334</v>
      </c>
      <c r="F149" s="12">
        <f>433.53+2489.66</f>
        <v>2923.1899999999996</v>
      </c>
      <c r="G149" s="12">
        <v>0</v>
      </c>
      <c r="H149" s="9" t="s">
        <v>415</v>
      </c>
      <c r="I149" s="14" t="s">
        <v>434</v>
      </c>
    </row>
    <row r="150" spans="1:9" x14ac:dyDescent="0.25">
      <c r="A150" s="8">
        <v>149</v>
      </c>
      <c r="B150" s="9" t="s">
        <v>529</v>
      </c>
      <c r="C150" s="10">
        <v>2020</v>
      </c>
      <c r="D150" s="11">
        <v>44102</v>
      </c>
      <c r="E150" s="9" t="s">
        <v>334</v>
      </c>
      <c r="F150" s="12">
        <f>350.54+1311.68</f>
        <v>1662.22</v>
      </c>
      <c r="G150" s="12">
        <v>0</v>
      </c>
      <c r="H150" s="9" t="s">
        <v>338</v>
      </c>
      <c r="I150" s="14" t="s">
        <v>434</v>
      </c>
    </row>
    <row r="151" spans="1:9" x14ac:dyDescent="0.25">
      <c r="A151" s="8">
        <v>150</v>
      </c>
      <c r="B151" s="9" t="s">
        <v>530</v>
      </c>
      <c r="C151" s="10">
        <v>2020</v>
      </c>
      <c r="D151" s="11">
        <v>44102</v>
      </c>
      <c r="E151" s="9" t="s">
        <v>334</v>
      </c>
      <c r="F151" s="12">
        <f>374.88+1356.27</f>
        <v>1731.15</v>
      </c>
      <c r="G151" s="12">
        <v>0</v>
      </c>
      <c r="H151" s="9" t="s">
        <v>531</v>
      </c>
      <c r="I151" s="14" t="s">
        <v>434</v>
      </c>
    </row>
    <row r="152" spans="1:9" x14ac:dyDescent="0.25">
      <c r="A152" s="8">
        <v>151</v>
      </c>
      <c r="B152" s="9" t="s">
        <v>532</v>
      </c>
      <c r="C152" s="10">
        <v>2020</v>
      </c>
      <c r="D152" s="11">
        <v>44102</v>
      </c>
      <c r="E152" s="9" t="s">
        <v>334</v>
      </c>
      <c r="F152" s="12">
        <f>328.65+1801.35</f>
        <v>2130</v>
      </c>
      <c r="G152" s="12">
        <v>0</v>
      </c>
      <c r="H152" s="9" t="s">
        <v>531</v>
      </c>
      <c r="I152" s="14" t="s">
        <v>434</v>
      </c>
    </row>
    <row r="153" spans="1:9" x14ac:dyDescent="0.25">
      <c r="A153" s="8">
        <v>152</v>
      </c>
      <c r="B153" s="9" t="s">
        <v>533</v>
      </c>
      <c r="C153" s="10">
        <v>2020</v>
      </c>
      <c r="D153" s="11">
        <v>44102</v>
      </c>
      <c r="E153" s="9" t="s">
        <v>334</v>
      </c>
      <c r="F153" s="12">
        <f>107.76+81.43</f>
        <v>189.19</v>
      </c>
      <c r="G153" s="12">
        <v>0</v>
      </c>
      <c r="H153" s="9" t="s">
        <v>342</v>
      </c>
      <c r="I153" s="14" t="s">
        <v>434</v>
      </c>
    </row>
    <row r="154" spans="1:9" x14ac:dyDescent="0.25">
      <c r="A154" s="8">
        <v>153</v>
      </c>
      <c r="B154" s="9" t="s">
        <v>534</v>
      </c>
      <c r="C154" s="10">
        <v>2020</v>
      </c>
      <c r="D154" s="11">
        <v>44102</v>
      </c>
      <c r="E154" s="9" t="s">
        <v>334</v>
      </c>
      <c r="F154" s="12">
        <f>568.88+1380.53+1013.8</f>
        <v>2963.21</v>
      </c>
      <c r="G154" s="12">
        <v>0</v>
      </c>
      <c r="H154" s="9" t="s">
        <v>535</v>
      </c>
      <c r="I154" s="14" t="s">
        <v>434</v>
      </c>
    </row>
    <row r="155" spans="1:9" x14ac:dyDescent="0.25">
      <c r="A155" s="8">
        <v>154</v>
      </c>
      <c r="B155" s="9" t="s">
        <v>536</v>
      </c>
      <c r="C155" s="10">
        <v>2020</v>
      </c>
      <c r="D155" s="11">
        <v>44104</v>
      </c>
      <c r="E155" s="9" t="s">
        <v>334</v>
      </c>
      <c r="F155" s="12">
        <f>510.43+1275.66+939.55</f>
        <v>2725.6400000000003</v>
      </c>
      <c r="G155" s="12">
        <v>0</v>
      </c>
      <c r="H155" s="9" t="s">
        <v>342</v>
      </c>
      <c r="I155" s="14" t="s">
        <v>434</v>
      </c>
    </row>
    <row r="156" spans="1:9" x14ac:dyDescent="0.25">
      <c r="A156" s="8">
        <v>155</v>
      </c>
      <c r="B156" s="9" t="s">
        <v>537</v>
      </c>
      <c r="C156" s="10">
        <v>2020</v>
      </c>
      <c r="D156" s="11">
        <v>44105</v>
      </c>
      <c r="E156" s="9" t="s">
        <v>334</v>
      </c>
      <c r="F156" s="12">
        <f>283.7+1042.35+434.04</f>
        <v>1760.09</v>
      </c>
      <c r="G156" s="12">
        <v>0</v>
      </c>
      <c r="H156" s="9" t="s">
        <v>342</v>
      </c>
      <c r="I156" s="14" t="s">
        <v>434</v>
      </c>
    </row>
    <row r="157" spans="1:9" x14ac:dyDescent="0.25">
      <c r="A157" s="8">
        <v>156</v>
      </c>
      <c r="B157" s="9" t="s">
        <v>538</v>
      </c>
      <c r="C157" s="10">
        <v>2020</v>
      </c>
      <c r="D157" s="11">
        <v>44105</v>
      </c>
      <c r="E157" s="9" t="s">
        <v>334</v>
      </c>
      <c r="F157" s="12">
        <f>547.36+1231.99+1090.2</f>
        <v>2869.55</v>
      </c>
      <c r="G157" s="12">
        <v>0</v>
      </c>
      <c r="H157" s="9" t="s">
        <v>342</v>
      </c>
      <c r="I157" s="14" t="s">
        <v>434</v>
      </c>
    </row>
    <row r="158" spans="1:9" x14ac:dyDescent="0.25">
      <c r="A158" s="8">
        <v>157</v>
      </c>
      <c r="B158" s="9" t="s">
        <v>539</v>
      </c>
      <c r="C158" s="10">
        <v>2020</v>
      </c>
      <c r="D158" s="11">
        <v>44106</v>
      </c>
      <c r="E158" s="9" t="s">
        <v>334</v>
      </c>
      <c r="F158" s="12">
        <f>897.91+1212.93+1044.55</f>
        <v>3155.3900000000003</v>
      </c>
      <c r="G158" s="12">
        <v>0</v>
      </c>
      <c r="H158" s="9" t="s">
        <v>415</v>
      </c>
      <c r="I158" s="14" t="s">
        <v>434</v>
      </c>
    </row>
    <row r="159" spans="1:9" x14ac:dyDescent="0.25">
      <c r="A159" s="8">
        <v>158</v>
      </c>
      <c r="B159" s="9" t="s">
        <v>540</v>
      </c>
      <c r="C159" s="10">
        <v>2020</v>
      </c>
      <c r="D159" s="11">
        <v>44106</v>
      </c>
      <c r="E159" s="9" t="s">
        <v>334</v>
      </c>
      <c r="F159" s="12">
        <f>694.94+1712.39+1075.3</f>
        <v>3482.63</v>
      </c>
      <c r="G159" s="12">
        <v>0</v>
      </c>
      <c r="H159" s="9" t="s">
        <v>415</v>
      </c>
      <c r="I159" s="14" t="s">
        <v>434</v>
      </c>
    </row>
    <row r="160" spans="1:9" x14ac:dyDescent="0.25">
      <c r="A160" s="8">
        <v>159</v>
      </c>
      <c r="B160" s="9" t="s">
        <v>541</v>
      </c>
      <c r="C160" s="10">
        <v>2020</v>
      </c>
      <c r="D160" s="11">
        <v>44106</v>
      </c>
      <c r="E160" s="9" t="s">
        <v>334</v>
      </c>
      <c r="F160" s="12">
        <f>245.99+823.64+570.67</f>
        <v>1640.3000000000002</v>
      </c>
      <c r="G160" s="12">
        <v>0</v>
      </c>
      <c r="H160" s="9" t="s">
        <v>415</v>
      </c>
      <c r="I160" s="14" t="s">
        <v>434</v>
      </c>
    </row>
    <row r="161" spans="1:9" x14ac:dyDescent="0.25">
      <c r="A161" s="8">
        <v>160</v>
      </c>
      <c r="B161" s="9" t="s">
        <v>542</v>
      </c>
      <c r="C161" s="10">
        <v>2020</v>
      </c>
      <c r="D161" s="11">
        <v>44109</v>
      </c>
      <c r="E161" s="9" t="s">
        <v>334</v>
      </c>
      <c r="F161" s="12">
        <f>618.06+1686.48+939.55</f>
        <v>3244.09</v>
      </c>
      <c r="G161" s="12">
        <v>0</v>
      </c>
      <c r="H161" s="9" t="s">
        <v>338</v>
      </c>
      <c r="I161" s="14" t="s">
        <v>434</v>
      </c>
    </row>
    <row r="162" spans="1:9" x14ac:dyDescent="0.25">
      <c r="A162" s="8">
        <v>161</v>
      </c>
      <c r="B162" s="9" t="s">
        <v>543</v>
      </c>
      <c r="C162" s="10">
        <v>2020</v>
      </c>
      <c r="D162" s="11">
        <v>44109</v>
      </c>
      <c r="E162" s="9" t="s">
        <v>334</v>
      </c>
      <c r="F162" s="12">
        <f>713.4+1772.71+1182.45</f>
        <v>3668.5600000000004</v>
      </c>
      <c r="G162" s="12">
        <v>0</v>
      </c>
      <c r="H162" s="9" t="s">
        <v>338</v>
      </c>
      <c r="I162" s="14" t="s">
        <v>434</v>
      </c>
    </row>
    <row r="163" spans="1:9" x14ac:dyDescent="0.25">
      <c r="A163" s="8">
        <v>162</v>
      </c>
      <c r="B163" s="9" t="s">
        <v>544</v>
      </c>
      <c r="C163" s="10">
        <v>2020</v>
      </c>
      <c r="D163" s="11">
        <v>44110</v>
      </c>
      <c r="E163" s="9" t="s">
        <v>334</v>
      </c>
      <c r="F163" s="12">
        <f>92.25+221.67+167.69</f>
        <v>481.60999999999996</v>
      </c>
      <c r="G163" s="12">
        <v>0</v>
      </c>
      <c r="H163" s="9" t="s">
        <v>338</v>
      </c>
      <c r="I163" s="14" t="s">
        <v>434</v>
      </c>
    </row>
    <row r="164" spans="1:9" x14ac:dyDescent="0.25">
      <c r="A164" s="8">
        <v>163</v>
      </c>
      <c r="B164" s="9" t="s">
        <v>545</v>
      </c>
      <c r="C164" s="10">
        <v>2020</v>
      </c>
      <c r="D164" s="11">
        <v>44110</v>
      </c>
      <c r="E164" s="9" t="s">
        <v>334</v>
      </c>
      <c r="F164" s="12">
        <f>212.17+472.08+660.36</f>
        <v>1344.6100000000001</v>
      </c>
      <c r="G164" s="12">
        <v>0</v>
      </c>
      <c r="H164" s="9" t="s">
        <v>338</v>
      </c>
      <c r="I164" s="14" t="s">
        <v>434</v>
      </c>
    </row>
    <row r="165" spans="1:9" x14ac:dyDescent="0.25">
      <c r="A165" s="8">
        <v>164</v>
      </c>
      <c r="B165" s="9" t="s">
        <v>546</v>
      </c>
      <c r="C165" s="10">
        <v>2020</v>
      </c>
      <c r="D165" s="11">
        <v>44110</v>
      </c>
      <c r="E165" s="9" t="s">
        <v>334</v>
      </c>
      <c r="F165" s="12">
        <f>381.29+627.47+1213.2</f>
        <v>2221.96</v>
      </c>
      <c r="G165" s="12">
        <v>0</v>
      </c>
      <c r="H165" s="9" t="s">
        <v>338</v>
      </c>
      <c r="I165" s="14" t="s">
        <v>434</v>
      </c>
    </row>
    <row r="166" spans="1:9" x14ac:dyDescent="0.25">
      <c r="A166" s="8">
        <v>165</v>
      </c>
      <c r="B166" s="9" t="s">
        <v>547</v>
      </c>
      <c r="C166" s="10">
        <v>2020</v>
      </c>
      <c r="D166" s="11">
        <v>44110</v>
      </c>
      <c r="E166" s="9" t="s">
        <v>334</v>
      </c>
      <c r="F166" s="12">
        <f>442.8+2047.48</f>
        <v>2490.2800000000002</v>
      </c>
      <c r="G166" s="12">
        <v>0</v>
      </c>
      <c r="H166" s="9" t="s">
        <v>531</v>
      </c>
      <c r="I166" s="14" t="s">
        <v>434</v>
      </c>
    </row>
    <row r="167" spans="1:9" x14ac:dyDescent="0.25">
      <c r="A167" s="8">
        <v>166</v>
      </c>
      <c r="B167" s="9" t="s">
        <v>548</v>
      </c>
      <c r="C167" s="10">
        <v>2020</v>
      </c>
      <c r="D167" s="11">
        <v>44110</v>
      </c>
      <c r="E167" s="9" t="s">
        <v>334</v>
      </c>
      <c r="F167" s="12">
        <f>289.04+1581.51</f>
        <v>1870.55</v>
      </c>
      <c r="G167" s="12">
        <v>0</v>
      </c>
      <c r="H167" s="9" t="s">
        <v>531</v>
      </c>
      <c r="I167" s="14" t="s">
        <v>434</v>
      </c>
    </row>
    <row r="168" spans="1:9" x14ac:dyDescent="0.25">
      <c r="A168" s="8">
        <v>167</v>
      </c>
      <c r="B168" s="9" t="s">
        <v>549</v>
      </c>
      <c r="C168" s="10">
        <v>2020</v>
      </c>
      <c r="D168" s="11">
        <v>44111</v>
      </c>
      <c r="E168" s="9" t="s">
        <v>334</v>
      </c>
      <c r="F168" s="12">
        <v>269.10000000000002</v>
      </c>
      <c r="G168" s="12">
        <v>0</v>
      </c>
      <c r="H168" s="9" t="s">
        <v>531</v>
      </c>
      <c r="I168" s="14" t="s">
        <v>434</v>
      </c>
    </row>
    <row r="169" spans="1:9" x14ac:dyDescent="0.25">
      <c r="A169" s="8">
        <v>168</v>
      </c>
      <c r="B169" s="9" t="s">
        <v>550</v>
      </c>
      <c r="C169" s="10">
        <v>2020</v>
      </c>
      <c r="D169" s="11">
        <v>44111</v>
      </c>
      <c r="E169" s="9" t="s">
        <v>334</v>
      </c>
      <c r="F169" s="12">
        <f>159.89+406.6+222.17</f>
        <v>788.66</v>
      </c>
      <c r="G169" s="12">
        <v>0</v>
      </c>
      <c r="H169" s="9" t="s">
        <v>531</v>
      </c>
      <c r="I169" s="14" t="s">
        <v>434</v>
      </c>
    </row>
    <row r="170" spans="1:9" x14ac:dyDescent="0.25">
      <c r="A170" s="8">
        <v>169</v>
      </c>
      <c r="B170" s="9" t="s">
        <v>551</v>
      </c>
      <c r="C170" s="10">
        <v>2020</v>
      </c>
      <c r="D170" s="11">
        <v>44111</v>
      </c>
      <c r="E170" s="9" t="s">
        <v>334</v>
      </c>
      <c r="F170" s="12">
        <f>667.66+775.82+565.92</f>
        <v>2009.4</v>
      </c>
      <c r="G170" s="12">
        <v>0</v>
      </c>
      <c r="H170" s="9" t="s">
        <v>502</v>
      </c>
      <c r="I170" s="14" t="s">
        <v>434</v>
      </c>
    </row>
    <row r="171" spans="1:9" x14ac:dyDescent="0.25">
      <c r="A171" s="8">
        <v>170</v>
      </c>
      <c r="B171" s="9" t="s">
        <v>552</v>
      </c>
      <c r="C171" s="10">
        <v>2020</v>
      </c>
      <c r="D171" s="11">
        <v>44112</v>
      </c>
      <c r="E171" s="9" t="s">
        <v>334</v>
      </c>
      <c r="F171" s="12">
        <f>264.45+174.39+1293.89</f>
        <v>1732.73</v>
      </c>
      <c r="G171" s="12">
        <v>0</v>
      </c>
      <c r="H171" s="9" t="s">
        <v>30</v>
      </c>
      <c r="I171" s="14" t="s">
        <v>434</v>
      </c>
    </row>
    <row r="172" spans="1:9" x14ac:dyDescent="0.25">
      <c r="A172" s="8">
        <v>171</v>
      </c>
      <c r="B172" s="9" t="s">
        <v>553</v>
      </c>
      <c r="C172" s="10">
        <v>2020</v>
      </c>
      <c r="D172" s="11">
        <v>44113</v>
      </c>
      <c r="E172" s="9" t="s">
        <v>334</v>
      </c>
      <c r="F172" s="12">
        <f>258.3+658.6+763.65</f>
        <v>1680.5500000000002</v>
      </c>
      <c r="G172" s="12">
        <v>0</v>
      </c>
      <c r="H172" s="9" t="s">
        <v>427</v>
      </c>
      <c r="I172" s="14" t="s">
        <v>434</v>
      </c>
    </row>
    <row r="173" spans="1:9" x14ac:dyDescent="0.25">
      <c r="A173" s="8">
        <v>172</v>
      </c>
      <c r="B173" s="9" t="s">
        <v>554</v>
      </c>
      <c r="C173" s="10">
        <v>2020</v>
      </c>
      <c r="D173" s="11">
        <v>44113</v>
      </c>
      <c r="E173" s="9" t="s">
        <v>334</v>
      </c>
      <c r="F173" s="12">
        <f>568.87+1674.33+991.12</f>
        <v>3234.3199999999997</v>
      </c>
      <c r="G173" s="12">
        <v>0</v>
      </c>
      <c r="H173" s="9" t="s">
        <v>555</v>
      </c>
      <c r="I173" s="14" t="s">
        <v>434</v>
      </c>
    </row>
    <row r="174" spans="1:9" x14ac:dyDescent="0.25">
      <c r="A174" s="8">
        <v>173</v>
      </c>
      <c r="B174" s="9" t="s">
        <v>556</v>
      </c>
      <c r="C174" s="10">
        <v>2020</v>
      </c>
      <c r="D174" s="11">
        <v>44116</v>
      </c>
      <c r="E174" s="9" t="s">
        <v>334</v>
      </c>
      <c r="F174" s="12">
        <f>301.35+1614.28</f>
        <v>1915.63</v>
      </c>
      <c r="G174" s="12">
        <v>0</v>
      </c>
      <c r="H174" s="9" t="s">
        <v>340</v>
      </c>
      <c r="I174" s="14" t="s">
        <v>434</v>
      </c>
    </row>
    <row r="175" spans="1:9" x14ac:dyDescent="0.25">
      <c r="A175" s="8">
        <v>174</v>
      </c>
      <c r="B175" s="9" t="s">
        <v>557</v>
      </c>
      <c r="C175" s="10">
        <v>2020</v>
      </c>
      <c r="D175" s="11">
        <v>44116</v>
      </c>
      <c r="E175" s="9" t="s">
        <v>334</v>
      </c>
      <c r="F175" s="12">
        <f>375.15+1889.17</f>
        <v>2264.3200000000002</v>
      </c>
      <c r="G175" s="12">
        <v>0</v>
      </c>
      <c r="H175" s="9" t="s">
        <v>361</v>
      </c>
      <c r="I175" s="14" t="s">
        <v>434</v>
      </c>
    </row>
    <row r="176" spans="1:9" x14ac:dyDescent="0.25">
      <c r="A176" s="8">
        <v>175</v>
      </c>
      <c r="B176" s="9" t="s">
        <v>558</v>
      </c>
      <c r="C176" s="10">
        <v>2020</v>
      </c>
      <c r="D176" s="11">
        <v>44116</v>
      </c>
      <c r="E176" s="9" t="s">
        <v>334</v>
      </c>
      <c r="F176" s="12">
        <f>1719.21+1182.45+694.95</f>
        <v>3596.6099999999997</v>
      </c>
      <c r="G176" s="12">
        <v>0</v>
      </c>
      <c r="H176" s="9" t="s">
        <v>346</v>
      </c>
      <c r="I176" s="14" t="s">
        <v>434</v>
      </c>
    </row>
    <row r="177" spans="1:9" x14ac:dyDescent="0.25">
      <c r="A177" s="8">
        <v>176</v>
      </c>
      <c r="B177" s="9" t="s">
        <v>559</v>
      </c>
      <c r="C177" s="10">
        <v>2020</v>
      </c>
      <c r="D177" s="11">
        <v>44117</v>
      </c>
      <c r="E177" s="9" t="s">
        <v>334</v>
      </c>
      <c r="F177" s="12">
        <v>1722.72</v>
      </c>
      <c r="G177" s="12">
        <v>0</v>
      </c>
      <c r="H177" s="9" t="s">
        <v>346</v>
      </c>
      <c r="I177" s="14" t="s">
        <v>434</v>
      </c>
    </row>
    <row r="178" spans="1:9" x14ac:dyDescent="0.25">
      <c r="A178" s="8">
        <v>177</v>
      </c>
      <c r="B178" s="9" t="s">
        <v>560</v>
      </c>
      <c r="C178" s="10">
        <v>2020</v>
      </c>
      <c r="D178" s="11">
        <v>44117</v>
      </c>
      <c r="E178" s="9" t="s">
        <v>334</v>
      </c>
      <c r="F178" s="12">
        <f>202.94+688.3+463.99</f>
        <v>1355.23</v>
      </c>
      <c r="G178" s="12">
        <v>0</v>
      </c>
      <c r="H178" s="9" t="s">
        <v>376</v>
      </c>
      <c r="I178" s="14" t="s">
        <v>434</v>
      </c>
    </row>
    <row r="179" spans="1:9" x14ac:dyDescent="0.25">
      <c r="A179" s="8">
        <v>178</v>
      </c>
      <c r="B179" s="9" t="s">
        <v>561</v>
      </c>
      <c r="C179" s="10">
        <v>2020</v>
      </c>
      <c r="D179" s="11">
        <v>44117</v>
      </c>
      <c r="E179" s="9" t="s">
        <v>334</v>
      </c>
      <c r="F179" s="12">
        <f>212.34+790.88+427.89</f>
        <v>1431.1100000000001</v>
      </c>
      <c r="G179" s="12">
        <v>0</v>
      </c>
      <c r="H179" s="9" t="s">
        <v>367</v>
      </c>
      <c r="I179" s="14" t="s">
        <v>434</v>
      </c>
    </row>
    <row r="180" spans="1:9" x14ac:dyDescent="0.25">
      <c r="A180" s="8">
        <v>179</v>
      </c>
      <c r="B180" s="9" t="s">
        <v>562</v>
      </c>
      <c r="C180" s="10">
        <v>2020</v>
      </c>
      <c r="D180" s="11">
        <v>44117</v>
      </c>
      <c r="E180" s="9" t="s">
        <v>334</v>
      </c>
      <c r="F180" s="12">
        <f>239.85+1345.41+1319.85</f>
        <v>2905.1099999999997</v>
      </c>
      <c r="G180" s="12">
        <v>0</v>
      </c>
      <c r="H180" s="9" t="s">
        <v>474</v>
      </c>
      <c r="I180" s="14" t="s">
        <v>434</v>
      </c>
    </row>
    <row r="181" spans="1:9" x14ac:dyDescent="0.25">
      <c r="A181" s="8">
        <v>180</v>
      </c>
      <c r="B181" s="9" t="s">
        <v>563</v>
      </c>
      <c r="C181" s="10">
        <v>2020</v>
      </c>
      <c r="D181" s="11">
        <v>44117</v>
      </c>
      <c r="E181" s="9" t="s">
        <v>334</v>
      </c>
      <c r="F181" s="12">
        <f>479.69+1610.43+586.83</f>
        <v>2676.95</v>
      </c>
      <c r="G181" s="12">
        <v>0</v>
      </c>
      <c r="H181" s="9" t="s">
        <v>373</v>
      </c>
      <c r="I181" s="14" t="s">
        <v>434</v>
      </c>
    </row>
    <row r="182" spans="1:9" x14ac:dyDescent="0.25">
      <c r="A182" s="8">
        <v>181</v>
      </c>
      <c r="B182" s="9" t="s">
        <v>564</v>
      </c>
      <c r="C182" s="10">
        <v>2020</v>
      </c>
      <c r="D182" s="11">
        <v>44117</v>
      </c>
      <c r="E182" s="9" t="s">
        <v>334</v>
      </c>
      <c r="F182" s="12">
        <f>516.62+1789.18+775.66</f>
        <v>3081.46</v>
      </c>
      <c r="G182" s="12">
        <v>0</v>
      </c>
      <c r="H182" s="9" t="s">
        <v>373</v>
      </c>
      <c r="I182" s="14" t="s">
        <v>434</v>
      </c>
    </row>
    <row r="183" spans="1:9" x14ac:dyDescent="0.25">
      <c r="A183" s="8">
        <v>182</v>
      </c>
      <c r="B183" s="9" t="s">
        <v>565</v>
      </c>
      <c r="C183" s="10">
        <v>2020</v>
      </c>
      <c r="D183" s="11">
        <v>44117</v>
      </c>
      <c r="E183" s="9" t="s">
        <v>334</v>
      </c>
      <c r="F183" s="12">
        <f>215.24+521.69+220.44</f>
        <v>957.37000000000012</v>
      </c>
      <c r="G183" s="12">
        <v>0</v>
      </c>
      <c r="H183" s="9" t="s">
        <v>373</v>
      </c>
      <c r="I183" s="14" t="s">
        <v>434</v>
      </c>
    </row>
    <row r="184" spans="1:9" x14ac:dyDescent="0.25">
      <c r="A184" s="8">
        <v>183</v>
      </c>
      <c r="B184" s="9" t="s">
        <v>566</v>
      </c>
      <c r="C184" s="10">
        <v>2020</v>
      </c>
      <c r="D184" s="11">
        <v>44117</v>
      </c>
      <c r="E184" s="9" t="s">
        <v>334</v>
      </c>
      <c r="F184" s="12">
        <f>332.11+1070.79+496.15</f>
        <v>1899.0500000000002</v>
      </c>
      <c r="G184" s="12">
        <v>0</v>
      </c>
      <c r="H184" s="9" t="s">
        <v>373</v>
      </c>
      <c r="I184" s="14" t="s">
        <v>434</v>
      </c>
    </row>
    <row r="185" spans="1:9" x14ac:dyDescent="0.25">
      <c r="A185" s="8">
        <v>184</v>
      </c>
      <c r="B185" s="9" t="s">
        <v>567</v>
      </c>
      <c r="C185" s="10">
        <v>2020</v>
      </c>
      <c r="D185" s="11">
        <v>44117</v>
      </c>
      <c r="E185" s="9" t="s">
        <v>334</v>
      </c>
      <c r="F185" s="12">
        <v>1501.28</v>
      </c>
      <c r="G185" s="12">
        <v>0</v>
      </c>
      <c r="H185" s="9" t="s">
        <v>373</v>
      </c>
      <c r="I185" s="14" t="s">
        <v>434</v>
      </c>
    </row>
    <row r="186" spans="1:9" x14ac:dyDescent="0.25">
      <c r="A186" s="8">
        <v>185</v>
      </c>
      <c r="B186" s="9" t="s">
        <v>568</v>
      </c>
      <c r="C186" s="10">
        <v>2020</v>
      </c>
      <c r="D186" s="11">
        <v>44117</v>
      </c>
      <c r="E186" s="9" t="s">
        <v>334</v>
      </c>
      <c r="F186" s="12">
        <f>325.95+1326.69+492.43</f>
        <v>2145.0700000000002</v>
      </c>
      <c r="G186" s="12">
        <v>0</v>
      </c>
      <c r="H186" s="9" t="s">
        <v>373</v>
      </c>
      <c r="I186" s="14" t="s">
        <v>434</v>
      </c>
    </row>
    <row r="187" spans="1:9" x14ac:dyDescent="0.25">
      <c r="A187" s="8">
        <v>186</v>
      </c>
      <c r="B187" s="9" t="s">
        <v>569</v>
      </c>
      <c r="C187" s="10">
        <v>2020</v>
      </c>
      <c r="D187" s="11">
        <v>44117</v>
      </c>
      <c r="E187" s="9" t="s">
        <v>334</v>
      </c>
      <c r="F187" s="12">
        <f>59.52+606.46</f>
        <v>665.98</v>
      </c>
      <c r="G187" s="12">
        <v>0</v>
      </c>
      <c r="H187" s="9" t="s">
        <v>502</v>
      </c>
      <c r="I187" s="14" t="s">
        <v>434</v>
      </c>
    </row>
    <row r="188" spans="1:9" x14ac:dyDescent="0.25">
      <c r="A188" s="8">
        <v>187</v>
      </c>
      <c r="B188" s="9" t="s">
        <v>570</v>
      </c>
      <c r="C188" s="10">
        <v>2020</v>
      </c>
      <c r="D188" s="11">
        <v>44117</v>
      </c>
      <c r="E188" s="9" t="s">
        <v>334</v>
      </c>
      <c r="F188" s="12">
        <f>1432.22+921.1</f>
        <v>2353.3200000000002</v>
      </c>
      <c r="G188" s="12">
        <v>0</v>
      </c>
      <c r="H188" s="9" t="s">
        <v>502</v>
      </c>
      <c r="I188" s="14" t="s">
        <v>434</v>
      </c>
    </row>
    <row r="189" spans="1:9" x14ac:dyDescent="0.25">
      <c r="A189" s="8">
        <v>188</v>
      </c>
      <c r="B189" s="9" t="s">
        <v>571</v>
      </c>
      <c r="C189" s="10">
        <v>2020</v>
      </c>
      <c r="D189" s="11">
        <v>44117</v>
      </c>
      <c r="E189" s="9" t="s">
        <v>334</v>
      </c>
      <c r="F189" s="12">
        <f>275.17+167.69+110.7</f>
        <v>553.56000000000006</v>
      </c>
      <c r="G189" s="12">
        <v>0</v>
      </c>
      <c r="H189" s="9" t="s">
        <v>502</v>
      </c>
      <c r="I189" s="14" t="s">
        <v>434</v>
      </c>
    </row>
    <row r="190" spans="1:9" x14ac:dyDescent="0.25">
      <c r="A190" s="8">
        <v>189</v>
      </c>
      <c r="B190" s="9" t="s">
        <v>572</v>
      </c>
      <c r="C190" s="10">
        <v>2020</v>
      </c>
      <c r="D190" s="11">
        <v>44118</v>
      </c>
      <c r="E190" s="9" t="s">
        <v>334</v>
      </c>
      <c r="F190" s="12">
        <v>811.94</v>
      </c>
      <c r="G190" s="12">
        <v>0</v>
      </c>
      <c r="H190" s="9" t="s">
        <v>494</v>
      </c>
      <c r="I190" s="14" t="s">
        <v>434</v>
      </c>
    </row>
    <row r="191" spans="1:9" x14ac:dyDescent="0.25">
      <c r="A191" s="8">
        <v>190</v>
      </c>
      <c r="B191" s="9" t="s">
        <v>573</v>
      </c>
      <c r="C191" s="10">
        <v>2020</v>
      </c>
      <c r="D191" s="11">
        <v>44118</v>
      </c>
      <c r="E191" s="9" t="s">
        <v>348</v>
      </c>
      <c r="F191" s="12">
        <v>420</v>
      </c>
      <c r="G191" s="12">
        <v>0</v>
      </c>
      <c r="H191" s="9" t="s">
        <v>494</v>
      </c>
      <c r="I191" s="14" t="s">
        <v>434</v>
      </c>
    </row>
    <row r="192" spans="1:9" x14ac:dyDescent="0.25">
      <c r="A192" s="8">
        <v>191</v>
      </c>
      <c r="B192" s="9" t="s">
        <v>574</v>
      </c>
      <c r="C192" s="10">
        <v>2020</v>
      </c>
      <c r="D192" s="11">
        <v>44118</v>
      </c>
      <c r="E192" s="9" t="s">
        <v>334</v>
      </c>
      <c r="F192" s="12">
        <f>694.95+1780.71+1120.95</f>
        <v>3596.6099999999997</v>
      </c>
      <c r="G192" s="12">
        <v>0</v>
      </c>
      <c r="H192" s="9" t="s">
        <v>494</v>
      </c>
      <c r="I192" s="14" t="s">
        <v>434</v>
      </c>
    </row>
    <row r="193" spans="1:9" x14ac:dyDescent="0.25">
      <c r="A193" s="8">
        <v>192</v>
      </c>
      <c r="B193" s="9" t="s">
        <v>575</v>
      </c>
      <c r="C193" s="10">
        <v>2020</v>
      </c>
      <c r="D193" s="11">
        <v>44119</v>
      </c>
      <c r="E193" s="9" t="s">
        <v>334</v>
      </c>
      <c r="F193" s="12">
        <f>682.66+2865.98</f>
        <v>3548.64</v>
      </c>
      <c r="G193" s="12">
        <v>0</v>
      </c>
      <c r="H193" s="9" t="s">
        <v>363</v>
      </c>
      <c r="I193" s="14" t="s">
        <v>434</v>
      </c>
    </row>
    <row r="194" spans="1:9" x14ac:dyDescent="0.25">
      <c r="A194" s="8">
        <v>193</v>
      </c>
      <c r="B194" s="9" t="s">
        <v>576</v>
      </c>
      <c r="C194" s="10">
        <v>2020</v>
      </c>
      <c r="D194" s="11">
        <v>44119</v>
      </c>
      <c r="E194" s="9" t="s">
        <v>334</v>
      </c>
      <c r="F194" s="12">
        <f>654.97+1502.31+1093.75</f>
        <v>3251.0299999999997</v>
      </c>
      <c r="G194" s="12">
        <v>0</v>
      </c>
      <c r="H194" s="9" t="s">
        <v>465</v>
      </c>
      <c r="I194" s="14" t="s">
        <v>434</v>
      </c>
    </row>
    <row r="195" spans="1:9" x14ac:dyDescent="0.25">
      <c r="A195" s="8">
        <v>194</v>
      </c>
      <c r="B195" s="9" t="s">
        <v>577</v>
      </c>
      <c r="C195" s="10">
        <v>2020</v>
      </c>
      <c r="D195" s="11">
        <v>44119</v>
      </c>
      <c r="E195" s="9" t="s">
        <v>334</v>
      </c>
      <c r="F195" s="12">
        <f>252.15+894.08+570.67</f>
        <v>1716.9</v>
      </c>
      <c r="G195" s="12">
        <v>0</v>
      </c>
      <c r="H195" s="9" t="s">
        <v>465</v>
      </c>
      <c r="I195" s="14" t="s">
        <v>434</v>
      </c>
    </row>
    <row r="196" spans="1:9" x14ac:dyDescent="0.25">
      <c r="A196" s="8">
        <v>195</v>
      </c>
      <c r="B196" s="9" t="s">
        <v>578</v>
      </c>
      <c r="C196" s="10">
        <v>2020</v>
      </c>
      <c r="D196" s="11">
        <v>44120</v>
      </c>
      <c r="E196" s="9" t="s">
        <v>334</v>
      </c>
      <c r="F196" s="12">
        <f>1332.94+1044.55+553.49</f>
        <v>2930.9799999999996</v>
      </c>
      <c r="G196" s="12">
        <v>0</v>
      </c>
      <c r="H196" s="9" t="s">
        <v>579</v>
      </c>
      <c r="I196" s="14" t="s">
        <v>434</v>
      </c>
    </row>
    <row r="197" spans="1:9" x14ac:dyDescent="0.25">
      <c r="A197" s="8">
        <v>196</v>
      </c>
      <c r="B197" s="9" t="s">
        <v>580</v>
      </c>
      <c r="C197" s="10">
        <v>2020</v>
      </c>
      <c r="D197" s="11">
        <v>44123</v>
      </c>
      <c r="E197" s="9" t="s">
        <v>334</v>
      </c>
      <c r="F197" s="12">
        <f>215.25+368.98+1173.53+1141.87</f>
        <v>2899.63</v>
      </c>
      <c r="G197" s="12">
        <v>0</v>
      </c>
      <c r="H197" s="9" t="s">
        <v>579</v>
      </c>
      <c r="I197" s="14" t="s">
        <v>434</v>
      </c>
    </row>
    <row r="198" spans="1:9" x14ac:dyDescent="0.25">
      <c r="A198" s="8">
        <v>197</v>
      </c>
      <c r="B198" s="9" t="s">
        <v>581</v>
      </c>
      <c r="C198" s="10">
        <v>2020</v>
      </c>
      <c r="D198" s="11">
        <v>44123</v>
      </c>
      <c r="E198" s="9" t="s">
        <v>334</v>
      </c>
      <c r="F198" s="12">
        <f>159.48+458.58+191.42</f>
        <v>809.4799999999999</v>
      </c>
      <c r="G198" s="12">
        <v>0</v>
      </c>
      <c r="H198" s="9" t="s">
        <v>579</v>
      </c>
      <c r="I198" s="14" t="s">
        <v>434</v>
      </c>
    </row>
    <row r="199" spans="1:9" x14ac:dyDescent="0.25">
      <c r="A199" s="8">
        <v>198</v>
      </c>
      <c r="B199" s="9" t="s">
        <v>582</v>
      </c>
      <c r="C199" s="10">
        <v>2020</v>
      </c>
      <c r="D199" s="11">
        <v>44123</v>
      </c>
      <c r="E199" s="9" t="s">
        <v>334</v>
      </c>
      <c r="F199" s="12">
        <f>818.26+695.27</f>
        <v>1513.53</v>
      </c>
      <c r="G199" s="12">
        <v>0</v>
      </c>
      <c r="H199" s="9" t="s">
        <v>579</v>
      </c>
      <c r="I199" s="14" t="s">
        <v>434</v>
      </c>
    </row>
    <row r="200" spans="1:9" x14ac:dyDescent="0.25">
      <c r="A200" s="8">
        <v>199</v>
      </c>
      <c r="B200" s="9" t="s">
        <v>583</v>
      </c>
      <c r="C200" s="10">
        <v>2020</v>
      </c>
      <c r="D200" s="11">
        <v>44123</v>
      </c>
      <c r="E200" s="9" t="s">
        <v>334</v>
      </c>
      <c r="F200" s="12">
        <f>1642.04+1403.46+662.86</f>
        <v>3708.36</v>
      </c>
      <c r="G200" s="12">
        <v>0</v>
      </c>
      <c r="H200" s="9" t="s">
        <v>30</v>
      </c>
      <c r="I200" s="14" t="s">
        <v>434</v>
      </c>
    </row>
    <row r="201" spans="1:9" x14ac:dyDescent="0.25">
      <c r="A201" s="8">
        <v>200</v>
      </c>
      <c r="B201" s="9" t="s">
        <v>584</v>
      </c>
      <c r="C201" s="10">
        <v>2020</v>
      </c>
      <c r="D201" s="11">
        <v>44123</v>
      </c>
      <c r="E201" s="9" t="s">
        <v>334</v>
      </c>
      <c r="F201" s="12">
        <f>1426.05+662.86+467.39</f>
        <v>2556.2999999999997</v>
      </c>
      <c r="G201" s="12">
        <v>0</v>
      </c>
      <c r="H201" s="9" t="s">
        <v>376</v>
      </c>
      <c r="I201" s="14" t="s">
        <v>434</v>
      </c>
    </row>
    <row r="202" spans="1:9" x14ac:dyDescent="0.25">
      <c r="A202" s="8">
        <v>201</v>
      </c>
      <c r="B202" s="9" t="s">
        <v>585</v>
      </c>
      <c r="C202" s="10">
        <v>2020</v>
      </c>
      <c r="D202" s="11">
        <v>44123</v>
      </c>
      <c r="E202" s="9" t="s">
        <v>334</v>
      </c>
      <c r="F202" s="12">
        <f>196.78+531.33+60.36</f>
        <v>788.47</v>
      </c>
      <c r="G202" s="12">
        <v>0</v>
      </c>
      <c r="H202" s="9" t="s">
        <v>376</v>
      </c>
      <c r="I202" s="14" t="s">
        <v>434</v>
      </c>
    </row>
    <row r="203" spans="1:9" x14ac:dyDescent="0.25">
      <c r="A203" s="8">
        <v>202</v>
      </c>
      <c r="B203" s="9" t="s">
        <v>586</v>
      </c>
      <c r="C203" s="10">
        <v>2020</v>
      </c>
      <c r="D203" s="11">
        <v>44123</v>
      </c>
      <c r="E203" s="9" t="s">
        <v>334</v>
      </c>
      <c r="F203" s="12">
        <f>301.34+185.61+1689.51</f>
        <v>2176.46</v>
      </c>
      <c r="G203" s="12">
        <v>0</v>
      </c>
      <c r="H203" s="9" t="s">
        <v>376</v>
      </c>
      <c r="I203" s="14" t="s">
        <v>434</v>
      </c>
    </row>
    <row r="204" spans="1:9" x14ac:dyDescent="0.25">
      <c r="A204" s="8">
        <v>203</v>
      </c>
      <c r="B204" s="9" t="s">
        <v>587</v>
      </c>
      <c r="C204" s="10">
        <v>2020</v>
      </c>
      <c r="D204" s="11">
        <v>44124</v>
      </c>
      <c r="E204" s="9" t="s">
        <v>334</v>
      </c>
      <c r="F204" s="12">
        <f>190.65+472.95+691.11</f>
        <v>1354.71</v>
      </c>
      <c r="G204" s="12">
        <v>0</v>
      </c>
      <c r="H204" s="9" t="s">
        <v>474</v>
      </c>
      <c r="I204" s="14" t="s">
        <v>434</v>
      </c>
    </row>
    <row r="205" spans="1:9" x14ac:dyDescent="0.25">
      <c r="A205" s="8">
        <v>204</v>
      </c>
      <c r="B205" s="9" t="s">
        <v>588</v>
      </c>
      <c r="C205" s="10">
        <v>2020</v>
      </c>
      <c r="D205" s="11">
        <v>44124</v>
      </c>
      <c r="E205" s="9" t="s">
        <v>334</v>
      </c>
      <c r="F205" s="12">
        <f>479.69+2126.03</f>
        <v>2605.7200000000003</v>
      </c>
      <c r="G205" s="12">
        <v>0</v>
      </c>
      <c r="H205" s="9" t="s">
        <v>474</v>
      </c>
      <c r="I205" s="14" t="s">
        <v>434</v>
      </c>
    </row>
    <row r="206" spans="1:9" x14ac:dyDescent="0.25">
      <c r="A206" s="8">
        <v>205</v>
      </c>
      <c r="B206" s="9" t="s">
        <v>589</v>
      </c>
      <c r="C206" s="10">
        <v>2020</v>
      </c>
      <c r="D206" s="11">
        <v>44124</v>
      </c>
      <c r="E206" s="9" t="s">
        <v>334</v>
      </c>
      <c r="F206" s="12">
        <f>277.67+620.39</f>
        <v>898.06</v>
      </c>
      <c r="G206" s="12">
        <v>0</v>
      </c>
      <c r="H206" s="9" t="s">
        <v>474</v>
      </c>
      <c r="I206" s="14" t="s">
        <v>434</v>
      </c>
    </row>
    <row r="207" spans="1:9" x14ac:dyDescent="0.25">
      <c r="A207" s="8">
        <v>206</v>
      </c>
      <c r="B207" s="9" t="s">
        <v>590</v>
      </c>
      <c r="C207" s="10">
        <v>2020</v>
      </c>
      <c r="D207" s="11">
        <v>44124</v>
      </c>
      <c r="E207" s="9" t="s">
        <v>334</v>
      </c>
      <c r="F207" s="12">
        <f>202.95+834.22+390.87</f>
        <v>1428.04</v>
      </c>
      <c r="G207" s="12">
        <v>0</v>
      </c>
      <c r="H207" s="9" t="s">
        <v>474</v>
      </c>
      <c r="I207" s="14" t="s">
        <v>434</v>
      </c>
    </row>
    <row r="208" spans="1:9" x14ac:dyDescent="0.25">
      <c r="A208" s="8">
        <v>207</v>
      </c>
      <c r="B208" s="9" t="s">
        <v>591</v>
      </c>
      <c r="C208" s="10">
        <v>2020</v>
      </c>
      <c r="D208" s="11">
        <v>44125</v>
      </c>
      <c r="E208" s="9" t="s">
        <v>334</v>
      </c>
      <c r="F208" s="12">
        <f>180.29+671.1+278.41</f>
        <v>1129.8</v>
      </c>
      <c r="G208" s="12">
        <v>0</v>
      </c>
      <c r="H208" s="9" t="s">
        <v>376</v>
      </c>
      <c r="I208" s="14" t="s">
        <v>434</v>
      </c>
    </row>
    <row r="209" spans="1:9" x14ac:dyDescent="0.25">
      <c r="A209" s="8">
        <v>208</v>
      </c>
      <c r="B209" s="9" t="s">
        <v>592</v>
      </c>
      <c r="C209" s="10">
        <v>2020</v>
      </c>
      <c r="D209" s="11">
        <v>44125</v>
      </c>
      <c r="E209" s="9" t="s">
        <v>334</v>
      </c>
      <c r="F209" s="12">
        <f>313.19+1062.4+500.89</f>
        <v>1876.48</v>
      </c>
      <c r="G209" s="12">
        <v>0</v>
      </c>
      <c r="H209" s="9" t="s">
        <v>579</v>
      </c>
      <c r="I209" s="14" t="s">
        <v>434</v>
      </c>
    </row>
    <row r="210" spans="1:9" x14ac:dyDescent="0.25">
      <c r="A210" s="8">
        <v>209</v>
      </c>
      <c r="B210" s="9" t="s">
        <v>593</v>
      </c>
      <c r="C210" s="10">
        <v>2020</v>
      </c>
      <c r="D210" s="11">
        <v>44125</v>
      </c>
      <c r="E210" s="9" t="s">
        <v>334</v>
      </c>
      <c r="F210" s="12">
        <f>289.05+246+708+534.67</f>
        <v>1777.7199999999998</v>
      </c>
      <c r="G210" s="12">
        <v>0</v>
      </c>
      <c r="H210" s="9" t="s">
        <v>579</v>
      </c>
      <c r="I210" s="14" t="s">
        <v>434</v>
      </c>
    </row>
    <row r="211" spans="1:9" x14ac:dyDescent="0.25">
      <c r="A211" s="8">
        <v>210</v>
      </c>
      <c r="B211" s="9" t="s">
        <v>594</v>
      </c>
      <c r="C211" s="10">
        <v>2020</v>
      </c>
      <c r="D211" s="11">
        <v>44125</v>
      </c>
      <c r="E211" s="9" t="s">
        <v>334</v>
      </c>
      <c r="F211" s="12">
        <f>233.69+807.15+385.43</f>
        <v>1426.27</v>
      </c>
      <c r="G211" s="12">
        <v>0</v>
      </c>
      <c r="H211" s="9" t="s">
        <v>367</v>
      </c>
      <c r="I211" s="14" t="s">
        <v>434</v>
      </c>
    </row>
    <row r="212" spans="1:9" x14ac:dyDescent="0.25">
      <c r="A212" s="8">
        <v>211</v>
      </c>
      <c r="B212" s="9" t="s">
        <v>595</v>
      </c>
      <c r="C212" s="10">
        <v>2020</v>
      </c>
      <c r="D212" s="11">
        <v>44125</v>
      </c>
      <c r="E212" s="9" t="s">
        <v>334</v>
      </c>
      <c r="F212" s="12">
        <f>571.95+1605.41+939.55</f>
        <v>3116.91</v>
      </c>
      <c r="G212" s="12">
        <v>0</v>
      </c>
      <c r="H212" s="9" t="s">
        <v>367</v>
      </c>
      <c r="I212" s="14" t="s">
        <v>434</v>
      </c>
    </row>
    <row r="213" spans="1:9" x14ac:dyDescent="0.25">
      <c r="A213" s="8">
        <v>212</v>
      </c>
      <c r="B213" s="9" t="s">
        <v>596</v>
      </c>
      <c r="C213" s="10">
        <v>2020</v>
      </c>
      <c r="D213" s="11">
        <v>44125</v>
      </c>
      <c r="E213" s="9" t="s">
        <v>334</v>
      </c>
      <c r="F213" s="12">
        <f>1918.77+2282.94+1070.11</f>
        <v>5271.82</v>
      </c>
      <c r="G213" s="12">
        <v>0</v>
      </c>
      <c r="H213" s="9" t="s">
        <v>367</v>
      </c>
      <c r="I213" s="14" t="s">
        <v>434</v>
      </c>
    </row>
    <row r="214" spans="1:9" x14ac:dyDescent="0.25">
      <c r="A214" s="8">
        <v>213</v>
      </c>
      <c r="B214" s="9" t="s">
        <v>597</v>
      </c>
      <c r="C214" s="10">
        <v>2020</v>
      </c>
      <c r="D214" s="11">
        <v>44125</v>
      </c>
      <c r="E214" s="9" t="s">
        <v>334</v>
      </c>
      <c r="F214" s="12">
        <f>731.4+252.92</f>
        <v>984.31999999999994</v>
      </c>
      <c r="G214" s="12">
        <v>0</v>
      </c>
      <c r="H214" s="9" t="s">
        <v>340</v>
      </c>
      <c r="I214" s="14" t="s">
        <v>434</v>
      </c>
    </row>
    <row r="215" spans="1:9" x14ac:dyDescent="0.25">
      <c r="A215" s="8">
        <v>214</v>
      </c>
      <c r="B215" s="9" t="s">
        <v>598</v>
      </c>
      <c r="C215" s="10">
        <v>2020</v>
      </c>
      <c r="D215" s="11">
        <v>44125</v>
      </c>
      <c r="E215" s="9" t="s">
        <v>334</v>
      </c>
      <c r="F215" s="12">
        <f>98.39+280.23+191.42</f>
        <v>570.04</v>
      </c>
      <c r="G215" s="12">
        <v>0</v>
      </c>
      <c r="H215" s="9" t="s">
        <v>340</v>
      </c>
      <c r="I215" s="14" t="s">
        <v>434</v>
      </c>
    </row>
    <row r="216" spans="1:9" x14ac:dyDescent="0.25">
      <c r="A216" s="8">
        <v>215</v>
      </c>
      <c r="B216" s="9" t="s">
        <v>599</v>
      </c>
      <c r="C216" s="10">
        <v>2020</v>
      </c>
      <c r="D216" s="11">
        <v>44125</v>
      </c>
      <c r="E216" s="9" t="s">
        <v>334</v>
      </c>
      <c r="F216" s="12">
        <f>245.99+880.43+366.98</f>
        <v>1493.4</v>
      </c>
      <c r="G216" s="12">
        <v>0</v>
      </c>
      <c r="H216" s="9" t="s">
        <v>340</v>
      </c>
      <c r="I216" s="14" t="s">
        <v>434</v>
      </c>
    </row>
    <row r="217" spans="1:9" x14ac:dyDescent="0.25">
      <c r="A217" s="8">
        <v>216</v>
      </c>
      <c r="B217" s="9" t="s">
        <v>600</v>
      </c>
      <c r="C217" s="10">
        <v>2020</v>
      </c>
      <c r="D217" s="11">
        <v>44125</v>
      </c>
      <c r="E217" s="9" t="s">
        <v>334</v>
      </c>
      <c r="F217" s="12">
        <f>196.8+461.43+1841.81</f>
        <v>2500.04</v>
      </c>
      <c r="G217" s="12">
        <v>0</v>
      </c>
      <c r="H217" s="9" t="s">
        <v>340</v>
      </c>
      <c r="I217" s="14" t="s">
        <v>434</v>
      </c>
    </row>
    <row r="218" spans="1:9" x14ac:dyDescent="0.25">
      <c r="A218" s="8">
        <v>217</v>
      </c>
      <c r="B218" s="9" t="s">
        <v>601</v>
      </c>
      <c r="C218" s="10">
        <v>2020</v>
      </c>
      <c r="D218" s="11">
        <v>44125</v>
      </c>
      <c r="E218" s="9" t="s">
        <v>334</v>
      </c>
      <c r="F218" s="12">
        <v>753</v>
      </c>
      <c r="G218" s="12">
        <v>0</v>
      </c>
      <c r="H218" s="9" t="s">
        <v>340</v>
      </c>
      <c r="I218" s="14" t="s">
        <v>434</v>
      </c>
    </row>
    <row r="219" spans="1:9" x14ac:dyDescent="0.25">
      <c r="A219" s="8">
        <v>218</v>
      </c>
      <c r="B219" s="9" t="s">
        <v>602</v>
      </c>
      <c r="C219" s="10">
        <v>2020</v>
      </c>
      <c r="D219" s="11">
        <v>44125</v>
      </c>
      <c r="E219" s="9" t="s">
        <v>334</v>
      </c>
      <c r="F219" s="12">
        <f>196.81+675.3+480.56</f>
        <v>1352.6699999999998</v>
      </c>
      <c r="G219" s="12">
        <v>0</v>
      </c>
      <c r="H219" s="9" t="s">
        <v>361</v>
      </c>
      <c r="I219" s="14" t="s">
        <v>434</v>
      </c>
    </row>
    <row r="220" spans="1:9" x14ac:dyDescent="0.25">
      <c r="A220" s="8">
        <v>219</v>
      </c>
      <c r="B220" s="9" t="s">
        <v>603</v>
      </c>
      <c r="C220" s="10">
        <v>2020</v>
      </c>
      <c r="D220" s="11">
        <v>44125</v>
      </c>
      <c r="E220" s="9" t="s">
        <v>334</v>
      </c>
      <c r="F220" s="12">
        <f>639.59+1836.9+927.25</f>
        <v>3403.7400000000002</v>
      </c>
      <c r="G220" s="12">
        <v>0</v>
      </c>
      <c r="H220" s="9" t="s">
        <v>361</v>
      </c>
      <c r="I220" s="14" t="s">
        <v>434</v>
      </c>
    </row>
    <row r="221" spans="1:9" x14ac:dyDescent="0.25">
      <c r="A221" s="8">
        <v>220</v>
      </c>
      <c r="B221" s="9" t="s">
        <v>604</v>
      </c>
      <c r="C221" s="10">
        <v>2020</v>
      </c>
      <c r="D221" s="11">
        <v>44125</v>
      </c>
      <c r="E221" s="9" t="s">
        <v>334</v>
      </c>
      <c r="F221" s="12">
        <f>202.95+808.86+354.68</f>
        <v>1366.49</v>
      </c>
      <c r="G221" s="12">
        <v>0</v>
      </c>
      <c r="H221" s="9" t="s">
        <v>361</v>
      </c>
      <c r="I221" s="14" t="s">
        <v>434</v>
      </c>
    </row>
    <row r="222" spans="1:9" x14ac:dyDescent="0.25">
      <c r="A222" s="8">
        <v>221</v>
      </c>
      <c r="B222" s="9" t="s">
        <v>605</v>
      </c>
      <c r="C222" s="10">
        <v>2020</v>
      </c>
      <c r="D222" s="11">
        <v>44126</v>
      </c>
      <c r="E222" s="9" t="s">
        <v>334</v>
      </c>
      <c r="F222" s="12">
        <f>215.25+611.88+643.79</f>
        <v>1470.92</v>
      </c>
      <c r="G222" s="12">
        <v>0</v>
      </c>
      <c r="H222" s="9" t="s">
        <v>361</v>
      </c>
      <c r="I222" s="14" t="s">
        <v>434</v>
      </c>
    </row>
    <row r="223" spans="1:9" x14ac:dyDescent="0.25">
      <c r="A223" s="8">
        <v>222</v>
      </c>
      <c r="B223" s="9" t="s">
        <v>606</v>
      </c>
      <c r="C223" s="10">
        <v>2020</v>
      </c>
      <c r="D223" s="11">
        <v>44126</v>
      </c>
      <c r="E223" s="9" t="s">
        <v>334</v>
      </c>
      <c r="F223" s="12">
        <f>553.5+1725.58+729.92</f>
        <v>3009</v>
      </c>
      <c r="G223" s="12">
        <v>0</v>
      </c>
      <c r="H223" s="9" t="s">
        <v>361</v>
      </c>
      <c r="I223" s="14" t="s">
        <v>434</v>
      </c>
    </row>
    <row r="224" spans="1:9" x14ac:dyDescent="0.25">
      <c r="A224" s="8">
        <v>223</v>
      </c>
      <c r="B224" s="9" t="s">
        <v>607</v>
      </c>
      <c r="C224" s="10">
        <v>2020</v>
      </c>
      <c r="D224" s="11">
        <v>44126</v>
      </c>
      <c r="E224" s="9" t="s">
        <v>334</v>
      </c>
      <c r="F224" s="12">
        <f>227.54+776.7+495.17</f>
        <v>1499.41</v>
      </c>
      <c r="G224" s="12">
        <v>0</v>
      </c>
      <c r="H224" s="9" t="s">
        <v>427</v>
      </c>
      <c r="I224" s="14" t="s">
        <v>434</v>
      </c>
    </row>
    <row r="225" spans="1:9" x14ac:dyDescent="0.25">
      <c r="A225" s="8">
        <v>224</v>
      </c>
      <c r="B225" s="9" t="s">
        <v>608</v>
      </c>
      <c r="C225" s="10">
        <v>2020</v>
      </c>
      <c r="D225" s="11">
        <v>44126</v>
      </c>
      <c r="E225" s="9" t="s">
        <v>334</v>
      </c>
      <c r="F225" s="12">
        <f>539.36+1649.8+1622.17</f>
        <v>3811.33</v>
      </c>
      <c r="G225" s="12">
        <v>0</v>
      </c>
      <c r="H225" s="9" t="s">
        <v>427</v>
      </c>
      <c r="I225" s="14" t="s">
        <v>434</v>
      </c>
    </row>
    <row r="226" spans="1:9" x14ac:dyDescent="0.25">
      <c r="A226" s="8">
        <v>225</v>
      </c>
      <c r="B226" s="9" t="s">
        <v>609</v>
      </c>
      <c r="C226" s="10">
        <v>2020</v>
      </c>
      <c r="D226" s="11">
        <v>44126</v>
      </c>
      <c r="E226" s="9" t="s">
        <v>334</v>
      </c>
      <c r="F226" s="12">
        <f>159.9+507.13+304.72</f>
        <v>971.75</v>
      </c>
      <c r="G226" s="12">
        <v>0</v>
      </c>
      <c r="H226" s="9" t="s">
        <v>427</v>
      </c>
      <c r="I226" s="14" t="s">
        <v>434</v>
      </c>
    </row>
    <row r="227" spans="1:9" x14ac:dyDescent="0.25">
      <c r="A227" s="8">
        <v>226</v>
      </c>
      <c r="B227" s="9" t="s">
        <v>610</v>
      </c>
      <c r="C227" s="10">
        <v>2020</v>
      </c>
      <c r="D227" s="11">
        <v>44126</v>
      </c>
      <c r="E227" s="9" t="s">
        <v>334</v>
      </c>
      <c r="F227" s="12">
        <f>479.7+1519.59+900.03</f>
        <v>2899.3199999999997</v>
      </c>
      <c r="G227" s="12">
        <v>0</v>
      </c>
      <c r="H227" s="9" t="s">
        <v>427</v>
      </c>
      <c r="I227" s="14" t="s">
        <v>434</v>
      </c>
    </row>
    <row r="228" spans="1:9" x14ac:dyDescent="0.25">
      <c r="A228" s="8">
        <v>227</v>
      </c>
      <c r="B228" s="9" t="s">
        <v>611</v>
      </c>
      <c r="C228" s="10">
        <v>2020</v>
      </c>
      <c r="D228" s="11">
        <v>44126</v>
      </c>
      <c r="E228" s="9" t="s">
        <v>334</v>
      </c>
      <c r="F228" s="12">
        <f>168.7+456.55+295.91</f>
        <v>921.16000000000008</v>
      </c>
      <c r="G228" s="12">
        <v>0</v>
      </c>
      <c r="H228" s="9" t="s">
        <v>555</v>
      </c>
      <c r="I228" s="14" t="s">
        <v>434</v>
      </c>
    </row>
    <row r="229" spans="1:9" x14ac:dyDescent="0.25">
      <c r="A229" s="8">
        <v>228</v>
      </c>
      <c r="B229" s="9" t="s">
        <v>612</v>
      </c>
      <c r="C229" s="10">
        <v>2020</v>
      </c>
      <c r="D229" s="11">
        <v>44126</v>
      </c>
      <c r="E229" s="9" t="s">
        <v>334</v>
      </c>
      <c r="F229" s="12">
        <f>442.8+1084.2+911.68</f>
        <v>2438.6799999999998</v>
      </c>
      <c r="G229" s="12">
        <v>0</v>
      </c>
      <c r="H229" s="9" t="s">
        <v>555</v>
      </c>
      <c r="I229" s="14" t="s">
        <v>434</v>
      </c>
    </row>
    <row r="230" spans="1:9" x14ac:dyDescent="0.25">
      <c r="A230" s="8">
        <v>229</v>
      </c>
      <c r="B230" s="9" t="s">
        <v>613</v>
      </c>
      <c r="C230" s="10">
        <v>2020</v>
      </c>
      <c r="D230" s="11">
        <v>44126</v>
      </c>
      <c r="E230" s="9" t="s">
        <v>334</v>
      </c>
      <c r="F230" s="12">
        <f>559.65+1642.51+1091.99</f>
        <v>3294.1499999999996</v>
      </c>
      <c r="G230" s="12">
        <v>0</v>
      </c>
      <c r="H230" s="9" t="s">
        <v>555</v>
      </c>
      <c r="I230" s="14" t="s">
        <v>434</v>
      </c>
    </row>
    <row r="231" spans="1:9" x14ac:dyDescent="0.25">
      <c r="A231" s="8">
        <v>230</v>
      </c>
      <c r="B231" s="9" t="s">
        <v>614</v>
      </c>
      <c r="C231" s="10">
        <v>2020</v>
      </c>
      <c r="D231" s="11">
        <v>44126</v>
      </c>
      <c r="E231" s="9" t="s">
        <v>334</v>
      </c>
      <c r="F231" s="12">
        <f>522.74+1311.32+939.55</f>
        <v>2773.6099999999997</v>
      </c>
      <c r="G231" s="12">
        <v>0</v>
      </c>
      <c r="H231" s="9" t="s">
        <v>555</v>
      </c>
      <c r="I231" s="14" t="s">
        <v>434</v>
      </c>
    </row>
    <row r="232" spans="1:9" x14ac:dyDescent="0.25">
      <c r="A232" s="8">
        <v>231</v>
      </c>
      <c r="B232" s="9" t="s">
        <v>615</v>
      </c>
      <c r="C232" s="10">
        <v>2020</v>
      </c>
      <c r="D232" s="11">
        <v>44126</v>
      </c>
      <c r="E232" s="9" t="s">
        <v>334</v>
      </c>
      <c r="F232" s="12">
        <f>424.34+1313.56+1125.01</f>
        <v>2862.91</v>
      </c>
      <c r="G232" s="12">
        <v>0</v>
      </c>
      <c r="H232" s="9" t="s">
        <v>346</v>
      </c>
      <c r="I232" s="14" t="s">
        <v>434</v>
      </c>
    </row>
    <row r="233" spans="1:9" x14ac:dyDescent="0.25">
      <c r="A233" s="8">
        <v>232</v>
      </c>
      <c r="B233" s="9" t="s">
        <v>616</v>
      </c>
      <c r="C233" s="10">
        <v>2020</v>
      </c>
      <c r="D233" s="11">
        <v>44126</v>
      </c>
      <c r="E233" s="9" t="s">
        <v>334</v>
      </c>
      <c r="F233" s="12">
        <f>160.61+533.47+480.56</f>
        <v>1174.6400000000001</v>
      </c>
      <c r="G233" s="12">
        <v>0</v>
      </c>
      <c r="H233" s="9" t="s">
        <v>346</v>
      </c>
      <c r="I233" s="14" t="s">
        <v>434</v>
      </c>
    </row>
    <row r="234" spans="1:9" x14ac:dyDescent="0.25">
      <c r="A234" s="8">
        <v>233</v>
      </c>
      <c r="B234" s="9" t="s">
        <v>617</v>
      </c>
      <c r="C234" s="10">
        <v>2020</v>
      </c>
      <c r="D234" s="11">
        <v>44126</v>
      </c>
      <c r="E234" s="9" t="s">
        <v>334</v>
      </c>
      <c r="F234" s="12">
        <f>381.29+944.17+896.5</f>
        <v>2221.96</v>
      </c>
      <c r="G234" s="12">
        <v>0</v>
      </c>
      <c r="H234" s="9" t="s">
        <v>346</v>
      </c>
      <c r="I234" s="14" t="s">
        <v>434</v>
      </c>
    </row>
    <row r="235" spans="1:9" x14ac:dyDescent="0.25">
      <c r="A235" s="8">
        <v>234</v>
      </c>
      <c r="B235" s="9" t="s">
        <v>618</v>
      </c>
      <c r="C235" s="10">
        <v>2020</v>
      </c>
      <c r="D235" s="11">
        <v>44126</v>
      </c>
      <c r="E235" s="9" t="s">
        <v>334</v>
      </c>
      <c r="F235" s="12">
        <f>236.31+1265.88+662.86</f>
        <v>2165.0500000000002</v>
      </c>
      <c r="G235" s="12">
        <v>0</v>
      </c>
      <c r="H235" s="9" t="s">
        <v>346</v>
      </c>
      <c r="I235" s="14" t="s">
        <v>434</v>
      </c>
    </row>
    <row r="236" spans="1:9" x14ac:dyDescent="0.25">
      <c r="A236" s="8">
        <v>235</v>
      </c>
      <c r="B236" s="9" t="s">
        <v>619</v>
      </c>
      <c r="C236" s="10">
        <v>2020</v>
      </c>
      <c r="D236" s="11">
        <v>44126</v>
      </c>
      <c r="E236" s="9" t="s">
        <v>334</v>
      </c>
      <c r="F236" s="12">
        <f>212.16+818.86+304.45</f>
        <v>1335.47</v>
      </c>
      <c r="G236" s="12">
        <v>0</v>
      </c>
      <c r="H236" s="9" t="s">
        <v>346</v>
      </c>
      <c r="I236" s="14" t="s">
        <v>434</v>
      </c>
    </row>
    <row r="237" spans="1:9" x14ac:dyDescent="0.25">
      <c r="A237" s="8">
        <v>236</v>
      </c>
      <c r="B237" s="9" t="s">
        <v>620</v>
      </c>
      <c r="C237" s="10">
        <v>2020</v>
      </c>
      <c r="D237" s="11">
        <v>44126</v>
      </c>
      <c r="E237" s="9" t="s">
        <v>334</v>
      </c>
      <c r="F237" s="12">
        <f>645.75+2106.64+1089.55</f>
        <v>3841.9399999999996</v>
      </c>
      <c r="G237" s="12">
        <v>0</v>
      </c>
      <c r="H237" s="9" t="s">
        <v>447</v>
      </c>
      <c r="I237" s="14" t="s">
        <v>434</v>
      </c>
    </row>
    <row r="238" spans="1:9" x14ac:dyDescent="0.25">
      <c r="A238" s="8">
        <v>237</v>
      </c>
      <c r="B238" s="9" t="s">
        <v>621</v>
      </c>
      <c r="C238" s="10">
        <v>2020</v>
      </c>
      <c r="D238" s="11">
        <v>44126</v>
      </c>
      <c r="E238" s="9" t="s">
        <v>334</v>
      </c>
      <c r="F238" s="12">
        <f>153.75+479.68+480.56</f>
        <v>1113.99</v>
      </c>
      <c r="G238" s="12">
        <v>0</v>
      </c>
      <c r="H238" s="9" t="s">
        <v>349</v>
      </c>
      <c r="I238" s="14" t="s">
        <v>434</v>
      </c>
    </row>
    <row r="239" spans="1:9" x14ac:dyDescent="0.25">
      <c r="A239" s="8">
        <v>238</v>
      </c>
      <c r="B239" s="9" t="s">
        <v>622</v>
      </c>
      <c r="C239" s="10">
        <v>2020</v>
      </c>
      <c r="D239" s="11">
        <v>44126</v>
      </c>
      <c r="E239" s="9" t="s">
        <v>334</v>
      </c>
      <c r="F239" s="12">
        <f>375.14+1339.38+563.46</f>
        <v>2277.98</v>
      </c>
      <c r="G239" s="12">
        <v>0</v>
      </c>
      <c r="H239" s="9" t="s">
        <v>356</v>
      </c>
      <c r="I239" s="14" t="s">
        <v>434</v>
      </c>
    </row>
    <row r="240" spans="1:9" x14ac:dyDescent="0.25">
      <c r="A240" s="8">
        <v>239</v>
      </c>
      <c r="B240" s="9" t="s">
        <v>623</v>
      </c>
      <c r="C240" s="10">
        <v>2020</v>
      </c>
      <c r="D240" s="11">
        <v>44126</v>
      </c>
      <c r="E240" s="9" t="s">
        <v>334</v>
      </c>
      <c r="F240" s="12">
        <f>110.7+275.17+167.69</f>
        <v>553.55999999999995</v>
      </c>
      <c r="G240" s="12">
        <v>0</v>
      </c>
      <c r="H240" s="9" t="s">
        <v>378</v>
      </c>
      <c r="I240" s="14" t="s">
        <v>434</v>
      </c>
    </row>
    <row r="241" spans="1:9" x14ac:dyDescent="0.25">
      <c r="A241" s="8">
        <v>240</v>
      </c>
      <c r="B241" s="9" t="s">
        <v>624</v>
      </c>
      <c r="C241" s="10">
        <v>2020</v>
      </c>
      <c r="D241" s="11">
        <v>44126</v>
      </c>
      <c r="E241" s="9" t="s">
        <v>334</v>
      </c>
      <c r="F241" s="12">
        <f>166.05+596.33+379.28</f>
        <v>1141.6600000000001</v>
      </c>
      <c r="G241" s="12">
        <v>0</v>
      </c>
      <c r="H241" s="9" t="s">
        <v>378</v>
      </c>
      <c r="I241" s="14" t="s">
        <v>434</v>
      </c>
    </row>
    <row r="242" spans="1:9" x14ac:dyDescent="0.25">
      <c r="A242" s="8">
        <v>241</v>
      </c>
      <c r="B242" s="9" t="s">
        <v>625</v>
      </c>
      <c r="C242" s="10">
        <v>2020</v>
      </c>
      <c r="D242" s="11">
        <v>44126</v>
      </c>
      <c r="E242" s="9" t="s">
        <v>334</v>
      </c>
      <c r="F242" s="12">
        <f>493.05+1336.09+519.77</f>
        <v>2348.91</v>
      </c>
      <c r="G242" s="12">
        <v>0</v>
      </c>
      <c r="H242" s="9" t="s">
        <v>378</v>
      </c>
      <c r="I242" s="14" t="s">
        <v>434</v>
      </c>
    </row>
    <row r="243" spans="1:9" x14ac:dyDescent="0.25">
      <c r="A243" s="8">
        <v>242</v>
      </c>
      <c r="B243" s="9" t="s">
        <v>626</v>
      </c>
      <c r="C243" s="10">
        <v>2020</v>
      </c>
      <c r="D243" s="11">
        <v>44126</v>
      </c>
      <c r="E243" s="9" t="s">
        <v>334</v>
      </c>
      <c r="F243" s="12">
        <f>110.7+192.54+314.36</f>
        <v>617.6</v>
      </c>
      <c r="G243" s="12">
        <v>0</v>
      </c>
      <c r="H243" s="9" t="s">
        <v>378</v>
      </c>
      <c r="I243" s="14" t="s">
        <v>434</v>
      </c>
    </row>
    <row r="244" spans="1:9" x14ac:dyDescent="0.25">
      <c r="A244" s="8">
        <v>243</v>
      </c>
      <c r="B244" s="9" t="s">
        <v>627</v>
      </c>
      <c r="C244" s="10">
        <v>2020</v>
      </c>
      <c r="D244" s="11">
        <v>44126</v>
      </c>
      <c r="E244" s="9" t="s">
        <v>334</v>
      </c>
      <c r="F244" s="12">
        <f>664.19+2343.67+799.89</f>
        <v>3807.75</v>
      </c>
      <c r="G244" s="12">
        <v>0</v>
      </c>
      <c r="H244" s="9" t="s">
        <v>378</v>
      </c>
      <c r="I244" s="14" t="s">
        <v>434</v>
      </c>
    </row>
    <row r="245" spans="1:9" x14ac:dyDescent="0.25">
      <c r="A245" s="8">
        <v>244</v>
      </c>
      <c r="B245" s="9" t="s">
        <v>628</v>
      </c>
      <c r="C245" s="10">
        <v>2020</v>
      </c>
      <c r="D245" s="11">
        <v>44126</v>
      </c>
      <c r="E245" s="9" t="s">
        <v>334</v>
      </c>
      <c r="F245" s="12">
        <f>442.79+1079.47+939.55</f>
        <v>2461.81</v>
      </c>
      <c r="G245" s="12">
        <v>0</v>
      </c>
      <c r="H245" s="9" t="s">
        <v>363</v>
      </c>
      <c r="I245" s="14" t="s">
        <v>434</v>
      </c>
    </row>
    <row r="246" spans="1:9" x14ac:dyDescent="0.25">
      <c r="A246" s="8">
        <v>245</v>
      </c>
      <c r="B246" s="9" t="s">
        <v>629</v>
      </c>
      <c r="C246" s="10">
        <v>2020</v>
      </c>
      <c r="D246" s="11">
        <v>44126</v>
      </c>
      <c r="E246" s="9" t="s">
        <v>334</v>
      </c>
      <c r="F246" s="12">
        <f>166.04+628.27+463.99</f>
        <v>1258.3</v>
      </c>
      <c r="G246" s="12">
        <v>0</v>
      </c>
      <c r="H246" s="9" t="s">
        <v>363</v>
      </c>
      <c r="I246" s="14" t="s">
        <v>434</v>
      </c>
    </row>
    <row r="247" spans="1:9" x14ac:dyDescent="0.25">
      <c r="A247" s="8">
        <v>246</v>
      </c>
      <c r="B247" s="9" t="s">
        <v>630</v>
      </c>
      <c r="C247" s="10">
        <v>2020</v>
      </c>
      <c r="D247" s="11">
        <v>44126</v>
      </c>
      <c r="E247" s="9" t="s">
        <v>334</v>
      </c>
      <c r="F247" s="12">
        <f>319.79+958.58+851.5</f>
        <v>2129.87</v>
      </c>
      <c r="G247" s="12">
        <v>0</v>
      </c>
      <c r="H247" s="9" t="s">
        <v>363</v>
      </c>
      <c r="I247" s="14" t="s">
        <v>434</v>
      </c>
    </row>
    <row r="248" spans="1:9" x14ac:dyDescent="0.25">
      <c r="A248" s="8">
        <v>247</v>
      </c>
      <c r="B248" s="9" t="s">
        <v>631</v>
      </c>
      <c r="C248" s="10">
        <v>2020</v>
      </c>
      <c r="D248" s="11">
        <v>44126</v>
      </c>
      <c r="E248" s="9" t="s">
        <v>334</v>
      </c>
      <c r="F248" s="12">
        <f>344.4+1086.14+528.52</f>
        <v>1959.06</v>
      </c>
      <c r="G248" s="12">
        <v>0</v>
      </c>
      <c r="H248" s="9" t="s">
        <v>363</v>
      </c>
      <c r="I248" s="14" t="s">
        <v>434</v>
      </c>
    </row>
    <row r="249" spans="1:9" x14ac:dyDescent="0.25">
      <c r="A249" s="8">
        <v>248</v>
      </c>
      <c r="B249" s="9" t="s">
        <v>632</v>
      </c>
      <c r="C249" s="10">
        <v>2020</v>
      </c>
      <c r="D249" s="11">
        <v>44126</v>
      </c>
      <c r="E249" s="9" t="s">
        <v>334</v>
      </c>
      <c r="F249" s="12">
        <f>239.85+471.88+717.75</f>
        <v>1429.48</v>
      </c>
      <c r="G249" s="12">
        <v>0</v>
      </c>
      <c r="H249" s="9" t="s">
        <v>344</v>
      </c>
      <c r="I249" s="14" t="s">
        <v>434</v>
      </c>
    </row>
    <row r="250" spans="1:9" x14ac:dyDescent="0.25">
      <c r="A250" s="8">
        <v>249</v>
      </c>
      <c r="B250" s="9" t="s">
        <v>633</v>
      </c>
      <c r="C250" s="10">
        <v>2020</v>
      </c>
      <c r="D250" s="11">
        <v>44126</v>
      </c>
      <c r="E250" s="9" t="s">
        <v>334</v>
      </c>
      <c r="F250" s="12">
        <f>246+699.95+643.79</f>
        <v>1589.74</v>
      </c>
      <c r="G250" s="12">
        <v>0</v>
      </c>
      <c r="H250" s="9" t="s">
        <v>344</v>
      </c>
      <c r="I250" s="14" t="s">
        <v>434</v>
      </c>
    </row>
    <row r="251" spans="1:9" x14ac:dyDescent="0.25">
      <c r="A251" s="8">
        <v>250</v>
      </c>
      <c r="B251" s="9" t="s">
        <v>634</v>
      </c>
      <c r="C251" s="10">
        <v>2020</v>
      </c>
      <c r="D251" s="11">
        <v>44126</v>
      </c>
      <c r="E251" s="9" t="s">
        <v>334</v>
      </c>
      <c r="F251" s="12">
        <f>227.55+774.68+379.28</f>
        <v>1381.51</v>
      </c>
      <c r="G251" s="12">
        <v>0</v>
      </c>
      <c r="H251" s="9" t="s">
        <v>344</v>
      </c>
      <c r="I251" s="14" t="s">
        <v>434</v>
      </c>
    </row>
    <row r="252" spans="1:9" x14ac:dyDescent="0.25">
      <c r="A252" s="8">
        <v>251</v>
      </c>
      <c r="B252" s="9" t="s">
        <v>635</v>
      </c>
      <c r="C252" s="10">
        <v>2020</v>
      </c>
      <c r="D252" s="11">
        <v>44126</v>
      </c>
      <c r="E252" s="9" t="s">
        <v>334</v>
      </c>
      <c r="F252" s="12">
        <f>227.55+598.94+379.28</f>
        <v>1205.77</v>
      </c>
      <c r="G252" s="12">
        <v>0</v>
      </c>
      <c r="H252" s="9" t="s">
        <v>344</v>
      </c>
      <c r="I252" s="14" t="s">
        <v>434</v>
      </c>
    </row>
    <row r="253" spans="1:9" x14ac:dyDescent="0.25">
      <c r="A253" s="8">
        <v>252</v>
      </c>
      <c r="B253" s="9" t="s">
        <v>636</v>
      </c>
      <c r="C253" s="10">
        <v>2020</v>
      </c>
      <c r="D253" s="11">
        <v>44126</v>
      </c>
      <c r="E253" s="9" t="s">
        <v>334</v>
      </c>
      <c r="F253" s="12">
        <f>147.59+351.44+174.86</f>
        <v>673.89</v>
      </c>
      <c r="G253" s="12">
        <v>0</v>
      </c>
      <c r="H253" s="9" t="s">
        <v>465</v>
      </c>
      <c r="I253" s="14" t="s">
        <v>434</v>
      </c>
    </row>
    <row r="254" spans="1:9" x14ac:dyDescent="0.25">
      <c r="A254" s="8">
        <v>253</v>
      </c>
      <c r="B254" s="9" t="s">
        <v>637</v>
      </c>
      <c r="C254" s="10">
        <v>2020</v>
      </c>
      <c r="D254" s="11">
        <v>44126</v>
      </c>
      <c r="E254" s="9" t="s">
        <v>334</v>
      </c>
      <c r="F254" s="12">
        <f>141.45+321.3+210.74</f>
        <v>673.49</v>
      </c>
      <c r="G254" s="12">
        <v>0</v>
      </c>
      <c r="H254" s="9" t="s">
        <v>465</v>
      </c>
      <c r="I254" s="14" t="s">
        <v>434</v>
      </c>
    </row>
    <row r="255" spans="1:9" x14ac:dyDescent="0.25">
      <c r="A255" s="8">
        <v>254</v>
      </c>
      <c r="B255" s="9" t="s">
        <v>638</v>
      </c>
      <c r="C255" s="10">
        <v>2020</v>
      </c>
      <c r="D255" s="11">
        <v>44126</v>
      </c>
      <c r="E255" s="9" t="s">
        <v>334</v>
      </c>
      <c r="F255" s="12">
        <f>495.51+660.36</f>
        <v>1155.8699999999999</v>
      </c>
      <c r="G255" s="12">
        <v>0</v>
      </c>
      <c r="H255" s="9" t="s">
        <v>465</v>
      </c>
      <c r="I255" s="14" t="s">
        <v>434</v>
      </c>
    </row>
    <row r="256" spans="1:9" x14ac:dyDescent="0.25">
      <c r="A256" s="8">
        <v>255</v>
      </c>
      <c r="B256" s="9" t="s">
        <v>639</v>
      </c>
      <c r="C256" s="10">
        <v>2020</v>
      </c>
      <c r="D256" s="11">
        <v>44127</v>
      </c>
      <c r="E256" s="9" t="s">
        <v>334</v>
      </c>
      <c r="F256" s="12">
        <f>240.75+1420.72+517.38</f>
        <v>2178.85</v>
      </c>
      <c r="G256" s="12">
        <v>0</v>
      </c>
      <c r="H256" s="9" t="s">
        <v>465</v>
      </c>
      <c r="I256" s="14" t="s">
        <v>434</v>
      </c>
    </row>
    <row r="257" spans="1:9" x14ac:dyDescent="0.25">
      <c r="A257" s="8">
        <v>256</v>
      </c>
      <c r="B257" s="9" t="s">
        <v>640</v>
      </c>
      <c r="C257" s="10">
        <v>2020</v>
      </c>
      <c r="D257" s="11">
        <v>44130</v>
      </c>
      <c r="E257" s="9" t="s">
        <v>334</v>
      </c>
      <c r="F257" s="12">
        <f>207.25+1193.39</f>
        <v>1400.64</v>
      </c>
      <c r="G257" s="12">
        <v>0</v>
      </c>
      <c r="H257" s="9" t="s">
        <v>413</v>
      </c>
      <c r="I257" s="14" t="s">
        <v>434</v>
      </c>
    </row>
    <row r="258" spans="1:9" x14ac:dyDescent="0.25">
      <c r="A258" s="8">
        <v>257</v>
      </c>
      <c r="B258" s="9" t="s">
        <v>641</v>
      </c>
      <c r="C258" s="10">
        <v>2020</v>
      </c>
      <c r="D258" s="11">
        <v>44130</v>
      </c>
      <c r="E258" s="9" t="s">
        <v>334</v>
      </c>
      <c r="F258" s="12">
        <f>209.09+1166.81</f>
        <v>1375.8999999999999</v>
      </c>
      <c r="G258" s="12">
        <v>0</v>
      </c>
      <c r="H258" s="9" t="s">
        <v>413</v>
      </c>
      <c r="I258" s="14" t="s">
        <v>434</v>
      </c>
    </row>
    <row r="259" spans="1:9" x14ac:dyDescent="0.25">
      <c r="A259" s="8">
        <v>258</v>
      </c>
      <c r="B259" s="9" t="s">
        <v>642</v>
      </c>
      <c r="C259" s="10">
        <v>2020</v>
      </c>
      <c r="D259" s="11">
        <v>44130</v>
      </c>
      <c r="E259" s="9" t="s">
        <v>334</v>
      </c>
      <c r="F259" s="12">
        <f>172.2+943.46</f>
        <v>1115.6600000000001</v>
      </c>
      <c r="G259" s="12">
        <v>0</v>
      </c>
      <c r="H259" s="9" t="s">
        <v>413</v>
      </c>
      <c r="I259" s="14" t="s">
        <v>434</v>
      </c>
    </row>
    <row r="260" spans="1:9" x14ac:dyDescent="0.25">
      <c r="A260" s="8">
        <v>259</v>
      </c>
      <c r="B260" s="9" t="s">
        <v>643</v>
      </c>
      <c r="C260" s="10">
        <v>2020</v>
      </c>
      <c r="D260" s="11">
        <v>44130</v>
      </c>
      <c r="E260" s="9" t="s">
        <v>334</v>
      </c>
      <c r="F260" s="12">
        <f>190.65+1096.86</f>
        <v>1287.51</v>
      </c>
      <c r="G260" s="12">
        <v>0</v>
      </c>
      <c r="H260" s="9" t="s">
        <v>413</v>
      </c>
      <c r="I260" s="14" t="s">
        <v>434</v>
      </c>
    </row>
    <row r="261" spans="1:9" x14ac:dyDescent="0.25">
      <c r="A261" s="8">
        <v>260</v>
      </c>
      <c r="B261" s="9" t="s">
        <v>644</v>
      </c>
      <c r="C261" s="10">
        <v>2020</v>
      </c>
      <c r="D261" s="11">
        <v>44130</v>
      </c>
      <c r="E261" s="9" t="s">
        <v>334</v>
      </c>
      <c r="F261" s="12">
        <f>265.11+241.05+438.99</f>
        <v>945.15000000000009</v>
      </c>
      <c r="G261" s="12">
        <v>0</v>
      </c>
      <c r="H261" s="9" t="s">
        <v>484</v>
      </c>
      <c r="I261" s="14" t="s">
        <v>434</v>
      </c>
    </row>
    <row r="262" spans="1:9" x14ac:dyDescent="0.25">
      <c r="A262" s="8">
        <v>261</v>
      </c>
      <c r="B262" s="9" t="s">
        <v>645</v>
      </c>
      <c r="C262" s="10">
        <v>2020</v>
      </c>
      <c r="D262" s="11">
        <v>44130</v>
      </c>
      <c r="E262" s="9" t="s">
        <v>334</v>
      </c>
      <c r="F262" s="12">
        <f>196.8+745.16+373.13</f>
        <v>1315.0900000000001</v>
      </c>
      <c r="G262" s="12">
        <v>0</v>
      </c>
      <c r="H262" s="9" t="s">
        <v>646</v>
      </c>
      <c r="I262" s="14" t="s">
        <v>434</v>
      </c>
    </row>
    <row r="263" spans="1:9" x14ac:dyDescent="0.25">
      <c r="A263" s="8">
        <v>262</v>
      </c>
      <c r="B263" s="9" t="s">
        <v>647</v>
      </c>
      <c r="C263" s="10">
        <v>2020</v>
      </c>
      <c r="D263" s="11">
        <v>44130</v>
      </c>
      <c r="E263" s="9" t="s">
        <v>334</v>
      </c>
      <c r="F263" s="12">
        <f>239.85+723.88+660.36</f>
        <v>1624.0900000000001</v>
      </c>
      <c r="G263" s="12">
        <v>0</v>
      </c>
      <c r="H263" s="9" t="s">
        <v>646</v>
      </c>
      <c r="I263" s="14" t="s">
        <v>434</v>
      </c>
    </row>
    <row r="264" spans="1:9" x14ac:dyDescent="0.25">
      <c r="A264" s="8">
        <v>263</v>
      </c>
      <c r="B264" s="9" t="s">
        <v>648</v>
      </c>
      <c r="C264" s="10">
        <v>2020</v>
      </c>
      <c r="D264" s="11">
        <v>44130</v>
      </c>
      <c r="E264" s="9" t="s">
        <v>334</v>
      </c>
      <c r="F264" s="12">
        <f>166.05+707.71+390.87</f>
        <v>1264.6300000000001</v>
      </c>
      <c r="G264" s="12">
        <v>0</v>
      </c>
      <c r="H264" s="9" t="s">
        <v>646</v>
      </c>
      <c r="I264" s="14" t="s">
        <v>434</v>
      </c>
    </row>
    <row r="265" spans="1:9" x14ac:dyDescent="0.25">
      <c r="A265" s="8">
        <v>264</v>
      </c>
      <c r="B265" s="9" t="s">
        <v>649</v>
      </c>
      <c r="C265" s="10">
        <v>2020</v>
      </c>
      <c r="D265" s="11">
        <v>44130</v>
      </c>
      <c r="E265" s="9" t="s">
        <v>334</v>
      </c>
      <c r="F265" s="12">
        <f>344.4+1083.48+662.86</f>
        <v>2090.7400000000002</v>
      </c>
      <c r="G265" s="12">
        <v>0</v>
      </c>
      <c r="H265" s="9" t="s">
        <v>646</v>
      </c>
      <c r="I265" s="14" t="s">
        <v>434</v>
      </c>
    </row>
    <row r="266" spans="1:9" x14ac:dyDescent="0.25">
      <c r="A266" s="8">
        <v>265</v>
      </c>
      <c r="B266" s="9" t="s">
        <v>650</v>
      </c>
      <c r="C266" s="10">
        <v>2020</v>
      </c>
      <c r="D266" s="11">
        <v>44130</v>
      </c>
      <c r="E266" s="9" t="s">
        <v>334</v>
      </c>
      <c r="F266" s="12">
        <f>159.9+507.13+304.72</f>
        <v>971.75</v>
      </c>
      <c r="G266" s="12">
        <v>0</v>
      </c>
      <c r="H266" s="9" t="s">
        <v>349</v>
      </c>
      <c r="I266" s="14" t="s">
        <v>434</v>
      </c>
    </row>
    <row r="267" spans="1:9" x14ac:dyDescent="0.25">
      <c r="A267" s="8">
        <v>266</v>
      </c>
      <c r="B267" s="9" t="s">
        <v>651</v>
      </c>
      <c r="C267" s="10">
        <v>2020</v>
      </c>
      <c r="D267" s="11">
        <v>44130</v>
      </c>
      <c r="E267" s="9" t="s">
        <v>334</v>
      </c>
      <c r="F267" s="12">
        <f>12.3+249.86+496.48</f>
        <v>758.6400000000001</v>
      </c>
      <c r="G267" s="12">
        <v>0</v>
      </c>
      <c r="H267" s="9" t="s">
        <v>349</v>
      </c>
      <c r="I267" s="14" t="s">
        <v>434</v>
      </c>
    </row>
    <row r="268" spans="1:9" x14ac:dyDescent="0.25">
      <c r="A268" s="8">
        <v>267</v>
      </c>
      <c r="B268" s="9" t="s">
        <v>652</v>
      </c>
      <c r="C268" s="10">
        <v>2020</v>
      </c>
      <c r="D268" s="11">
        <v>44130</v>
      </c>
      <c r="E268" s="9" t="s">
        <v>334</v>
      </c>
      <c r="F268" s="12">
        <f>455.1+1269.31+1001.05</f>
        <v>2725.46</v>
      </c>
      <c r="G268" s="12">
        <v>0</v>
      </c>
      <c r="H268" s="9" t="s">
        <v>356</v>
      </c>
      <c r="I268" s="14" t="s">
        <v>434</v>
      </c>
    </row>
    <row r="269" spans="1:9" x14ac:dyDescent="0.25">
      <c r="A269" s="8">
        <v>268</v>
      </c>
      <c r="B269" s="9" t="s">
        <v>653</v>
      </c>
      <c r="C269" s="10">
        <v>2020</v>
      </c>
      <c r="D269" s="11">
        <v>44130</v>
      </c>
      <c r="E269" s="9" t="s">
        <v>334</v>
      </c>
      <c r="F269" s="12">
        <f>166.05+420.52+379.28</f>
        <v>965.84999999999991</v>
      </c>
      <c r="G269" s="12">
        <v>0</v>
      </c>
      <c r="H269" s="9" t="s">
        <v>356</v>
      </c>
      <c r="I269" s="14" t="s">
        <v>434</v>
      </c>
    </row>
    <row r="270" spans="1:9" x14ac:dyDescent="0.25">
      <c r="A270" s="8">
        <v>269</v>
      </c>
      <c r="B270" s="9" t="s">
        <v>654</v>
      </c>
      <c r="C270" s="10">
        <v>2020</v>
      </c>
      <c r="D270" s="11">
        <v>44130</v>
      </c>
      <c r="E270" s="9" t="s">
        <v>334</v>
      </c>
      <c r="F270" s="12">
        <f>123+1453.24+1607.62</f>
        <v>3183.8599999999997</v>
      </c>
      <c r="G270" s="12">
        <v>0</v>
      </c>
      <c r="H270" s="9" t="s">
        <v>356</v>
      </c>
      <c r="I270" s="14" t="s">
        <v>434</v>
      </c>
    </row>
    <row r="271" spans="1:9" x14ac:dyDescent="0.25">
      <c r="A271" s="8">
        <v>270</v>
      </c>
      <c r="B271" s="9" t="s">
        <v>655</v>
      </c>
      <c r="C271" s="10">
        <v>2020</v>
      </c>
      <c r="D271" s="11">
        <v>44131</v>
      </c>
      <c r="E271" s="9" t="s">
        <v>334</v>
      </c>
      <c r="F271" s="12">
        <f>255.23+904.72+323.18</f>
        <v>1483.13</v>
      </c>
      <c r="G271" s="12">
        <v>0</v>
      </c>
      <c r="H271" s="9" t="s">
        <v>351</v>
      </c>
      <c r="I271" s="14" t="s">
        <v>434</v>
      </c>
    </row>
    <row r="272" spans="1:9" x14ac:dyDescent="0.25">
      <c r="A272" s="8">
        <v>271</v>
      </c>
      <c r="B272" s="9" t="s">
        <v>656</v>
      </c>
      <c r="C272" s="10">
        <v>2020</v>
      </c>
      <c r="D272" s="11">
        <v>44132</v>
      </c>
      <c r="E272" s="9" t="s">
        <v>334</v>
      </c>
      <c r="F272" s="12">
        <f>153.75+961.1</f>
        <v>1114.8499999999999</v>
      </c>
      <c r="G272" s="12">
        <v>0</v>
      </c>
      <c r="H272" s="9" t="s">
        <v>358</v>
      </c>
      <c r="I272" s="14" t="s">
        <v>434</v>
      </c>
    </row>
    <row r="273" spans="1:9" x14ac:dyDescent="0.25">
      <c r="A273" s="8">
        <v>272</v>
      </c>
      <c r="B273" s="9" t="s">
        <v>657</v>
      </c>
      <c r="C273" s="10">
        <v>2020</v>
      </c>
      <c r="D273" s="11">
        <v>44132</v>
      </c>
      <c r="E273" s="9" t="s">
        <v>334</v>
      </c>
      <c r="F273" s="12">
        <f>325.95+1692.84</f>
        <v>2018.79</v>
      </c>
      <c r="G273" s="12">
        <v>0</v>
      </c>
      <c r="H273" s="9" t="s">
        <v>358</v>
      </c>
      <c r="I273" s="14" t="s">
        <v>434</v>
      </c>
    </row>
    <row r="274" spans="1:9" x14ac:dyDescent="0.25">
      <c r="A274" s="8">
        <v>273</v>
      </c>
      <c r="B274" s="9" t="s">
        <v>658</v>
      </c>
      <c r="C274" s="10">
        <v>2020</v>
      </c>
      <c r="D274" s="11">
        <v>44132</v>
      </c>
      <c r="E274" s="9" t="s">
        <v>334</v>
      </c>
      <c r="F274" s="12">
        <f>67.66+255.13</f>
        <v>322.78999999999996</v>
      </c>
      <c r="G274" s="12">
        <v>0</v>
      </c>
      <c r="H274" s="9" t="s">
        <v>358</v>
      </c>
      <c r="I274" s="14" t="s">
        <v>434</v>
      </c>
    </row>
    <row r="275" spans="1:9" x14ac:dyDescent="0.25">
      <c r="A275" s="8">
        <v>274</v>
      </c>
      <c r="B275" s="9" t="s">
        <v>659</v>
      </c>
      <c r="C275" s="10">
        <v>2020</v>
      </c>
      <c r="D275" s="11">
        <v>44132</v>
      </c>
      <c r="E275" s="9" t="s">
        <v>334</v>
      </c>
      <c r="F275" s="12">
        <f>129.16+560.81</f>
        <v>689.96999999999991</v>
      </c>
      <c r="G275" s="12">
        <v>0</v>
      </c>
      <c r="H275" s="9" t="s">
        <v>351</v>
      </c>
      <c r="I275" s="14" t="s">
        <v>434</v>
      </c>
    </row>
    <row r="276" spans="1:9" x14ac:dyDescent="0.25">
      <c r="A276" s="8">
        <v>275</v>
      </c>
      <c r="B276" s="9" t="s">
        <v>660</v>
      </c>
      <c r="C276" s="10">
        <v>2020</v>
      </c>
      <c r="D276" s="11">
        <v>44132</v>
      </c>
      <c r="E276" s="9" t="s">
        <v>334</v>
      </c>
      <c r="F276" s="12">
        <f>135.3+836.45</f>
        <v>971.75</v>
      </c>
      <c r="G276" s="12">
        <v>0</v>
      </c>
      <c r="H276" s="9" t="s">
        <v>351</v>
      </c>
      <c r="I276" s="14" t="s">
        <v>434</v>
      </c>
    </row>
    <row r="277" spans="1:9" x14ac:dyDescent="0.25">
      <c r="A277" s="8">
        <v>276</v>
      </c>
      <c r="B277" s="9" t="s">
        <v>661</v>
      </c>
      <c r="C277" s="10">
        <v>2020</v>
      </c>
      <c r="D277" s="11">
        <v>44132</v>
      </c>
      <c r="E277" s="9" t="s">
        <v>334</v>
      </c>
      <c r="F277" s="12">
        <f>153.75+480.54+480.56</f>
        <v>1114.8499999999999</v>
      </c>
      <c r="G277" s="12">
        <v>0</v>
      </c>
      <c r="H277" s="9" t="s">
        <v>351</v>
      </c>
      <c r="I277" s="14" t="s">
        <v>434</v>
      </c>
    </row>
    <row r="278" spans="1:9" x14ac:dyDescent="0.25">
      <c r="A278" s="8">
        <v>277</v>
      </c>
      <c r="B278" s="9" t="s">
        <v>662</v>
      </c>
      <c r="C278" s="10">
        <v>2020</v>
      </c>
      <c r="D278" s="11">
        <v>44132</v>
      </c>
      <c r="E278" s="9" t="s">
        <v>334</v>
      </c>
      <c r="F278" s="12">
        <f>270.6+1436.64</f>
        <v>1707.2400000000002</v>
      </c>
      <c r="G278" s="12">
        <v>0</v>
      </c>
      <c r="H278" s="9" t="s">
        <v>351</v>
      </c>
      <c r="I278" s="14" t="s">
        <v>434</v>
      </c>
    </row>
    <row r="279" spans="1:9" x14ac:dyDescent="0.25">
      <c r="A279" s="8">
        <v>278</v>
      </c>
      <c r="B279" s="9" t="s">
        <v>663</v>
      </c>
      <c r="C279" s="10">
        <v>2020</v>
      </c>
      <c r="D279" s="11">
        <v>44132</v>
      </c>
      <c r="E279" s="9" t="s">
        <v>334</v>
      </c>
      <c r="F279" s="12">
        <f>313.65+1026.38+495.17</f>
        <v>1835.2000000000003</v>
      </c>
      <c r="G279" s="12">
        <v>0</v>
      </c>
      <c r="H279" s="9" t="s">
        <v>351</v>
      </c>
      <c r="I279" s="14" t="s">
        <v>434</v>
      </c>
    </row>
    <row r="280" spans="1:9" x14ac:dyDescent="0.25">
      <c r="A280" s="8">
        <v>279</v>
      </c>
      <c r="B280" s="9" t="s">
        <v>664</v>
      </c>
      <c r="C280" s="10">
        <v>2020</v>
      </c>
      <c r="D280" s="11">
        <v>44132</v>
      </c>
      <c r="E280" s="9" t="s">
        <v>334</v>
      </c>
      <c r="F280" s="12">
        <f>141.45+405.07+191.42</f>
        <v>737.93999999999994</v>
      </c>
      <c r="G280" s="12">
        <v>0</v>
      </c>
      <c r="H280" s="9" t="s">
        <v>351</v>
      </c>
      <c r="I280" s="14" t="s">
        <v>434</v>
      </c>
    </row>
    <row r="281" spans="1:9" x14ac:dyDescent="0.25">
      <c r="A281" s="8">
        <v>280</v>
      </c>
      <c r="B281" s="9" t="s">
        <v>665</v>
      </c>
      <c r="C281" s="10">
        <v>2020</v>
      </c>
      <c r="D281" s="11">
        <v>44132</v>
      </c>
      <c r="E281" s="9" t="s">
        <v>334</v>
      </c>
      <c r="F281" s="12">
        <f>397.68+646.31+385.43</f>
        <v>1429.42</v>
      </c>
      <c r="G281" s="12">
        <v>0</v>
      </c>
      <c r="H281" s="9" t="s">
        <v>351</v>
      </c>
      <c r="I281" s="14" t="s">
        <v>434</v>
      </c>
    </row>
    <row r="282" spans="1:9" x14ac:dyDescent="0.25">
      <c r="A282" s="8">
        <v>281</v>
      </c>
      <c r="B282" s="9" t="s">
        <v>666</v>
      </c>
      <c r="C282" s="10">
        <v>2020</v>
      </c>
      <c r="D282" s="11">
        <v>44132</v>
      </c>
      <c r="E282" s="9" t="s">
        <v>334</v>
      </c>
      <c r="F282" s="12">
        <f>307.5+849.78+853.87</f>
        <v>2011.15</v>
      </c>
      <c r="G282" s="12">
        <v>0</v>
      </c>
      <c r="H282" s="9" t="s">
        <v>386</v>
      </c>
      <c r="I282" s="14" t="s">
        <v>434</v>
      </c>
    </row>
    <row r="283" spans="1:9" x14ac:dyDescent="0.25">
      <c r="A283" s="8">
        <v>282</v>
      </c>
      <c r="B283" s="9" t="s">
        <v>667</v>
      </c>
      <c r="C283" s="10">
        <v>2020</v>
      </c>
      <c r="D283" s="11">
        <v>44132</v>
      </c>
      <c r="E283" s="9" t="s">
        <v>334</v>
      </c>
      <c r="F283" s="12">
        <f>221.4+750.7+385.43</f>
        <v>1357.53</v>
      </c>
      <c r="G283" s="12">
        <v>0</v>
      </c>
      <c r="H283" s="9" t="s">
        <v>386</v>
      </c>
      <c r="I283" s="14" t="s">
        <v>434</v>
      </c>
    </row>
    <row r="284" spans="1:9" x14ac:dyDescent="0.25">
      <c r="A284" s="8">
        <v>283</v>
      </c>
      <c r="B284" s="9" t="s">
        <v>668</v>
      </c>
      <c r="C284" s="10">
        <v>2020</v>
      </c>
      <c r="D284" s="11">
        <v>44132</v>
      </c>
      <c r="E284" s="9" t="s">
        <v>334</v>
      </c>
      <c r="F284" s="12">
        <f>226.37+336.79</f>
        <v>563.16000000000008</v>
      </c>
      <c r="G284" s="12">
        <v>0</v>
      </c>
      <c r="H284" s="9" t="s">
        <v>386</v>
      </c>
      <c r="I284" s="14" t="s">
        <v>434</v>
      </c>
    </row>
    <row r="285" spans="1:9" x14ac:dyDescent="0.25">
      <c r="A285" s="8">
        <v>284</v>
      </c>
      <c r="B285" s="9" t="s">
        <v>669</v>
      </c>
      <c r="C285" s="10">
        <v>2020</v>
      </c>
      <c r="D285" s="11">
        <v>44132</v>
      </c>
      <c r="E285" s="9" t="s">
        <v>334</v>
      </c>
      <c r="F285" s="12">
        <f>758.54+379.26</f>
        <v>1137.8</v>
      </c>
      <c r="G285" s="12">
        <v>0</v>
      </c>
      <c r="H285" s="9" t="s">
        <v>386</v>
      </c>
      <c r="I285" s="14" t="s">
        <v>434</v>
      </c>
    </row>
    <row r="286" spans="1:9" x14ac:dyDescent="0.25">
      <c r="A286" s="8">
        <v>285</v>
      </c>
      <c r="B286" s="9" t="s">
        <v>670</v>
      </c>
      <c r="C286" s="10">
        <v>2020</v>
      </c>
      <c r="D286" s="11">
        <v>44132</v>
      </c>
      <c r="E286" s="9" t="s">
        <v>334</v>
      </c>
      <c r="F286" s="12">
        <f>375.14+1930.15</f>
        <v>2305.29</v>
      </c>
      <c r="G286" s="12">
        <v>0</v>
      </c>
      <c r="H286" s="9" t="s">
        <v>386</v>
      </c>
      <c r="I286" s="14" t="s">
        <v>434</v>
      </c>
    </row>
    <row r="287" spans="1:9" x14ac:dyDescent="0.25">
      <c r="A287" s="8">
        <v>286</v>
      </c>
      <c r="B287" s="9" t="s">
        <v>671</v>
      </c>
      <c r="C287" s="10">
        <v>2020</v>
      </c>
      <c r="D287" s="11">
        <v>44132</v>
      </c>
      <c r="E287" s="9" t="s">
        <v>334</v>
      </c>
      <c r="F287" s="12">
        <f>442.8+2019</f>
        <v>2461.8000000000002</v>
      </c>
      <c r="G287" s="12">
        <v>0</v>
      </c>
      <c r="H287" s="9" t="s">
        <v>386</v>
      </c>
      <c r="I287" s="14" t="s">
        <v>434</v>
      </c>
    </row>
    <row r="288" spans="1:9" x14ac:dyDescent="0.25">
      <c r="A288" s="8">
        <v>287</v>
      </c>
      <c r="B288" s="9" t="s">
        <v>672</v>
      </c>
      <c r="C288" s="10">
        <v>2020</v>
      </c>
      <c r="D288" s="11">
        <v>44132</v>
      </c>
      <c r="E288" s="9" t="s">
        <v>334</v>
      </c>
      <c r="F288" s="12">
        <f>275.55+739.97+173.87</f>
        <v>1189.3899999999999</v>
      </c>
      <c r="G288" s="12">
        <v>0</v>
      </c>
      <c r="H288" s="9" t="s">
        <v>386</v>
      </c>
      <c r="I288" s="14" t="s">
        <v>434</v>
      </c>
    </row>
    <row r="289" spans="1:9" x14ac:dyDescent="0.25">
      <c r="A289" s="8">
        <v>288</v>
      </c>
      <c r="B289" s="9" t="s">
        <v>673</v>
      </c>
      <c r="C289" s="10">
        <v>2020</v>
      </c>
      <c r="D289" s="11">
        <v>44132</v>
      </c>
      <c r="E289" s="9" t="s">
        <v>334</v>
      </c>
      <c r="F289" s="12">
        <f>362.85+1278.8+385.43</f>
        <v>2027.0800000000002</v>
      </c>
      <c r="G289" s="12">
        <v>0</v>
      </c>
      <c r="H289" s="9" t="s">
        <v>465</v>
      </c>
      <c r="I289" s="14" t="s">
        <v>434</v>
      </c>
    </row>
    <row r="290" spans="1:9" x14ac:dyDescent="0.25">
      <c r="A290" s="8">
        <v>289</v>
      </c>
      <c r="B290" s="9" t="s">
        <v>674</v>
      </c>
      <c r="C290" s="10">
        <v>2020</v>
      </c>
      <c r="D290" s="11">
        <v>44132</v>
      </c>
      <c r="E290" s="9" t="s">
        <v>334</v>
      </c>
      <c r="F290" s="12">
        <f>141.45+1105+354.68</f>
        <v>1601.13</v>
      </c>
      <c r="G290" s="12">
        <v>0</v>
      </c>
      <c r="H290" s="9" t="s">
        <v>447</v>
      </c>
      <c r="I290" s="14" t="s">
        <v>434</v>
      </c>
    </row>
    <row r="291" spans="1:9" x14ac:dyDescent="0.25">
      <c r="A291" s="8">
        <v>290</v>
      </c>
      <c r="B291" s="9" t="s">
        <v>675</v>
      </c>
      <c r="C291" s="10">
        <v>2020</v>
      </c>
      <c r="D291" s="11">
        <v>44132</v>
      </c>
      <c r="E291" s="9" t="s">
        <v>334</v>
      </c>
      <c r="F291" s="12">
        <f>593.47+1349.23+1182.45</f>
        <v>3125.15</v>
      </c>
      <c r="G291" s="12">
        <v>0</v>
      </c>
      <c r="H291" s="9" t="s">
        <v>447</v>
      </c>
      <c r="I291" s="14" t="s">
        <v>434</v>
      </c>
    </row>
    <row r="292" spans="1:9" x14ac:dyDescent="0.25">
      <c r="A292" s="8">
        <v>291</v>
      </c>
      <c r="B292" s="9" t="s">
        <v>676</v>
      </c>
      <c r="C292" s="10">
        <v>2020</v>
      </c>
      <c r="D292" s="11">
        <v>44132</v>
      </c>
      <c r="E292" s="9" t="s">
        <v>334</v>
      </c>
      <c r="F292" s="12">
        <f>405.89+1202.42+738.07</f>
        <v>2346.38</v>
      </c>
      <c r="G292" s="12">
        <v>0</v>
      </c>
      <c r="H292" s="9" t="s">
        <v>447</v>
      </c>
      <c r="I292" s="14" t="s">
        <v>434</v>
      </c>
    </row>
    <row r="293" spans="1:9" x14ac:dyDescent="0.25">
      <c r="A293" s="8">
        <v>292</v>
      </c>
      <c r="B293" s="9" t="s">
        <v>677</v>
      </c>
      <c r="C293" s="10">
        <v>2020</v>
      </c>
      <c r="D293" s="11">
        <v>44132</v>
      </c>
      <c r="E293" s="9" t="s">
        <v>334</v>
      </c>
      <c r="F293" s="12">
        <f>252.14+69.62+708.46+659.69</f>
        <v>1689.91</v>
      </c>
      <c r="G293" s="12">
        <v>0</v>
      </c>
      <c r="H293" s="9" t="s">
        <v>447</v>
      </c>
      <c r="I293" s="14" t="s">
        <v>434</v>
      </c>
    </row>
    <row r="294" spans="1:9" x14ac:dyDescent="0.25">
      <c r="A294" s="8">
        <v>293</v>
      </c>
      <c r="B294" s="9" t="s">
        <v>678</v>
      </c>
      <c r="C294" s="10">
        <v>2020</v>
      </c>
      <c r="D294" s="11">
        <v>44132</v>
      </c>
      <c r="E294" s="9" t="s">
        <v>334</v>
      </c>
      <c r="F294" s="12">
        <f>190.65+692.27+354.68</f>
        <v>1237.5999999999999</v>
      </c>
      <c r="G294" s="12">
        <v>0</v>
      </c>
      <c r="H294" s="9" t="s">
        <v>447</v>
      </c>
      <c r="I294" s="14" t="s">
        <v>434</v>
      </c>
    </row>
    <row r="295" spans="1:9" x14ac:dyDescent="0.25">
      <c r="A295" s="8">
        <v>294</v>
      </c>
      <c r="B295" s="9" t="s">
        <v>679</v>
      </c>
      <c r="C295" s="10">
        <v>2020</v>
      </c>
      <c r="D295" s="11">
        <v>44132</v>
      </c>
      <c r="E295" s="9" t="s">
        <v>334</v>
      </c>
      <c r="F295" s="12">
        <f>418.18+982.86+850.85</f>
        <v>2251.89</v>
      </c>
      <c r="G295" s="12">
        <v>0</v>
      </c>
      <c r="H295" s="9" t="s">
        <v>447</v>
      </c>
      <c r="I295" s="14" t="s">
        <v>434</v>
      </c>
    </row>
    <row r="296" spans="1:9" x14ac:dyDescent="0.25">
      <c r="A296" s="8">
        <v>295</v>
      </c>
      <c r="B296" s="9" t="s">
        <v>680</v>
      </c>
      <c r="C296" s="10">
        <v>2020</v>
      </c>
      <c r="D296" s="11">
        <v>44132</v>
      </c>
      <c r="E296" s="9" t="s">
        <v>334</v>
      </c>
      <c r="F296" s="12">
        <f>110.69+294.67+191.42</f>
        <v>596.78</v>
      </c>
      <c r="G296" s="12">
        <v>0</v>
      </c>
      <c r="H296" s="9" t="s">
        <v>447</v>
      </c>
      <c r="I296" s="14" t="s">
        <v>434</v>
      </c>
    </row>
    <row r="297" spans="1:9" x14ac:dyDescent="0.25">
      <c r="A297" s="8">
        <v>296</v>
      </c>
      <c r="B297" s="9" t="s">
        <v>681</v>
      </c>
      <c r="C297" s="10">
        <v>2020</v>
      </c>
      <c r="D297" s="11">
        <v>44132</v>
      </c>
      <c r="E297" s="9" t="s">
        <v>334</v>
      </c>
      <c r="F297" s="12">
        <f>942.73+507.47</f>
        <v>1450.2</v>
      </c>
      <c r="G297" s="12">
        <v>0</v>
      </c>
      <c r="H297" s="9" t="s">
        <v>484</v>
      </c>
      <c r="I297" s="14" t="s">
        <v>434</v>
      </c>
    </row>
    <row r="298" spans="1:9" x14ac:dyDescent="0.25">
      <c r="A298" s="8">
        <v>297</v>
      </c>
      <c r="B298" s="9" t="s">
        <v>682</v>
      </c>
      <c r="C298" s="10">
        <v>2020</v>
      </c>
      <c r="D298" s="11">
        <v>44133</v>
      </c>
      <c r="E298" s="9" t="s">
        <v>334</v>
      </c>
      <c r="F298" s="12">
        <f>252.14+1706.7</f>
        <v>1958.8400000000001</v>
      </c>
      <c r="G298" s="12">
        <v>0</v>
      </c>
      <c r="H298" s="9" t="s">
        <v>484</v>
      </c>
      <c r="I298" s="14" t="s">
        <v>434</v>
      </c>
    </row>
    <row r="299" spans="1:9" x14ac:dyDescent="0.25">
      <c r="A299" s="8">
        <v>298</v>
      </c>
      <c r="B299" s="9" t="s">
        <v>683</v>
      </c>
      <c r="C299" s="10">
        <v>2020</v>
      </c>
      <c r="D299" s="11">
        <v>44133</v>
      </c>
      <c r="E299" s="9" t="s">
        <v>334</v>
      </c>
      <c r="F299" s="12">
        <f>405.91+2021.4</f>
        <v>2427.31</v>
      </c>
      <c r="G299" s="12">
        <v>0</v>
      </c>
      <c r="H299" s="9" t="s">
        <v>484</v>
      </c>
      <c r="I299" s="14" t="s">
        <v>434</v>
      </c>
    </row>
    <row r="300" spans="1:9" x14ac:dyDescent="0.25">
      <c r="A300" s="8">
        <v>299</v>
      </c>
      <c r="B300" s="9" t="s">
        <v>684</v>
      </c>
      <c r="C300" s="10">
        <v>2020</v>
      </c>
      <c r="D300" s="11">
        <v>44134</v>
      </c>
      <c r="E300" s="9" t="s">
        <v>334</v>
      </c>
      <c r="F300" s="12">
        <f>984.09+813.95</f>
        <v>1798.04</v>
      </c>
      <c r="G300" s="12">
        <v>0</v>
      </c>
      <c r="H300" s="9" t="s">
        <v>484</v>
      </c>
      <c r="I300" s="14" t="s">
        <v>434</v>
      </c>
    </row>
    <row r="301" spans="1:9" x14ac:dyDescent="0.25">
      <c r="A301" s="8">
        <v>300</v>
      </c>
      <c r="B301" s="9" t="s">
        <v>685</v>
      </c>
      <c r="C301" s="10">
        <v>2020</v>
      </c>
      <c r="D301" s="11">
        <v>44134</v>
      </c>
      <c r="E301" s="9" t="s">
        <v>334</v>
      </c>
      <c r="F301" s="12">
        <f>975.11+738.07</f>
        <v>1713.18</v>
      </c>
      <c r="G301" s="12">
        <v>0</v>
      </c>
      <c r="H301" s="9" t="s">
        <v>413</v>
      </c>
      <c r="I301" s="14" t="s">
        <v>434</v>
      </c>
    </row>
    <row r="302" spans="1:9" x14ac:dyDescent="0.25">
      <c r="A302" s="8">
        <v>301</v>
      </c>
      <c r="B302" s="9" t="s">
        <v>686</v>
      </c>
      <c r="C302" s="10">
        <v>2020</v>
      </c>
      <c r="D302" s="11">
        <v>44134</v>
      </c>
      <c r="E302" s="9" t="s">
        <v>334</v>
      </c>
      <c r="F302" s="12">
        <f>638.93+448.35+172.2</f>
        <v>1259.48</v>
      </c>
      <c r="G302" s="12">
        <v>0</v>
      </c>
      <c r="H302" s="9" t="s">
        <v>687</v>
      </c>
      <c r="I302" s="14" t="s">
        <v>434</v>
      </c>
    </row>
    <row r="303" spans="1:9" x14ac:dyDescent="0.25">
      <c r="A303" s="8">
        <v>302</v>
      </c>
      <c r="B303" s="9" t="s">
        <v>688</v>
      </c>
      <c r="C303" s="10">
        <v>2020</v>
      </c>
      <c r="D303" s="11">
        <v>44134</v>
      </c>
      <c r="E303" s="9" t="s">
        <v>334</v>
      </c>
      <c r="F303" s="12">
        <f>325.95+1062.05+495.17</f>
        <v>1883.17</v>
      </c>
      <c r="G303" s="12">
        <v>0</v>
      </c>
      <c r="H303" s="9" t="s">
        <v>687</v>
      </c>
      <c r="I303" s="14" t="s">
        <v>434</v>
      </c>
    </row>
    <row r="304" spans="1:9" x14ac:dyDescent="0.25">
      <c r="A304" s="8">
        <v>303</v>
      </c>
      <c r="B304" s="9" t="s">
        <v>689</v>
      </c>
      <c r="C304" s="10">
        <v>2020</v>
      </c>
      <c r="D304" s="11">
        <v>44134</v>
      </c>
      <c r="E304" s="9" t="s">
        <v>334</v>
      </c>
      <c r="F304" s="12">
        <f>261.38+973.08+354.68</f>
        <v>1589.14</v>
      </c>
      <c r="G304" s="12">
        <v>0</v>
      </c>
      <c r="H304" s="9" t="s">
        <v>687</v>
      </c>
      <c r="I304" s="14" t="s">
        <v>434</v>
      </c>
    </row>
    <row r="305" spans="1:9" x14ac:dyDescent="0.25">
      <c r="A305" s="8">
        <v>304</v>
      </c>
      <c r="B305" s="9" t="s">
        <v>690</v>
      </c>
      <c r="C305" s="10">
        <v>2020</v>
      </c>
      <c r="D305" s="11">
        <v>44134</v>
      </c>
      <c r="E305" s="9" t="s">
        <v>334</v>
      </c>
      <c r="F305" s="12">
        <f>227.1+140.49+86.1</f>
        <v>453.69000000000005</v>
      </c>
      <c r="G305" s="12">
        <v>0</v>
      </c>
      <c r="H305" s="9" t="s">
        <v>687</v>
      </c>
      <c r="I305" s="14" t="s">
        <v>434</v>
      </c>
    </row>
    <row r="306" spans="1:9" x14ac:dyDescent="0.25">
      <c r="A306" s="8">
        <v>305</v>
      </c>
      <c r="B306" s="9" t="s">
        <v>691</v>
      </c>
      <c r="C306" s="10">
        <v>2020</v>
      </c>
      <c r="D306" s="11">
        <v>44134</v>
      </c>
      <c r="E306" s="9" t="s">
        <v>334</v>
      </c>
      <c r="F306" s="12">
        <f>159.9+509.12+438.99</f>
        <v>1108.01</v>
      </c>
      <c r="G306" s="12">
        <v>0</v>
      </c>
      <c r="H306" s="9" t="s">
        <v>687</v>
      </c>
      <c r="I306" s="14" t="s">
        <v>434</v>
      </c>
    </row>
    <row r="307" spans="1:9" x14ac:dyDescent="0.25">
      <c r="A307" s="8">
        <v>306</v>
      </c>
      <c r="B307" s="9" t="s">
        <v>692</v>
      </c>
      <c r="C307" s="10">
        <v>2020</v>
      </c>
      <c r="D307" s="11">
        <v>44134</v>
      </c>
      <c r="E307" s="9" t="s">
        <v>334</v>
      </c>
      <c r="F307" s="12">
        <f>196.8+774.56+699.89</f>
        <v>1671.25</v>
      </c>
      <c r="G307" s="12">
        <v>0</v>
      </c>
      <c r="H307" s="9" t="s">
        <v>687</v>
      </c>
      <c r="I307" s="14" t="s">
        <v>434</v>
      </c>
    </row>
    <row r="308" spans="1:9" x14ac:dyDescent="0.25">
      <c r="A308" s="8">
        <v>307</v>
      </c>
      <c r="B308" s="9" t="s">
        <v>693</v>
      </c>
      <c r="C308" s="10">
        <v>2020</v>
      </c>
      <c r="D308" s="11">
        <v>44134</v>
      </c>
      <c r="E308" s="9" t="s">
        <v>334</v>
      </c>
      <c r="F308" s="12">
        <f>221.39+256.77+1045.1</f>
        <v>1523.2599999999998</v>
      </c>
      <c r="G308" s="12">
        <v>0</v>
      </c>
      <c r="H308" s="9" t="s">
        <v>687</v>
      </c>
      <c r="I308" s="14" t="s">
        <v>434</v>
      </c>
    </row>
    <row r="309" spans="1:9" x14ac:dyDescent="0.25">
      <c r="A309" s="8">
        <v>308</v>
      </c>
      <c r="B309" s="9" t="s">
        <v>694</v>
      </c>
      <c r="C309" s="10">
        <v>2020</v>
      </c>
      <c r="D309" s="11">
        <v>44134</v>
      </c>
      <c r="E309" s="9" t="s">
        <v>334</v>
      </c>
      <c r="F309" s="12">
        <f>239.85+726.08+660.36</f>
        <v>1626.29</v>
      </c>
      <c r="G309" s="12">
        <v>0</v>
      </c>
      <c r="H309" s="9" t="s">
        <v>687</v>
      </c>
      <c r="I309" s="14" t="s">
        <v>434</v>
      </c>
    </row>
    <row r="310" spans="1:9" x14ac:dyDescent="0.25">
      <c r="A310" s="8">
        <v>309</v>
      </c>
      <c r="B310" s="9" t="s">
        <v>695</v>
      </c>
      <c r="C310" s="10">
        <v>2020</v>
      </c>
      <c r="D310" s="11">
        <v>44134</v>
      </c>
      <c r="E310" s="9" t="s">
        <v>334</v>
      </c>
      <c r="F310" s="12">
        <f>802.94+415.59+245.99</f>
        <v>1464.52</v>
      </c>
      <c r="G310" s="12">
        <v>0</v>
      </c>
      <c r="H310" s="9" t="s">
        <v>458</v>
      </c>
      <c r="I310" s="14" t="s">
        <v>434</v>
      </c>
    </row>
    <row r="311" spans="1:9" x14ac:dyDescent="0.25">
      <c r="A311" s="8">
        <v>310</v>
      </c>
      <c r="B311" s="9" t="s">
        <v>696</v>
      </c>
      <c r="C311" s="10">
        <v>2020</v>
      </c>
      <c r="D311" s="11">
        <v>44134</v>
      </c>
      <c r="E311" s="9" t="s">
        <v>334</v>
      </c>
      <c r="F311" s="12">
        <f>578.09+1471.84+939.55</f>
        <v>2989.4799999999996</v>
      </c>
      <c r="G311" s="12">
        <v>0</v>
      </c>
      <c r="H311" s="9" t="s">
        <v>458</v>
      </c>
      <c r="I311" s="14" t="s">
        <v>434</v>
      </c>
    </row>
    <row r="312" spans="1:9" x14ac:dyDescent="0.25">
      <c r="A312" s="8">
        <v>311</v>
      </c>
      <c r="B312" s="9" t="s">
        <v>697</v>
      </c>
      <c r="C312" s="10">
        <v>2020</v>
      </c>
      <c r="D312" s="11">
        <v>44134</v>
      </c>
      <c r="E312" s="9" t="s">
        <v>334</v>
      </c>
      <c r="F312" s="12">
        <f>190.65+2579.03+801.86</f>
        <v>3571.5400000000004</v>
      </c>
      <c r="G312" s="12">
        <v>0</v>
      </c>
      <c r="H312" s="9" t="s">
        <v>458</v>
      </c>
      <c r="I312" s="14" t="s">
        <v>434</v>
      </c>
    </row>
    <row r="313" spans="1:9" x14ac:dyDescent="0.25">
      <c r="A313" s="8">
        <v>312</v>
      </c>
      <c r="B313" s="9" t="s">
        <v>698</v>
      </c>
      <c r="C313" s="10">
        <v>2020</v>
      </c>
      <c r="D313" s="11">
        <v>44137</v>
      </c>
      <c r="E313" s="9" t="s">
        <v>334</v>
      </c>
      <c r="F313" s="12">
        <f>911.13+1082.78+313.64</f>
        <v>2307.5499999999997</v>
      </c>
      <c r="G313" s="12">
        <v>0</v>
      </c>
      <c r="H313" s="9" t="s">
        <v>458</v>
      </c>
      <c r="I313" s="14" t="s">
        <v>434</v>
      </c>
    </row>
    <row r="314" spans="1:9" x14ac:dyDescent="0.25">
      <c r="A314" s="8">
        <v>313</v>
      </c>
      <c r="B314" s="9" t="s">
        <v>699</v>
      </c>
      <c r="C314" s="10">
        <v>2020</v>
      </c>
      <c r="D314" s="11">
        <v>44137</v>
      </c>
      <c r="E314" s="9" t="s">
        <v>334</v>
      </c>
      <c r="F314" s="12">
        <f>1500.37+937.2+504.29</f>
        <v>2941.8599999999997</v>
      </c>
      <c r="G314" s="12">
        <v>0</v>
      </c>
      <c r="H314" s="9" t="s">
        <v>458</v>
      </c>
      <c r="I314" s="14" t="s">
        <v>434</v>
      </c>
    </row>
    <row r="315" spans="1:9" x14ac:dyDescent="0.25">
      <c r="A315" s="8">
        <v>314</v>
      </c>
      <c r="B315" s="9" t="s">
        <v>700</v>
      </c>
      <c r="C315" s="10">
        <v>2020</v>
      </c>
      <c r="D315" s="11">
        <v>44137</v>
      </c>
      <c r="E315" s="9" t="s">
        <v>334</v>
      </c>
      <c r="F315" s="12">
        <f>1168.36+793.01+430.49</f>
        <v>2391.8599999999997</v>
      </c>
      <c r="G315" s="12">
        <v>0</v>
      </c>
      <c r="H315" s="9" t="s">
        <v>458</v>
      </c>
      <c r="I315" s="14" t="s">
        <v>434</v>
      </c>
    </row>
    <row r="316" spans="1:9" x14ac:dyDescent="0.25">
      <c r="A316" s="8">
        <v>315</v>
      </c>
      <c r="B316" s="9" t="s">
        <v>701</v>
      </c>
      <c r="C316" s="10">
        <v>2020</v>
      </c>
      <c r="D316" s="11">
        <v>44137</v>
      </c>
      <c r="E316" s="9" t="s">
        <v>334</v>
      </c>
      <c r="F316" s="12">
        <f>869.31+501.11+239.1</f>
        <v>1609.52</v>
      </c>
      <c r="G316" s="12">
        <v>0</v>
      </c>
      <c r="H316" s="9" t="s">
        <v>458</v>
      </c>
      <c r="I316" s="14" t="s">
        <v>434</v>
      </c>
    </row>
    <row r="317" spans="1:9" x14ac:dyDescent="0.25">
      <c r="A317" s="8">
        <v>316</v>
      </c>
      <c r="B317" s="9" t="s">
        <v>702</v>
      </c>
      <c r="C317" s="10">
        <v>2020</v>
      </c>
      <c r="D317" s="11">
        <v>44137</v>
      </c>
      <c r="E317" s="9" t="s">
        <v>334</v>
      </c>
      <c r="F317" s="12">
        <f>559.64+1113.93+1243.95</f>
        <v>2917.5200000000004</v>
      </c>
      <c r="G317" s="12">
        <v>0</v>
      </c>
      <c r="H317" s="9" t="s">
        <v>458</v>
      </c>
      <c r="I317" s="14" t="s">
        <v>434</v>
      </c>
    </row>
    <row r="318" spans="1:9" x14ac:dyDescent="0.25">
      <c r="A318" s="8">
        <v>317</v>
      </c>
      <c r="B318" s="9" t="s">
        <v>703</v>
      </c>
      <c r="C318" s="10">
        <v>2020</v>
      </c>
      <c r="D318" s="11">
        <v>44137</v>
      </c>
      <c r="E318" s="9" t="s">
        <v>334</v>
      </c>
      <c r="F318" s="12">
        <f>156.84+752.01+210.77</f>
        <v>1119.6200000000001</v>
      </c>
      <c r="G318" s="12">
        <v>0</v>
      </c>
      <c r="H318" s="9" t="s">
        <v>393</v>
      </c>
      <c r="I318" s="14" t="s">
        <v>434</v>
      </c>
    </row>
    <row r="319" spans="1:9" x14ac:dyDescent="0.25">
      <c r="A319" s="8">
        <v>318</v>
      </c>
      <c r="B319" s="9" t="s">
        <v>704</v>
      </c>
      <c r="C319" s="10">
        <v>2020</v>
      </c>
      <c r="D319" s="11">
        <v>44138</v>
      </c>
      <c r="E319" s="9" t="s">
        <v>334</v>
      </c>
      <c r="F319" s="12">
        <f>209.09+546.03+601.42</f>
        <v>1356.54</v>
      </c>
      <c r="G319" s="12">
        <v>0</v>
      </c>
      <c r="H319" s="9" t="s">
        <v>393</v>
      </c>
      <c r="I319" s="14" t="s">
        <v>434</v>
      </c>
    </row>
    <row r="320" spans="1:9" x14ac:dyDescent="0.25">
      <c r="A320" s="8">
        <v>319</v>
      </c>
      <c r="B320" s="9" t="s">
        <v>705</v>
      </c>
      <c r="C320" s="10">
        <v>2020</v>
      </c>
      <c r="D320" s="11">
        <v>44138</v>
      </c>
      <c r="E320" s="9" t="s">
        <v>334</v>
      </c>
      <c r="F320" s="12">
        <f>375.15+740.23+905.76</f>
        <v>2021.14</v>
      </c>
      <c r="G320" s="12">
        <v>0</v>
      </c>
      <c r="H320" s="9" t="s">
        <v>335</v>
      </c>
      <c r="I320" s="14" t="s">
        <v>434</v>
      </c>
    </row>
    <row r="321" spans="1:9" x14ac:dyDescent="0.25">
      <c r="A321" s="8">
        <v>320</v>
      </c>
      <c r="B321" s="9" t="s">
        <v>706</v>
      </c>
      <c r="C321" s="10">
        <v>2020</v>
      </c>
      <c r="D321" s="11">
        <v>44138</v>
      </c>
      <c r="E321" s="9" t="s">
        <v>334</v>
      </c>
      <c r="F321" s="12">
        <f>951.41+1606.66+1182.45</f>
        <v>3740.5200000000004</v>
      </c>
      <c r="G321" s="12">
        <v>0</v>
      </c>
      <c r="H321" s="9" t="s">
        <v>335</v>
      </c>
      <c r="I321" s="14" t="s">
        <v>434</v>
      </c>
    </row>
    <row r="322" spans="1:9" x14ac:dyDescent="0.25">
      <c r="A322" s="8">
        <v>321</v>
      </c>
      <c r="B322" s="9" t="s">
        <v>707</v>
      </c>
      <c r="C322" s="10">
        <v>2020</v>
      </c>
      <c r="D322" s="11">
        <v>44138</v>
      </c>
      <c r="E322" s="9" t="s">
        <v>334</v>
      </c>
      <c r="F322" s="12">
        <f>178.34+436.47+320.48</f>
        <v>935.29000000000008</v>
      </c>
      <c r="G322" s="12">
        <v>0</v>
      </c>
      <c r="H322" s="9" t="s">
        <v>335</v>
      </c>
      <c r="I322" s="14" t="s">
        <v>434</v>
      </c>
    </row>
    <row r="323" spans="1:9" x14ac:dyDescent="0.25">
      <c r="A323" s="8">
        <v>322</v>
      </c>
      <c r="B323" s="9" t="s">
        <v>708</v>
      </c>
      <c r="C323" s="10">
        <v>2020</v>
      </c>
      <c r="D323" s="11">
        <v>44138</v>
      </c>
      <c r="E323" s="9" t="s">
        <v>334</v>
      </c>
      <c r="F323" s="12">
        <f>958.19+498.22</f>
        <v>1456.41</v>
      </c>
      <c r="G323" s="12">
        <v>0</v>
      </c>
      <c r="H323" s="9" t="s">
        <v>335</v>
      </c>
      <c r="I323" s="14" t="s">
        <v>434</v>
      </c>
    </row>
    <row r="324" spans="1:9" x14ac:dyDescent="0.25">
      <c r="A324" s="8">
        <v>323</v>
      </c>
      <c r="B324" s="9" t="s">
        <v>709</v>
      </c>
      <c r="C324" s="10">
        <v>2020</v>
      </c>
      <c r="D324" s="11">
        <v>44139</v>
      </c>
      <c r="E324" s="9" t="s">
        <v>334</v>
      </c>
      <c r="F324" s="12">
        <f>830.24+2739.15+2095.79</f>
        <v>5665.18</v>
      </c>
      <c r="G324" s="12">
        <v>0</v>
      </c>
      <c r="H324" s="9" t="s">
        <v>335</v>
      </c>
      <c r="I324" s="14" t="s">
        <v>434</v>
      </c>
    </row>
    <row r="325" spans="1:9" x14ac:dyDescent="0.25">
      <c r="A325" s="8">
        <v>324</v>
      </c>
      <c r="B325" s="9" t="s">
        <v>710</v>
      </c>
      <c r="C325" s="10">
        <v>2020</v>
      </c>
      <c r="D325" s="11">
        <v>44139</v>
      </c>
      <c r="E325" s="9" t="s">
        <v>334</v>
      </c>
      <c r="F325" s="12">
        <f>744.15+2215.33+1259.68</f>
        <v>4219.16</v>
      </c>
      <c r="G325" s="12">
        <v>0</v>
      </c>
      <c r="H325" s="9" t="s">
        <v>711</v>
      </c>
      <c r="I325" s="14" t="s">
        <v>434</v>
      </c>
    </row>
    <row r="326" spans="1:9" x14ac:dyDescent="0.25">
      <c r="A326" s="8">
        <v>325</v>
      </c>
      <c r="B326" s="9" t="s">
        <v>712</v>
      </c>
      <c r="C326" s="10">
        <v>2020</v>
      </c>
      <c r="D326" s="11">
        <v>44139</v>
      </c>
      <c r="E326" s="9" t="s">
        <v>334</v>
      </c>
      <c r="F326" s="12">
        <f>559.65+1589.85+893.9</f>
        <v>3043.4</v>
      </c>
      <c r="G326" s="12">
        <v>0</v>
      </c>
      <c r="H326" s="9" t="s">
        <v>711</v>
      </c>
      <c r="I326" s="14" t="s">
        <v>434</v>
      </c>
    </row>
    <row r="327" spans="1:9" x14ac:dyDescent="0.25">
      <c r="A327" s="8">
        <v>326</v>
      </c>
      <c r="B327" s="9" t="s">
        <v>713</v>
      </c>
      <c r="C327" s="10">
        <v>2020</v>
      </c>
      <c r="D327" s="11">
        <v>44139</v>
      </c>
      <c r="E327" s="9" t="s">
        <v>334</v>
      </c>
      <c r="F327" s="12">
        <f>184.51+586.86+185.34</f>
        <v>956.71</v>
      </c>
      <c r="G327" s="12">
        <v>0</v>
      </c>
      <c r="H327" s="9" t="s">
        <v>711</v>
      </c>
      <c r="I327" s="14" t="s">
        <v>434</v>
      </c>
    </row>
    <row r="328" spans="1:9" x14ac:dyDescent="0.25">
      <c r="A328" s="8">
        <v>327</v>
      </c>
      <c r="B328" s="9" t="s">
        <v>714</v>
      </c>
      <c r="C328" s="10">
        <v>2020</v>
      </c>
      <c r="D328" s="11">
        <v>44139</v>
      </c>
      <c r="E328" s="9" t="s">
        <v>334</v>
      </c>
      <c r="F328" s="12">
        <f>953.23+2715.69+1660.78</f>
        <v>5329.7</v>
      </c>
      <c r="G328" s="12">
        <v>0</v>
      </c>
      <c r="H328" s="9" t="s">
        <v>711</v>
      </c>
      <c r="I328" s="14" t="s">
        <v>434</v>
      </c>
    </row>
    <row r="329" spans="1:9" x14ac:dyDescent="0.25">
      <c r="A329" s="8">
        <v>328</v>
      </c>
      <c r="B329" s="9" t="s">
        <v>715</v>
      </c>
      <c r="C329" s="10">
        <v>2020</v>
      </c>
      <c r="D329" s="11">
        <v>44139</v>
      </c>
      <c r="E329" s="9" t="s">
        <v>334</v>
      </c>
      <c r="F329" s="12">
        <f>439.59+191.42+116.85</f>
        <v>747.86</v>
      </c>
      <c r="G329" s="12">
        <v>0</v>
      </c>
      <c r="H329" s="9" t="s">
        <v>711</v>
      </c>
      <c r="I329" s="14" t="s">
        <v>434</v>
      </c>
    </row>
    <row r="330" spans="1:9" x14ac:dyDescent="0.25">
      <c r="A330" s="8">
        <v>329</v>
      </c>
      <c r="B330" s="9" t="s">
        <v>716</v>
      </c>
      <c r="C330" s="10">
        <v>2020</v>
      </c>
      <c r="D330" s="11">
        <v>44139</v>
      </c>
      <c r="E330" s="9" t="s">
        <v>334</v>
      </c>
      <c r="F330" s="12">
        <f>534.18+480.56+159.9</f>
        <v>1174.6400000000001</v>
      </c>
      <c r="G330" s="12">
        <v>0</v>
      </c>
      <c r="H330" s="9" t="s">
        <v>711</v>
      </c>
      <c r="I330" s="14" t="s">
        <v>434</v>
      </c>
    </row>
    <row r="331" spans="1:9" x14ac:dyDescent="0.25">
      <c r="A331" s="8">
        <v>330</v>
      </c>
      <c r="B331" s="9" t="s">
        <v>717</v>
      </c>
      <c r="C331" s="10">
        <v>2020</v>
      </c>
      <c r="D331" s="11">
        <v>44139</v>
      </c>
      <c r="E331" s="9" t="s">
        <v>334</v>
      </c>
      <c r="F331" s="12">
        <f>357.66+276.71</f>
        <v>634.37</v>
      </c>
      <c r="G331" s="12">
        <v>0</v>
      </c>
      <c r="H331" s="9" t="s">
        <v>711</v>
      </c>
      <c r="I331" s="14" t="s">
        <v>434</v>
      </c>
    </row>
    <row r="332" spans="1:9" x14ac:dyDescent="0.25">
      <c r="A332" s="8">
        <v>331</v>
      </c>
      <c r="B332" s="9" t="s">
        <v>718</v>
      </c>
      <c r="C332" s="10">
        <v>2020</v>
      </c>
      <c r="D332" s="11">
        <v>44139</v>
      </c>
      <c r="E332" s="9" t="s">
        <v>334</v>
      </c>
      <c r="F332" s="12">
        <f>141.45+489.7+191.42</f>
        <v>822.56999999999994</v>
      </c>
      <c r="G332" s="12">
        <v>0</v>
      </c>
      <c r="H332" s="9" t="s">
        <v>383</v>
      </c>
      <c r="I332" s="14" t="s">
        <v>434</v>
      </c>
    </row>
    <row r="333" spans="1:9" x14ac:dyDescent="0.25">
      <c r="A333" s="8">
        <v>332</v>
      </c>
      <c r="B333" s="9" t="s">
        <v>719</v>
      </c>
      <c r="C333" s="10">
        <v>2020</v>
      </c>
      <c r="D333" s="11">
        <v>44139</v>
      </c>
      <c r="E333" s="9" t="s">
        <v>334</v>
      </c>
      <c r="F333" s="12">
        <f>245.99+834.15+669.92</f>
        <v>1750.06</v>
      </c>
      <c r="G333" s="12">
        <v>0</v>
      </c>
      <c r="H333" s="9" t="s">
        <v>383</v>
      </c>
      <c r="I333" s="14" t="s">
        <v>434</v>
      </c>
    </row>
    <row r="334" spans="1:9" x14ac:dyDescent="0.25">
      <c r="A334" s="8">
        <v>333</v>
      </c>
      <c r="B334" s="9" t="s">
        <v>720</v>
      </c>
      <c r="C334" s="10">
        <v>2020</v>
      </c>
      <c r="D334" s="11">
        <v>44139</v>
      </c>
      <c r="E334" s="9" t="s">
        <v>334</v>
      </c>
      <c r="F334" s="12">
        <f>578.1+620.13+662.86</f>
        <v>1861.0900000000001</v>
      </c>
      <c r="G334" s="12">
        <v>0</v>
      </c>
      <c r="H334" s="9" t="s">
        <v>383</v>
      </c>
      <c r="I334" s="14" t="s">
        <v>434</v>
      </c>
    </row>
    <row r="335" spans="1:9" x14ac:dyDescent="0.25">
      <c r="A335" s="8">
        <v>334</v>
      </c>
      <c r="B335" s="9" t="s">
        <v>721</v>
      </c>
      <c r="C335" s="10">
        <v>2020</v>
      </c>
      <c r="D335" s="11">
        <v>44139</v>
      </c>
      <c r="E335" s="9" t="s">
        <v>334</v>
      </c>
      <c r="F335" s="12">
        <f>153.74+247.62+783.41</f>
        <v>1184.77</v>
      </c>
      <c r="G335" s="12">
        <v>0</v>
      </c>
      <c r="H335" s="9" t="s">
        <v>383</v>
      </c>
      <c r="I335" s="14" t="s">
        <v>434</v>
      </c>
    </row>
    <row r="336" spans="1:9" x14ac:dyDescent="0.25">
      <c r="A336" s="8">
        <v>335</v>
      </c>
      <c r="B336" s="9" t="s">
        <v>722</v>
      </c>
      <c r="C336" s="10">
        <v>2020</v>
      </c>
      <c r="D336" s="11">
        <v>44139</v>
      </c>
      <c r="E336" s="9" t="s">
        <v>334</v>
      </c>
      <c r="F336" s="12">
        <f>673.43+1793.22+970.3</f>
        <v>3436.95</v>
      </c>
      <c r="G336" s="12">
        <v>0</v>
      </c>
      <c r="H336" s="9" t="s">
        <v>383</v>
      </c>
      <c r="I336" s="14" t="s">
        <v>434</v>
      </c>
    </row>
    <row r="337" spans="1:9" x14ac:dyDescent="0.25">
      <c r="A337" s="8">
        <v>336</v>
      </c>
      <c r="B337" s="9" t="s">
        <v>723</v>
      </c>
      <c r="C337" s="10">
        <v>2020</v>
      </c>
      <c r="D337" s="11">
        <v>44139</v>
      </c>
      <c r="E337" s="9" t="s">
        <v>334</v>
      </c>
      <c r="F337" s="12">
        <f>261.39+754.79+572.96</f>
        <v>1589.1399999999999</v>
      </c>
      <c r="G337" s="12">
        <v>0</v>
      </c>
      <c r="H337" s="9" t="s">
        <v>383</v>
      </c>
      <c r="I337" s="14" t="s">
        <v>434</v>
      </c>
    </row>
    <row r="338" spans="1:9" x14ac:dyDescent="0.25">
      <c r="A338" s="8">
        <v>337</v>
      </c>
      <c r="B338" s="9" t="s">
        <v>724</v>
      </c>
      <c r="C338" s="10">
        <v>2020</v>
      </c>
      <c r="D338" s="11">
        <v>44139</v>
      </c>
      <c r="E338" s="9" t="s">
        <v>334</v>
      </c>
      <c r="F338" s="12">
        <f>196.8+1737.69+2074.98</f>
        <v>4009.4700000000003</v>
      </c>
      <c r="G338" s="12">
        <v>0</v>
      </c>
      <c r="H338" s="9" t="s">
        <v>449</v>
      </c>
      <c r="I338" s="14" t="s">
        <v>434</v>
      </c>
    </row>
    <row r="339" spans="1:9" x14ac:dyDescent="0.25">
      <c r="A339" s="8">
        <v>338</v>
      </c>
      <c r="B339" s="9" t="s">
        <v>725</v>
      </c>
      <c r="C339" s="10">
        <v>2020</v>
      </c>
      <c r="D339" s="11">
        <v>44139</v>
      </c>
      <c r="E339" s="9" t="s">
        <v>334</v>
      </c>
      <c r="F339" s="12">
        <f>215.25+599.33+620.39</f>
        <v>1434.97</v>
      </c>
      <c r="G339" s="12">
        <v>0</v>
      </c>
      <c r="H339" s="9" t="s">
        <v>449</v>
      </c>
      <c r="I339" s="14" t="s">
        <v>434</v>
      </c>
    </row>
    <row r="340" spans="1:9" x14ac:dyDescent="0.25">
      <c r="A340" s="8">
        <v>339</v>
      </c>
      <c r="B340" s="9" t="s">
        <v>726</v>
      </c>
      <c r="C340" s="10">
        <v>2020</v>
      </c>
      <c r="D340" s="11">
        <v>44139</v>
      </c>
      <c r="E340" s="9" t="s">
        <v>334</v>
      </c>
      <c r="F340" s="12">
        <f>602.7+1574.01+946.15</f>
        <v>3122.86</v>
      </c>
      <c r="G340" s="12">
        <v>0</v>
      </c>
      <c r="H340" s="9" t="s">
        <v>449</v>
      </c>
      <c r="I340" s="14" t="s">
        <v>434</v>
      </c>
    </row>
    <row r="341" spans="1:9" x14ac:dyDescent="0.25">
      <c r="A341" s="8">
        <v>340</v>
      </c>
      <c r="B341" s="9" t="s">
        <v>727</v>
      </c>
      <c r="C341" s="10">
        <v>2020</v>
      </c>
      <c r="D341" s="11">
        <v>44139</v>
      </c>
      <c r="E341" s="9" t="s">
        <v>334</v>
      </c>
      <c r="F341" s="12">
        <f>405.9+1072.3+662.86</f>
        <v>2141.06</v>
      </c>
      <c r="G341" s="12">
        <v>0</v>
      </c>
      <c r="H341" s="9" t="s">
        <v>449</v>
      </c>
      <c r="I341" s="14" t="s">
        <v>434</v>
      </c>
    </row>
    <row r="342" spans="1:9" x14ac:dyDescent="0.25">
      <c r="A342" s="8">
        <v>341</v>
      </c>
      <c r="B342" s="9" t="s">
        <v>728</v>
      </c>
      <c r="C342" s="10">
        <v>2020</v>
      </c>
      <c r="D342" s="11">
        <v>44139</v>
      </c>
      <c r="E342" s="9" t="s">
        <v>334</v>
      </c>
      <c r="F342" s="12">
        <f>239.85+829.15+741.63</f>
        <v>1810.63</v>
      </c>
      <c r="G342" s="12">
        <v>0</v>
      </c>
      <c r="H342" s="9" t="s">
        <v>449</v>
      </c>
      <c r="I342" s="14" t="s">
        <v>434</v>
      </c>
    </row>
    <row r="343" spans="1:9" x14ac:dyDescent="0.25">
      <c r="A343" s="8">
        <v>342</v>
      </c>
      <c r="B343" s="9" t="s">
        <v>729</v>
      </c>
      <c r="C343" s="10">
        <v>2020</v>
      </c>
      <c r="D343" s="11">
        <v>44139</v>
      </c>
      <c r="E343" s="9" t="s">
        <v>334</v>
      </c>
      <c r="F343" s="12">
        <f>73.79+199.54+1163.05</f>
        <v>1436.3799999999999</v>
      </c>
      <c r="G343" s="12">
        <v>0</v>
      </c>
      <c r="H343" s="9" t="s">
        <v>730</v>
      </c>
      <c r="I343" s="14" t="s">
        <v>434</v>
      </c>
    </row>
    <row r="344" spans="1:9" x14ac:dyDescent="0.25">
      <c r="A344" s="8">
        <v>343</v>
      </c>
      <c r="B344" s="9" t="s">
        <v>731</v>
      </c>
      <c r="C344" s="10">
        <v>2020</v>
      </c>
      <c r="D344" s="11">
        <v>44139</v>
      </c>
      <c r="E344" s="9" t="s">
        <v>334</v>
      </c>
      <c r="F344" s="12">
        <f>596.55+1513.03+951.85</f>
        <v>3061.43</v>
      </c>
      <c r="G344" s="12">
        <v>0</v>
      </c>
      <c r="H344" s="9" t="s">
        <v>730</v>
      </c>
      <c r="I344" s="14" t="s">
        <v>434</v>
      </c>
    </row>
    <row r="345" spans="1:9" x14ac:dyDescent="0.25">
      <c r="A345" s="8">
        <v>344</v>
      </c>
      <c r="B345" s="9" t="s">
        <v>732</v>
      </c>
      <c r="C345" s="10">
        <v>2020</v>
      </c>
      <c r="D345" s="11">
        <v>44140</v>
      </c>
      <c r="E345" s="9" t="s">
        <v>334</v>
      </c>
      <c r="F345" s="12">
        <f>227.54+817.54+570.67</f>
        <v>1615.75</v>
      </c>
      <c r="G345" s="12">
        <v>0</v>
      </c>
      <c r="H345" s="9" t="s">
        <v>730</v>
      </c>
      <c r="I345" s="14" t="s">
        <v>434</v>
      </c>
    </row>
    <row r="346" spans="1:9" x14ac:dyDescent="0.25">
      <c r="A346" s="8">
        <v>345</v>
      </c>
      <c r="B346" s="9" t="s">
        <v>733</v>
      </c>
      <c r="C346" s="10">
        <v>2020</v>
      </c>
      <c r="D346" s="11">
        <v>44140</v>
      </c>
      <c r="E346" s="9" t="s">
        <v>334</v>
      </c>
      <c r="F346" s="12">
        <f>253.99+378.9+620.39</f>
        <v>1253.28</v>
      </c>
      <c r="G346" s="12">
        <v>0</v>
      </c>
      <c r="H346" s="9" t="s">
        <v>730</v>
      </c>
      <c r="I346" s="14" t="s">
        <v>434</v>
      </c>
    </row>
    <row r="347" spans="1:9" x14ac:dyDescent="0.25">
      <c r="A347" s="8">
        <v>346</v>
      </c>
      <c r="B347" s="9" t="s">
        <v>734</v>
      </c>
      <c r="C347" s="10">
        <v>2020</v>
      </c>
      <c r="D347" s="11">
        <v>44140</v>
      </c>
      <c r="E347" s="9" t="s">
        <v>334</v>
      </c>
      <c r="F347" s="12">
        <f>209.09+710.99+480.56</f>
        <v>1400.64</v>
      </c>
      <c r="G347" s="12">
        <v>0</v>
      </c>
      <c r="H347" s="9" t="s">
        <v>730</v>
      </c>
      <c r="I347" s="14" t="s">
        <v>434</v>
      </c>
    </row>
    <row r="348" spans="1:9" x14ac:dyDescent="0.25">
      <c r="A348" s="8">
        <v>347</v>
      </c>
      <c r="B348" s="9" t="s">
        <v>735</v>
      </c>
      <c r="C348" s="10">
        <v>2020</v>
      </c>
      <c r="D348" s="11">
        <v>44140</v>
      </c>
      <c r="E348" s="9" t="s">
        <v>334</v>
      </c>
      <c r="F348" s="12">
        <f>325.93+905.67+385.43</f>
        <v>1617.03</v>
      </c>
      <c r="G348" s="12">
        <v>0</v>
      </c>
      <c r="H348" s="9" t="s">
        <v>369</v>
      </c>
      <c r="I348" s="14" t="s">
        <v>434</v>
      </c>
    </row>
    <row r="349" spans="1:9" x14ac:dyDescent="0.25">
      <c r="A349" s="8">
        <v>348</v>
      </c>
      <c r="B349" s="9" t="s">
        <v>736</v>
      </c>
      <c r="C349" s="10">
        <v>2020</v>
      </c>
      <c r="D349" s="11">
        <v>44140</v>
      </c>
      <c r="E349" s="9" t="s">
        <v>334</v>
      </c>
      <c r="F349" s="12">
        <f>350.54+1110.13+522.37</f>
        <v>1983.04</v>
      </c>
      <c r="G349" s="12">
        <v>0</v>
      </c>
      <c r="H349" s="9" t="s">
        <v>369</v>
      </c>
      <c r="I349" s="14" t="s">
        <v>434</v>
      </c>
    </row>
    <row r="350" spans="1:9" x14ac:dyDescent="0.25">
      <c r="A350" s="8">
        <v>349</v>
      </c>
      <c r="B350" s="9" t="s">
        <v>737</v>
      </c>
      <c r="C350" s="10">
        <v>2020</v>
      </c>
      <c r="D350" s="11">
        <v>44140</v>
      </c>
      <c r="E350" s="9" t="s">
        <v>334</v>
      </c>
      <c r="F350" s="12">
        <f>276.75+950.26+659.69</f>
        <v>1886.7</v>
      </c>
      <c r="G350" s="12">
        <v>0</v>
      </c>
      <c r="H350" s="9" t="s">
        <v>408</v>
      </c>
      <c r="I350" s="14" t="s">
        <v>434</v>
      </c>
    </row>
    <row r="351" spans="1:9" x14ac:dyDescent="0.25">
      <c r="A351" s="8">
        <v>350</v>
      </c>
      <c r="B351" s="9" t="s">
        <v>738</v>
      </c>
      <c r="C351" s="10">
        <v>2020</v>
      </c>
      <c r="D351" s="11">
        <v>44140</v>
      </c>
      <c r="E351" s="9" t="s">
        <v>334</v>
      </c>
      <c r="F351" s="12">
        <f>364.63+570.67</f>
        <v>935.3</v>
      </c>
      <c r="G351" s="12">
        <v>0</v>
      </c>
      <c r="H351" s="9" t="s">
        <v>408</v>
      </c>
      <c r="I351" s="14" t="s">
        <v>434</v>
      </c>
    </row>
    <row r="352" spans="1:9" x14ac:dyDescent="0.25">
      <c r="A352" s="8">
        <v>351</v>
      </c>
      <c r="B352" s="9" t="s">
        <v>739</v>
      </c>
      <c r="C352" s="10">
        <v>2020</v>
      </c>
      <c r="D352" s="11">
        <v>44140</v>
      </c>
      <c r="E352" s="9" t="s">
        <v>334</v>
      </c>
      <c r="F352" s="12">
        <f>227.55+805.43+348.53</f>
        <v>1381.51</v>
      </c>
      <c r="G352" s="12">
        <v>0</v>
      </c>
      <c r="H352" s="9" t="s">
        <v>408</v>
      </c>
      <c r="I352" s="14" t="s">
        <v>434</v>
      </c>
    </row>
    <row r="353" spans="1:9" x14ac:dyDescent="0.25">
      <c r="A353" s="8">
        <v>352</v>
      </c>
      <c r="B353" s="9" t="s">
        <v>740</v>
      </c>
      <c r="C353" s="10">
        <v>2020</v>
      </c>
      <c r="D353" s="11">
        <v>44140</v>
      </c>
      <c r="E353" s="9" t="s">
        <v>334</v>
      </c>
      <c r="F353" s="12">
        <f>258.28+730.44+674.54</f>
        <v>1663.26</v>
      </c>
      <c r="G353" s="12">
        <v>0</v>
      </c>
      <c r="H353" s="9" t="s">
        <v>408</v>
      </c>
      <c r="I353" s="14" t="s">
        <v>434</v>
      </c>
    </row>
    <row r="354" spans="1:9" x14ac:dyDescent="0.25">
      <c r="A354" s="8">
        <v>353</v>
      </c>
      <c r="B354" s="9" t="s">
        <v>741</v>
      </c>
      <c r="C354" s="10">
        <v>2020</v>
      </c>
      <c r="D354" s="11">
        <v>44140</v>
      </c>
      <c r="E354" s="9" t="s">
        <v>334</v>
      </c>
      <c r="F354" s="12">
        <f>424.34+1413.43+659.4</f>
        <v>2497.17</v>
      </c>
      <c r="G354" s="12">
        <v>0</v>
      </c>
      <c r="H354" s="9" t="s">
        <v>408</v>
      </c>
      <c r="I354" s="14" t="s">
        <v>434</v>
      </c>
    </row>
    <row r="355" spans="1:9" x14ac:dyDescent="0.25">
      <c r="A355" s="8">
        <v>354</v>
      </c>
      <c r="B355" s="9" t="s">
        <v>742</v>
      </c>
      <c r="C355" s="10">
        <v>2020</v>
      </c>
      <c r="D355" s="11">
        <v>44140</v>
      </c>
      <c r="E355" s="9" t="s">
        <v>334</v>
      </c>
      <c r="F355" s="12">
        <f>448.95+1197.15+662.86</f>
        <v>2308.96</v>
      </c>
      <c r="G355" s="12">
        <v>0</v>
      </c>
      <c r="H355" s="9" t="s">
        <v>408</v>
      </c>
      <c r="I355" s="14" t="s">
        <v>434</v>
      </c>
    </row>
    <row r="356" spans="1:9" x14ac:dyDescent="0.25">
      <c r="A356" s="8">
        <v>355</v>
      </c>
      <c r="B356" s="9" t="s">
        <v>743</v>
      </c>
      <c r="C356" s="10">
        <v>2020</v>
      </c>
      <c r="D356" s="11">
        <v>44140</v>
      </c>
      <c r="E356" s="9" t="s">
        <v>334</v>
      </c>
      <c r="F356" s="12">
        <f>559.64+1289.27+1106.05</f>
        <v>2954.96</v>
      </c>
      <c r="G356" s="12">
        <v>0</v>
      </c>
      <c r="H356" s="9" t="s">
        <v>730</v>
      </c>
      <c r="I356" s="14" t="s">
        <v>434</v>
      </c>
    </row>
    <row r="357" spans="1:9" x14ac:dyDescent="0.25">
      <c r="A357" s="8">
        <v>356</v>
      </c>
      <c r="B357" s="9" t="s">
        <v>744</v>
      </c>
      <c r="C357" s="10">
        <v>2020</v>
      </c>
      <c r="D357" s="11">
        <v>44140</v>
      </c>
      <c r="E357" s="9" t="s">
        <v>334</v>
      </c>
      <c r="F357" s="12">
        <f>190.66+522.67+348.53</f>
        <v>1061.8599999999999</v>
      </c>
      <c r="G357" s="12">
        <v>0</v>
      </c>
      <c r="H357" s="9" t="s">
        <v>449</v>
      </c>
      <c r="I357" s="14" t="s">
        <v>434</v>
      </c>
    </row>
    <row r="358" spans="1:9" x14ac:dyDescent="0.25">
      <c r="A358" s="8">
        <v>357</v>
      </c>
      <c r="B358" s="9" t="s">
        <v>745</v>
      </c>
      <c r="C358" s="10">
        <v>2020</v>
      </c>
      <c r="D358" s="11">
        <v>44140</v>
      </c>
      <c r="E358" s="9" t="s">
        <v>334</v>
      </c>
      <c r="F358" s="12">
        <f>398.42+1028.72+938.26</f>
        <v>2365.4</v>
      </c>
      <c r="G358" s="12">
        <v>0</v>
      </c>
      <c r="H358" s="9" t="s">
        <v>406</v>
      </c>
      <c r="I358" s="14" t="s">
        <v>434</v>
      </c>
    </row>
    <row r="359" spans="1:9" x14ac:dyDescent="0.25">
      <c r="A359" s="8">
        <v>358</v>
      </c>
      <c r="B359" s="9" t="s">
        <v>746</v>
      </c>
      <c r="C359" s="10">
        <v>2020</v>
      </c>
      <c r="D359" s="11">
        <v>44140</v>
      </c>
      <c r="E359" s="9" t="s">
        <v>334</v>
      </c>
      <c r="F359" s="12">
        <f>202.94+720.24+433.97</f>
        <v>1357.15</v>
      </c>
      <c r="G359" s="12">
        <v>0</v>
      </c>
      <c r="H359" s="9" t="s">
        <v>406</v>
      </c>
      <c r="I359" s="14" t="s">
        <v>434</v>
      </c>
    </row>
    <row r="360" spans="1:9" x14ac:dyDescent="0.25">
      <c r="A360" s="8">
        <v>359</v>
      </c>
      <c r="B360" s="9" t="s">
        <v>747</v>
      </c>
      <c r="C360" s="10">
        <v>2020</v>
      </c>
      <c r="D360" s="11">
        <v>44140</v>
      </c>
      <c r="E360" s="9" t="s">
        <v>334</v>
      </c>
      <c r="F360" s="12">
        <f>135.3+209.27+301</f>
        <v>645.57000000000005</v>
      </c>
      <c r="G360" s="12">
        <v>0</v>
      </c>
      <c r="H360" s="9" t="s">
        <v>406</v>
      </c>
      <c r="I360" s="14" t="s">
        <v>434</v>
      </c>
    </row>
    <row r="361" spans="1:9" x14ac:dyDescent="0.25">
      <c r="A361" s="8">
        <v>360</v>
      </c>
      <c r="B361" s="9" t="s">
        <v>748</v>
      </c>
      <c r="C361" s="10">
        <v>2020</v>
      </c>
      <c r="D361" s="11">
        <v>44141</v>
      </c>
      <c r="E361" s="9" t="s">
        <v>334</v>
      </c>
      <c r="F361" s="12">
        <f>258.3+727.77+674.54</f>
        <v>1660.61</v>
      </c>
      <c r="G361" s="12">
        <v>0</v>
      </c>
      <c r="H361" s="9" t="s">
        <v>406</v>
      </c>
      <c r="I361" s="14" t="s">
        <v>434</v>
      </c>
    </row>
    <row r="362" spans="1:9" x14ac:dyDescent="0.25">
      <c r="A362" s="8">
        <v>361</v>
      </c>
      <c r="B362" s="9" t="s">
        <v>749</v>
      </c>
      <c r="C362" s="10">
        <v>2020</v>
      </c>
      <c r="D362" s="11">
        <v>44141</v>
      </c>
      <c r="E362" s="9" t="s">
        <v>334</v>
      </c>
      <c r="F362" s="12">
        <f>276.75+900.92+513.62</f>
        <v>1691.29</v>
      </c>
      <c r="G362" s="12">
        <v>0</v>
      </c>
      <c r="H362" s="9" t="s">
        <v>406</v>
      </c>
      <c r="I362" s="14" t="s">
        <v>434</v>
      </c>
    </row>
    <row r="363" spans="1:9" x14ac:dyDescent="0.25">
      <c r="A363" s="8">
        <v>362</v>
      </c>
      <c r="B363" s="9" t="s">
        <v>750</v>
      </c>
      <c r="C363" s="10">
        <v>2020</v>
      </c>
      <c r="D363" s="11">
        <v>44141</v>
      </c>
      <c r="E363" s="9" t="s">
        <v>334</v>
      </c>
      <c r="F363" s="12">
        <f>73.8+143.56+192.29</f>
        <v>409.65</v>
      </c>
      <c r="G363" s="12">
        <v>0</v>
      </c>
      <c r="H363" s="9" t="s">
        <v>406</v>
      </c>
      <c r="I363" s="14" t="s">
        <v>434</v>
      </c>
    </row>
    <row r="364" spans="1:9" x14ac:dyDescent="0.25">
      <c r="A364" s="8">
        <v>363</v>
      </c>
      <c r="B364" s="9" t="s">
        <v>751</v>
      </c>
      <c r="C364" s="10">
        <v>2020</v>
      </c>
      <c r="D364" s="11">
        <v>44141</v>
      </c>
      <c r="E364" s="9" t="s">
        <v>334</v>
      </c>
      <c r="F364" s="12">
        <f>372.07+1240.77+525.92</f>
        <v>2138.7599999999998</v>
      </c>
      <c r="G364" s="12">
        <v>0</v>
      </c>
      <c r="H364" s="9" t="s">
        <v>417</v>
      </c>
      <c r="I364" s="14" t="s">
        <v>434</v>
      </c>
    </row>
    <row r="365" spans="1:9" x14ac:dyDescent="0.25">
      <c r="A365" s="8">
        <v>364</v>
      </c>
      <c r="B365" s="9" t="s">
        <v>752</v>
      </c>
      <c r="C365" s="10">
        <v>2020</v>
      </c>
      <c r="D365" s="11">
        <v>44141</v>
      </c>
      <c r="E365" s="9" t="s">
        <v>334</v>
      </c>
      <c r="F365" s="12">
        <f>156.82+248.73+751.31</f>
        <v>1156.8599999999999</v>
      </c>
      <c r="G365" s="12">
        <v>0</v>
      </c>
      <c r="H365" s="9" t="s">
        <v>417</v>
      </c>
      <c r="I365" s="14" t="s">
        <v>434</v>
      </c>
    </row>
    <row r="366" spans="1:9" x14ac:dyDescent="0.25">
      <c r="A366" s="8">
        <v>365</v>
      </c>
      <c r="B366" s="9" t="s">
        <v>753</v>
      </c>
      <c r="C366" s="10">
        <v>2020</v>
      </c>
      <c r="D366" s="11">
        <v>44141</v>
      </c>
      <c r="E366" s="9" t="s">
        <v>334</v>
      </c>
      <c r="F366" s="12">
        <f>350.55+981.6+705.91</f>
        <v>2038.06</v>
      </c>
      <c r="G366" s="12">
        <v>0</v>
      </c>
      <c r="H366" s="9" t="s">
        <v>417</v>
      </c>
      <c r="I366" s="14" t="s">
        <v>434</v>
      </c>
    </row>
    <row r="367" spans="1:9" x14ac:dyDescent="0.25">
      <c r="A367" s="8">
        <v>366</v>
      </c>
      <c r="B367" s="9" t="s">
        <v>754</v>
      </c>
      <c r="C367" s="10">
        <v>2020</v>
      </c>
      <c r="D367" s="11">
        <v>44141</v>
      </c>
      <c r="E367" s="9" t="s">
        <v>334</v>
      </c>
      <c r="F367" s="12">
        <f>239.85+474.53+879.69</f>
        <v>1594.0700000000002</v>
      </c>
      <c r="G367" s="12">
        <v>0</v>
      </c>
      <c r="H367" s="9" t="s">
        <v>417</v>
      </c>
      <c r="I367" s="14" t="s">
        <v>434</v>
      </c>
    </row>
    <row r="368" spans="1:9" x14ac:dyDescent="0.25">
      <c r="A368" s="8">
        <v>367</v>
      </c>
      <c r="B368" s="9" t="s">
        <v>755</v>
      </c>
      <c r="C368" s="10">
        <v>2020</v>
      </c>
      <c r="D368" s="11">
        <v>44141</v>
      </c>
      <c r="E368" s="9" t="s">
        <v>334</v>
      </c>
      <c r="F368" s="12">
        <f>707.25+1907.58+1237.8</f>
        <v>3852.63</v>
      </c>
      <c r="G368" s="12">
        <v>0</v>
      </c>
      <c r="H368" s="9" t="s">
        <v>369</v>
      </c>
      <c r="I368" s="14" t="s">
        <v>434</v>
      </c>
    </row>
    <row r="369" spans="1:9" x14ac:dyDescent="0.25">
      <c r="A369" s="8">
        <v>368</v>
      </c>
      <c r="B369" s="9" t="s">
        <v>756</v>
      </c>
      <c r="C369" s="10">
        <v>2020</v>
      </c>
      <c r="D369" s="11">
        <v>44141</v>
      </c>
      <c r="E369" s="9" t="s">
        <v>334</v>
      </c>
      <c r="F369" s="12">
        <f>181.42+620.57+451.29</f>
        <v>1253.28</v>
      </c>
      <c r="G369" s="12">
        <v>0</v>
      </c>
      <c r="H369" s="9" t="s">
        <v>369</v>
      </c>
      <c r="I369" s="14" t="s">
        <v>434</v>
      </c>
    </row>
    <row r="370" spans="1:9" x14ac:dyDescent="0.25">
      <c r="A370" s="8">
        <v>369</v>
      </c>
      <c r="B370" s="9" t="s">
        <v>757</v>
      </c>
      <c r="C370" s="10">
        <v>2020</v>
      </c>
      <c r="D370" s="11">
        <v>44141</v>
      </c>
      <c r="E370" s="9" t="s">
        <v>334</v>
      </c>
      <c r="F370" s="12">
        <f>245.99+686.18+773.79</f>
        <v>1705.96</v>
      </c>
      <c r="G370" s="12">
        <v>0</v>
      </c>
      <c r="H370" s="9" t="s">
        <v>369</v>
      </c>
      <c r="I370" s="14" t="s">
        <v>434</v>
      </c>
    </row>
    <row r="371" spans="1:9" x14ac:dyDescent="0.25">
      <c r="A371" s="8">
        <v>370</v>
      </c>
      <c r="B371" s="9" t="s">
        <v>758</v>
      </c>
      <c r="C371" s="10">
        <v>2020</v>
      </c>
      <c r="D371" s="11">
        <v>44141</v>
      </c>
      <c r="E371" s="9" t="s">
        <v>334</v>
      </c>
      <c r="F371" s="12">
        <f>227.55+746.03+499.01</f>
        <v>1472.59</v>
      </c>
      <c r="G371" s="12">
        <v>0</v>
      </c>
      <c r="H371" s="9" t="s">
        <v>369</v>
      </c>
      <c r="I371" s="14" t="s">
        <v>434</v>
      </c>
    </row>
    <row r="372" spans="1:9" x14ac:dyDescent="0.25">
      <c r="A372" s="8">
        <v>371</v>
      </c>
      <c r="B372" s="9" t="s">
        <v>759</v>
      </c>
      <c r="C372" s="10">
        <v>2020</v>
      </c>
      <c r="D372" s="11">
        <v>44141</v>
      </c>
      <c r="E372" s="9" t="s">
        <v>334</v>
      </c>
      <c r="F372" s="12">
        <f>147.6+446.77+451.29</f>
        <v>1045.6600000000001</v>
      </c>
      <c r="G372" s="12">
        <v>0</v>
      </c>
      <c r="H372" s="9" t="s">
        <v>369</v>
      </c>
      <c r="I372" s="14" t="s">
        <v>434</v>
      </c>
    </row>
    <row r="373" spans="1:9" x14ac:dyDescent="0.25">
      <c r="A373" s="8">
        <v>372</v>
      </c>
      <c r="B373" s="9" t="s">
        <v>760</v>
      </c>
      <c r="C373" s="10">
        <v>2020</v>
      </c>
      <c r="D373" s="11">
        <v>44141</v>
      </c>
      <c r="E373" s="9" t="s">
        <v>334</v>
      </c>
      <c r="F373" s="12">
        <f>661.12+1490.06+1237.8</f>
        <v>3388.9799999999996</v>
      </c>
      <c r="G373" s="12">
        <v>0</v>
      </c>
      <c r="H373" s="9" t="s">
        <v>417</v>
      </c>
      <c r="I373" s="14" t="s">
        <v>434</v>
      </c>
    </row>
    <row r="374" spans="1:9" x14ac:dyDescent="0.25">
      <c r="A374" s="8">
        <v>373</v>
      </c>
      <c r="B374" s="9" t="s">
        <v>761</v>
      </c>
      <c r="C374" s="10">
        <v>2020</v>
      </c>
      <c r="D374" s="11">
        <v>44141</v>
      </c>
      <c r="E374" s="9" t="s">
        <v>334</v>
      </c>
      <c r="F374" s="12">
        <f>393.6+1181.62+693.61</f>
        <v>2268.83</v>
      </c>
      <c r="G374" s="12">
        <v>0</v>
      </c>
      <c r="H374" s="9" t="s">
        <v>417</v>
      </c>
      <c r="I374" s="14" t="s">
        <v>434</v>
      </c>
    </row>
    <row r="375" spans="1:9" x14ac:dyDescent="0.25">
      <c r="A375" s="8">
        <v>374</v>
      </c>
      <c r="B375" s="9" t="s">
        <v>762</v>
      </c>
      <c r="C375" s="10">
        <v>2020</v>
      </c>
      <c r="D375" s="11">
        <v>44141</v>
      </c>
      <c r="E375" s="9" t="s">
        <v>334</v>
      </c>
      <c r="F375" s="12">
        <f>221.41+808.55+235.43</f>
        <v>1265.3900000000001</v>
      </c>
      <c r="G375" s="12">
        <v>0</v>
      </c>
      <c r="H375" s="9" t="s">
        <v>417</v>
      </c>
      <c r="I375" s="14" t="s">
        <v>434</v>
      </c>
    </row>
    <row r="376" spans="1:9" x14ac:dyDescent="0.25">
      <c r="A376" s="8">
        <v>375</v>
      </c>
      <c r="B376" s="9" t="s">
        <v>763</v>
      </c>
      <c r="C376" s="10">
        <v>2020</v>
      </c>
      <c r="D376" s="11">
        <v>44141</v>
      </c>
      <c r="E376" s="9" t="s">
        <v>334</v>
      </c>
      <c r="F376" s="12">
        <f>153.75+415.66+348.53</f>
        <v>917.94</v>
      </c>
      <c r="G376" s="12">
        <v>0</v>
      </c>
      <c r="H376" s="9" t="s">
        <v>417</v>
      </c>
      <c r="I376" s="14" t="s">
        <v>434</v>
      </c>
    </row>
    <row r="377" spans="1:9" x14ac:dyDescent="0.25">
      <c r="A377" s="8">
        <v>376</v>
      </c>
      <c r="B377" s="9" t="s">
        <v>764</v>
      </c>
      <c r="C377" s="10">
        <v>2020</v>
      </c>
      <c r="D377" s="11">
        <v>44141</v>
      </c>
      <c r="E377" s="9" t="s">
        <v>334</v>
      </c>
      <c r="F377" s="12">
        <f>92.25+249.46+192.29</f>
        <v>534</v>
      </c>
      <c r="G377" s="12">
        <v>0</v>
      </c>
      <c r="H377" s="9" t="s">
        <v>406</v>
      </c>
      <c r="I377" s="14" t="s">
        <v>434</v>
      </c>
    </row>
    <row r="378" spans="1:9" x14ac:dyDescent="0.25">
      <c r="A378" s="8">
        <v>377</v>
      </c>
      <c r="B378" s="9" t="s">
        <v>765</v>
      </c>
      <c r="C378" s="10">
        <v>2020</v>
      </c>
      <c r="D378" s="11">
        <v>44141</v>
      </c>
      <c r="E378" s="9" t="s">
        <v>334</v>
      </c>
      <c r="F378" s="12">
        <f>178.34+709.94+155.42</f>
        <v>1043.7</v>
      </c>
      <c r="G378" s="12">
        <v>0</v>
      </c>
      <c r="H378" s="9" t="s">
        <v>406</v>
      </c>
      <c r="I378" s="14" t="s">
        <v>434</v>
      </c>
    </row>
    <row r="379" spans="1:9" x14ac:dyDescent="0.25">
      <c r="A379" s="8">
        <v>378</v>
      </c>
      <c r="B379" s="9" t="s">
        <v>766</v>
      </c>
      <c r="C379" s="10">
        <v>2020</v>
      </c>
      <c r="D379" s="11">
        <v>44141</v>
      </c>
      <c r="E379" s="9" t="s">
        <v>334</v>
      </c>
      <c r="F379" s="12">
        <f>165.06+111.96+204.59</f>
        <v>481.61</v>
      </c>
      <c r="G379" s="12">
        <v>0</v>
      </c>
      <c r="H379" s="9" t="s">
        <v>376</v>
      </c>
      <c r="I379" s="14" t="s">
        <v>434</v>
      </c>
    </row>
    <row r="380" spans="1:9" x14ac:dyDescent="0.25">
      <c r="A380" s="8">
        <v>379</v>
      </c>
      <c r="B380" s="9" t="s">
        <v>767</v>
      </c>
      <c r="C380" s="10">
        <v>2020</v>
      </c>
      <c r="D380" s="11">
        <v>44144</v>
      </c>
      <c r="E380" s="9" t="s">
        <v>334</v>
      </c>
      <c r="F380" s="12">
        <f>1536.28+663.15+606.43</f>
        <v>2805.8599999999997</v>
      </c>
      <c r="G380" s="12">
        <v>0</v>
      </c>
      <c r="H380" s="9" t="s">
        <v>413</v>
      </c>
      <c r="I380" s="14" t="s">
        <v>434</v>
      </c>
    </row>
    <row r="381" spans="1:9" x14ac:dyDescent="0.25">
      <c r="A381" s="8">
        <v>380</v>
      </c>
      <c r="B381" s="9" t="s">
        <v>768</v>
      </c>
      <c r="C381" s="10">
        <v>2020</v>
      </c>
      <c r="D381" s="11">
        <v>44145</v>
      </c>
      <c r="E381" s="9" t="s">
        <v>334</v>
      </c>
      <c r="F381" s="12">
        <v>1220.06</v>
      </c>
      <c r="G381" s="12">
        <v>0</v>
      </c>
      <c r="H381" s="9" t="s">
        <v>340</v>
      </c>
      <c r="I381" s="14" t="s">
        <v>434</v>
      </c>
    </row>
    <row r="382" spans="1:9" x14ac:dyDescent="0.25">
      <c r="A382" s="8">
        <v>381</v>
      </c>
      <c r="B382" s="9" t="s">
        <v>769</v>
      </c>
      <c r="C382" s="10">
        <v>2020</v>
      </c>
      <c r="D382" s="11">
        <v>44145</v>
      </c>
      <c r="E382" s="9" t="s">
        <v>334</v>
      </c>
      <c r="F382" s="12">
        <f>296.3+0.61+323.54+323.32</f>
        <v>943.77</v>
      </c>
      <c r="G382" s="12">
        <v>0</v>
      </c>
      <c r="H382" s="9" t="s">
        <v>340</v>
      </c>
      <c r="I382" s="14" t="s">
        <v>434</v>
      </c>
    </row>
    <row r="383" spans="1:9" x14ac:dyDescent="0.25">
      <c r="A383" s="8">
        <v>382</v>
      </c>
      <c r="B383" s="9" t="s">
        <v>770</v>
      </c>
      <c r="C383" s="10">
        <v>2020</v>
      </c>
      <c r="D383" s="11">
        <v>44147</v>
      </c>
      <c r="E383" s="9" t="s">
        <v>334</v>
      </c>
      <c r="F383" s="12">
        <v>1450</v>
      </c>
      <c r="G383" s="12">
        <v>0</v>
      </c>
      <c r="H383" s="9" t="s">
        <v>158</v>
      </c>
      <c r="I383" s="14" t="s">
        <v>434</v>
      </c>
    </row>
    <row r="384" spans="1:9" x14ac:dyDescent="0.25">
      <c r="A384" s="8">
        <v>383</v>
      </c>
      <c r="B384" s="16" t="s">
        <v>775</v>
      </c>
      <c r="C384" s="17">
        <v>2020</v>
      </c>
      <c r="D384" s="18">
        <v>44153</v>
      </c>
      <c r="E384" s="16" t="s">
        <v>334</v>
      </c>
      <c r="F384" s="19">
        <v>1469.8</v>
      </c>
      <c r="G384" s="19">
        <v>0</v>
      </c>
      <c r="H384" s="16" t="s">
        <v>356</v>
      </c>
      <c r="I384" s="20" t="s">
        <v>336</v>
      </c>
    </row>
    <row r="385" spans="1:9" x14ac:dyDescent="0.25">
      <c r="A385" s="8">
        <v>384</v>
      </c>
      <c r="B385" s="9" t="s">
        <v>774</v>
      </c>
      <c r="C385" s="10">
        <v>2020</v>
      </c>
      <c r="D385" s="11">
        <v>44153</v>
      </c>
      <c r="E385" s="9" t="s">
        <v>334</v>
      </c>
      <c r="F385" s="12">
        <f>751.41+640.57+219.99</f>
        <v>1611.97</v>
      </c>
      <c r="G385" s="12">
        <v>0</v>
      </c>
      <c r="H385" s="9" t="s">
        <v>356</v>
      </c>
      <c r="I385" s="14" t="s">
        <v>336</v>
      </c>
    </row>
    <row r="386" spans="1:9" x14ac:dyDescent="0.25">
      <c r="A386" s="8">
        <v>385</v>
      </c>
      <c r="B386" s="9" t="s">
        <v>772</v>
      </c>
      <c r="C386" s="10">
        <v>2020</v>
      </c>
      <c r="D386" s="11">
        <v>44153</v>
      </c>
      <c r="E386" s="9" t="s">
        <v>334</v>
      </c>
      <c r="F386" s="12">
        <f>751.41+307.89+157.55</f>
        <v>1216.8499999999999</v>
      </c>
      <c r="G386" s="12">
        <v>0</v>
      </c>
      <c r="H386" s="9" t="s">
        <v>408</v>
      </c>
      <c r="I386" s="14" t="s">
        <v>336</v>
      </c>
    </row>
    <row r="387" spans="1:9" x14ac:dyDescent="0.25">
      <c r="A387" s="8">
        <v>386</v>
      </c>
      <c r="B387" s="9" t="s">
        <v>771</v>
      </c>
      <c r="C387" s="10">
        <v>2020</v>
      </c>
      <c r="D387" s="11">
        <v>44153</v>
      </c>
      <c r="E387" s="9" t="s">
        <v>334</v>
      </c>
      <c r="F387" s="12">
        <f>694.78+572.4+203.09</f>
        <v>1470.2699999999998</v>
      </c>
      <c r="G387" s="12">
        <v>0</v>
      </c>
      <c r="H387" s="9" t="s">
        <v>646</v>
      </c>
      <c r="I387" s="14" t="s">
        <v>336</v>
      </c>
    </row>
    <row r="388" spans="1:9" x14ac:dyDescent="0.25">
      <c r="A388" s="8">
        <v>387</v>
      </c>
      <c r="B388" s="9" t="s">
        <v>773</v>
      </c>
      <c r="C388" s="10">
        <v>2020</v>
      </c>
      <c r="D388" s="11">
        <v>44153</v>
      </c>
      <c r="E388" s="9" t="s">
        <v>334</v>
      </c>
      <c r="F388" s="12">
        <f>694.78+766.13</f>
        <v>1460.9099999999999</v>
      </c>
      <c r="G388" s="12">
        <v>0</v>
      </c>
      <c r="H388" s="9" t="s">
        <v>408</v>
      </c>
      <c r="I388" s="14" t="s">
        <v>336</v>
      </c>
    </row>
    <row r="389" spans="1:9" x14ac:dyDescent="0.25">
      <c r="A389" s="8">
        <v>388</v>
      </c>
      <c r="B389" s="9" t="s">
        <v>777</v>
      </c>
      <c r="C389" s="10">
        <v>2020</v>
      </c>
      <c r="D389" s="11">
        <v>44154</v>
      </c>
      <c r="E389" s="9" t="s">
        <v>334</v>
      </c>
      <c r="F389" s="12">
        <f>518.5+652.55+233.94</f>
        <v>1404.99</v>
      </c>
      <c r="G389" s="12">
        <v>0</v>
      </c>
      <c r="H389" s="9" t="s">
        <v>427</v>
      </c>
      <c r="I389" s="14" t="s">
        <v>336</v>
      </c>
    </row>
    <row r="390" spans="1:9" x14ac:dyDescent="0.25">
      <c r="A390" s="8">
        <v>389</v>
      </c>
      <c r="B390" s="9" t="s">
        <v>778</v>
      </c>
      <c r="C390" s="10">
        <v>2020</v>
      </c>
      <c r="D390" s="11">
        <v>44154</v>
      </c>
      <c r="E390" s="9" t="s">
        <v>334</v>
      </c>
      <c r="F390" s="12">
        <f>595.59+494.37+170.4</f>
        <v>1260.3600000000001</v>
      </c>
      <c r="G390" s="12">
        <v>0</v>
      </c>
      <c r="H390" s="9" t="s">
        <v>427</v>
      </c>
      <c r="I390" s="14" t="s">
        <v>336</v>
      </c>
    </row>
    <row r="391" spans="1:9" x14ac:dyDescent="0.25">
      <c r="A391" s="8">
        <v>390</v>
      </c>
      <c r="B391" s="9" t="s">
        <v>776</v>
      </c>
      <c r="C391" s="10">
        <v>2020</v>
      </c>
      <c r="D391" s="11">
        <v>44154</v>
      </c>
      <c r="E391" s="9" t="s">
        <v>334</v>
      </c>
      <c r="F391" s="12">
        <f>124.37+177.3</f>
        <v>301.67</v>
      </c>
      <c r="G391" s="12">
        <v>0</v>
      </c>
      <c r="H391" s="9" t="s">
        <v>158</v>
      </c>
      <c r="I391" s="14" t="s">
        <v>434</v>
      </c>
    </row>
    <row r="392" spans="1:9" x14ac:dyDescent="0.25">
      <c r="A392" s="8">
        <v>391</v>
      </c>
      <c r="B392" s="9" t="s">
        <v>779</v>
      </c>
      <c r="C392" s="10">
        <v>2020</v>
      </c>
      <c r="D392" s="11">
        <v>44158</v>
      </c>
      <c r="E392" s="9" t="s">
        <v>334</v>
      </c>
      <c r="F392" s="12">
        <f>878.09+884.41+177.93</f>
        <v>1940.43</v>
      </c>
      <c r="G392" s="12">
        <v>0</v>
      </c>
      <c r="H392" s="9" t="s">
        <v>361</v>
      </c>
      <c r="I392" s="14" t="s">
        <v>336</v>
      </c>
    </row>
    <row r="393" spans="1:9" x14ac:dyDescent="0.25">
      <c r="A393" s="8">
        <v>392</v>
      </c>
      <c r="B393" s="9" t="s">
        <v>780</v>
      </c>
      <c r="C393" s="10">
        <v>2020</v>
      </c>
      <c r="D393" s="11">
        <v>44158</v>
      </c>
      <c r="E393" s="9" t="s">
        <v>348</v>
      </c>
      <c r="F393" s="12">
        <v>476.56</v>
      </c>
      <c r="G393" s="12">
        <v>0</v>
      </c>
      <c r="H393" s="9" t="s">
        <v>361</v>
      </c>
      <c r="I393" s="14" t="s">
        <v>336</v>
      </c>
    </row>
    <row r="394" spans="1:9" x14ac:dyDescent="0.25">
      <c r="A394" s="8">
        <v>393</v>
      </c>
      <c r="B394" s="9" t="s">
        <v>781</v>
      </c>
      <c r="C394" s="10">
        <v>2020</v>
      </c>
      <c r="D394" s="11">
        <v>44165</v>
      </c>
      <c r="E394" s="9" t="s">
        <v>334</v>
      </c>
      <c r="F394" s="12">
        <f>1382.97+1174.3+534.69</f>
        <v>3091.96</v>
      </c>
      <c r="G394" s="12">
        <v>0</v>
      </c>
      <c r="H394" s="9" t="s">
        <v>335</v>
      </c>
      <c r="I394" s="14" t="s">
        <v>336</v>
      </c>
    </row>
    <row r="395" spans="1:9" x14ac:dyDescent="0.25">
      <c r="A395" s="8">
        <v>394</v>
      </c>
      <c r="B395" s="9" t="s">
        <v>782</v>
      </c>
      <c r="C395" s="10">
        <v>2020</v>
      </c>
      <c r="D395" s="11">
        <v>44165</v>
      </c>
      <c r="E395" s="9" t="s">
        <v>334</v>
      </c>
      <c r="F395" s="12">
        <f>496.4+593.6+172.39</f>
        <v>1262.3899999999999</v>
      </c>
      <c r="G395" s="12">
        <v>0</v>
      </c>
      <c r="H395" s="9" t="s">
        <v>335</v>
      </c>
      <c r="I395" s="14" t="s">
        <v>336</v>
      </c>
    </row>
    <row r="396" spans="1:9" x14ac:dyDescent="0.25">
      <c r="A396" s="8">
        <v>395</v>
      </c>
      <c r="B396" s="9" t="s">
        <v>783</v>
      </c>
      <c r="C396" s="10">
        <v>2020</v>
      </c>
      <c r="D396" s="11">
        <v>44165</v>
      </c>
      <c r="E396" s="9" t="s">
        <v>334</v>
      </c>
      <c r="F396" s="12">
        <f>441.11+711.72+192.83</f>
        <v>1345.6599999999999</v>
      </c>
      <c r="G396" s="12">
        <v>0</v>
      </c>
      <c r="H396" s="9" t="s">
        <v>335</v>
      </c>
      <c r="I396" s="14" t="s">
        <v>336</v>
      </c>
    </row>
    <row r="397" spans="1:9" x14ac:dyDescent="0.25">
      <c r="A397" s="8">
        <v>396</v>
      </c>
      <c r="B397" s="9" t="s">
        <v>784</v>
      </c>
      <c r="C397" s="10">
        <v>2020</v>
      </c>
      <c r="D397" s="11">
        <v>44165</v>
      </c>
      <c r="E397" s="9" t="s">
        <v>334</v>
      </c>
      <c r="F397" s="12">
        <f>394.98+506.66+175.3</f>
        <v>1076.94</v>
      </c>
      <c r="G397" s="12">
        <v>0</v>
      </c>
      <c r="H397" s="9" t="s">
        <v>335</v>
      </c>
      <c r="I397" s="14" t="s">
        <v>336</v>
      </c>
    </row>
    <row r="398" spans="1:9" x14ac:dyDescent="0.25">
      <c r="A398" s="8">
        <v>397</v>
      </c>
      <c r="B398" s="9" t="s">
        <v>785</v>
      </c>
      <c r="C398" s="10">
        <v>2020</v>
      </c>
      <c r="D398" s="11">
        <v>44165</v>
      </c>
      <c r="E398" s="9" t="s">
        <v>334</v>
      </c>
      <c r="F398" s="12">
        <f>751.41+677.47+258.71</f>
        <v>1687.5900000000001</v>
      </c>
      <c r="G398" s="12">
        <v>0</v>
      </c>
      <c r="H398" s="9" t="s">
        <v>484</v>
      </c>
      <c r="I398" s="14" t="s">
        <v>336</v>
      </c>
    </row>
    <row r="399" spans="1:9" x14ac:dyDescent="0.25">
      <c r="A399" s="8">
        <v>398</v>
      </c>
      <c r="B399" s="9" t="s">
        <v>786</v>
      </c>
      <c r="C399" s="10">
        <v>2020</v>
      </c>
      <c r="D399" s="11">
        <v>44167</v>
      </c>
      <c r="E399" s="9" t="s">
        <v>334</v>
      </c>
      <c r="F399" s="12">
        <f>694.78+572.4+202.54</f>
        <v>1469.7199999999998</v>
      </c>
      <c r="G399" s="12">
        <v>0</v>
      </c>
      <c r="H399" s="9" t="s">
        <v>730</v>
      </c>
      <c r="I399" s="14" t="s">
        <v>336</v>
      </c>
    </row>
    <row r="400" spans="1:9" x14ac:dyDescent="0.25">
      <c r="A400" s="8">
        <v>399</v>
      </c>
      <c r="B400" s="9" t="s">
        <v>787</v>
      </c>
      <c r="C400" s="10">
        <v>2020</v>
      </c>
      <c r="D400" s="11">
        <v>44172</v>
      </c>
      <c r="E400" s="9" t="s">
        <v>334</v>
      </c>
      <c r="F400" s="12">
        <f>495.88+241.71+17.73</f>
        <v>755.32</v>
      </c>
      <c r="G400" s="12">
        <v>0</v>
      </c>
      <c r="H400" s="9" t="s">
        <v>687</v>
      </c>
      <c r="I400" s="14" t="s">
        <v>336</v>
      </c>
    </row>
    <row r="401" spans="1:9" x14ac:dyDescent="0.25">
      <c r="A401" s="8">
        <v>400</v>
      </c>
      <c r="B401" s="9" t="s">
        <v>790</v>
      </c>
      <c r="C401" s="10">
        <v>2020</v>
      </c>
      <c r="D401" s="11">
        <v>44173</v>
      </c>
      <c r="E401" s="9" t="s">
        <v>334</v>
      </c>
      <c r="F401" s="12">
        <f>513.67+66.25</f>
        <v>579.91999999999996</v>
      </c>
      <c r="G401" s="12">
        <v>0</v>
      </c>
      <c r="H401" s="9" t="s">
        <v>555</v>
      </c>
      <c r="I401" s="14" t="s">
        <v>336</v>
      </c>
    </row>
    <row r="402" spans="1:9" x14ac:dyDescent="0.25">
      <c r="A402" s="8">
        <v>401</v>
      </c>
      <c r="B402" s="9" t="s">
        <v>791</v>
      </c>
      <c r="C402" s="10">
        <v>2020</v>
      </c>
      <c r="D402" s="11">
        <v>44173</v>
      </c>
      <c r="E402" s="9" t="s">
        <v>334</v>
      </c>
      <c r="F402" s="12">
        <f>216.3+488.61+166.67</f>
        <v>871.58</v>
      </c>
      <c r="G402" s="12">
        <v>0</v>
      </c>
      <c r="H402" s="9" t="s">
        <v>555</v>
      </c>
      <c r="I402" s="14" t="s">
        <v>336</v>
      </c>
    </row>
    <row r="403" spans="1:9" x14ac:dyDescent="0.25">
      <c r="A403" s="8">
        <v>402</v>
      </c>
      <c r="B403" s="9" t="s">
        <v>792</v>
      </c>
      <c r="C403" s="10">
        <v>2020</v>
      </c>
      <c r="D403" s="11">
        <v>44173</v>
      </c>
      <c r="E403" s="9" t="s">
        <v>334</v>
      </c>
      <c r="F403" s="12">
        <f>524.07+621.28+197.16</f>
        <v>1342.51</v>
      </c>
      <c r="G403" s="12">
        <v>0</v>
      </c>
      <c r="H403" s="9" t="s">
        <v>555</v>
      </c>
      <c r="I403" s="14" t="s">
        <v>336</v>
      </c>
    </row>
    <row r="404" spans="1:9" x14ac:dyDescent="0.25">
      <c r="A404" s="8">
        <v>403</v>
      </c>
      <c r="B404" s="9" t="s">
        <v>788</v>
      </c>
      <c r="C404" s="10">
        <v>2020</v>
      </c>
      <c r="D404" s="11">
        <v>44173</v>
      </c>
      <c r="E404" s="9" t="s">
        <v>334</v>
      </c>
      <c r="F404" s="12">
        <f>595.59+392.5+101.91+168.06</f>
        <v>1258.06</v>
      </c>
      <c r="G404" s="12">
        <v>0</v>
      </c>
      <c r="H404" s="9" t="s">
        <v>369</v>
      </c>
      <c r="I404" s="14" t="s">
        <v>336</v>
      </c>
    </row>
    <row r="405" spans="1:9" x14ac:dyDescent="0.25">
      <c r="A405" s="8">
        <v>404</v>
      </c>
      <c r="B405" s="9" t="s">
        <v>789</v>
      </c>
      <c r="C405" s="10">
        <v>2020</v>
      </c>
      <c r="D405" s="11">
        <v>44173</v>
      </c>
      <c r="E405" s="9" t="s">
        <v>334</v>
      </c>
      <c r="F405" s="12">
        <f>540.3+642.3+219.42</f>
        <v>1402.02</v>
      </c>
      <c r="G405" s="12">
        <v>0</v>
      </c>
      <c r="H405" s="9" t="s">
        <v>369</v>
      </c>
      <c r="I405" s="14" t="s">
        <v>336</v>
      </c>
    </row>
    <row r="406" spans="1:9" x14ac:dyDescent="0.25">
      <c r="A406" s="8">
        <v>405</v>
      </c>
      <c r="B406" s="9" t="s">
        <v>793</v>
      </c>
      <c r="C406" s="10">
        <v>2020</v>
      </c>
      <c r="D406" s="11">
        <v>44179</v>
      </c>
      <c r="E406" s="9" t="s">
        <v>334</v>
      </c>
      <c r="F406" s="12">
        <v>391.21</v>
      </c>
      <c r="G406" s="12">
        <v>0</v>
      </c>
      <c r="H406" s="9" t="s">
        <v>166</v>
      </c>
      <c r="I406" s="14" t="s">
        <v>434</v>
      </c>
    </row>
    <row r="407" spans="1:9" x14ac:dyDescent="0.25">
      <c r="A407" s="8">
        <v>406</v>
      </c>
      <c r="B407" s="9" t="s">
        <v>794</v>
      </c>
      <c r="C407" s="10">
        <v>2020</v>
      </c>
      <c r="D407" s="11">
        <v>44179</v>
      </c>
      <c r="E407" s="9" t="s">
        <v>334</v>
      </c>
      <c r="F407" s="12">
        <f>1115.19+483.46</f>
        <v>1598.65</v>
      </c>
      <c r="G407" s="12">
        <v>0</v>
      </c>
      <c r="H407" s="9" t="s">
        <v>166</v>
      </c>
      <c r="I407" s="14" t="s">
        <v>434</v>
      </c>
    </row>
    <row r="408" spans="1:9" x14ac:dyDescent="0.25">
      <c r="A408" s="8">
        <v>407</v>
      </c>
      <c r="B408" s="9" t="s">
        <v>795</v>
      </c>
      <c r="C408" s="10">
        <v>2020</v>
      </c>
      <c r="D408" s="11">
        <v>44181</v>
      </c>
      <c r="E408" s="9" t="s">
        <v>334</v>
      </c>
      <c r="F408" s="12">
        <f>546.46+455.87+157.85</f>
        <v>1160.18</v>
      </c>
      <c r="G408" s="12">
        <v>0</v>
      </c>
      <c r="H408" s="9" t="s">
        <v>393</v>
      </c>
      <c r="I408" s="14" t="s">
        <v>336</v>
      </c>
    </row>
    <row r="409" spans="1:9" x14ac:dyDescent="0.25">
      <c r="A409" s="8">
        <v>408</v>
      </c>
      <c r="B409" s="9" t="s">
        <v>796</v>
      </c>
      <c r="C409" s="10">
        <v>2020</v>
      </c>
      <c r="D409" s="11">
        <v>44181</v>
      </c>
      <c r="E409" s="9" t="s">
        <v>334</v>
      </c>
      <c r="F409" s="12">
        <f>1063.83+1225.68+477.63</f>
        <v>2767.1400000000003</v>
      </c>
      <c r="G409" s="12">
        <v>0</v>
      </c>
      <c r="H409" s="9" t="s">
        <v>393</v>
      </c>
      <c r="I409" s="14" t="s">
        <v>336</v>
      </c>
    </row>
    <row r="410" spans="1:9" x14ac:dyDescent="0.25">
      <c r="A410" s="8">
        <v>409</v>
      </c>
      <c r="B410" s="9" t="s">
        <v>797</v>
      </c>
      <c r="C410" s="10">
        <v>2020</v>
      </c>
      <c r="D410" s="11">
        <v>44181</v>
      </c>
      <c r="E410" s="9" t="s">
        <v>334</v>
      </c>
      <c r="F410" s="12">
        <f>491.17+528.8+175.55</f>
        <v>1195.52</v>
      </c>
      <c r="G410" s="12">
        <v>0</v>
      </c>
      <c r="H410" s="9" t="s">
        <v>393</v>
      </c>
      <c r="I410" s="14" t="s">
        <v>336</v>
      </c>
    </row>
    <row r="411" spans="1:9" x14ac:dyDescent="0.25">
      <c r="A411" s="8">
        <v>410</v>
      </c>
      <c r="B411" s="9" t="s">
        <v>798</v>
      </c>
      <c r="C411" s="10">
        <v>2020</v>
      </c>
      <c r="D411" s="11">
        <v>44181</v>
      </c>
      <c r="E411" s="9" t="s">
        <v>334</v>
      </c>
      <c r="F411" s="12">
        <f>361.13+562.81+161.78</f>
        <v>1085.72</v>
      </c>
      <c r="G411" s="12">
        <v>0</v>
      </c>
      <c r="H411" s="9" t="s">
        <v>393</v>
      </c>
      <c r="I411" s="14" t="s">
        <v>336</v>
      </c>
    </row>
    <row r="412" spans="1:9" x14ac:dyDescent="0.25">
      <c r="A412" s="8">
        <v>411</v>
      </c>
      <c r="B412" s="9" t="s">
        <v>799</v>
      </c>
      <c r="C412" s="10">
        <v>2020</v>
      </c>
      <c r="D412" s="11">
        <v>44181</v>
      </c>
      <c r="E412" s="9" t="s">
        <v>334</v>
      </c>
      <c r="F412" s="12">
        <f>179.4+145.26</f>
        <v>324.65999999999997</v>
      </c>
      <c r="G412" s="12">
        <v>0</v>
      </c>
      <c r="H412" s="9" t="s">
        <v>393</v>
      </c>
      <c r="I412" s="14" t="s">
        <v>336</v>
      </c>
    </row>
    <row r="413" spans="1:9" x14ac:dyDescent="0.25">
      <c r="A413" s="8">
        <v>412</v>
      </c>
      <c r="B413" s="9" t="s">
        <v>800</v>
      </c>
      <c r="C413" s="10">
        <v>2020</v>
      </c>
      <c r="D413" s="11">
        <v>44181</v>
      </c>
      <c r="E413" s="9" t="s">
        <v>334</v>
      </c>
      <c r="F413" s="12">
        <f>172.75+100.06</f>
        <v>272.81</v>
      </c>
      <c r="G413" s="12">
        <v>0</v>
      </c>
      <c r="H413" s="9" t="s">
        <v>393</v>
      </c>
      <c r="I413" s="14" t="s">
        <v>336</v>
      </c>
    </row>
    <row r="414" spans="1:9" x14ac:dyDescent="0.25">
      <c r="A414" s="8">
        <v>413</v>
      </c>
      <c r="B414" s="16" t="s">
        <v>801</v>
      </c>
      <c r="C414" s="17">
        <v>2020</v>
      </c>
      <c r="D414" s="18">
        <v>44181</v>
      </c>
      <c r="E414" s="16" t="s">
        <v>334</v>
      </c>
      <c r="F414" s="19">
        <v>471.73</v>
      </c>
      <c r="G414" s="19">
        <v>0</v>
      </c>
      <c r="H414" s="16" t="s">
        <v>393</v>
      </c>
      <c r="I414" s="20" t="s">
        <v>336</v>
      </c>
    </row>
    <row r="415" spans="1:9" x14ac:dyDescent="0.25">
      <c r="A415" s="8">
        <v>414</v>
      </c>
      <c r="B415" s="9" t="s">
        <v>802</v>
      </c>
      <c r="C415" s="10">
        <v>2020</v>
      </c>
      <c r="D415" s="11">
        <v>44186</v>
      </c>
      <c r="E415" s="9" t="s">
        <v>334</v>
      </c>
      <c r="F415" s="12">
        <f>892.08+570.67</f>
        <v>1462.75</v>
      </c>
      <c r="G415" s="12">
        <v>0</v>
      </c>
      <c r="H415" s="9" t="s">
        <v>122</v>
      </c>
      <c r="I415" s="14" t="s">
        <v>434</v>
      </c>
    </row>
    <row r="416" spans="1:9" x14ac:dyDescent="0.25">
      <c r="A416" s="8">
        <v>415</v>
      </c>
      <c r="B416" s="9" t="s">
        <v>806</v>
      </c>
      <c r="C416" s="10">
        <v>2021</v>
      </c>
      <c r="D416" s="11">
        <v>44200</v>
      </c>
      <c r="E416" s="9" t="s">
        <v>334</v>
      </c>
      <c r="F416" s="12">
        <f>441.86+767.4+211.95+212.6</f>
        <v>1633.81</v>
      </c>
      <c r="G416" s="12">
        <v>0</v>
      </c>
      <c r="H416" s="9" t="s">
        <v>711</v>
      </c>
      <c r="I416" s="14" t="s">
        <v>336</v>
      </c>
    </row>
    <row r="417" spans="1:9" x14ac:dyDescent="0.25">
      <c r="A417" s="8">
        <v>416</v>
      </c>
      <c r="B417" s="9" t="s">
        <v>807</v>
      </c>
      <c r="C417" s="10">
        <v>2021</v>
      </c>
      <c r="D417" s="11">
        <v>44200</v>
      </c>
      <c r="E417" s="9" t="s">
        <v>334</v>
      </c>
      <c r="F417" s="12">
        <f>573.16+920.19+340.81</f>
        <v>1834.1599999999999</v>
      </c>
      <c r="G417" s="12">
        <v>0</v>
      </c>
      <c r="H417" s="9" t="s">
        <v>458</v>
      </c>
      <c r="I417" s="14" t="s">
        <v>336</v>
      </c>
    </row>
    <row r="418" spans="1:9" x14ac:dyDescent="0.25">
      <c r="A418" s="8">
        <v>417</v>
      </c>
      <c r="B418" s="9" t="s">
        <v>804</v>
      </c>
      <c r="C418" s="10">
        <v>2021</v>
      </c>
      <c r="D418" s="11">
        <v>44200</v>
      </c>
      <c r="E418" s="9" t="s">
        <v>334</v>
      </c>
      <c r="F418" s="12">
        <v>619.51</v>
      </c>
      <c r="G418" s="12">
        <v>0</v>
      </c>
      <c r="H418" s="9" t="s">
        <v>192</v>
      </c>
      <c r="I418" s="14" t="s">
        <v>336</v>
      </c>
    </row>
    <row r="419" spans="1:9" x14ac:dyDescent="0.25">
      <c r="A419" s="8">
        <v>418</v>
      </c>
      <c r="B419" s="9" t="s">
        <v>805</v>
      </c>
      <c r="C419" s="10">
        <v>2021</v>
      </c>
      <c r="D419" s="11">
        <v>44200</v>
      </c>
      <c r="E419" s="9" t="s">
        <v>334</v>
      </c>
      <c r="F419" s="12">
        <f>702.54+453.06</f>
        <v>1155.5999999999999</v>
      </c>
      <c r="G419" s="12">
        <v>0</v>
      </c>
      <c r="H419" s="9" t="s">
        <v>136</v>
      </c>
      <c r="I419" s="14" t="s">
        <v>336</v>
      </c>
    </row>
    <row r="420" spans="1:9" x14ac:dyDescent="0.25">
      <c r="A420" s="8">
        <v>419</v>
      </c>
      <c r="B420" s="9" t="s">
        <v>803</v>
      </c>
      <c r="C420" s="10">
        <v>2021</v>
      </c>
      <c r="D420" s="11">
        <v>44200</v>
      </c>
      <c r="E420" s="9" t="s">
        <v>334</v>
      </c>
      <c r="F420" s="12">
        <f>915.87+656.09</f>
        <v>1571.96</v>
      </c>
      <c r="G420" s="12">
        <v>0</v>
      </c>
      <c r="H420" s="9" t="s">
        <v>178</v>
      </c>
      <c r="I420" s="14" t="s">
        <v>434</v>
      </c>
    </row>
    <row r="421" spans="1:9" x14ac:dyDescent="0.25">
      <c r="A421" s="8">
        <v>420</v>
      </c>
      <c r="B421" s="9" t="s">
        <v>808</v>
      </c>
      <c r="C421" s="10">
        <v>2021</v>
      </c>
      <c r="D421" s="11">
        <v>44201</v>
      </c>
      <c r="E421" s="9" t="s">
        <v>334</v>
      </c>
      <c r="F421" s="12">
        <f>573.16+777.38+297.87+298.78</f>
        <v>1947.1899999999998</v>
      </c>
      <c r="G421" s="12">
        <v>0</v>
      </c>
      <c r="H421" s="9" t="s">
        <v>711</v>
      </c>
      <c r="I421" s="14" t="s">
        <v>336</v>
      </c>
    </row>
    <row r="422" spans="1:9" x14ac:dyDescent="0.25">
      <c r="A422" s="8">
        <v>421</v>
      </c>
      <c r="B422" s="9" t="s">
        <v>809</v>
      </c>
      <c r="C422" s="10">
        <v>2021</v>
      </c>
      <c r="D422" s="11">
        <v>44201</v>
      </c>
      <c r="E422" s="9" t="s">
        <v>334</v>
      </c>
      <c r="F422" s="12">
        <f>441.86+470.95+138.18+138.6</f>
        <v>1189.5899999999999</v>
      </c>
      <c r="G422" s="12">
        <v>0</v>
      </c>
      <c r="H422" s="9" t="s">
        <v>711</v>
      </c>
      <c r="I422" s="14" t="s">
        <v>336</v>
      </c>
    </row>
    <row r="423" spans="1:9" x14ac:dyDescent="0.25">
      <c r="A423" s="8">
        <v>422</v>
      </c>
      <c r="B423" s="9" t="s">
        <v>810</v>
      </c>
      <c r="C423" s="10">
        <v>2021</v>
      </c>
      <c r="D423" s="11">
        <v>44201</v>
      </c>
      <c r="E423" s="9" t="s">
        <v>334</v>
      </c>
      <c r="F423" s="12">
        <f>366.07+770.45+93.75</f>
        <v>1230.27</v>
      </c>
      <c r="G423" s="12">
        <v>0</v>
      </c>
      <c r="H423" s="9" t="s">
        <v>687</v>
      </c>
      <c r="I423" s="14" t="s">
        <v>336</v>
      </c>
    </row>
    <row r="424" spans="1:9" x14ac:dyDescent="0.25">
      <c r="A424" s="8">
        <v>423</v>
      </c>
      <c r="B424" s="9" t="s">
        <v>811</v>
      </c>
      <c r="C424" s="10">
        <v>2021</v>
      </c>
      <c r="D424" s="11">
        <v>44201</v>
      </c>
      <c r="E424" s="9" t="s">
        <v>334</v>
      </c>
      <c r="F424" s="12">
        <f>167.7+502.69+644.44</f>
        <v>1314.83</v>
      </c>
      <c r="G424" s="12">
        <v>0</v>
      </c>
      <c r="H424" s="9" t="s">
        <v>687</v>
      </c>
      <c r="I424" s="14" t="s">
        <v>336</v>
      </c>
    </row>
    <row r="425" spans="1:9" x14ac:dyDescent="0.25">
      <c r="A425" s="8">
        <v>424</v>
      </c>
      <c r="B425" s="9" t="s">
        <v>812</v>
      </c>
      <c r="C425" s="10">
        <v>2021</v>
      </c>
      <c r="D425" s="11">
        <v>44203</v>
      </c>
      <c r="E425" s="9" t="s">
        <v>334</v>
      </c>
      <c r="F425" s="12">
        <f>575.48+481.77</f>
        <v>1057.25</v>
      </c>
      <c r="G425" s="12">
        <v>0</v>
      </c>
      <c r="H425" s="9" t="s">
        <v>349</v>
      </c>
      <c r="I425" s="14" t="s">
        <v>336</v>
      </c>
    </row>
    <row r="426" spans="1:9" x14ac:dyDescent="0.25">
      <c r="A426" s="8">
        <v>425</v>
      </c>
      <c r="B426" s="9" t="s">
        <v>813</v>
      </c>
      <c r="C426" s="10">
        <v>2021</v>
      </c>
      <c r="D426" s="11">
        <v>44203</v>
      </c>
      <c r="E426" s="9" t="s">
        <v>334</v>
      </c>
      <c r="F426" s="12">
        <f>549.26+496.4</f>
        <v>1045.6599999999999</v>
      </c>
      <c r="G426" s="12">
        <v>0</v>
      </c>
      <c r="H426" s="9" t="s">
        <v>349</v>
      </c>
      <c r="I426" s="14" t="s">
        <v>336</v>
      </c>
    </row>
    <row r="427" spans="1:9" x14ac:dyDescent="0.25">
      <c r="A427" s="8">
        <v>426</v>
      </c>
      <c r="B427" s="9" t="s">
        <v>814</v>
      </c>
      <c r="C427" s="10">
        <v>2021</v>
      </c>
      <c r="D427" s="11">
        <v>44203</v>
      </c>
      <c r="E427" s="9" t="s">
        <v>334</v>
      </c>
      <c r="F427" s="12">
        <f>349.44+441.86</f>
        <v>791.3</v>
      </c>
      <c r="G427" s="12">
        <v>0</v>
      </c>
      <c r="H427" s="9" t="s">
        <v>349</v>
      </c>
      <c r="I427" s="14" t="s">
        <v>336</v>
      </c>
    </row>
    <row r="428" spans="1:9" x14ac:dyDescent="0.25">
      <c r="A428" s="8">
        <v>427</v>
      </c>
      <c r="B428" s="9" t="s">
        <v>815</v>
      </c>
      <c r="C428" s="10">
        <v>2021</v>
      </c>
      <c r="D428" s="11">
        <v>44203</v>
      </c>
      <c r="E428" s="9" t="s">
        <v>334</v>
      </c>
      <c r="F428" s="12">
        <f>1433.39+822.65</f>
        <v>2256.04</v>
      </c>
      <c r="G428" s="12">
        <v>0</v>
      </c>
      <c r="H428" s="9" t="s">
        <v>349</v>
      </c>
      <c r="I428" s="14" t="s">
        <v>336</v>
      </c>
    </row>
    <row r="429" spans="1:9" x14ac:dyDescent="0.25">
      <c r="A429" s="8">
        <v>428</v>
      </c>
      <c r="B429" s="9" t="s">
        <v>816</v>
      </c>
      <c r="C429" s="10">
        <v>2021</v>
      </c>
      <c r="D429" s="11">
        <v>44203</v>
      </c>
      <c r="E429" s="9" t="s">
        <v>334</v>
      </c>
      <c r="F429" s="12">
        <f>267.6+286.03</f>
        <v>553.63</v>
      </c>
      <c r="G429" s="12">
        <v>0</v>
      </c>
      <c r="H429" s="9" t="s">
        <v>349</v>
      </c>
      <c r="I429" s="14" t="s">
        <v>336</v>
      </c>
    </row>
    <row r="430" spans="1:9" x14ac:dyDescent="0.25">
      <c r="A430" s="8">
        <v>429</v>
      </c>
      <c r="B430" s="9" t="s">
        <v>817</v>
      </c>
      <c r="C430" s="10">
        <v>2021</v>
      </c>
      <c r="D430" s="11">
        <v>44229</v>
      </c>
      <c r="E430" s="9" t="s">
        <v>334</v>
      </c>
      <c r="F430" s="12">
        <f>678.07+868.83</f>
        <v>1546.9</v>
      </c>
      <c r="G430" s="12">
        <v>0</v>
      </c>
      <c r="H430" s="9" t="s">
        <v>170</v>
      </c>
      <c r="I430" s="14" t="s">
        <v>434</v>
      </c>
    </row>
    <row r="431" spans="1:9" x14ac:dyDescent="0.25">
      <c r="A431" s="8">
        <v>430</v>
      </c>
      <c r="B431" s="9" t="s">
        <v>820</v>
      </c>
      <c r="C431" s="10">
        <v>2021</v>
      </c>
      <c r="D431" s="11">
        <v>44230</v>
      </c>
      <c r="E431" s="9" t="s">
        <v>334</v>
      </c>
      <c r="F431" s="12">
        <f>159.66+385.05+644.77</f>
        <v>1189.48</v>
      </c>
      <c r="G431" s="12">
        <v>0</v>
      </c>
      <c r="H431" s="9" t="s">
        <v>346</v>
      </c>
      <c r="I431" s="14" t="s">
        <v>336</v>
      </c>
    </row>
    <row r="432" spans="1:9" x14ac:dyDescent="0.25">
      <c r="A432" s="8">
        <v>431</v>
      </c>
      <c r="B432" s="9" t="s">
        <v>821</v>
      </c>
      <c r="C432" s="10">
        <v>2021</v>
      </c>
      <c r="D432" s="11">
        <v>44230</v>
      </c>
      <c r="E432" s="9" t="s">
        <v>334</v>
      </c>
      <c r="F432" s="12">
        <f>326.26+495.88</f>
        <v>822.14</v>
      </c>
      <c r="G432" s="12">
        <v>0</v>
      </c>
      <c r="H432" s="9" t="s">
        <v>346</v>
      </c>
      <c r="I432" s="14" t="s">
        <v>336</v>
      </c>
    </row>
    <row r="433" spans="1:9" x14ac:dyDescent="0.25">
      <c r="A433" s="8">
        <v>432</v>
      </c>
      <c r="B433" s="9" t="s">
        <v>822</v>
      </c>
      <c r="C433" s="10">
        <v>2021</v>
      </c>
      <c r="D433" s="11">
        <v>44230</v>
      </c>
      <c r="E433" s="9" t="s">
        <v>334</v>
      </c>
      <c r="F433" s="12">
        <f>248.6+581.06+486.19</f>
        <v>1315.85</v>
      </c>
      <c r="G433" s="12">
        <v>0</v>
      </c>
      <c r="H433" s="9" t="s">
        <v>346</v>
      </c>
      <c r="I433" s="14" t="s">
        <v>336</v>
      </c>
    </row>
    <row r="434" spans="1:9" x14ac:dyDescent="0.25">
      <c r="A434" s="8">
        <v>433</v>
      </c>
      <c r="B434" s="9" t="s">
        <v>823</v>
      </c>
      <c r="C434" s="10">
        <v>2021</v>
      </c>
      <c r="D434" s="11">
        <v>44230</v>
      </c>
      <c r="E434" s="9" t="s">
        <v>334</v>
      </c>
      <c r="F434" s="12">
        <f>171.54+404.16+530.73</f>
        <v>1106.43</v>
      </c>
      <c r="G434" s="12">
        <v>0</v>
      </c>
      <c r="H434" s="9" t="s">
        <v>346</v>
      </c>
      <c r="I434" s="14" t="s">
        <v>336</v>
      </c>
    </row>
    <row r="435" spans="1:9" x14ac:dyDescent="0.25">
      <c r="A435" s="8">
        <v>434</v>
      </c>
      <c r="B435" s="9" t="s">
        <v>824</v>
      </c>
      <c r="C435" s="10">
        <v>2021</v>
      </c>
      <c r="D435" s="11">
        <v>44230</v>
      </c>
      <c r="E435" s="9" t="s">
        <v>334</v>
      </c>
      <c r="F435" s="12">
        <f>683.27+751.41</f>
        <v>1434.6799999999998</v>
      </c>
      <c r="G435" s="12">
        <v>0</v>
      </c>
      <c r="H435" s="9" t="s">
        <v>346</v>
      </c>
      <c r="I435" s="14" t="s">
        <v>336</v>
      </c>
    </row>
    <row r="436" spans="1:9" x14ac:dyDescent="0.25">
      <c r="A436" s="8">
        <v>435</v>
      </c>
      <c r="B436" s="9" t="s">
        <v>825</v>
      </c>
      <c r="C436" s="10">
        <v>2021</v>
      </c>
      <c r="D436" s="11">
        <v>44230</v>
      </c>
      <c r="E436" s="9" t="s">
        <v>334</v>
      </c>
      <c r="F436" s="12">
        <f>257.23+969.79+599.4</f>
        <v>1826.42</v>
      </c>
      <c r="G436" s="12">
        <v>0</v>
      </c>
      <c r="H436" s="9" t="s">
        <v>346</v>
      </c>
      <c r="I436" s="14" t="s">
        <v>336</v>
      </c>
    </row>
    <row r="437" spans="1:9" x14ac:dyDescent="0.25">
      <c r="A437" s="8">
        <v>436</v>
      </c>
      <c r="B437" s="9" t="s">
        <v>818</v>
      </c>
      <c r="C437" s="10">
        <v>2021</v>
      </c>
      <c r="D437" s="11">
        <v>44230</v>
      </c>
      <c r="E437" s="9" t="s">
        <v>334</v>
      </c>
      <c r="F437" s="12">
        <f>587.4+850.65</f>
        <v>1438.05</v>
      </c>
      <c r="G437" s="12">
        <v>0</v>
      </c>
      <c r="H437" s="9" t="s">
        <v>144</v>
      </c>
      <c r="I437" s="14" t="s">
        <v>434</v>
      </c>
    </row>
    <row r="438" spans="1:9" x14ac:dyDescent="0.25">
      <c r="A438" s="8">
        <v>437</v>
      </c>
      <c r="B438" s="9" t="s">
        <v>819</v>
      </c>
      <c r="C438" s="10">
        <v>2021</v>
      </c>
      <c r="D438" s="11">
        <v>44230</v>
      </c>
      <c r="E438" s="9" t="s">
        <v>334</v>
      </c>
      <c r="F438" s="12">
        <f>587.4+2567.32</f>
        <v>3154.7200000000003</v>
      </c>
      <c r="G438" s="12">
        <v>0</v>
      </c>
      <c r="H438" s="9" t="s">
        <v>144</v>
      </c>
      <c r="I438" s="14" t="s">
        <v>434</v>
      </c>
    </row>
    <row r="439" spans="1:9" x14ac:dyDescent="0.25">
      <c r="A439" s="8">
        <v>438</v>
      </c>
      <c r="B439" s="9" t="s">
        <v>826</v>
      </c>
      <c r="C439" s="10">
        <v>2021</v>
      </c>
      <c r="D439" s="11">
        <v>44232</v>
      </c>
      <c r="E439" s="9" t="s">
        <v>334</v>
      </c>
      <c r="F439" s="12">
        <f>328.34+1247.78</f>
        <v>1576.12</v>
      </c>
      <c r="G439" s="12">
        <v>0</v>
      </c>
      <c r="H439" s="9" t="s">
        <v>166</v>
      </c>
      <c r="I439" s="14" t="s">
        <v>434</v>
      </c>
    </row>
    <row r="440" spans="1:9" x14ac:dyDescent="0.25">
      <c r="A440" s="8">
        <v>439</v>
      </c>
      <c r="B440" s="9" t="s">
        <v>827</v>
      </c>
      <c r="C440" s="10">
        <v>2021</v>
      </c>
      <c r="D440" s="11">
        <v>44236</v>
      </c>
      <c r="E440" s="9" t="s">
        <v>334</v>
      </c>
      <c r="F440" s="12">
        <f>557.8+600.1</f>
        <v>1157.9000000000001</v>
      </c>
      <c r="G440" s="12">
        <v>0</v>
      </c>
      <c r="H440" s="9" t="s">
        <v>828</v>
      </c>
      <c r="I440" s="14" t="s">
        <v>434</v>
      </c>
    </row>
    <row r="441" spans="1:9" x14ac:dyDescent="0.25">
      <c r="A441" s="8">
        <v>440</v>
      </c>
      <c r="B441" s="9" t="s">
        <v>829</v>
      </c>
      <c r="C441" s="10">
        <v>2021</v>
      </c>
      <c r="D441" s="11">
        <v>44238</v>
      </c>
      <c r="E441" s="9" t="s">
        <v>334</v>
      </c>
      <c r="F441" s="12">
        <f>278.29+495.88</f>
        <v>774.17000000000007</v>
      </c>
      <c r="G441" s="12">
        <v>0</v>
      </c>
      <c r="H441" s="9" t="s">
        <v>383</v>
      </c>
      <c r="I441" s="14" t="s">
        <v>336</v>
      </c>
    </row>
    <row r="442" spans="1:9" x14ac:dyDescent="0.25">
      <c r="A442" s="8">
        <v>441</v>
      </c>
      <c r="B442" s="9" t="s">
        <v>830</v>
      </c>
      <c r="C442" s="10">
        <v>2021</v>
      </c>
      <c r="D442" s="11">
        <v>44238</v>
      </c>
      <c r="E442" s="9" t="s">
        <v>334</v>
      </c>
      <c r="F442" s="12">
        <f>212.65+427.51+869.11</f>
        <v>1509.27</v>
      </c>
      <c r="G442" s="12">
        <v>0</v>
      </c>
      <c r="H442" s="9" t="s">
        <v>383</v>
      </c>
      <c r="I442" s="14" t="s">
        <v>336</v>
      </c>
    </row>
    <row r="443" spans="1:9" x14ac:dyDescent="0.25">
      <c r="A443" s="8">
        <v>442</v>
      </c>
      <c r="B443" s="9" t="s">
        <v>831</v>
      </c>
      <c r="C443" s="10">
        <v>2021</v>
      </c>
      <c r="D443" s="11">
        <v>44238</v>
      </c>
      <c r="E443" s="9" t="s">
        <v>334</v>
      </c>
      <c r="F443" s="12">
        <f>192.57+517.97+481.6</f>
        <v>1192.1399999999999</v>
      </c>
      <c r="G443" s="12">
        <v>0</v>
      </c>
      <c r="H443" s="9" t="s">
        <v>383</v>
      </c>
      <c r="I443" s="14" t="s">
        <v>336</v>
      </c>
    </row>
    <row r="444" spans="1:9" x14ac:dyDescent="0.25">
      <c r="A444" s="8">
        <v>443</v>
      </c>
      <c r="B444" s="9" t="s">
        <v>832</v>
      </c>
      <c r="C444" s="10">
        <v>2021</v>
      </c>
      <c r="D444" s="11">
        <v>44238</v>
      </c>
      <c r="E444" s="9" t="s">
        <v>334</v>
      </c>
      <c r="F444" s="12">
        <f>1241.51+822.65</f>
        <v>2064.16</v>
      </c>
      <c r="G444" s="12">
        <v>0</v>
      </c>
      <c r="H444" s="9" t="s">
        <v>383</v>
      </c>
      <c r="I444" s="14" t="s">
        <v>336</v>
      </c>
    </row>
    <row r="445" spans="1:9" x14ac:dyDescent="0.25">
      <c r="A445" s="8">
        <v>444</v>
      </c>
      <c r="B445" s="9" t="s">
        <v>833</v>
      </c>
      <c r="C445" s="10">
        <v>2021</v>
      </c>
      <c r="D445" s="11">
        <v>44238</v>
      </c>
      <c r="E445" s="9" t="s">
        <v>334</v>
      </c>
      <c r="F445" s="12">
        <f>104.18+209.24+306.27</f>
        <v>619.69000000000005</v>
      </c>
      <c r="G445" s="12">
        <v>0</v>
      </c>
      <c r="H445" s="9" t="s">
        <v>383</v>
      </c>
      <c r="I445" s="14" t="s">
        <v>336</v>
      </c>
    </row>
    <row r="446" spans="1:9" x14ac:dyDescent="0.25">
      <c r="A446" s="8">
        <v>445</v>
      </c>
      <c r="B446" s="9" t="s">
        <v>834</v>
      </c>
      <c r="C446" s="10">
        <v>2021</v>
      </c>
      <c r="D446" s="11">
        <v>44242</v>
      </c>
      <c r="E446" s="9" t="s">
        <v>334</v>
      </c>
      <c r="F446" s="12">
        <f>620.61+1181.58</f>
        <v>1802.19</v>
      </c>
      <c r="G446" s="12">
        <v>0</v>
      </c>
      <c r="H446" s="9" t="s">
        <v>150</v>
      </c>
      <c r="I446" s="14" t="s">
        <v>434</v>
      </c>
    </row>
    <row r="447" spans="1:9" x14ac:dyDescent="0.25">
      <c r="A447" s="8">
        <v>446</v>
      </c>
      <c r="B447" s="9" t="s">
        <v>835</v>
      </c>
      <c r="C447" s="10">
        <v>2021</v>
      </c>
      <c r="D447" s="11">
        <v>44243</v>
      </c>
      <c r="E447" s="9" t="s">
        <v>334</v>
      </c>
      <c r="F447" s="12">
        <f>866.65+2603.32</f>
        <v>3469.9700000000003</v>
      </c>
      <c r="G447" s="12">
        <v>0</v>
      </c>
      <c r="H447" s="9" t="s">
        <v>150</v>
      </c>
      <c r="I447" s="14" t="s">
        <v>434</v>
      </c>
    </row>
    <row r="448" spans="1:9" x14ac:dyDescent="0.25">
      <c r="A448" s="8">
        <v>447</v>
      </c>
      <c r="B448" s="9" t="s">
        <v>836</v>
      </c>
      <c r="C448" s="10">
        <v>2021</v>
      </c>
      <c r="D448" s="11">
        <v>44244</v>
      </c>
      <c r="E448" s="9" t="s">
        <v>334</v>
      </c>
      <c r="F448" s="12">
        <f>1025.39+6961.86+1469.11</f>
        <v>9456.36</v>
      </c>
      <c r="G448" s="12">
        <v>0</v>
      </c>
      <c r="H448" s="9" t="s">
        <v>136</v>
      </c>
      <c r="I448" s="14" t="s">
        <v>336</v>
      </c>
    </row>
    <row r="449" spans="1:9" x14ac:dyDescent="0.25">
      <c r="A449" s="8">
        <v>448</v>
      </c>
      <c r="B449" s="9" t="s">
        <v>837</v>
      </c>
      <c r="C449" s="10">
        <v>2021</v>
      </c>
      <c r="D449" s="11">
        <v>44250</v>
      </c>
      <c r="E449" s="9" t="s">
        <v>334</v>
      </c>
      <c r="F449" s="12">
        <v>735.58</v>
      </c>
      <c r="G449" s="12">
        <v>0</v>
      </c>
      <c r="H449" s="9" t="s">
        <v>194</v>
      </c>
      <c r="I449" s="14" t="s">
        <v>336</v>
      </c>
    </row>
    <row r="450" spans="1:9" x14ac:dyDescent="0.25">
      <c r="A450" s="8">
        <v>449</v>
      </c>
      <c r="B450" s="9" t="s">
        <v>838</v>
      </c>
      <c r="C450" s="10">
        <v>2021</v>
      </c>
      <c r="D450" s="11">
        <v>44253</v>
      </c>
      <c r="E450" s="9" t="s">
        <v>334</v>
      </c>
      <c r="F450" s="12">
        <f>534.9+946.56</f>
        <v>1481.46</v>
      </c>
      <c r="G450" s="12">
        <v>0</v>
      </c>
      <c r="H450" s="9" t="s">
        <v>828</v>
      </c>
      <c r="I450" s="14" t="s">
        <v>434</v>
      </c>
    </row>
    <row r="451" spans="1:9" x14ac:dyDescent="0.25">
      <c r="A451" s="8">
        <v>450</v>
      </c>
      <c r="B451" s="9" t="s">
        <v>839</v>
      </c>
      <c r="C451" s="10">
        <v>2021</v>
      </c>
      <c r="D451" s="11">
        <v>44257</v>
      </c>
      <c r="E451" s="9" t="s">
        <v>334</v>
      </c>
      <c r="F451" s="12">
        <f>494.05+810.89</f>
        <v>1304.94</v>
      </c>
      <c r="G451" s="12">
        <v>0</v>
      </c>
      <c r="H451" s="9" t="s">
        <v>148</v>
      </c>
      <c r="I451" s="14" t="s">
        <v>434</v>
      </c>
    </row>
    <row r="452" spans="1:9" x14ac:dyDescent="0.25">
      <c r="A452" s="8">
        <v>451</v>
      </c>
      <c r="B452" s="9" t="s">
        <v>840</v>
      </c>
      <c r="C452" s="10">
        <v>2021</v>
      </c>
      <c r="D452" s="11">
        <v>44263</v>
      </c>
      <c r="E452" s="9" t="s">
        <v>334</v>
      </c>
      <c r="F452" s="12">
        <f>1514.03+1142.06</f>
        <v>2656.09</v>
      </c>
      <c r="G452" s="12">
        <v>0</v>
      </c>
      <c r="H452" s="9" t="s">
        <v>62</v>
      </c>
      <c r="I452" s="14" t="s">
        <v>336</v>
      </c>
    </row>
    <row r="453" spans="1:9" x14ac:dyDescent="0.25">
      <c r="A453" s="8">
        <v>452</v>
      </c>
      <c r="B453" s="9" t="s">
        <v>841</v>
      </c>
      <c r="C453" s="10">
        <v>2021</v>
      </c>
      <c r="D453" s="11">
        <v>44264</v>
      </c>
      <c r="E453" s="9" t="s">
        <v>334</v>
      </c>
      <c r="F453" s="12">
        <f>387.43+747.85</f>
        <v>1135.28</v>
      </c>
      <c r="G453" s="12">
        <v>0</v>
      </c>
      <c r="H453" s="9" t="s">
        <v>180</v>
      </c>
      <c r="I453" s="14" t="s">
        <v>434</v>
      </c>
    </row>
    <row r="454" spans="1:9" x14ac:dyDescent="0.25">
      <c r="A454" s="8">
        <v>453</v>
      </c>
      <c r="B454" s="9" t="s">
        <v>843</v>
      </c>
      <c r="C454" s="10">
        <v>2021</v>
      </c>
      <c r="D454" s="11">
        <v>44265</v>
      </c>
      <c r="E454" s="9" t="s">
        <v>334</v>
      </c>
      <c r="F454" s="12">
        <v>735.58</v>
      </c>
      <c r="G454" s="12">
        <v>0</v>
      </c>
      <c r="H454" s="9" t="s">
        <v>132</v>
      </c>
      <c r="I454" s="14" t="s">
        <v>336</v>
      </c>
    </row>
    <row r="455" spans="1:9" x14ac:dyDescent="0.25">
      <c r="A455" s="8">
        <v>454</v>
      </c>
      <c r="B455" s="9" t="s">
        <v>842</v>
      </c>
      <c r="C455" s="10">
        <v>2021</v>
      </c>
      <c r="D455" s="11">
        <v>44265</v>
      </c>
      <c r="E455" s="9" t="s">
        <v>334</v>
      </c>
      <c r="F455" s="12">
        <f>506.42+592.55</f>
        <v>1098.97</v>
      </c>
      <c r="G455" s="12">
        <v>0</v>
      </c>
      <c r="H455" s="9" t="s">
        <v>176</v>
      </c>
      <c r="I455" s="14" t="s">
        <v>434</v>
      </c>
    </row>
    <row r="456" spans="1:9" x14ac:dyDescent="0.25">
      <c r="A456" s="8">
        <v>455</v>
      </c>
      <c r="B456" s="9" t="s">
        <v>844</v>
      </c>
      <c r="C456" s="10">
        <v>2021</v>
      </c>
      <c r="D456" s="11">
        <v>44266</v>
      </c>
      <c r="E456" s="9" t="s">
        <v>334</v>
      </c>
      <c r="F456" s="12">
        <f>339.45+169.14</f>
        <v>508.59</v>
      </c>
      <c r="G456" s="12">
        <v>0</v>
      </c>
      <c r="H456" s="9" t="s">
        <v>176</v>
      </c>
      <c r="I456" s="14" t="s">
        <v>434</v>
      </c>
    </row>
    <row r="457" spans="1:9" x14ac:dyDescent="0.25">
      <c r="A457" s="8">
        <v>456</v>
      </c>
      <c r="B457" s="9" t="s">
        <v>845</v>
      </c>
      <c r="C457" s="10">
        <v>2021</v>
      </c>
      <c r="D457" s="11">
        <v>44267</v>
      </c>
      <c r="E457" s="9" t="s">
        <v>334</v>
      </c>
      <c r="F457" s="12">
        <f>513.98+2256.5</f>
        <v>2770.48</v>
      </c>
      <c r="G457" s="12">
        <v>0</v>
      </c>
      <c r="H457" s="9" t="s">
        <v>166</v>
      </c>
      <c r="I457" s="14" t="s">
        <v>434</v>
      </c>
    </row>
    <row r="458" spans="1:9" x14ac:dyDescent="0.25">
      <c r="A458" s="8">
        <v>457</v>
      </c>
      <c r="B458" s="9" t="s">
        <v>846</v>
      </c>
      <c r="C458" s="10">
        <v>2021</v>
      </c>
      <c r="D458" s="11">
        <v>44267</v>
      </c>
      <c r="E458" s="9" t="s">
        <v>334</v>
      </c>
      <c r="F458" s="12">
        <v>584.73</v>
      </c>
      <c r="G458" s="12">
        <v>0</v>
      </c>
      <c r="H458" s="9" t="s">
        <v>172</v>
      </c>
      <c r="I458" s="14" t="s">
        <v>434</v>
      </c>
    </row>
    <row r="459" spans="1:9" x14ac:dyDescent="0.25">
      <c r="A459" s="8">
        <v>458</v>
      </c>
      <c r="B459" s="9" t="s">
        <v>847</v>
      </c>
      <c r="C459" s="10">
        <v>2021</v>
      </c>
      <c r="D459" s="11">
        <v>44267</v>
      </c>
      <c r="E459" s="9" t="s">
        <v>334</v>
      </c>
      <c r="F459" s="12">
        <f>314.56+821.06</f>
        <v>1135.6199999999999</v>
      </c>
      <c r="G459" s="12">
        <v>0</v>
      </c>
      <c r="H459" s="9" t="s">
        <v>152</v>
      </c>
      <c r="I459" s="14" t="s">
        <v>434</v>
      </c>
    </row>
    <row r="460" spans="1:9" x14ac:dyDescent="0.25">
      <c r="A460" s="8">
        <v>459</v>
      </c>
      <c r="B460" s="9" t="s">
        <v>849</v>
      </c>
      <c r="C460" s="10">
        <v>2021</v>
      </c>
      <c r="D460" s="11">
        <v>44270</v>
      </c>
      <c r="E460" s="9" t="s">
        <v>334</v>
      </c>
      <c r="F460" s="12">
        <f>451.31+626.24</f>
        <v>1077.55</v>
      </c>
      <c r="G460" s="12">
        <v>0</v>
      </c>
      <c r="H460" s="9" t="s">
        <v>138</v>
      </c>
      <c r="I460" s="14" t="s">
        <v>336</v>
      </c>
    </row>
    <row r="461" spans="1:9" x14ac:dyDescent="0.25">
      <c r="A461" s="8">
        <v>460</v>
      </c>
      <c r="B461" s="9" t="s">
        <v>850</v>
      </c>
      <c r="C461" s="10">
        <v>2021</v>
      </c>
      <c r="D461" s="11">
        <v>44270</v>
      </c>
      <c r="E461" s="9" t="s">
        <v>334</v>
      </c>
      <c r="F461" s="12">
        <f>1433.66+266.89</f>
        <v>1700.5500000000002</v>
      </c>
      <c r="G461" s="12">
        <v>0</v>
      </c>
      <c r="H461" s="9" t="s">
        <v>138</v>
      </c>
      <c r="I461" s="14" t="s">
        <v>336</v>
      </c>
    </row>
    <row r="462" spans="1:9" x14ac:dyDescent="0.25">
      <c r="A462" s="8">
        <v>461</v>
      </c>
      <c r="B462" s="9" t="s">
        <v>848</v>
      </c>
      <c r="C462" s="10">
        <v>2021</v>
      </c>
      <c r="D462" s="11">
        <v>44270</v>
      </c>
      <c r="E462" s="9" t="s">
        <v>334</v>
      </c>
      <c r="F462" s="12">
        <f>587.4+1291.88</f>
        <v>1879.2800000000002</v>
      </c>
      <c r="G462" s="12">
        <v>0</v>
      </c>
      <c r="H462" s="9" t="s">
        <v>116</v>
      </c>
      <c r="I462" s="14" t="s">
        <v>434</v>
      </c>
    </row>
    <row r="463" spans="1:9" x14ac:dyDescent="0.25">
      <c r="A463" s="8">
        <v>462</v>
      </c>
      <c r="B463" s="9" t="s">
        <v>851</v>
      </c>
      <c r="C463" s="10">
        <v>2021</v>
      </c>
      <c r="D463" s="11">
        <v>44271</v>
      </c>
      <c r="E463" s="9" t="s">
        <v>334</v>
      </c>
      <c r="F463" s="12">
        <f>2408.2+570.58</f>
        <v>2978.7799999999997</v>
      </c>
      <c r="G463" s="12">
        <v>0</v>
      </c>
      <c r="H463" s="9" t="s">
        <v>62</v>
      </c>
      <c r="I463" s="14" t="s">
        <v>336</v>
      </c>
    </row>
    <row r="464" spans="1:9" x14ac:dyDescent="0.25">
      <c r="A464" s="8">
        <v>463</v>
      </c>
      <c r="B464" s="9" t="s">
        <v>852</v>
      </c>
      <c r="C464" s="10">
        <v>2021</v>
      </c>
      <c r="D464" s="11">
        <v>44271</v>
      </c>
      <c r="E464" s="9" t="s">
        <v>334</v>
      </c>
      <c r="F464" s="12">
        <f>419.51+373.86</f>
        <v>793.37</v>
      </c>
      <c r="G464" s="12">
        <v>0</v>
      </c>
      <c r="H464" s="9" t="s">
        <v>62</v>
      </c>
      <c r="I464" s="14" t="s">
        <v>336</v>
      </c>
    </row>
    <row r="465" spans="1:9" x14ac:dyDescent="0.25">
      <c r="A465" s="8">
        <v>464</v>
      </c>
      <c r="B465" s="9" t="s">
        <v>853</v>
      </c>
      <c r="C465" s="10">
        <v>2021</v>
      </c>
      <c r="D465" s="11">
        <v>44280</v>
      </c>
      <c r="E465" s="9" t="s">
        <v>348</v>
      </c>
      <c r="F465" s="12">
        <f>672-340.7</f>
        <v>331.3</v>
      </c>
      <c r="G465" s="12">
        <v>0</v>
      </c>
      <c r="H465" s="9" t="s">
        <v>116</v>
      </c>
      <c r="I465" s="14" t="s">
        <v>434</v>
      </c>
    </row>
    <row r="466" spans="1:9" x14ac:dyDescent="0.25">
      <c r="A466" s="8">
        <v>465</v>
      </c>
      <c r="B466" s="9" t="s">
        <v>854</v>
      </c>
      <c r="C466" s="10">
        <v>2021</v>
      </c>
      <c r="D466" s="11">
        <v>44298</v>
      </c>
      <c r="E466" s="9" t="s">
        <v>348</v>
      </c>
      <c r="F466" s="12">
        <f>6070.36+34.92+685</f>
        <v>6790.28</v>
      </c>
      <c r="G466" s="12">
        <v>0</v>
      </c>
      <c r="H466" s="9" t="s">
        <v>116</v>
      </c>
      <c r="I466" s="14" t="s">
        <v>434</v>
      </c>
    </row>
    <row r="467" spans="1:9" x14ac:dyDescent="0.25">
      <c r="A467" s="8">
        <v>466</v>
      </c>
      <c r="B467" s="9" t="s">
        <v>855</v>
      </c>
      <c r="C467" s="10">
        <v>2021</v>
      </c>
      <c r="D467" s="11">
        <v>44298</v>
      </c>
      <c r="E467" s="9" t="s">
        <v>334</v>
      </c>
      <c r="F467" s="12">
        <f>2408.86+2434.2+510.45</f>
        <v>5353.5099999999993</v>
      </c>
      <c r="G467" s="12">
        <v>0</v>
      </c>
      <c r="H467" s="9" t="s">
        <v>176</v>
      </c>
      <c r="I467" s="14" t="s">
        <v>434</v>
      </c>
    </row>
    <row r="468" spans="1:9" x14ac:dyDescent="0.25">
      <c r="A468" s="8">
        <v>467</v>
      </c>
      <c r="B468" s="9" t="s">
        <v>856</v>
      </c>
      <c r="C468" s="10">
        <v>2021</v>
      </c>
      <c r="D468" s="11">
        <v>44299</v>
      </c>
      <c r="E468" s="9" t="s">
        <v>334</v>
      </c>
      <c r="F468" s="12">
        <v>750.25</v>
      </c>
      <c r="G468" s="12">
        <v>0</v>
      </c>
      <c r="H468" s="9" t="s">
        <v>186</v>
      </c>
      <c r="I468" s="14" t="s">
        <v>336</v>
      </c>
    </row>
    <row r="469" spans="1:9" x14ac:dyDescent="0.25">
      <c r="A469" s="8">
        <v>468</v>
      </c>
      <c r="B469" s="9" t="s">
        <v>857</v>
      </c>
      <c r="C469" s="10">
        <v>2021</v>
      </c>
      <c r="D469" s="11">
        <v>44306</v>
      </c>
      <c r="E469" s="9" t="s">
        <v>334</v>
      </c>
      <c r="F469" s="12">
        <v>1141.58</v>
      </c>
      <c r="G469" s="12">
        <v>0</v>
      </c>
      <c r="H469" s="9" t="s">
        <v>101</v>
      </c>
      <c r="I469" s="14" t="s">
        <v>336</v>
      </c>
    </row>
    <row r="470" spans="1:9" x14ac:dyDescent="0.25">
      <c r="A470" s="8">
        <v>469</v>
      </c>
      <c r="B470" s="9" t="s">
        <v>858</v>
      </c>
      <c r="C470" s="10">
        <v>2021</v>
      </c>
      <c r="D470" s="11">
        <v>44306</v>
      </c>
      <c r="E470" s="9" t="s">
        <v>404</v>
      </c>
      <c r="F470" s="12">
        <v>600</v>
      </c>
      <c r="G470" s="12">
        <v>0</v>
      </c>
      <c r="H470" s="9" t="s">
        <v>101</v>
      </c>
      <c r="I470" s="14" t="s">
        <v>336</v>
      </c>
    </row>
    <row r="471" spans="1:9" x14ac:dyDescent="0.25">
      <c r="A471" s="8">
        <v>470</v>
      </c>
      <c r="B471" s="9" t="s">
        <v>859</v>
      </c>
      <c r="C471" s="10">
        <v>2021</v>
      </c>
      <c r="D471" s="11">
        <v>44309</v>
      </c>
      <c r="E471" s="9" t="s">
        <v>334</v>
      </c>
      <c r="F471" s="12">
        <f>2162.91+503.74</f>
        <v>2666.6499999999996</v>
      </c>
      <c r="G471" s="12">
        <v>0</v>
      </c>
      <c r="H471" s="9" t="s">
        <v>828</v>
      </c>
      <c r="I471" s="14" t="s">
        <v>434</v>
      </c>
    </row>
    <row r="472" spans="1:9" x14ac:dyDescent="0.25">
      <c r="A472" s="8">
        <v>471</v>
      </c>
      <c r="B472" s="9" t="s">
        <v>860</v>
      </c>
      <c r="C472" s="10">
        <v>2021</v>
      </c>
      <c r="D472" s="11">
        <v>44312</v>
      </c>
      <c r="E472" s="9" t="s">
        <v>334</v>
      </c>
      <c r="F472" s="12">
        <f>445.84+657.46</f>
        <v>1103.3</v>
      </c>
      <c r="G472" s="12">
        <v>0</v>
      </c>
      <c r="H472" s="9" t="s">
        <v>828</v>
      </c>
      <c r="I472" s="14" t="s">
        <v>434</v>
      </c>
    </row>
    <row r="473" spans="1:9" x14ac:dyDescent="0.25">
      <c r="A473" s="8">
        <v>472</v>
      </c>
      <c r="B473" s="9" t="s">
        <v>861</v>
      </c>
      <c r="C473" s="10">
        <v>2021</v>
      </c>
      <c r="D473" s="11">
        <v>44312</v>
      </c>
      <c r="E473" s="9" t="s">
        <v>334</v>
      </c>
      <c r="F473" s="12">
        <f>445.84+701.93</f>
        <v>1147.77</v>
      </c>
      <c r="G473" s="12">
        <v>0</v>
      </c>
      <c r="H473" s="9" t="s">
        <v>168</v>
      </c>
      <c r="I473" s="14" t="s">
        <v>434</v>
      </c>
    </row>
    <row r="474" spans="1:9" x14ac:dyDescent="0.25">
      <c r="A474" s="8">
        <v>473</v>
      </c>
      <c r="B474" s="9" t="s">
        <v>862</v>
      </c>
      <c r="C474" s="10">
        <v>2021</v>
      </c>
      <c r="D474" s="11">
        <v>44312</v>
      </c>
      <c r="E474" s="9" t="s">
        <v>334</v>
      </c>
      <c r="F474" s="12">
        <f>535.06+234.28</f>
        <v>769.33999999999992</v>
      </c>
      <c r="G474" s="12">
        <v>0</v>
      </c>
      <c r="H474" s="9" t="s">
        <v>500</v>
      </c>
      <c r="I474" s="14" t="s">
        <v>434</v>
      </c>
    </row>
    <row r="475" spans="1:9" x14ac:dyDescent="0.25">
      <c r="A475" s="8">
        <v>474</v>
      </c>
      <c r="B475" s="9" t="s">
        <v>863</v>
      </c>
      <c r="C475" s="10">
        <v>2021</v>
      </c>
      <c r="D475" s="11">
        <v>44313</v>
      </c>
      <c r="E475" s="9" t="s">
        <v>334</v>
      </c>
      <c r="F475" s="12">
        <f>691.04+238.24</f>
        <v>929.28</v>
      </c>
      <c r="G475" s="12">
        <v>0</v>
      </c>
      <c r="H475" s="9" t="s">
        <v>126</v>
      </c>
      <c r="I475" s="14" t="s">
        <v>434</v>
      </c>
    </row>
    <row r="476" spans="1:9" x14ac:dyDescent="0.25">
      <c r="A476" s="8">
        <v>475</v>
      </c>
      <c r="B476" s="9" t="s">
        <v>864</v>
      </c>
      <c r="C476" s="10">
        <v>2021</v>
      </c>
      <c r="D476" s="11">
        <v>44316</v>
      </c>
      <c r="E476" s="9" t="s">
        <v>334</v>
      </c>
      <c r="F476" s="12">
        <v>864.7</v>
      </c>
      <c r="G476" s="12">
        <v>0</v>
      </c>
      <c r="H476" s="9" t="s">
        <v>461</v>
      </c>
      <c r="I476" s="14" t="s">
        <v>336</v>
      </c>
    </row>
    <row r="477" spans="1:9" x14ac:dyDescent="0.25">
      <c r="A477" s="8">
        <v>476</v>
      </c>
      <c r="B477" s="9" t="s">
        <v>865</v>
      </c>
      <c r="C477" s="10">
        <v>2021</v>
      </c>
      <c r="D477" s="11">
        <v>44320</v>
      </c>
      <c r="E477" s="9" t="s">
        <v>334</v>
      </c>
      <c r="F477" s="12">
        <f>1547.81+6268.88</f>
        <v>7816.6900000000005</v>
      </c>
      <c r="G477" s="12">
        <v>0</v>
      </c>
      <c r="H477" s="9" t="s">
        <v>122</v>
      </c>
      <c r="I477" s="14" t="s">
        <v>434</v>
      </c>
    </row>
    <row r="478" spans="1:9" x14ac:dyDescent="0.25">
      <c r="A478" s="8">
        <v>477</v>
      </c>
      <c r="B478" s="9" t="s">
        <v>866</v>
      </c>
      <c r="C478" s="10">
        <v>2021</v>
      </c>
      <c r="D478" s="11">
        <v>44320</v>
      </c>
      <c r="E478" s="9" t="s">
        <v>334</v>
      </c>
      <c r="F478" s="12">
        <f>624.2+809.63</f>
        <v>1433.83</v>
      </c>
      <c r="G478" s="12">
        <v>0</v>
      </c>
      <c r="H478" s="9" t="s">
        <v>867</v>
      </c>
      <c r="I478" s="14" t="s">
        <v>434</v>
      </c>
    </row>
    <row r="479" spans="1:9" x14ac:dyDescent="0.25">
      <c r="A479" s="8">
        <v>478</v>
      </c>
      <c r="B479" s="9" t="s">
        <v>868</v>
      </c>
      <c r="C479" s="10">
        <v>2021</v>
      </c>
      <c r="D479" s="11">
        <v>44320</v>
      </c>
      <c r="E479" s="9" t="s">
        <v>348</v>
      </c>
      <c r="F479" s="12">
        <v>3661.35</v>
      </c>
      <c r="G479" s="12">
        <v>0</v>
      </c>
      <c r="H479" s="9" t="s">
        <v>166</v>
      </c>
      <c r="I479" s="14" t="s">
        <v>434</v>
      </c>
    </row>
    <row r="480" spans="1:9" x14ac:dyDescent="0.25">
      <c r="A480" s="8">
        <v>479</v>
      </c>
      <c r="B480" s="9" t="s">
        <v>870</v>
      </c>
      <c r="C480" s="10">
        <v>2021</v>
      </c>
      <c r="D480" s="11">
        <v>44328</v>
      </c>
      <c r="E480" s="9" t="s">
        <v>334</v>
      </c>
      <c r="F480" s="12">
        <f>6504.28+496.8</f>
        <v>7001.08</v>
      </c>
      <c r="G480" s="12">
        <v>0</v>
      </c>
      <c r="H480" s="9" t="s">
        <v>203</v>
      </c>
      <c r="I480" s="14" t="s">
        <v>336</v>
      </c>
    </row>
    <row r="481" spans="1:9" x14ac:dyDescent="0.25">
      <c r="A481" s="8">
        <v>480</v>
      </c>
      <c r="B481" s="9" t="s">
        <v>869</v>
      </c>
      <c r="C481" s="10">
        <v>2021</v>
      </c>
      <c r="D481" s="11">
        <v>44328</v>
      </c>
      <c r="E481" s="9" t="s">
        <v>334</v>
      </c>
      <c r="F481" s="12">
        <v>842.02</v>
      </c>
      <c r="G481" s="12">
        <v>0</v>
      </c>
      <c r="H481" s="9" t="s">
        <v>166</v>
      </c>
      <c r="I481" s="14" t="s">
        <v>434</v>
      </c>
    </row>
    <row r="482" spans="1:9" x14ac:dyDescent="0.25">
      <c r="A482" s="8">
        <v>481</v>
      </c>
      <c r="B482" s="9" t="s">
        <v>871</v>
      </c>
      <c r="C482" s="10">
        <v>2021</v>
      </c>
      <c r="D482" s="11">
        <v>44347</v>
      </c>
      <c r="E482" s="9" t="s">
        <v>334</v>
      </c>
      <c r="F482" s="12">
        <v>1369.49</v>
      </c>
      <c r="G482" s="12">
        <v>0</v>
      </c>
      <c r="H482" s="9" t="s">
        <v>95</v>
      </c>
      <c r="I482" s="14" t="s">
        <v>336</v>
      </c>
    </row>
    <row r="483" spans="1:9" x14ac:dyDescent="0.25">
      <c r="A483" s="8">
        <v>482</v>
      </c>
      <c r="B483" s="9" t="s">
        <v>873</v>
      </c>
      <c r="C483" s="10">
        <v>2021</v>
      </c>
      <c r="D483" s="11">
        <v>44349</v>
      </c>
      <c r="E483" s="9" t="s">
        <v>334</v>
      </c>
      <c r="F483" s="12">
        <f>1490+3034.98+5014.55</f>
        <v>9539.5299999999988</v>
      </c>
      <c r="G483" s="12">
        <v>0</v>
      </c>
      <c r="H483" s="9" t="s">
        <v>58</v>
      </c>
      <c r="I483" s="14" t="s">
        <v>336</v>
      </c>
    </row>
    <row r="484" spans="1:9" x14ac:dyDescent="0.25">
      <c r="A484" s="8">
        <v>483</v>
      </c>
      <c r="B484" s="9" t="s">
        <v>872</v>
      </c>
      <c r="C484" s="10">
        <v>2021</v>
      </c>
      <c r="D484" s="11">
        <v>44349</v>
      </c>
      <c r="E484" s="9" t="s">
        <v>334</v>
      </c>
      <c r="F484" s="12">
        <f>1140.6+613.06</f>
        <v>1753.6599999999999</v>
      </c>
      <c r="G484" s="12">
        <v>0</v>
      </c>
      <c r="H484" s="9" t="s">
        <v>184</v>
      </c>
      <c r="I484" s="14" t="s">
        <v>434</v>
      </c>
    </row>
    <row r="485" spans="1:9" x14ac:dyDescent="0.25">
      <c r="A485" s="8">
        <v>484</v>
      </c>
      <c r="B485" s="9" t="s">
        <v>874</v>
      </c>
      <c r="C485" s="10">
        <v>2021</v>
      </c>
      <c r="D485" s="11">
        <v>44363</v>
      </c>
      <c r="E485" s="9" t="s">
        <v>334</v>
      </c>
      <c r="F485" s="12">
        <f>2233.22+2595.27</f>
        <v>4828.49</v>
      </c>
      <c r="G485" s="12">
        <v>0</v>
      </c>
      <c r="H485" s="9" t="s">
        <v>166</v>
      </c>
      <c r="I485" s="14" t="s">
        <v>434</v>
      </c>
    </row>
    <row r="486" spans="1:9" x14ac:dyDescent="0.25">
      <c r="A486" s="8">
        <v>485</v>
      </c>
      <c r="B486" s="9" t="s">
        <v>875</v>
      </c>
      <c r="C486" s="10">
        <v>2021</v>
      </c>
      <c r="D486" s="11">
        <v>44375</v>
      </c>
      <c r="E486" s="9" t="s">
        <v>334</v>
      </c>
      <c r="F486" s="12">
        <v>887.27</v>
      </c>
      <c r="G486" s="12">
        <v>0</v>
      </c>
      <c r="H486" s="9" t="s">
        <v>62</v>
      </c>
      <c r="I486" s="14" t="s">
        <v>336</v>
      </c>
    </row>
    <row r="487" spans="1:9" x14ac:dyDescent="0.25">
      <c r="A487" s="8">
        <v>486</v>
      </c>
      <c r="B487" s="9" t="s">
        <v>876</v>
      </c>
      <c r="C487" s="10">
        <v>2021</v>
      </c>
      <c r="D487" s="11">
        <v>44383</v>
      </c>
      <c r="E487" s="9" t="s">
        <v>334</v>
      </c>
      <c r="F487" s="12">
        <v>1024.05</v>
      </c>
      <c r="G487" s="12">
        <v>0</v>
      </c>
      <c r="H487" s="9" t="s">
        <v>120</v>
      </c>
      <c r="I487" s="14" t="s">
        <v>434</v>
      </c>
    </row>
    <row r="488" spans="1:9" x14ac:dyDescent="0.25">
      <c r="A488" s="8">
        <v>487</v>
      </c>
      <c r="B488" s="9" t="s">
        <v>877</v>
      </c>
      <c r="C488" s="10">
        <v>2021</v>
      </c>
      <c r="D488" s="11">
        <v>44385</v>
      </c>
      <c r="E488" s="9" t="s">
        <v>334</v>
      </c>
      <c r="F488" s="12">
        <f>247.64+1527.4</f>
        <v>1775.04</v>
      </c>
      <c r="G488" s="12">
        <v>0</v>
      </c>
      <c r="H488" s="9" t="s">
        <v>184</v>
      </c>
      <c r="I488" s="14" t="s">
        <v>434</v>
      </c>
    </row>
    <row r="489" spans="1:9" x14ac:dyDescent="0.25">
      <c r="A489" s="8">
        <v>488</v>
      </c>
      <c r="B489" s="9" t="s">
        <v>878</v>
      </c>
      <c r="C489" s="10">
        <v>2021</v>
      </c>
      <c r="D489" s="11">
        <v>44389</v>
      </c>
      <c r="E489" s="9" t="s">
        <v>334</v>
      </c>
      <c r="F489" s="12">
        <f>1119.3+949.56</f>
        <v>2068.8599999999997</v>
      </c>
      <c r="G489" s="12">
        <v>0</v>
      </c>
      <c r="H489" s="9" t="s">
        <v>176</v>
      </c>
      <c r="I489" s="14" t="s">
        <v>434</v>
      </c>
    </row>
    <row r="490" spans="1:9" x14ac:dyDescent="0.25">
      <c r="A490" s="8">
        <v>489</v>
      </c>
      <c r="B490" s="9" t="s">
        <v>879</v>
      </c>
      <c r="C490" s="10">
        <v>2021</v>
      </c>
      <c r="D490" s="11">
        <v>44389</v>
      </c>
      <c r="E490" s="9" t="s">
        <v>334</v>
      </c>
      <c r="F490" s="12">
        <v>4323.95</v>
      </c>
      <c r="G490" s="12">
        <v>0</v>
      </c>
      <c r="H490" s="9" t="s">
        <v>176</v>
      </c>
      <c r="I490" s="14" t="s">
        <v>434</v>
      </c>
    </row>
    <row r="491" spans="1:9" x14ac:dyDescent="0.25">
      <c r="A491" s="8">
        <v>490</v>
      </c>
      <c r="B491" s="9" t="s">
        <v>880</v>
      </c>
      <c r="C491" s="10">
        <v>2021</v>
      </c>
      <c r="D491" s="11">
        <v>44389</v>
      </c>
      <c r="E491" s="9" t="s">
        <v>334</v>
      </c>
      <c r="F491" s="12">
        <f>1783.5+2065.17</f>
        <v>3848.67</v>
      </c>
      <c r="G491" s="12">
        <v>0</v>
      </c>
      <c r="H491" s="9" t="s">
        <v>164</v>
      </c>
      <c r="I491" s="14" t="s">
        <v>434</v>
      </c>
    </row>
    <row r="492" spans="1:9" x14ac:dyDescent="0.25">
      <c r="A492" s="8">
        <v>491</v>
      </c>
      <c r="B492" s="9" t="s">
        <v>881</v>
      </c>
      <c r="C492" s="10">
        <v>2021</v>
      </c>
      <c r="D492" s="11">
        <v>44389</v>
      </c>
      <c r="E492" s="9" t="s">
        <v>334</v>
      </c>
      <c r="F492" s="12">
        <f>1389.9+3337.6</f>
        <v>4727.5</v>
      </c>
      <c r="G492" s="12">
        <v>0</v>
      </c>
      <c r="H492" s="9" t="s">
        <v>174</v>
      </c>
      <c r="I492" s="14" t="s">
        <v>434</v>
      </c>
    </row>
    <row r="493" spans="1:9" x14ac:dyDescent="0.25">
      <c r="A493" s="8">
        <v>492</v>
      </c>
      <c r="B493" s="9" t="s">
        <v>882</v>
      </c>
      <c r="C493" s="10">
        <v>2021</v>
      </c>
      <c r="D493" s="11">
        <v>44389</v>
      </c>
      <c r="E493" s="9" t="s">
        <v>334</v>
      </c>
      <c r="F493" s="12">
        <f>1389.9+2607.6</f>
        <v>3997.5</v>
      </c>
      <c r="G493" s="12">
        <v>0</v>
      </c>
      <c r="H493" s="9" t="s">
        <v>828</v>
      </c>
      <c r="I493" s="14" t="s">
        <v>434</v>
      </c>
    </row>
    <row r="494" spans="1:9" x14ac:dyDescent="0.25">
      <c r="A494" s="8">
        <v>493</v>
      </c>
      <c r="B494" s="9" t="s">
        <v>883</v>
      </c>
      <c r="C494" s="10">
        <v>2021</v>
      </c>
      <c r="D494" s="11">
        <v>44389</v>
      </c>
      <c r="E494" s="9" t="s">
        <v>334</v>
      </c>
      <c r="F494" s="12">
        <f>1389.9+3234.9</f>
        <v>4624.8</v>
      </c>
      <c r="G494" s="12">
        <v>0</v>
      </c>
      <c r="H494" s="9" t="s">
        <v>182</v>
      </c>
      <c r="I494" s="14" t="s">
        <v>434</v>
      </c>
    </row>
    <row r="495" spans="1:9" x14ac:dyDescent="0.25">
      <c r="A495" s="8">
        <v>494</v>
      </c>
      <c r="B495" s="9" t="s">
        <v>884</v>
      </c>
      <c r="C495" s="10">
        <v>2021</v>
      </c>
      <c r="D495" s="11">
        <v>44389</v>
      </c>
      <c r="E495" s="9" t="s">
        <v>334</v>
      </c>
      <c r="F495" s="12">
        <f>1389.9+3091.27</f>
        <v>4481.17</v>
      </c>
      <c r="G495" s="12">
        <v>0</v>
      </c>
      <c r="H495" s="9" t="s">
        <v>154</v>
      </c>
      <c r="I495" s="14" t="s">
        <v>434</v>
      </c>
    </row>
    <row r="496" spans="1:9" x14ac:dyDescent="0.25">
      <c r="A496" s="8">
        <v>495</v>
      </c>
      <c r="B496" s="9" t="s">
        <v>885</v>
      </c>
      <c r="C496" s="10">
        <v>2021</v>
      </c>
      <c r="D496" s="11">
        <v>44389</v>
      </c>
      <c r="E496" s="9" t="s">
        <v>334</v>
      </c>
      <c r="F496" s="12">
        <f>3936+3324.07</f>
        <v>7260.07</v>
      </c>
      <c r="G496" s="12">
        <v>0</v>
      </c>
      <c r="H496" s="9" t="s">
        <v>154</v>
      </c>
      <c r="I496" s="14" t="s">
        <v>434</v>
      </c>
    </row>
    <row r="497" spans="1:9" x14ac:dyDescent="0.25">
      <c r="A497" s="8">
        <v>496</v>
      </c>
      <c r="B497" s="9" t="s">
        <v>886</v>
      </c>
      <c r="C497" s="10">
        <v>2021</v>
      </c>
      <c r="D497" s="11">
        <v>44389</v>
      </c>
      <c r="E497" s="9" t="s">
        <v>334</v>
      </c>
      <c r="F497" s="12">
        <f>1119.3+3956.29</f>
        <v>5075.59</v>
      </c>
      <c r="G497" s="12">
        <v>0</v>
      </c>
      <c r="H497" s="9" t="s">
        <v>162</v>
      </c>
      <c r="I497" s="14" t="s">
        <v>434</v>
      </c>
    </row>
    <row r="498" spans="1:9" x14ac:dyDescent="0.25">
      <c r="A498" s="8">
        <v>497</v>
      </c>
      <c r="B498" s="9" t="s">
        <v>887</v>
      </c>
      <c r="C498" s="10">
        <v>2021</v>
      </c>
      <c r="D498" s="11">
        <v>44389</v>
      </c>
      <c r="E498" s="9" t="s">
        <v>334</v>
      </c>
      <c r="F498" s="12">
        <f>1389.9+3568.23</f>
        <v>4958.13</v>
      </c>
      <c r="G498" s="12">
        <v>0</v>
      </c>
      <c r="H498" s="9" t="s">
        <v>148</v>
      </c>
      <c r="I498" s="14" t="s">
        <v>434</v>
      </c>
    </row>
    <row r="499" spans="1:9" x14ac:dyDescent="0.25">
      <c r="A499" s="8">
        <v>498</v>
      </c>
      <c r="B499" s="9" t="s">
        <v>888</v>
      </c>
      <c r="C499" s="10">
        <v>2021</v>
      </c>
      <c r="D499" s="11">
        <v>44389</v>
      </c>
      <c r="E499" s="9" t="s">
        <v>334</v>
      </c>
      <c r="F499" s="12">
        <f>1389.9+2929.86</f>
        <v>4319.76</v>
      </c>
      <c r="G499" s="12">
        <v>0</v>
      </c>
      <c r="H499" s="9" t="s">
        <v>172</v>
      </c>
      <c r="I499" s="14" t="s">
        <v>434</v>
      </c>
    </row>
    <row r="500" spans="1:9" x14ac:dyDescent="0.25">
      <c r="A500" s="8">
        <v>499</v>
      </c>
      <c r="B500" s="9" t="s">
        <v>889</v>
      </c>
      <c r="C500" s="10">
        <v>2021</v>
      </c>
      <c r="D500" s="11">
        <v>44389</v>
      </c>
      <c r="E500" s="9" t="s">
        <v>334</v>
      </c>
      <c r="F500" s="12">
        <f>1389.9+3963.06</f>
        <v>5352.96</v>
      </c>
      <c r="G500" s="12">
        <v>0</v>
      </c>
      <c r="H500" s="9" t="s">
        <v>126</v>
      </c>
      <c r="I500" s="14" t="s">
        <v>434</v>
      </c>
    </row>
    <row r="501" spans="1:9" x14ac:dyDescent="0.25">
      <c r="A501" s="8">
        <v>500</v>
      </c>
      <c r="B501" s="9" t="s">
        <v>890</v>
      </c>
      <c r="C501" s="10">
        <v>2021</v>
      </c>
      <c r="D501" s="11">
        <v>44389</v>
      </c>
      <c r="E501" s="9" t="s">
        <v>334</v>
      </c>
      <c r="F501" s="12">
        <f>1119.3+1878.19</f>
        <v>2997.49</v>
      </c>
      <c r="G501" s="12">
        <v>0</v>
      </c>
      <c r="H501" s="9" t="s">
        <v>105</v>
      </c>
      <c r="I501" s="14" t="s">
        <v>434</v>
      </c>
    </row>
    <row r="502" spans="1:9" x14ac:dyDescent="0.25">
      <c r="A502" s="8">
        <v>501</v>
      </c>
      <c r="B502" s="9" t="s">
        <v>891</v>
      </c>
      <c r="C502" s="10">
        <v>2021</v>
      </c>
      <c r="D502" s="11">
        <v>44389</v>
      </c>
      <c r="E502" s="9" t="s">
        <v>334</v>
      </c>
      <c r="F502" s="12">
        <f>1389.9+4458.75</f>
        <v>5848.65</v>
      </c>
      <c r="G502" s="12">
        <v>0</v>
      </c>
      <c r="H502" s="9" t="s">
        <v>168</v>
      </c>
      <c r="I502" s="14" t="s">
        <v>434</v>
      </c>
    </row>
    <row r="503" spans="1:9" x14ac:dyDescent="0.25">
      <c r="A503" s="8">
        <v>502</v>
      </c>
      <c r="B503" s="9" t="s">
        <v>892</v>
      </c>
      <c r="C503" s="10">
        <v>2021</v>
      </c>
      <c r="D503" s="11">
        <v>44389</v>
      </c>
      <c r="E503" s="9" t="s">
        <v>334</v>
      </c>
      <c r="F503" s="12">
        <f>1389.9+4875.71</f>
        <v>6265.6100000000006</v>
      </c>
      <c r="G503" s="12">
        <v>0</v>
      </c>
      <c r="H503" s="9" t="s">
        <v>110</v>
      </c>
      <c r="I503" s="14" t="s">
        <v>434</v>
      </c>
    </row>
    <row r="504" spans="1:9" x14ac:dyDescent="0.25">
      <c r="A504" s="8">
        <v>503</v>
      </c>
      <c r="B504" s="9" t="s">
        <v>893</v>
      </c>
      <c r="C504" s="10">
        <v>2021</v>
      </c>
      <c r="D504" s="11">
        <v>44389</v>
      </c>
      <c r="E504" s="9" t="s">
        <v>334</v>
      </c>
      <c r="F504" s="12">
        <f>1119.3+885.6</f>
        <v>2004.9</v>
      </c>
      <c r="G504" s="12">
        <v>0</v>
      </c>
      <c r="H504" s="9" t="s">
        <v>152</v>
      </c>
      <c r="I504" s="14" t="s">
        <v>434</v>
      </c>
    </row>
    <row r="505" spans="1:9" x14ac:dyDescent="0.25">
      <c r="A505" s="8">
        <v>504</v>
      </c>
      <c r="B505" s="9" t="s">
        <v>894</v>
      </c>
      <c r="C505" s="10">
        <v>2021</v>
      </c>
      <c r="D505" s="11">
        <v>44389</v>
      </c>
      <c r="E505" s="9" t="s">
        <v>334</v>
      </c>
      <c r="F505" s="12">
        <f>1783.5+2583</f>
        <v>4366.5</v>
      </c>
      <c r="G505" s="12">
        <v>0</v>
      </c>
      <c r="H505" s="9" t="s">
        <v>170</v>
      </c>
      <c r="I505" s="14" t="s">
        <v>434</v>
      </c>
    </row>
    <row r="506" spans="1:9" x14ac:dyDescent="0.25">
      <c r="A506" s="8">
        <v>505</v>
      </c>
      <c r="B506" s="9" t="s">
        <v>895</v>
      </c>
      <c r="C506" s="10">
        <v>2021</v>
      </c>
      <c r="D506" s="11">
        <v>44389</v>
      </c>
      <c r="E506" s="9" t="s">
        <v>334</v>
      </c>
      <c r="F506" s="12">
        <f>147.6+1840.69</f>
        <v>1988.29</v>
      </c>
      <c r="G506" s="12">
        <v>0</v>
      </c>
      <c r="H506" s="9" t="s">
        <v>120</v>
      </c>
      <c r="I506" s="14" t="s">
        <v>434</v>
      </c>
    </row>
    <row r="507" spans="1:9" x14ac:dyDescent="0.25">
      <c r="A507" s="8">
        <v>506</v>
      </c>
      <c r="B507" s="9" t="s">
        <v>896</v>
      </c>
      <c r="C507" s="10">
        <v>2021</v>
      </c>
      <c r="D507" s="11">
        <v>44389</v>
      </c>
      <c r="E507" s="9" t="s">
        <v>334</v>
      </c>
      <c r="F507" s="12">
        <f>1119.3+4742.26</f>
        <v>5861.56</v>
      </c>
      <c r="G507" s="12">
        <v>0</v>
      </c>
      <c r="H507" s="9" t="s">
        <v>120</v>
      </c>
      <c r="I507" s="14" t="s">
        <v>434</v>
      </c>
    </row>
    <row r="508" spans="1:9" x14ac:dyDescent="0.25">
      <c r="A508" s="8">
        <v>507</v>
      </c>
      <c r="B508" s="9" t="s">
        <v>897</v>
      </c>
      <c r="C508" s="10">
        <v>2021</v>
      </c>
      <c r="D508" s="11">
        <v>44389</v>
      </c>
      <c r="E508" s="9" t="s">
        <v>334</v>
      </c>
      <c r="F508" s="12">
        <f>1119.3+225.22</f>
        <v>1344.52</v>
      </c>
      <c r="G508" s="12">
        <v>0</v>
      </c>
      <c r="H508" s="9" t="s">
        <v>166</v>
      </c>
      <c r="I508" s="14" t="s">
        <v>434</v>
      </c>
    </row>
    <row r="509" spans="1:9" x14ac:dyDescent="0.25">
      <c r="A509" s="8">
        <v>508</v>
      </c>
      <c r="B509" s="9" t="s">
        <v>898</v>
      </c>
      <c r="C509" s="10">
        <v>2021</v>
      </c>
      <c r="D509" s="11">
        <v>44389</v>
      </c>
      <c r="E509" s="9" t="s">
        <v>334</v>
      </c>
      <c r="F509" s="12">
        <f>1389.9+5101.76</f>
        <v>6491.66</v>
      </c>
      <c r="G509" s="12">
        <v>0</v>
      </c>
      <c r="H509" s="9" t="s">
        <v>150</v>
      </c>
      <c r="I509" s="14" t="s">
        <v>434</v>
      </c>
    </row>
    <row r="510" spans="1:9" x14ac:dyDescent="0.25">
      <c r="A510" s="8">
        <v>509</v>
      </c>
      <c r="B510" s="9" t="s">
        <v>899</v>
      </c>
      <c r="C510" s="10">
        <v>2021</v>
      </c>
      <c r="D510" s="11">
        <v>44389</v>
      </c>
      <c r="E510" s="9" t="s">
        <v>334</v>
      </c>
      <c r="F510" s="12">
        <f>1389.9+1330.86</f>
        <v>2720.76</v>
      </c>
      <c r="G510" s="12">
        <v>0</v>
      </c>
      <c r="H510" s="9" t="s">
        <v>150</v>
      </c>
      <c r="I510" s="14" t="s">
        <v>434</v>
      </c>
    </row>
    <row r="511" spans="1:9" x14ac:dyDescent="0.25">
      <c r="A511" s="8">
        <v>510</v>
      </c>
      <c r="B511" s="9" t="s">
        <v>900</v>
      </c>
      <c r="C511" s="10">
        <v>2021</v>
      </c>
      <c r="D511" s="11">
        <v>44389</v>
      </c>
      <c r="E511" s="9" t="s">
        <v>334</v>
      </c>
      <c r="F511" s="12">
        <f>1119.3+2816.7+61.5</f>
        <v>3997.5</v>
      </c>
      <c r="G511" s="12">
        <v>0</v>
      </c>
      <c r="H511" s="9" t="s">
        <v>184</v>
      </c>
      <c r="I511" s="14" t="s">
        <v>434</v>
      </c>
    </row>
    <row r="512" spans="1:9" x14ac:dyDescent="0.25">
      <c r="A512" s="8">
        <v>511</v>
      </c>
      <c r="B512" s="9" t="s">
        <v>901</v>
      </c>
      <c r="C512" s="10">
        <v>2021</v>
      </c>
      <c r="D512" s="11">
        <v>44391</v>
      </c>
      <c r="E512" s="9" t="s">
        <v>334</v>
      </c>
      <c r="F512" s="12">
        <f>207.57+868.68</f>
        <v>1076.25</v>
      </c>
      <c r="G512" s="12">
        <v>0</v>
      </c>
      <c r="H512" s="9" t="s">
        <v>30</v>
      </c>
      <c r="I512" s="14" t="s">
        <v>336</v>
      </c>
    </row>
    <row r="513" spans="1:9" x14ac:dyDescent="0.25">
      <c r="A513" s="8">
        <v>512</v>
      </c>
      <c r="B513" s="9" t="s">
        <v>902</v>
      </c>
      <c r="C513" s="10">
        <v>2021</v>
      </c>
      <c r="D513" s="11">
        <v>44393</v>
      </c>
      <c r="E513" s="9" t="s">
        <v>334</v>
      </c>
      <c r="F513" s="12">
        <f>180.21+760.24</f>
        <v>940.45</v>
      </c>
      <c r="G513" s="12">
        <v>0</v>
      </c>
      <c r="H513" s="9" t="s">
        <v>154</v>
      </c>
      <c r="I513" s="14" t="s">
        <v>434</v>
      </c>
    </row>
    <row r="514" spans="1:9" x14ac:dyDescent="0.25">
      <c r="A514" s="8">
        <v>513</v>
      </c>
      <c r="B514" s="9" t="s">
        <v>903</v>
      </c>
      <c r="C514" s="10">
        <v>2021</v>
      </c>
      <c r="D514" s="11">
        <v>44393</v>
      </c>
      <c r="E514" s="9" t="s">
        <v>334</v>
      </c>
      <c r="F514" s="12">
        <f>694.06+752.3</f>
        <v>1446.36</v>
      </c>
      <c r="G514" s="12">
        <v>0</v>
      </c>
      <c r="H514" s="9" t="s">
        <v>168</v>
      </c>
      <c r="I514" s="14" t="s">
        <v>434</v>
      </c>
    </row>
    <row r="515" spans="1:9" x14ac:dyDescent="0.25">
      <c r="A515" s="8">
        <v>514</v>
      </c>
      <c r="B515" s="9" t="s">
        <v>904</v>
      </c>
      <c r="C515" s="10">
        <v>2021</v>
      </c>
      <c r="D515" s="11">
        <v>44404</v>
      </c>
      <c r="E515" s="9" t="s">
        <v>334</v>
      </c>
      <c r="F515" s="12">
        <f>420.46+684.93</f>
        <v>1105.3899999999999</v>
      </c>
      <c r="G515" s="12">
        <v>0</v>
      </c>
      <c r="H515" s="9" t="s">
        <v>184</v>
      </c>
      <c r="I515" s="14" t="s">
        <v>434</v>
      </c>
    </row>
    <row r="516" spans="1:9" x14ac:dyDescent="0.25">
      <c r="A516" s="8">
        <v>515</v>
      </c>
      <c r="B516" s="9" t="s">
        <v>906</v>
      </c>
      <c r="C516" s="10">
        <v>2021</v>
      </c>
      <c r="D516" s="11">
        <v>44406</v>
      </c>
      <c r="E516" s="9" t="s">
        <v>348</v>
      </c>
      <c r="F516" s="12">
        <v>1833.01</v>
      </c>
      <c r="G516" s="12">
        <v>0</v>
      </c>
      <c r="H516" s="9" t="s">
        <v>484</v>
      </c>
      <c r="I516" s="14" t="s">
        <v>336</v>
      </c>
    </row>
    <row r="517" spans="1:9" x14ac:dyDescent="0.25">
      <c r="A517" s="8">
        <v>516</v>
      </c>
      <c r="B517" s="9" t="s">
        <v>905</v>
      </c>
      <c r="C517" s="10">
        <v>2021</v>
      </c>
      <c r="D517" s="11">
        <v>44406</v>
      </c>
      <c r="E517" s="9" t="s">
        <v>334</v>
      </c>
      <c r="F517" s="12">
        <f>4146.57+1947.08</f>
        <v>6093.65</v>
      </c>
      <c r="G517" s="12">
        <v>0</v>
      </c>
      <c r="H517" s="9" t="s">
        <v>122</v>
      </c>
      <c r="I517" s="14" t="s">
        <v>434</v>
      </c>
    </row>
    <row r="518" spans="1:9" x14ac:dyDescent="0.25">
      <c r="A518" s="8">
        <v>517</v>
      </c>
      <c r="B518" s="9" t="s">
        <v>907</v>
      </c>
      <c r="C518" s="10">
        <v>2021</v>
      </c>
      <c r="D518" s="11">
        <v>44436</v>
      </c>
      <c r="E518" s="9" t="s">
        <v>404</v>
      </c>
      <c r="F518" s="12">
        <v>1000</v>
      </c>
      <c r="G518" s="12">
        <v>0</v>
      </c>
      <c r="H518" s="9" t="s">
        <v>62</v>
      </c>
      <c r="I518" s="14" t="s">
        <v>336</v>
      </c>
    </row>
    <row r="519" spans="1:9" x14ac:dyDescent="0.25">
      <c r="A519" s="8">
        <v>518</v>
      </c>
      <c r="B519" s="9" t="s">
        <v>909</v>
      </c>
      <c r="C519" s="10">
        <v>2021</v>
      </c>
      <c r="D519" s="11">
        <v>44442</v>
      </c>
      <c r="E519" s="9" t="s">
        <v>334</v>
      </c>
      <c r="F519" s="12">
        <v>151.19999999999999</v>
      </c>
      <c r="G519" s="12">
        <v>0</v>
      </c>
      <c r="H519" s="9" t="s">
        <v>56</v>
      </c>
      <c r="I519" s="14" t="s">
        <v>336</v>
      </c>
    </row>
    <row r="520" spans="1:9" x14ac:dyDescent="0.25">
      <c r="A520" s="8">
        <v>519</v>
      </c>
      <c r="B520" s="9" t="s">
        <v>908</v>
      </c>
      <c r="C520" s="10">
        <v>2021</v>
      </c>
      <c r="D520" s="11">
        <v>44442</v>
      </c>
      <c r="E520" s="9" t="s">
        <v>334</v>
      </c>
      <c r="F520" s="12">
        <f>1502.06+2354.52</f>
        <v>3856.58</v>
      </c>
      <c r="G520" s="12">
        <v>0</v>
      </c>
      <c r="H520" s="9" t="s">
        <v>174</v>
      </c>
      <c r="I520" s="14" t="s">
        <v>434</v>
      </c>
    </row>
    <row r="521" spans="1:9" x14ac:dyDescent="0.25">
      <c r="A521" s="8">
        <v>520</v>
      </c>
      <c r="B521" s="9" t="s">
        <v>910</v>
      </c>
      <c r="C521" s="10">
        <v>2021</v>
      </c>
      <c r="D521" s="11">
        <v>44446</v>
      </c>
      <c r="E521" s="9" t="s">
        <v>334</v>
      </c>
      <c r="F521" s="12">
        <f>1290+2400</f>
        <v>3690</v>
      </c>
      <c r="G521" s="12">
        <v>0</v>
      </c>
      <c r="H521" s="9" t="s">
        <v>535</v>
      </c>
      <c r="I521" s="14" t="s">
        <v>336</v>
      </c>
    </row>
    <row r="522" spans="1:9" x14ac:dyDescent="0.25">
      <c r="A522" s="8">
        <v>521</v>
      </c>
      <c r="B522" s="9" t="s">
        <v>911</v>
      </c>
      <c r="C522" s="10">
        <v>2021</v>
      </c>
      <c r="D522" s="11">
        <v>44456</v>
      </c>
      <c r="E522" s="9" t="s">
        <v>348</v>
      </c>
      <c r="F522" s="12">
        <f>600+1186.95+647.55</f>
        <v>2434.5</v>
      </c>
      <c r="G522" s="12">
        <v>0</v>
      </c>
      <c r="H522" s="9" t="s">
        <v>124</v>
      </c>
      <c r="I522" s="14" t="s">
        <v>434</v>
      </c>
    </row>
    <row r="523" spans="1:9" x14ac:dyDescent="0.25">
      <c r="A523" s="8">
        <v>522</v>
      </c>
      <c r="B523" s="9" t="s">
        <v>912</v>
      </c>
      <c r="C523" s="10">
        <v>2021</v>
      </c>
      <c r="D523" s="11">
        <v>44456</v>
      </c>
      <c r="E523" s="9" t="s">
        <v>334</v>
      </c>
      <c r="F523" s="12">
        <f>3741.15+4313.45</f>
        <v>8054.6</v>
      </c>
      <c r="G523" s="12">
        <v>0</v>
      </c>
      <c r="H523" s="9" t="s">
        <v>124</v>
      </c>
      <c r="I523" s="14" t="s">
        <v>434</v>
      </c>
    </row>
    <row r="524" spans="1:9" x14ac:dyDescent="0.25">
      <c r="A524" s="8">
        <v>523</v>
      </c>
      <c r="B524" s="9" t="s">
        <v>913</v>
      </c>
      <c r="C524" s="10">
        <v>2021</v>
      </c>
      <c r="D524" s="11">
        <v>44463</v>
      </c>
      <c r="E524" s="9" t="s">
        <v>334</v>
      </c>
      <c r="F524" s="12">
        <f>918.29+772.58</f>
        <v>1690.87</v>
      </c>
      <c r="G524" s="12">
        <v>0</v>
      </c>
      <c r="H524" s="9" t="s">
        <v>188</v>
      </c>
      <c r="I524" s="14" t="s">
        <v>336</v>
      </c>
    </row>
    <row r="525" spans="1:9" x14ac:dyDescent="0.25">
      <c r="A525" s="8">
        <v>524</v>
      </c>
      <c r="B525" s="9" t="s">
        <v>914</v>
      </c>
      <c r="C525" s="10">
        <v>2021</v>
      </c>
      <c r="D525" s="11">
        <v>44478</v>
      </c>
      <c r="E525" s="9" t="s">
        <v>348</v>
      </c>
      <c r="F525" s="12">
        <f>900+567.64+295.2</f>
        <v>1762.84</v>
      </c>
      <c r="G525" s="12">
        <v>0</v>
      </c>
      <c r="H525" s="9" t="s">
        <v>176</v>
      </c>
      <c r="I525" s="14" t="s">
        <v>434</v>
      </c>
    </row>
    <row r="526" spans="1:9" x14ac:dyDescent="0.25">
      <c r="A526" s="8">
        <v>525</v>
      </c>
      <c r="B526" s="9" t="s">
        <v>915</v>
      </c>
      <c r="C526" s="10">
        <v>2021</v>
      </c>
      <c r="D526" s="11">
        <v>44485</v>
      </c>
      <c r="E526" s="9" t="s">
        <v>334</v>
      </c>
      <c r="F526" s="12">
        <f>1390.4+347.81</f>
        <v>1738.21</v>
      </c>
      <c r="G526" s="12">
        <v>0</v>
      </c>
      <c r="H526" s="9" t="s">
        <v>176</v>
      </c>
      <c r="I526" s="14" t="s">
        <v>434</v>
      </c>
    </row>
    <row r="527" spans="1:9" x14ac:dyDescent="0.25">
      <c r="A527" s="8">
        <v>526</v>
      </c>
      <c r="B527" s="9" t="s">
        <v>916</v>
      </c>
      <c r="C527" s="10">
        <v>2021</v>
      </c>
      <c r="D527" s="11">
        <v>44495</v>
      </c>
      <c r="E527" s="9" t="s">
        <v>334</v>
      </c>
      <c r="F527" s="12">
        <f>181+12781.04+998.55</f>
        <v>13960.59</v>
      </c>
      <c r="G527" s="12">
        <v>0</v>
      </c>
      <c r="H527" s="9" t="s">
        <v>99</v>
      </c>
      <c r="I527" s="14" t="s">
        <v>336</v>
      </c>
    </row>
    <row r="528" spans="1:9" x14ac:dyDescent="0.25">
      <c r="A528" s="8">
        <v>527</v>
      </c>
      <c r="B528" s="9" t="s">
        <v>917</v>
      </c>
      <c r="C528" s="10">
        <v>2021</v>
      </c>
      <c r="D528" s="11">
        <v>44495</v>
      </c>
      <c r="E528" s="9" t="s">
        <v>404</v>
      </c>
      <c r="F528" s="12">
        <v>200</v>
      </c>
      <c r="G528" s="12">
        <v>0</v>
      </c>
      <c r="H528" s="9" t="s">
        <v>99</v>
      </c>
      <c r="I528" s="14" t="s">
        <v>336</v>
      </c>
    </row>
    <row r="529" spans="1:9" x14ac:dyDescent="0.25">
      <c r="A529" s="8">
        <v>528</v>
      </c>
      <c r="B529" s="9" t="s">
        <v>918</v>
      </c>
      <c r="C529" s="10">
        <v>2021</v>
      </c>
      <c r="D529" s="11">
        <v>44498</v>
      </c>
      <c r="E529" s="9" t="s">
        <v>334</v>
      </c>
      <c r="F529" s="12">
        <f>2609.56+1522.92</f>
        <v>4132.4799999999996</v>
      </c>
      <c r="G529" s="12">
        <v>0</v>
      </c>
      <c r="H529" s="9" t="s">
        <v>60</v>
      </c>
      <c r="I529" s="15" t="s">
        <v>336</v>
      </c>
    </row>
    <row r="530" spans="1:9" x14ac:dyDescent="0.25">
      <c r="A530" s="8">
        <v>529</v>
      </c>
      <c r="B530" s="9" t="s">
        <v>919</v>
      </c>
      <c r="C530" s="10">
        <v>2021</v>
      </c>
      <c r="D530" s="11">
        <v>44502</v>
      </c>
      <c r="E530" s="9" t="s">
        <v>334</v>
      </c>
      <c r="F530" s="12">
        <v>189.83</v>
      </c>
      <c r="G530" s="12">
        <v>0</v>
      </c>
      <c r="H530" s="9" t="s">
        <v>49</v>
      </c>
      <c r="I530" s="14" t="s">
        <v>336</v>
      </c>
    </row>
    <row r="531" spans="1:9" x14ac:dyDescent="0.25">
      <c r="A531" s="8">
        <v>530</v>
      </c>
      <c r="B531" s="9" t="s">
        <v>920</v>
      </c>
      <c r="C531" s="10">
        <v>2021</v>
      </c>
      <c r="D531" s="11">
        <v>44502</v>
      </c>
      <c r="E531" s="9" t="s">
        <v>334</v>
      </c>
      <c r="F531" s="12">
        <f>612.1+17.01+181.39</f>
        <v>810.5</v>
      </c>
      <c r="G531" s="12">
        <v>0</v>
      </c>
      <c r="H531" s="9" t="s">
        <v>18</v>
      </c>
      <c r="I531" s="14" t="s">
        <v>336</v>
      </c>
    </row>
    <row r="532" spans="1:9" x14ac:dyDescent="0.25">
      <c r="A532" s="8">
        <v>531</v>
      </c>
      <c r="B532" s="9" t="s">
        <v>921</v>
      </c>
      <c r="C532" s="10">
        <v>2021</v>
      </c>
      <c r="D532" s="11">
        <v>44503</v>
      </c>
      <c r="E532" s="9" t="s">
        <v>334</v>
      </c>
      <c r="F532" s="12">
        <v>1619.44</v>
      </c>
      <c r="G532" s="12">
        <v>0</v>
      </c>
      <c r="H532" s="9" t="s">
        <v>420</v>
      </c>
      <c r="I532" s="14" t="s">
        <v>336</v>
      </c>
    </row>
    <row r="533" spans="1:9" x14ac:dyDescent="0.25">
      <c r="A533" s="8">
        <v>532</v>
      </c>
      <c r="B533" s="9" t="s">
        <v>922</v>
      </c>
      <c r="C533" s="10">
        <v>2021</v>
      </c>
      <c r="D533" s="11">
        <v>44506</v>
      </c>
      <c r="E533" s="9" t="s">
        <v>404</v>
      </c>
      <c r="F533" s="12">
        <v>940</v>
      </c>
      <c r="G533" s="12">
        <v>0</v>
      </c>
      <c r="H533" s="9" t="s">
        <v>11</v>
      </c>
      <c r="I533" s="14" t="s">
        <v>336</v>
      </c>
    </row>
    <row r="534" spans="1:9" x14ac:dyDescent="0.25">
      <c r="A534" s="8">
        <v>533</v>
      </c>
      <c r="B534" s="9" t="s">
        <v>923</v>
      </c>
      <c r="C534" s="10">
        <v>2021</v>
      </c>
      <c r="D534" s="11">
        <v>44510</v>
      </c>
      <c r="E534" s="9" t="s">
        <v>348</v>
      </c>
      <c r="F534" s="12">
        <f>172.2+2266.61+982.93</f>
        <v>3421.74</v>
      </c>
      <c r="G534" s="12">
        <v>0</v>
      </c>
      <c r="H534" s="9" t="s">
        <v>138</v>
      </c>
      <c r="I534" s="14" t="s">
        <v>336</v>
      </c>
    </row>
    <row r="535" spans="1:9" x14ac:dyDescent="0.25">
      <c r="A535" s="8">
        <v>534</v>
      </c>
      <c r="B535" s="9" t="s">
        <v>924</v>
      </c>
      <c r="C535" s="10">
        <v>2021</v>
      </c>
      <c r="D535" s="11">
        <v>44510</v>
      </c>
      <c r="E535" s="9" t="s">
        <v>334</v>
      </c>
      <c r="F535" s="12">
        <v>772.58</v>
      </c>
      <c r="G535" s="12">
        <v>0</v>
      </c>
      <c r="H535" s="9" t="s">
        <v>138</v>
      </c>
      <c r="I535" s="14" t="s">
        <v>336</v>
      </c>
    </row>
    <row r="536" spans="1:9" x14ac:dyDescent="0.25">
      <c r="A536" s="8">
        <v>535</v>
      </c>
      <c r="B536" s="9" t="s">
        <v>925</v>
      </c>
      <c r="C536" s="10">
        <v>2021</v>
      </c>
      <c r="D536" s="11">
        <v>44516</v>
      </c>
      <c r="E536" s="9" t="s">
        <v>334</v>
      </c>
      <c r="F536" s="12">
        <v>709.99</v>
      </c>
      <c r="G536" s="12">
        <v>0</v>
      </c>
      <c r="H536" s="9" t="s">
        <v>188</v>
      </c>
      <c r="I536" s="14" t="s">
        <v>336</v>
      </c>
    </row>
    <row r="537" spans="1:9" x14ac:dyDescent="0.25">
      <c r="A537" s="8">
        <v>536</v>
      </c>
      <c r="B537" s="9" t="s">
        <v>926</v>
      </c>
      <c r="C537" s="10">
        <v>2021</v>
      </c>
      <c r="D537" s="11">
        <v>44527</v>
      </c>
      <c r="E537" s="9" t="s">
        <v>334</v>
      </c>
      <c r="F537" s="12">
        <f>948.1+772.58</f>
        <v>1720.68</v>
      </c>
      <c r="G537" s="12">
        <v>0</v>
      </c>
      <c r="H537" s="9" t="s">
        <v>182</v>
      </c>
      <c r="I537" s="14" t="s">
        <v>336</v>
      </c>
    </row>
    <row r="538" spans="1:9" x14ac:dyDescent="0.25">
      <c r="A538" s="8">
        <v>537</v>
      </c>
      <c r="B538" s="9" t="s">
        <v>927</v>
      </c>
      <c r="C538" s="10">
        <v>2021</v>
      </c>
      <c r="D538" s="11">
        <v>44527</v>
      </c>
      <c r="E538" s="9" t="s">
        <v>348</v>
      </c>
      <c r="F538" s="12">
        <v>2500</v>
      </c>
      <c r="G538" s="12">
        <v>0</v>
      </c>
      <c r="H538" s="9" t="s">
        <v>182</v>
      </c>
      <c r="I538" s="14" t="s">
        <v>336</v>
      </c>
    </row>
    <row r="539" spans="1:9" x14ac:dyDescent="0.25">
      <c r="A539" s="8">
        <v>538</v>
      </c>
      <c r="B539" s="9" t="s">
        <v>928</v>
      </c>
      <c r="C539" s="10">
        <v>2021</v>
      </c>
      <c r="D539" s="11">
        <v>44529</v>
      </c>
      <c r="E539" s="9" t="s">
        <v>334</v>
      </c>
      <c r="F539" s="12">
        <f>1081.31+1307.76</f>
        <v>2389.0699999999997</v>
      </c>
      <c r="G539" s="12">
        <v>0</v>
      </c>
      <c r="H539" s="9" t="s">
        <v>168</v>
      </c>
      <c r="I539" s="14" t="s">
        <v>336</v>
      </c>
    </row>
    <row r="540" spans="1:9" x14ac:dyDescent="0.25">
      <c r="A540" s="8">
        <v>539</v>
      </c>
      <c r="B540" s="9" t="s">
        <v>929</v>
      </c>
      <c r="C540" s="10">
        <v>2021</v>
      </c>
      <c r="D540" s="11">
        <v>44532</v>
      </c>
      <c r="E540" s="9" t="s">
        <v>334</v>
      </c>
      <c r="F540" s="12">
        <f>4802.73+996.27</f>
        <v>5799</v>
      </c>
      <c r="G540" s="12">
        <v>0</v>
      </c>
      <c r="H540" s="9" t="s">
        <v>162</v>
      </c>
      <c r="I540" s="14" t="s">
        <v>336</v>
      </c>
    </row>
    <row r="541" spans="1:9" x14ac:dyDescent="0.25">
      <c r="A541" s="8">
        <v>540</v>
      </c>
      <c r="B541" s="9" t="s">
        <v>930</v>
      </c>
      <c r="C541" s="10">
        <v>2021</v>
      </c>
      <c r="D541" s="11">
        <v>44532</v>
      </c>
      <c r="E541" s="9" t="s">
        <v>348</v>
      </c>
      <c r="F541" s="12">
        <v>1500</v>
      </c>
      <c r="G541" s="12">
        <v>0</v>
      </c>
      <c r="H541" s="9" t="s">
        <v>162</v>
      </c>
      <c r="I541" s="14" t="s">
        <v>336</v>
      </c>
    </row>
    <row r="542" spans="1:9" x14ac:dyDescent="0.25">
      <c r="A542" s="8">
        <v>541</v>
      </c>
      <c r="B542" s="9" t="s">
        <v>931</v>
      </c>
      <c r="C542" s="10">
        <v>2021</v>
      </c>
      <c r="D542" s="11">
        <v>44537</v>
      </c>
      <c r="E542" s="9" t="s">
        <v>334</v>
      </c>
      <c r="F542" s="12">
        <f>10288.68+12534.13</f>
        <v>22822.809999999998</v>
      </c>
      <c r="G542" s="12">
        <v>0</v>
      </c>
      <c r="H542" s="9" t="s">
        <v>194</v>
      </c>
      <c r="I542" s="14" t="s">
        <v>336</v>
      </c>
    </row>
    <row r="543" spans="1:9" x14ac:dyDescent="0.25">
      <c r="A543" s="8">
        <v>542</v>
      </c>
      <c r="B543" s="9" t="s">
        <v>932</v>
      </c>
      <c r="C543" s="10">
        <v>2021</v>
      </c>
      <c r="D543" s="11">
        <v>44547</v>
      </c>
      <c r="E543" s="9" t="s">
        <v>334</v>
      </c>
      <c r="F543" s="12">
        <v>7032.63</v>
      </c>
      <c r="G543" s="12">
        <v>0</v>
      </c>
      <c r="H543" s="9" t="s">
        <v>174</v>
      </c>
      <c r="I543" s="14" t="s">
        <v>336</v>
      </c>
    </row>
    <row r="544" spans="1:9" x14ac:dyDescent="0.25">
      <c r="A544" s="8">
        <v>543</v>
      </c>
      <c r="B544" s="9" t="s">
        <v>933</v>
      </c>
      <c r="C544" s="10">
        <v>2022</v>
      </c>
      <c r="D544" s="11">
        <v>44579</v>
      </c>
      <c r="E544" s="9" t="s">
        <v>334</v>
      </c>
      <c r="F544" s="12">
        <f>745.7+772.58</f>
        <v>1518.2800000000002</v>
      </c>
      <c r="G544" s="12">
        <v>0</v>
      </c>
      <c r="H544" s="9" t="s">
        <v>105</v>
      </c>
      <c r="I544" s="14" t="s">
        <v>336</v>
      </c>
    </row>
    <row r="545" spans="1:9" x14ac:dyDescent="0.25">
      <c r="A545" s="8">
        <v>544</v>
      </c>
      <c r="B545" s="9" t="s">
        <v>934</v>
      </c>
      <c r="C545" s="10">
        <v>2022</v>
      </c>
      <c r="D545" s="11">
        <v>44580</v>
      </c>
      <c r="E545" s="9" t="s">
        <v>334</v>
      </c>
      <c r="F545" s="12">
        <f>772.58+2707.96</f>
        <v>3480.54</v>
      </c>
      <c r="G545" s="12">
        <v>0</v>
      </c>
      <c r="H545" s="9" t="s">
        <v>118</v>
      </c>
      <c r="I545" s="14" t="s">
        <v>336</v>
      </c>
    </row>
    <row r="546" spans="1:9" x14ac:dyDescent="0.25">
      <c r="A546" s="8">
        <v>545</v>
      </c>
      <c r="B546" s="9" t="s">
        <v>935</v>
      </c>
      <c r="C546" s="10">
        <v>2022</v>
      </c>
      <c r="D546" s="11">
        <v>44599</v>
      </c>
      <c r="E546" s="9" t="s">
        <v>334</v>
      </c>
      <c r="F546" s="12">
        <f>1647.32+2022.23</f>
        <v>3669.55</v>
      </c>
      <c r="G546" s="12">
        <v>0</v>
      </c>
      <c r="H546" s="9" t="s">
        <v>180</v>
      </c>
      <c r="I546" s="14" t="s">
        <v>336</v>
      </c>
    </row>
    <row r="547" spans="1:9" x14ac:dyDescent="0.25">
      <c r="A547" s="8">
        <v>546</v>
      </c>
      <c r="B547" s="9" t="s">
        <v>936</v>
      </c>
      <c r="C547" s="10">
        <v>2022</v>
      </c>
      <c r="D547" s="11">
        <v>44608</v>
      </c>
      <c r="E547" s="9" t="s">
        <v>348</v>
      </c>
      <c r="F547" s="12">
        <v>1106.74</v>
      </c>
      <c r="G547" s="12">
        <v>0</v>
      </c>
      <c r="H547" s="9" t="s">
        <v>116</v>
      </c>
      <c r="I547" s="14" t="s">
        <v>336</v>
      </c>
    </row>
    <row r="548" spans="1:9" x14ac:dyDescent="0.25">
      <c r="A548" s="8">
        <v>547</v>
      </c>
      <c r="B548" s="9" t="s">
        <v>937</v>
      </c>
      <c r="C548" s="10">
        <v>2022</v>
      </c>
      <c r="D548" s="11">
        <v>44608</v>
      </c>
      <c r="E548" s="9" t="s">
        <v>334</v>
      </c>
      <c r="F548" s="12">
        <v>864.83</v>
      </c>
      <c r="G548" s="12">
        <v>0</v>
      </c>
      <c r="H548" s="9" t="s">
        <v>116</v>
      </c>
      <c r="I548" s="14" t="s">
        <v>336</v>
      </c>
    </row>
    <row r="549" spans="1:9" x14ac:dyDescent="0.25">
      <c r="A549" s="8">
        <v>548</v>
      </c>
      <c r="B549" s="9" t="s">
        <v>938</v>
      </c>
      <c r="C549" s="10">
        <v>2022</v>
      </c>
      <c r="D549" s="11">
        <v>44608</v>
      </c>
      <c r="E549" s="9" t="s">
        <v>334</v>
      </c>
      <c r="F549" s="12">
        <f>173+212.3</f>
        <v>385.3</v>
      </c>
      <c r="G549" s="12">
        <v>0</v>
      </c>
      <c r="H549" s="9" t="s">
        <v>112</v>
      </c>
      <c r="I549" s="14" t="s">
        <v>336</v>
      </c>
    </row>
    <row r="550" spans="1:9" x14ac:dyDescent="0.25">
      <c r="A550" s="8">
        <v>549</v>
      </c>
      <c r="B550" s="9" t="s">
        <v>939</v>
      </c>
      <c r="C550" s="10">
        <v>2022</v>
      </c>
      <c r="D550" s="11">
        <v>44614</v>
      </c>
      <c r="E550" s="9" t="s">
        <v>334</v>
      </c>
      <c r="F550" s="12">
        <f>3716.49+5384.69</f>
        <v>9101.18</v>
      </c>
      <c r="G550" s="12">
        <v>0</v>
      </c>
      <c r="H550" s="9" t="s">
        <v>114</v>
      </c>
      <c r="I550" s="14" t="s">
        <v>336</v>
      </c>
    </row>
    <row r="551" spans="1:9" x14ac:dyDescent="0.25">
      <c r="A551" s="8">
        <v>550</v>
      </c>
      <c r="B551" s="9" t="s">
        <v>940</v>
      </c>
      <c r="C551" s="10">
        <v>2022</v>
      </c>
      <c r="D551" s="11">
        <v>44614</v>
      </c>
      <c r="E551" s="9" t="s">
        <v>348</v>
      </c>
      <c r="F551" s="12">
        <f>4947.98+3086.59</f>
        <v>8034.57</v>
      </c>
      <c r="G551" s="12">
        <v>0</v>
      </c>
      <c r="H551" s="9" t="s">
        <v>114</v>
      </c>
      <c r="I551" s="14" t="s">
        <v>336</v>
      </c>
    </row>
    <row r="552" spans="1:9" x14ac:dyDescent="0.25">
      <c r="A552" s="8">
        <v>551</v>
      </c>
      <c r="B552" s="9" t="s">
        <v>942</v>
      </c>
      <c r="C552" s="10">
        <v>2022</v>
      </c>
      <c r="D552" s="11">
        <v>44616</v>
      </c>
      <c r="E552" s="9" t="s">
        <v>334</v>
      </c>
      <c r="F552" s="12">
        <f>1152.63+544.56</f>
        <v>1697.19</v>
      </c>
      <c r="G552" s="12">
        <v>0</v>
      </c>
      <c r="H552" s="9" t="s">
        <v>114</v>
      </c>
      <c r="I552" s="14" t="s">
        <v>336</v>
      </c>
    </row>
    <row r="553" spans="1:9" x14ac:dyDescent="0.25">
      <c r="A553" s="8">
        <v>552</v>
      </c>
      <c r="B553" s="9" t="s">
        <v>941</v>
      </c>
      <c r="C553" s="10">
        <v>2022</v>
      </c>
      <c r="D553" s="11">
        <v>44616</v>
      </c>
      <c r="E553" s="9" t="s">
        <v>334</v>
      </c>
      <c r="F553" s="12">
        <f>2988.84+984.37</f>
        <v>3973.21</v>
      </c>
      <c r="G553" s="12">
        <v>0</v>
      </c>
      <c r="H553" s="9" t="s">
        <v>110</v>
      </c>
      <c r="I553" s="14" t="s">
        <v>336</v>
      </c>
    </row>
    <row r="554" spans="1:9" x14ac:dyDescent="0.25">
      <c r="A554" s="8">
        <v>553</v>
      </c>
      <c r="B554" s="9" t="s">
        <v>943</v>
      </c>
      <c r="C554" s="10">
        <v>2022</v>
      </c>
      <c r="D554" s="11">
        <v>44616</v>
      </c>
      <c r="E554" s="9" t="s">
        <v>334</v>
      </c>
      <c r="F554" s="12">
        <v>943.94</v>
      </c>
      <c r="G554" s="12">
        <v>0</v>
      </c>
      <c r="H554" s="9" t="s">
        <v>134</v>
      </c>
      <c r="I554" s="14" t="s">
        <v>336</v>
      </c>
    </row>
    <row r="555" spans="1:9" x14ac:dyDescent="0.25">
      <c r="A555" s="8">
        <v>554</v>
      </c>
      <c r="B555" s="9" t="s">
        <v>944</v>
      </c>
      <c r="C555" s="10">
        <v>2022</v>
      </c>
      <c r="D555" s="11">
        <v>44643</v>
      </c>
      <c r="E555" s="9" t="s">
        <v>334</v>
      </c>
      <c r="F555" s="12">
        <v>196.8</v>
      </c>
      <c r="G555" s="12">
        <v>0</v>
      </c>
      <c r="H555" s="9" t="s">
        <v>67</v>
      </c>
      <c r="I555" s="14" t="s">
        <v>336</v>
      </c>
    </row>
    <row r="556" spans="1:9" x14ac:dyDescent="0.25">
      <c r="A556" s="8">
        <v>555</v>
      </c>
      <c r="B556" s="9" t="s">
        <v>945</v>
      </c>
      <c r="C556" s="10">
        <v>2022</v>
      </c>
      <c r="D556" s="11">
        <v>44644</v>
      </c>
      <c r="E556" s="9" t="s">
        <v>348</v>
      </c>
      <c r="F556" s="12">
        <v>703.01</v>
      </c>
      <c r="G556" s="12">
        <v>0</v>
      </c>
      <c r="H556" s="9" t="s">
        <v>105</v>
      </c>
      <c r="I556" s="14" t="s">
        <v>336</v>
      </c>
    </row>
    <row r="557" spans="1:9" x14ac:dyDescent="0.25">
      <c r="A557" s="8">
        <v>556</v>
      </c>
      <c r="B557" s="9" t="s">
        <v>946</v>
      </c>
      <c r="C557" s="10">
        <v>2022</v>
      </c>
      <c r="D557" s="11">
        <v>44652</v>
      </c>
      <c r="E557" s="9" t="s">
        <v>334</v>
      </c>
      <c r="F557" s="12">
        <f>812.1+2923.98</f>
        <v>3736.08</v>
      </c>
      <c r="G557" s="12">
        <v>0</v>
      </c>
      <c r="H557" s="9" t="s">
        <v>128</v>
      </c>
      <c r="I557" s="14" t="s">
        <v>336</v>
      </c>
    </row>
    <row r="558" spans="1:9" x14ac:dyDescent="0.25">
      <c r="A558" s="8">
        <v>557</v>
      </c>
      <c r="B558" s="9" t="s">
        <v>947</v>
      </c>
      <c r="C558" s="10">
        <v>2022</v>
      </c>
      <c r="D558" s="11">
        <v>44662</v>
      </c>
      <c r="E558" s="9" t="s">
        <v>334</v>
      </c>
      <c r="F558" s="12">
        <f>910.81+2062.64</f>
        <v>2973.45</v>
      </c>
      <c r="G558" s="12">
        <v>0</v>
      </c>
      <c r="H558" s="9" t="s">
        <v>62</v>
      </c>
      <c r="I558" s="14" t="s">
        <v>336</v>
      </c>
    </row>
    <row r="559" spans="1:9" x14ac:dyDescent="0.25">
      <c r="A559" s="8">
        <v>558</v>
      </c>
      <c r="B559" s="9" t="s">
        <v>948</v>
      </c>
      <c r="C559" s="10">
        <v>2022</v>
      </c>
      <c r="D559" s="11">
        <v>44665</v>
      </c>
      <c r="E559" s="9" t="s">
        <v>334</v>
      </c>
      <c r="F559" s="12">
        <v>830.88</v>
      </c>
      <c r="G559" s="12">
        <v>0</v>
      </c>
      <c r="H559" s="9" t="s">
        <v>116</v>
      </c>
      <c r="I559" s="14" t="s">
        <v>336</v>
      </c>
    </row>
    <row r="560" spans="1:9" x14ac:dyDescent="0.25">
      <c r="A560" s="8">
        <v>559</v>
      </c>
      <c r="B560" s="9" t="s">
        <v>950</v>
      </c>
      <c r="C560" s="10">
        <v>2022</v>
      </c>
      <c r="D560" s="11">
        <v>44670</v>
      </c>
      <c r="E560" s="9" t="s">
        <v>348</v>
      </c>
      <c r="F560" s="12">
        <f>200+3574.41</f>
        <v>3774.41</v>
      </c>
      <c r="G560" s="12">
        <v>0</v>
      </c>
      <c r="H560" s="9" t="s">
        <v>128</v>
      </c>
      <c r="I560" s="14" t="s">
        <v>336</v>
      </c>
    </row>
    <row r="561" spans="1:9" x14ac:dyDescent="0.25">
      <c r="A561" s="8">
        <v>560</v>
      </c>
      <c r="B561" s="9" t="s">
        <v>949</v>
      </c>
      <c r="C561" s="10">
        <v>2022</v>
      </c>
      <c r="D561" s="11">
        <v>44670</v>
      </c>
      <c r="E561" s="9" t="s">
        <v>334</v>
      </c>
      <c r="F561" s="12">
        <f>1391.83+914.76</f>
        <v>2306.59</v>
      </c>
      <c r="G561" s="12">
        <v>0</v>
      </c>
      <c r="H561" s="9" t="s">
        <v>110</v>
      </c>
      <c r="I561" s="14" t="s">
        <v>336</v>
      </c>
    </row>
    <row r="562" spans="1:9" x14ac:dyDescent="0.25">
      <c r="A562" s="8">
        <v>561</v>
      </c>
      <c r="B562" s="9" t="s">
        <v>951</v>
      </c>
      <c r="C562" s="10">
        <v>2022</v>
      </c>
      <c r="D562" s="11">
        <v>44672</v>
      </c>
      <c r="E562" s="9" t="s">
        <v>334</v>
      </c>
      <c r="F562" s="12">
        <f>962.4+2918.87</f>
        <v>3881.27</v>
      </c>
      <c r="G562" s="12">
        <v>0</v>
      </c>
      <c r="H562" s="9" t="s">
        <v>142</v>
      </c>
      <c r="I562" s="14" t="s">
        <v>336</v>
      </c>
    </row>
    <row r="563" spans="1:9" x14ac:dyDescent="0.25">
      <c r="A563" s="8">
        <v>562</v>
      </c>
      <c r="B563" s="9" t="s">
        <v>952</v>
      </c>
      <c r="C563" s="10">
        <v>2022</v>
      </c>
      <c r="D563" s="11">
        <v>44673</v>
      </c>
      <c r="E563" s="9" t="s">
        <v>334</v>
      </c>
      <c r="F563" s="12">
        <v>1006.31</v>
      </c>
      <c r="G563" s="12">
        <v>0</v>
      </c>
      <c r="H563" s="9" t="s">
        <v>828</v>
      </c>
      <c r="I563" s="14" t="s">
        <v>336</v>
      </c>
    </row>
    <row r="564" spans="1:9" x14ac:dyDescent="0.25">
      <c r="A564" s="8">
        <v>563</v>
      </c>
      <c r="B564" s="9" t="s">
        <v>953</v>
      </c>
      <c r="C564" s="10">
        <v>2022</v>
      </c>
      <c r="D564" s="11">
        <v>44685</v>
      </c>
      <c r="E564" s="9" t="s">
        <v>334</v>
      </c>
      <c r="F564" s="12">
        <f>996.6+2589.45</f>
        <v>3586.0499999999997</v>
      </c>
      <c r="G564" s="12">
        <v>0</v>
      </c>
      <c r="H564" s="9" t="s">
        <v>144</v>
      </c>
      <c r="I564" s="14" t="s">
        <v>336</v>
      </c>
    </row>
    <row r="565" spans="1:9" x14ac:dyDescent="0.25">
      <c r="A565" s="8">
        <v>564</v>
      </c>
      <c r="B565" s="9" t="s">
        <v>954</v>
      </c>
      <c r="C565" s="10">
        <v>2022</v>
      </c>
      <c r="D565" s="11">
        <v>44690</v>
      </c>
      <c r="E565" s="9" t="s">
        <v>334</v>
      </c>
      <c r="F565" s="12">
        <f>904.35+893.4</f>
        <v>1797.75</v>
      </c>
      <c r="G565" s="12">
        <v>0</v>
      </c>
      <c r="H565" s="9" t="s">
        <v>158</v>
      </c>
      <c r="I565" s="14" t="s">
        <v>336</v>
      </c>
    </row>
    <row r="566" spans="1:9" x14ac:dyDescent="0.25">
      <c r="A566" s="8">
        <v>565</v>
      </c>
      <c r="B566" s="9" t="s">
        <v>955</v>
      </c>
      <c r="C566" s="10">
        <v>2022</v>
      </c>
      <c r="D566" s="11">
        <v>44691</v>
      </c>
      <c r="E566" s="9" t="s">
        <v>334</v>
      </c>
      <c r="F566" s="12">
        <v>812.1</v>
      </c>
      <c r="G566" s="12">
        <v>0</v>
      </c>
      <c r="H566" s="9" t="s">
        <v>170</v>
      </c>
      <c r="I566" s="14" t="s">
        <v>336</v>
      </c>
    </row>
    <row r="567" spans="1:9" x14ac:dyDescent="0.25">
      <c r="A567" s="8">
        <v>566</v>
      </c>
      <c r="B567" s="9" t="s">
        <v>956</v>
      </c>
      <c r="C567" s="10">
        <v>2022</v>
      </c>
      <c r="D567" s="11">
        <v>44694</v>
      </c>
      <c r="E567" s="9" t="s">
        <v>334</v>
      </c>
      <c r="F567" s="12">
        <v>812.1</v>
      </c>
      <c r="G567" s="12">
        <v>0</v>
      </c>
      <c r="H567" s="9" t="s">
        <v>120</v>
      </c>
      <c r="I567" s="14" t="s">
        <v>336</v>
      </c>
    </row>
    <row r="568" spans="1:9" x14ac:dyDescent="0.25">
      <c r="A568" s="8">
        <v>567</v>
      </c>
      <c r="B568" s="9" t="s">
        <v>957</v>
      </c>
      <c r="C568" s="10">
        <v>2022</v>
      </c>
      <c r="D568" s="11">
        <v>44698</v>
      </c>
      <c r="E568" s="9" t="s">
        <v>334</v>
      </c>
      <c r="F568" s="12">
        <f>812.1+1000.05</f>
        <v>1812.15</v>
      </c>
      <c r="G568" s="12">
        <v>0</v>
      </c>
      <c r="H568" s="9" t="s">
        <v>174</v>
      </c>
      <c r="I568" s="14" t="s">
        <v>336</v>
      </c>
    </row>
    <row r="569" spans="1:9" x14ac:dyDescent="0.25">
      <c r="A569" s="8">
        <v>568</v>
      </c>
      <c r="B569" s="9" t="s">
        <v>958</v>
      </c>
      <c r="C569" s="10">
        <v>2022</v>
      </c>
      <c r="D569" s="11">
        <v>44698</v>
      </c>
      <c r="E569" s="9" t="s">
        <v>348</v>
      </c>
      <c r="F569" s="12">
        <v>1683.21</v>
      </c>
      <c r="G569" s="12">
        <v>0</v>
      </c>
      <c r="H569" s="9" t="s">
        <v>174</v>
      </c>
      <c r="I569" s="14" t="s">
        <v>336</v>
      </c>
    </row>
    <row r="570" spans="1:9" x14ac:dyDescent="0.25">
      <c r="A570" s="8">
        <v>569</v>
      </c>
      <c r="B570" s="9" t="s">
        <v>959</v>
      </c>
      <c r="C570" s="10">
        <v>2022</v>
      </c>
      <c r="D570" s="11">
        <v>44701</v>
      </c>
      <c r="E570" s="9" t="s">
        <v>334</v>
      </c>
      <c r="F570" s="12">
        <v>812.1</v>
      </c>
      <c r="G570" s="12">
        <v>0</v>
      </c>
      <c r="H570" s="9" t="s">
        <v>146</v>
      </c>
      <c r="I570" s="14" t="s">
        <v>336</v>
      </c>
    </row>
    <row r="571" spans="1:9" x14ac:dyDescent="0.25">
      <c r="A571" s="8">
        <v>570</v>
      </c>
      <c r="B571" s="9" t="s">
        <v>960</v>
      </c>
      <c r="C571" s="10">
        <v>2022</v>
      </c>
      <c r="D571" s="11">
        <v>44715</v>
      </c>
      <c r="E571" s="9" t="s">
        <v>334</v>
      </c>
      <c r="F571" s="12">
        <f>2043.18+1236.21</f>
        <v>3279.3900000000003</v>
      </c>
      <c r="G571" s="12">
        <v>0</v>
      </c>
      <c r="H571" s="9" t="s">
        <v>103</v>
      </c>
      <c r="I571" s="14" t="s">
        <v>336</v>
      </c>
    </row>
    <row r="572" spans="1:9" x14ac:dyDescent="0.25">
      <c r="A572" s="8">
        <v>571</v>
      </c>
      <c r="B572" s="9" t="s">
        <v>961</v>
      </c>
      <c r="C572" s="10">
        <v>2022</v>
      </c>
      <c r="D572" s="11">
        <v>44727</v>
      </c>
      <c r="E572" s="9" t="s">
        <v>334</v>
      </c>
      <c r="F572" s="12">
        <f>769.66+1280.86</f>
        <v>2050.52</v>
      </c>
      <c r="G572" s="12">
        <v>0</v>
      </c>
      <c r="H572" s="9" t="s">
        <v>144</v>
      </c>
      <c r="I572" s="14" t="s">
        <v>336</v>
      </c>
    </row>
    <row r="573" spans="1:9" x14ac:dyDescent="0.25">
      <c r="A573" s="8">
        <v>572</v>
      </c>
      <c r="B573" s="9" t="s">
        <v>962</v>
      </c>
      <c r="C573" s="10">
        <v>2022</v>
      </c>
      <c r="D573" s="11">
        <v>44732</v>
      </c>
      <c r="E573" s="9" t="s">
        <v>334</v>
      </c>
      <c r="F573" s="12">
        <f>505.78+946.05</f>
        <v>1451.83</v>
      </c>
      <c r="G573" s="12">
        <v>0</v>
      </c>
      <c r="H573" s="9" t="s">
        <v>140</v>
      </c>
      <c r="I573" s="14" t="s">
        <v>336</v>
      </c>
    </row>
    <row r="574" spans="1:9" x14ac:dyDescent="0.25">
      <c r="A574" s="8">
        <v>573</v>
      </c>
      <c r="B574" s="9" t="s">
        <v>963</v>
      </c>
      <c r="C574" s="10">
        <v>2022</v>
      </c>
      <c r="D574" s="11">
        <v>44734</v>
      </c>
      <c r="E574" s="9" t="s">
        <v>334</v>
      </c>
      <c r="F574" s="12">
        <f>2143.82+1909.92</f>
        <v>4053.7400000000002</v>
      </c>
      <c r="G574" s="12">
        <v>0</v>
      </c>
      <c r="H574" s="9" t="s">
        <v>60</v>
      </c>
      <c r="I574" s="14" t="s">
        <v>336</v>
      </c>
    </row>
    <row r="575" spans="1:9" x14ac:dyDescent="0.25">
      <c r="A575" s="8">
        <v>574</v>
      </c>
      <c r="B575" s="9" t="s">
        <v>964</v>
      </c>
      <c r="C575" s="10">
        <v>2022</v>
      </c>
      <c r="D575" s="11">
        <v>44740</v>
      </c>
      <c r="E575" s="9" t="s">
        <v>334</v>
      </c>
      <c r="F575" s="12">
        <v>1565.48</v>
      </c>
      <c r="G575" s="12">
        <v>0</v>
      </c>
      <c r="H575" s="9" t="s">
        <v>154</v>
      </c>
      <c r="I575" s="14" t="s">
        <v>336</v>
      </c>
    </row>
    <row r="576" spans="1:9" x14ac:dyDescent="0.25">
      <c r="A576" s="8">
        <v>575</v>
      </c>
      <c r="B576" s="9" t="s">
        <v>965</v>
      </c>
      <c r="C576" s="10">
        <v>2022</v>
      </c>
      <c r="D576" s="11">
        <v>44741</v>
      </c>
      <c r="E576" s="9" t="s">
        <v>334</v>
      </c>
      <c r="F576" s="12">
        <v>360.69</v>
      </c>
      <c r="G576" s="12">
        <v>0</v>
      </c>
      <c r="H576" s="9" t="s">
        <v>154</v>
      </c>
      <c r="I576" s="14" t="s">
        <v>336</v>
      </c>
    </row>
    <row r="577" spans="1:9" x14ac:dyDescent="0.25">
      <c r="A577" s="8">
        <v>576</v>
      </c>
      <c r="B577" s="9" t="s">
        <v>966</v>
      </c>
      <c r="C577" s="10">
        <v>2022</v>
      </c>
      <c r="D577" s="11">
        <v>44741</v>
      </c>
      <c r="E577" s="9" t="s">
        <v>334</v>
      </c>
      <c r="F577" s="12">
        <f>360.69+3132.61+398.94</f>
        <v>3892.2400000000002</v>
      </c>
      <c r="G577" s="12">
        <v>0</v>
      </c>
      <c r="H577" s="9" t="s">
        <v>144</v>
      </c>
      <c r="I577" s="14" t="s">
        <v>336</v>
      </c>
    </row>
    <row r="578" spans="1:9" x14ac:dyDescent="0.25">
      <c r="A578" s="8">
        <v>577</v>
      </c>
      <c r="B578" s="16" t="s">
        <v>967</v>
      </c>
      <c r="C578" s="17">
        <v>2022</v>
      </c>
      <c r="D578" s="18">
        <v>44750</v>
      </c>
      <c r="E578" s="16" t="s">
        <v>334</v>
      </c>
      <c r="F578" s="19">
        <v>1185.17</v>
      </c>
      <c r="G578" s="19">
        <v>0</v>
      </c>
      <c r="H578" s="16" t="s">
        <v>110</v>
      </c>
      <c r="I578" s="20" t="s">
        <v>336</v>
      </c>
    </row>
    <row r="579" spans="1:9" x14ac:dyDescent="0.25">
      <c r="A579" s="8">
        <v>578</v>
      </c>
      <c r="B579" s="9" t="s">
        <v>968</v>
      </c>
      <c r="C579" s="10">
        <v>2022</v>
      </c>
      <c r="D579" s="11">
        <v>44756</v>
      </c>
      <c r="E579" s="9" t="s">
        <v>334</v>
      </c>
      <c r="F579" s="12">
        <v>1382.5</v>
      </c>
      <c r="G579" s="12">
        <v>0</v>
      </c>
      <c r="H579" s="9" t="s">
        <v>67</v>
      </c>
      <c r="I579" s="14" t="s">
        <v>336</v>
      </c>
    </row>
    <row r="580" spans="1:9" x14ac:dyDescent="0.25">
      <c r="A580" s="8">
        <v>579</v>
      </c>
      <c r="B580" s="9" t="s">
        <v>969</v>
      </c>
      <c r="C580" s="10">
        <v>2022</v>
      </c>
      <c r="D580" s="11">
        <v>44768</v>
      </c>
      <c r="E580" s="9" t="s">
        <v>334</v>
      </c>
      <c r="F580" s="12">
        <v>3763.95</v>
      </c>
      <c r="G580" s="12">
        <v>0</v>
      </c>
      <c r="H580" s="9" t="s">
        <v>172</v>
      </c>
      <c r="I580" s="14" t="s">
        <v>336</v>
      </c>
    </row>
    <row r="581" spans="1:9" x14ac:dyDescent="0.25">
      <c r="A581" s="8">
        <v>580</v>
      </c>
      <c r="B581" s="16" t="s">
        <v>970</v>
      </c>
      <c r="C581" s="17">
        <v>2022</v>
      </c>
      <c r="D581" s="18">
        <v>44768</v>
      </c>
      <c r="E581" s="16" t="s">
        <v>334</v>
      </c>
      <c r="F581" s="19">
        <v>144.11000000000001</v>
      </c>
      <c r="G581" s="19">
        <v>0</v>
      </c>
      <c r="H581" s="16" t="s">
        <v>56</v>
      </c>
      <c r="I581" s="20" t="s">
        <v>336</v>
      </c>
    </row>
    <row r="582" spans="1:9" x14ac:dyDescent="0.25">
      <c r="A582" s="8">
        <v>581</v>
      </c>
      <c r="B582" s="16" t="s">
        <v>975</v>
      </c>
      <c r="C582" s="17">
        <v>2022</v>
      </c>
      <c r="D582" s="18">
        <v>44771</v>
      </c>
      <c r="E582" s="16" t="s">
        <v>334</v>
      </c>
      <c r="F582" s="19">
        <v>707.81</v>
      </c>
      <c r="G582" s="19">
        <v>0</v>
      </c>
      <c r="H582" s="16" t="s">
        <v>126</v>
      </c>
      <c r="I582" s="20" t="s">
        <v>336</v>
      </c>
    </row>
    <row r="583" spans="1:9" x14ac:dyDescent="0.25">
      <c r="A583" s="8">
        <v>582</v>
      </c>
      <c r="B583" s="16" t="s">
        <v>973</v>
      </c>
      <c r="C583" s="17">
        <v>2022</v>
      </c>
      <c r="D583" s="18">
        <v>44771</v>
      </c>
      <c r="E583" s="16" t="s">
        <v>334</v>
      </c>
      <c r="F583" s="19">
        <v>855.67</v>
      </c>
      <c r="G583" s="19">
        <v>0</v>
      </c>
      <c r="H583" s="16" t="s">
        <v>190</v>
      </c>
      <c r="I583" s="20" t="s">
        <v>336</v>
      </c>
    </row>
    <row r="584" spans="1:9" x14ac:dyDescent="0.25">
      <c r="A584" s="8">
        <v>583</v>
      </c>
      <c r="B584" s="16" t="s">
        <v>972</v>
      </c>
      <c r="C584" s="17">
        <v>2022</v>
      </c>
      <c r="D584" s="18">
        <v>44771</v>
      </c>
      <c r="E584" s="16" t="s">
        <v>334</v>
      </c>
      <c r="F584" s="19">
        <f>2049.01+1621.92</f>
        <v>3670.9300000000003</v>
      </c>
      <c r="G584" s="19">
        <v>0</v>
      </c>
      <c r="H584" s="16" t="s">
        <v>188</v>
      </c>
      <c r="I584" s="20" t="s">
        <v>336</v>
      </c>
    </row>
    <row r="585" spans="1:9" x14ac:dyDescent="0.25">
      <c r="A585" s="8">
        <v>584</v>
      </c>
      <c r="B585" s="16" t="s">
        <v>971</v>
      </c>
      <c r="C585" s="17">
        <v>2022</v>
      </c>
      <c r="D585" s="18">
        <v>44771</v>
      </c>
      <c r="E585" s="16" t="s">
        <v>334</v>
      </c>
      <c r="F585" s="19">
        <v>876.34</v>
      </c>
      <c r="G585" s="19">
        <v>0</v>
      </c>
      <c r="H585" s="16" t="s">
        <v>188</v>
      </c>
      <c r="I585" s="20" t="s">
        <v>336</v>
      </c>
    </row>
    <row r="586" spans="1:9" x14ac:dyDescent="0.25">
      <c r="A586" s="8">
        <v>585</v>
      </c>
      <c r="B586" s="16" t="s">
        <v>974</v>
      </c>
      <c r="C586" s="17">
        <v>2022</v>
      </c>
      <c r="D586" s="18">
        <v>44771</v>
      </c>
      <c r="E586" s="16" t="s">
        <v>334</v>
      </c>
      <c r="F586" s="19">
        <f>493.09+354.19</f>
        <v>847.28</v>
      </c>
      <c r="G586" s="19">
        <v>0</v>
      </c>
      <c r="H586" s="16" t="s">
        <v>112</v>
      </c>
      <c r="I586" s="20" t="s">
        <v>336</v>
      </c>
    </row>
    <row r="587" spans="1:9" x14ac:dyDescent="0.25">
      <c r="A587" s="8">
        <v>586</v>
      </c>
      <c r="B587" s="16" t="s">
        <v>976</v>
      </c>
      <c r="C587" s="17">
        <v>2022</v>
      </c>
      <c r="D587" s="18">
        <v>44777</v>
      </c>
      <c r="E587" s="16" t="s">
        <v>334</v>
      </c>
      <c r="F587" s="19">
        <f>318.41+522.37</f>
        <v>840.78</v>
      </c>
      <c r="G587" s="19">
        <v>0</v>
      </c>
      <c r="H587" s="16" t="s">
        <v>60</v>
      </c>
      <c r="I587" s="20" t="s">
        <v>336</v>
      </c>
    </row>
    <row r="588" spans="1:9" x14ac:dyDescent="0.25">
      <c r="A588" s="8">
        <v>587</v>
      </c>
      <c r="B588" s="16" t="s">
        <v>977</v>
      </c>
      <c r="C588" s="17">
        <v>2022</v>
      </c>
      <c r="D588" s="18">
        <v>44792</v>
      </c>
      <c r="E588" s="16" t="s">
        <v>334</v>
      </c>
      <c r="F588" s="19">
        <f>4496.27+2663.56</f>
        <v>7159.83</v>
      </c>
      <c r="G588" s="19">
        <v>0</v>
      </c>
      <c r="H588" s="16" t="s">
        <v>83</v>
      </c>
      <c r="I588" s="20" t="s">
        <v>336</v>
      </c>
    </row>
    <row r="589" spans="1:9" x14ac:dyDescent="0.25">
      <c r="A589" s="8">
        <v>588</v>
      </c>
      <c r="B589" s="16" t="s">
        <v>978</v>
      </c>
      <c r="C589" s="17">
        <v>2022</v>
      </c>
      <c r="D589" s="18">
        <v>44796</v>
      </c>
      <c r="E589" s="16" t="s">
        <v>334</v>
      </c>
      <c r="F589" s="19">
        <v>1788.94</v>
      </c>
      <c r="G589" s="19">
        <v>0</v>
      </c>
      <c r="H589" s="16" t="s">
        <v>118</v>
      </c>
      <c r="I589" s="20" t="s">
        <v>336</v>
      </c>
    </row>
    <row r="590" spans="1:9" x14ac:dyDescent="0.25">
      <c r="A590" s="8">
        <v>589</v>
      </c>
      <c r="B590" s="16" t="s">
        <v>979</v>
      </c>
      <c r="C590" s="17">
        <v>2022</v>
      </c>
      <c r="D590" s="18">
        <v>44798</v>
      </c>
      <c r="E590" s="16" t="s">
        <v>334</v>
      </c>
      <c r="F590" s="19">
        <f>2295.91+2884.17</f>
        <v>5180.08</v>
      </c>
      <c r="G590" s="19">
        <v>0</v>
      </c>
      <c r="H590" s="16" t="s">
        <v>114</v>
      </c>
      <c r="I590" s="20" t="s">
        <v>336</v>
      </c>
    </row>
    <row r="591" spans="1:9" x14ac:dyDescent="0.25">
      <c r="A591" s="8">
        <v>590</v>
      </c>
      <c r="B591" s="16" t="s">
        <v>980</v>
      </c>
      <c r="C591" s="17">
        <v>2022</v>
      </c>
      <c r="D591" s="18">
        <v>44802</v>
      </c>
      <c r="E591" s="16" t="s">
        <v>334</v>
      </c>
      <c r="F591" s="19">
        <v>2157.15</v>
      </c>
      <c r="G591" s="19">
        <v>0</v>
      </c>
      <c r="H591" s="16" t="s">
        <v>500</v>
      </c>
      <c r="I591" s="20" t="s">
        <v>336</v>
      </c>
    </row>
    <row r="592" spans="1:9" x14ac:dyDescent="0.25">
      <c r="A592" s="8">
        <v>591</v>
      </c>
      <c r="B592" s="16" t="s">
        <v>981</v>
      </c>
      <c r="C592" s="17">
        <v>2022</v>
      </c>
      <c r="D592" s="18">
        <v>44811</v>
      </c>
      <c r="E592" s="16" t="s">
        <v>334</v>
      </c>
      <c r="F592" s="19">
        <v>1388.11</v>
      </c>
      <c r="G592" s="19">
        <v>0</v>
      </c>
      <c r="H592" s="16" t="s">
        <v>49</v>
      </c>
      <c r="I592" s="20" t="s">
        <v>336</v>
      </c>
    </row>
    <row r="593" spans="1:9" x14ac:dyDescent="0.25">
      <c r="A593" s="8">
        <v>592</v>
      </c>
      <c r="B593" s="16" t="s">
        <v>982</v>
      </c>
      <c r="C593" s="17">
        <v>2022</v>
      </c>
      <c r="D593" s="18">
        <v>44811</v>
      </c>
      <c r="E593" s="16" t="s">
        <v>334</v>
      </c>
      <c r="F593" s="19">
        <v>1099.08</v>
      </c>
      <c r="G593" s="19">
        <v>0</v>
      </c>
      <c r="H593" s="16" t="s">
        <v>500</v>
      </c>
      <c r="I593" s="20" t="s">
        <v>336</v>
      </c>
    </row>
    <row r="594" spans="1:9" x14ac:dyDescent="0.25">
      <c r="A594" s="8">
        <v>593</v>
      </c>
      <c r="B594" s="16" t="s">
        <v>983</v>
      </c>
      <c r="C594" s="17">
        <v>2022</v>
      </c>
      <c r="D594" s="18">
        <v>44812</v>
      </c>
      <c r="E594" s="16" t="s">
        <v>334</v>
      </c>
      <c r="F594" s="19">
        <v>5849.83</v>
      </c>
      <c r="G594" s="19">
        <v>0</v>
      </c>
      <c r="H594" s="16" t="s">
        <v>54</v>
      </c>
      <c r="I594" s="20" t="s">
        <v>336</v>
      </c>
    </row>
    <row r="595" spans="1:9" x14ac:dyDescent="0.25">
      <c r="A595" s="8">
        <v>594</v>
      </c>
      <c r="B595" s="16" t="s">
        <v>984</v>
      </c>
      <c r="C595" s="17">
        <v>2022</v>
      </c>
      <c r="D595" s="18">
        <v>44817</v>
      </c>
      <c r="E595" s="16" t="s">
        <v>334</v>
      </c>
      <c r="F595" s="19">
        <v>541.95000000000005</v>
      </c>
      <c r="G595" s="19">
        <v>0</v>
      </c>
      <c r="H595" s="16" t="s">
        <v>170</v>
      </c>
      <c r="I595" s="20" t="s">
        <v>336</v>
      </c>
    </row>
    <row r="596" spans="1:9" x14ac:dyDescent="0.25">
      <c r="A596" s="8">
        <v>595</v>
      </c>
      <c r="B596" s="16" t="s">
        <v>987</v>
      </c>
      <c r="C596" s="17">
        <v>2022</v>
      </c>
      <c r="D596" s="18">
        <v>44818</v>
      </c>
      <c r="E596" s="16" t="s">
        <v>334</v>
      </c>
      <c r="F596" s="19">
        <v>541.95000000000005</v>
      </c>
      <c r="G596" s="19">
        <v>0</v>
      </c>
      <c r="H596" s="16" t="s">
        <v>105</v>
      </c>
      <c r="I596" s="20" t="s">
        <v>336</v>
      </c>
    </row>
    <row r="597" spans="1:9" x14ac:dyDescent="0.25">
      <c r="A597" s="8">
        <v>596</v>
      </c>
      <c r="B597" s="16" t="s">
        <v>985</v>
      </c>
      <c r="C597" s="17">
        <v>2022</v>
      </c>
      <c r="D597" s="18">
        <v>44818</v>
      </c>
      <c r="E597" s="16" t="s">
        <v>334</v>
      </c>
      <c r="F597" s="19">
        <v>2280.11</v>
      </c>
      <c r="G597" s="19">
        <v>0</v>
      </c>
      <c r="H597" s="16" t="s">
        <v>156</v>
      </c>
      <c r="I597" s="20" t="s">
        <v>336</v>
      </c>
    </row>
    <row r="598" spans="1:9" x14ac:dyDescent="0.25">
      <c r="A598" s="8">
        <v>597</v>
      </c>
      <c r="B598" s="16" t="s">
        <v>986</v>
      </c>
      <c r="C598" s="17">
        <v>2022</v>
      </c>
      <c r="D598" s="18">
        <v>44818</v>
      </c>
      <c r="E598" s="16" t="s">
        <v>334</v>
      </c>
      <c r="F598" s="19">
        <v>2918.05</v>
      </c>
      <c r="G598" s="19">
        <v>0</v>
      </c>
      <c r="H598" s="16" t="s">
        <v>156</v>
      </c>
      <c r="I598" s="20" t="s">
        <v>336</v>
      </c>
    </row>
    <row r="599" spans="1:9" x14ac:dyDescent="0.25">
      <c r="A599" s="8">
        <v>598</v>
      </c>
      <c r="B599" s="16" t="s">
        <v>988</v>
      </c>
      <c r="C599" s="17">
        <v>2022</v>
      </c>
      <c r="D599" s="18">
        <v>44820</v>
      </c>
      <c r="E599" s="16" t="s">
        <v>334</v>
      </c>
      <c r="F599" s="19">
        <v>541.95000000000005</v>
      </c>
      <c r="G599" s="19">
        <v>0</v>
      </c>
      <c r="H599" s="16" t="s">
        <v>116</v>
      </c>
      <c r="I599" s="20" t="s">
        <v>336</v>
      </c>
    </row>
    <row r="600" spans="1:9" x14ac:dyDescent="0.25">
      <c r="A600" s="8">
        <v>599</v>
      </c>
      <c r="B600" s="16" t="s">
        <v>989</v>
      </c>
      <c r="C600" s="17">
        <v>2022</v>
      </c>
      <c r="D600" s="18">
        <v>44853</v>
      </c>
      <c r="E600" s="16" t="s">
        <v>334</v>
      </c>
      <c r="F600" s="19">
        <f>5087.71+4111.48</f>
        <v>9199.1899999999987</v>
      </c>
      <c r="G600" s="19">
        <v>0</v>
      </c>
      <c r="H600" s="16" t="s">
        <v>990</v>
      </c>
      <c r="I600" s="20" t="s">
        <v>336</v>
      </c>
    </row>
    <row r="601" spans="1:9" x14ac:dyDescent="0.25">
      <c r="A601" s="8">
        <v>600</v>
      </c>
      <c r="B601" s="16" t="s">
        <v>991</v>
      </c>
      <c r="C601" s="17">
        <v>2022</v>
      </c>
      <c r="D601" s="18">
        <v>44858</v>
      </c>
      <c r="E601" s="16" t="s">
        <v>334</v>
      </c>
      <c r="F601" s="19">
        <v>803.55</v>
      </c>
      <c r="G601" s="19">
        <v>0</v>
      </c>
      <c r="H601" s="16" t="s">
        <v>176</v>
      </c>
      <c r="I601" s="20" t="s">
        <v>336</v>
      </c>
    </row>
    <row r="602" spans="1:9" x14ac:dyDescent="0.25">
      <c r="A602" s="8">
        <v>601</v>
      </c>
      <c r="B602" s="16" t="s">
        <v>993</v>
      </c>
      <c r="C602" s="17">
        <v>2022</v>
      </c>
      <c r="D602" s="18">
        <v>44862</v>
      </c>
      <c r="E602" s="16" t="s">
        <v>334</v>
      </c>
      <c r="F602" s="19">
        <v>984.4</v>
      </c>
      <c r="G602" s="19">
        <v>0</v>
      </c>
      <c r="H602" s="16" t="s">
        <v>140</v>
      </c>
      <c r="I602" s="20" t="s">
        <v>336</v>
      </c>
    </row>
    <row r="603" spans="1:9" x14ac:dyDescent="0.25">
      <c r="A603" s="8">
        <v>602</v>
      </c>
      <c r="B603" s="16" t="s">
        <v>992</v>
      </c>
      <c r="C603" s="17">
        <v>2022</v>
      </c>
      <c r="D603" s="18">
        <v>44862</v>
      </c>
      <c r="E603" s="16" t="s">
        <v>334</v>
      </c>
      <c r="F603" s="19">
        <v>1529.35</v>
      </c>
      <c r="G603" s="19">
        <v>0</v>
      </c>
      <c r="H603" s="16" t="s">
        <v>136</v>
      </c>
      <c r="I603" s="20" t="s">
        <v>336</v>
      </c>
    </row>
    <row r="604" spans="1:9" x14ac:dyDescent="0.25">
      <c r="A604" s="8">
        <v>603</v>
      </c>
      <c r="B604" s="16" t="s">
        <v>994</v>
      </c>
      <c r="C604" s="17">
        <v>2022</v>
      </c>
      <c r="D604" s="18">
        <v>44862</v>
      </c>
      <c r="E604" s="16" t="s">
        <v>334</v>
      </c>
      <c r="F604" s="19">
        <v>698.41</v>
      </c>
      <c r="G604" s="19">
        <v>0</v>
      </c>
      <c r="H604" s="16" t="s">
        <v>208</v>
      </c>
      <c r="I604" s="21" t="s">
        <v>336</v>
      </c>
    </row>
    <row r="605" spans="1:9" x14ac:dyDescent="0.25">
      <c r="A605" s="8">
        <v>604</v>
      </c>
      <c r="B605" s="16" t="s">
        <v>995</v>
      </c>
      <c r="C605" s="17">
        <v>2022</v>
      </c>
      <c r="D605" s="18">
        <v>44868</v>
      </c>
      <c r="E605" s="16" t="s">
        <v>334</v>
      </c>
      <c r="F605" s="19">
        <f>691.28+964.5</f>
        <v>1655.78</v>
      </c>
      <c r="G605" s="19">
        <v>0</v>
      </c>
      <c r="H605" s="16" t="s">
        <v>114</v>
      </c>
      <c r="I605" s="20" t="s">
        <v>336</v>
      </c>
    </row>
    <row r="606" spans="1:9" x14ac:dyDescent="0.25">
      <c r="A606" s="8">
        <v>605</v>
      </c>
      <c r="B606" s="16" t="s">
        <v>997</v>
      </c>
      <c r="C606" s="17">
        <v>2022</v>
      </c>
      <c r="D606" s="18">
        <v>44880</v>
      </c>
      <c r="E606" s="16" t="s">
        <v>334</v>
      </c>
      <c r="F606" s="19">
        <v>34221.72</v>
      </c>
      <c r="G606" s="19">
        <v>0</v>
      </c>
      <c r="H606" s="16" t="s">
        <v>828</v>
      </c>
      <c r="I606" s="20" t="s">
        <v>336</v>
      </c>
    </row>
    <row r="607" spans="1:9" x14ac:dyDescent="0.25">
      <c r="A607" s="8">
        <v>606</v>
      </c>
      <c r="B607" s="16" t="s">
        <v>996</v>
      </c>
      <c r="C607" s="17">
        <v>2022</v>
      </c>
      <c r="D607" s="18">
        <v>44880</v>
      </c>
      <c r="E607" s="16" t="s">
        <v>348</v>
      </c>
      <c r="F607" s="19">
        <f>2449+930.15</f>
        <v>3379.15</v>
      </c>
      <c r="G607" s="19">
        <v>0</v>
      </c>
      <c r="H607" s="16" t="s">
        <v>828</v>
      </c>
      <c r="I607" s="20" t="s">
        <v>336</v>
      </c>
    </row>
    <row r="608" spans="1:9" x14ac:dyDescent="0.25">
      <c r="A608" s="8">
        <v>607</v>
      </c>
      <c r="B608" s="16" t="s">
        <v>998</v>
      </c>
      <c r="C608" s="17">
        <v>2022</v>
      </c>
      <c r="D608" s="18">
        <v>44908</v>
      </c>
      <c r="E608" s="16" t="s">
        <v>334</v>
      </c>
      <c r="F608" s="19">
        <v>1654.5</v>
      </c>
      <c r="G608" s="19">
        <v>0</v>
      </c>
      <c r="H608" s="16" t="s">
        <v>112</v>
      </c>
      <c r="I608" s="20" t="s">
        <v>336</v>
      </c>
    </row>
    <row r="609" spans="1:9" x14ac:dyDescent="0.25">
      <c r="A609" s="8">
        <v>608</v>
      </c>
      <c r="B609" s="16" t="s">
        <v>999</v>
      </c>
      <c r="C609" s="17">
        <v>2023</v>
      </c>
      <c r="D609" s="18">
        <v>44929</v>
      </c>
      <c r="E609" s="16" t="s">
        <v>334</v>
      </c>
      <c r="F609" s="19">
        <v>1935.76</v>
      </c>
      <c r="G609" s="19">
        <v>0</v>
      </c>
      <c r="H609" s="16" t="s">
        <v>160</v>
      </c>
      <c r="I609" s="20" t="s">
        <v>336</v>
      </c>
    </row>
    <row r="610" spans="1:9" x14ac:dyDescent="0.25">
      <c r="A610" s="8">
        <v>609</v>
      </c>
      <c r="B610" s="16" t="s">
        <v>1000</v>
      </c>
      <c r="C610" s="17">
        <v>2023</v>
      </c>
      <c r="D610" s="18">
        <v>44939</v>
      </c>
      <c r="E610" s="16" t="s">
        <v>334</v>
      </c>
      <c r="F610" s="19">
        <v>3480.55</v>
      </c>
      <c r="G610" s="19">
        <v>0</v>
      </c>
      <c r="H610" s="16" t="s">
        <v>176</v>
      </c>
      <c r="I610" s="20" t="s">
        <v>336</v>
      </c>
    </row>
    <row r="611" spans="1:9" x14ac:dyDescent="0.25">
      <c r="A611" s="8">
        <v>610</v>
      </c>
      <c r="B611" s="16" t="s">
        <v>1001</v>
      </c>
      <c r="C611" s="17">
        <v>2023</v>
      </c>
      <c r="D611" s="18">
        <v>44944</v>
      </c>
      <c r="E611" s="16" t="s">
        <v>334</v>
      </c>
      <c r="F611" s="19">
        <v>1742.5900000000001</v>
      </c>
      <c r="G611" s="19">
        <v>0</v>
      </c>
      <c r="H611" s="16" t="s">
        <v>164</v>
      </c>
      <c r="I611" s="20" t="s">
        <v>336</v>
      </c>
    </row>
    <row r="612" spans="1:9" x14ac:dyDescent="0.25">
      <c r="A612" s="8">
        <v>611</v>
      </c>
      <c r="B612" s="16" t="s">
        <v>1002</v>
      </c>
      <c r="C612" s="17">
        <v>2023</v>
      </c>
      <c r="D612" s="18">
        <v>44946</v>
      </c>
      <c r="E612" s="16" t="s">
        <v>334</v>
      </c>
      <c r="F612" s="19">
        <v>3023.93</v>
      </c>
      <c r="G612" s="19">
        <v>0</v>
      </c>
      <c r="H612" s="16" t="s">
        <v>120</v>
      </c>
      <c r="I612" s="20" t="s">
        <v>336</v>
      </c>
    </row>
    <row r="613" spans="1:9" x14ac:dyDescent="0.25">
      <c r="A613" s="8">
        <v>612</v>
      </c>
      <c r="B613" s="16" t="s">
        <v>1004</v>
      </c>
      <c r="C613" s="17">
        <v>2023</v>
      </c>
      <c r="D613" s="18">
        <v>44949</v>
      </c>
      <c r="E613" s="16" t="s">
        <v>334</v>
      </c>
      <c r="F613" s="19">
        <v>1232.69</v>
      </c>
      <c r="G613" s="19">
        <v>0</v>
      </c>
      <c r="H613" s="16" t="s">
        <v>110</v>
      </c>
      <c r="I613" s="20" t="s">
        <v>336</v>
      </c>
    </row>
    <row r="614" spans="1:9" x14ac:dyDescent="0.25">
      <c r="A614" s="8">
        <v>613</v>
      </c>
      <c r="B614" s="16" t="s">
        <v>1003</v>
      </c>
      <c r="C614" s="17">
        <v>2023</v>
      </c>
      <c r="D614" s="18">
        <v>44949</v>
      </c>
      <c r="E614" s="16" t="s">
        <v>334</v>
      </c>
      <c r="F614" s="19">
        <v>2274.3200000000002</v>
      </c>
      <c r="G614" s="19">
        <v>0</v>
      </c>
      <c r="H614" s="16" t="s">
        <v>166</v>
      </c>
      <c r="I614" s="20" t="s">
        <v>336</v>
      </c>
    </row>
    <row r="615" spans="1:9" x14ac:dyDescent="0.25">
      <c r="A615" s="8">
        <v>614</v>
      </c>
      <c r="B615" s="16" t="s">
        <v>1005</v>
      </c>
      <c r="C615" s="17">
        <v>2023</v>
      </c>
      <c r="D615" s="18">
        <v>44950</v>
      </c>
      <c r="E615" s="16" t="s">
        <v>334</v>
      </c>
      <c r="F615" s="19">
        <v>2121.1999999999998</v>
      </c>
      <c r="G615" s="19">
        <v>0</v>
      </c>
      <c r="H615" s="16" t="s">
        <v>174</v>
      </c>
      <c r="I615" s="20" t="s">
        <v>336</v>
      </c>
    </row>
    <row r="616" spans="1:9" x14ac:dyDescent="0.25">
      <c r="A616" s="8">
        <v>615</v>
      </c>
      <c r="B616" s="16" t="s">
        <v>1006</v>
      </c>
      <c r="C616" s="17">
        <v>2023</v>
      </c>
      <c r="D616" s="18">
        <v>44952</v>
      </c>
      <c r="E616" s="16" t="s">
        <v>334</v>
      </c>
      <c r="F616" s="19">
        <v>1601.47</v>
      </c>
      <c r="G616" s="19">
        <v>0</v>
      </c>
      <c r="H616" s="16" t="s">
        <v>180</v>
      </c>
      <c r="I616" s="20" t="s">
        <v>336</v>
      </c>
    </row>
    <row r="617" spans="1:9" x14ac:dyDescent="0.25">
      <c r="A617" s="8">
        <v>616</v>
      </c>
      <c r="B617" s="16" t="s">
        <v>1007</v>
      </c>
      <c r="C617" s="17">
        <v>2023</v>
      </c>
      <c r="D617" s="18">
        <v>44957</v>
      </c>
      <c r="E617" s="16" t="s">
        <v>334</v>
      </c>
      <c r="F617" s="19">
        <v>2570.27</v>
      </c>
      <c r="G617" s="19">
        <v>0</v>
      </c>
      <c r="H617" s="16" t="s">
        <v>174</v>
      </c>
      <c r="I617" s="20" t="s">
        <v>336</v>
      </c>
    </row>
    <row r="618" spans="1:9" x14ac:dyDescent="0.25">
      <c r="A618" s="8">
        <v>617</v>
      </c>
      <c r="B618" s="16" t="s">
        <v>1008</v>
      </c>
      <c r="C618" s="17">
        <v>2023</v>
      </c>
      <c r="D618" s="18">
        <v>44958</v>
      </c>
      <c r="E618" s="16" t="s">
        <v>334</v>
      </c>
      <c r="F618" s="19">
        <v>4321.24</v>
      </c>
      <c r="G618" s="19">
        <v>0</v>
      </c>
      <c r="H618" s="16" t="s">
        <v>186</v>
      </c>
      <c r="I618" s="20" t="s">
        <v>336</v>
      </c>
    </row>
    <row r="619" spans="1:9" x14ac:dyDescent="0.25">
      <c r="A619" s="8">
        <v>618</v>
      </c>
      <c r="B619" s="16" t="s">
        <v>1009</v>
      </c>
      <c r="C619" s="17">
        <v>2023</v>
      </c>
      <c r="D619" s="18">
        <v>44963</v>
      </c>
      <c r="E619" s="16" t="s">
        <v>334</v>
      </c>
      <c r="F619" s="19">
        <v>1345.61</v>
      </c>
      <c r="G619" s="19">
        <v>0</v>
      </c>
      <c r="H619" s="16" t="s">
        <v>160</v>
      </c>
      <c r="I619" s="20" t="s">
        <v>336</v>
      </c>
    </row>
    <row r="620" spans="1:9" x14ac:dyDescent="0.25">
      <c r="A620" s="8">
        <v>619</v>
      </c>
      <c r="B620" s="16" t="s">
        <v>1012</v>
      </c>
      <c r="C620" s="17">
        <v>2023</v>
      </c>
      <c r="D620" s="18">
        <v>44967</v>
      </c>
      <c r="E620" s="16" t="s">
        <v>334</v>
      </c>
      <c r="F620" s="19">
        <v>3435.83</v>
      </c>
      <c r="G620" s="19">
        <v>0</v>
      </c>
      <c r="H620" s="16" t="s">
        <v>168</v>
      </c>
      <c r="I620" s="20" t="s">
        <v>336</v>
      </c>
    </row>
    <row r="621" spans="1:9" x14ac:dyDescent="0.25">
      <c r="A621" s="8">
        <v>620</v>
      </c>
      <c r="B621" s="16" t="s">
        <v>1013</v>
      </c>
      <c r="C621" s="17">
        <v>2023</v>
      </c>
      <c r="D621" s="18">
        <v>44967</v>
      </c>
      <c r="E621" s="16" t="s">
        <v>334</v>
      </c>
      <c r="F621" s="19">
        <v>4826.9799999999996</v>
      </c>
      <c r="G621" s="19">
        <v>0</v>
      </c>
      <c r="H621" s="16" t="s">
        <v>152</v>
      </c>
      <c r="I621" s="20" t="s">
        <v>336</v>
      </c>
    </row>
    <row r="622" spans="1:9" x14ac:dyDescent="0.25">
      <c r="A622" s="8">
        <v>621</v>
      </c>
      <c r="B622" s="16" t="s">
        <v>1010</v>
      </c>
      <c r="C622" s="17">
        <v>2023</v>
      </c>
      <c r="D622" s="18">
        <v>44967</v>
      </c>
      <c r="E622" s="16" t="s">
        <v>334</v>
      </c>
      <c r="F622" s="19">
        <v>1565.28</v>
      </c>
      <c r="G622" s="19">
        <v>0</v>
      </c>
      <c r="H622" s="16" t="s">
        <v>188</v>
      </c>
      <c r="I622" s="20" t="s">
        <v>336</v>
      </c>
    </row>
    <row r="623" spans="1:9" x14ac:dyDescent="0.25">
      <c r="A623" s="8">
        <v>622</v>
      </c>
      <c r="B623" s="16" t="s">
        <v>1011</v>
      </c>
      <c r="C623" s="17">
        <v>2023</v>
      </c>
      <c r="D623" s="18">
        <v>44967</v>
      </c>
      <c r="E623" s="16" t="s">
        <v>334</v>
      </c>
      <c r="F623" s="19">
        <v>627.29999999999995</v>
      </c>
      <c r="G623" s="19">
        <v>0</v>
      </c>
      <c r="H623" s="16" t="s">
        <v>90</v>
      </c>
      <c r="I623" s="20" t="s">
        <v>336</v>
      </c>
    </row>
    <row r="624" spans="1:9" x14ac:dyDescent="0.25">
      <c r="A624" s="8">
        <v>623</v>
      </c>
      <c r="B624" s="16" t="s">
        <v>1014</v>
      </c>
      <c r="C624" s="17">
        <v>2023</v>
      </c>
      <c r="D624" s="18">
        <v>44970</v>
      </c>
      <c r="E624" s="16" t="s">
        <v>334</v>
      </c>
      <c r="F624" s="19">
        <v>4359</v>
      </c>
      <c r="G624" s="19">
        <v>0</v>
      </c>
      <c r="H624" s="16" t="s">
        <v>105</v>
      </c>
      <c r="I624" s="20" t="s">
        <v>336</v>
      </c>
    </row>
    <row r="625" spans="1:9" x14ac:dyDescent="0.25">
      <c r="A625" s="8">
        <v>624</v>
      </c>
      <c r="B625" s="16" t="s">
        <v>1015</v>
      </c>
      <c r="C625" s="17">
        <v>2023</v>
      </c>
      <c r="D625" s="18">
        <v>44978</v>
      </c>
      <c r="E625" s="16" t="s">
        <v>334</v>
      </c>
      <c r="F625" s="19">
        <v>3748.06</v>
      </c>
      <c r="G625" s="19">
        <v>0</v>
      </c>
      <c r="H625" s="16" t="s">
        <v>142</v>
      </c>
      <c r="I625" s="20" t="s">
        <v>336</v>
      </c>
    </row>
    <row r="626" spans="1:9" x14ac:dyDescent="0.25">
      <c r="A626" s="8">
        <v>625</v>
      </c>
      <c r="B626" s="16" t="s">
        <v>1016</v>
      </c>
      <c r="C626" s="17">
        <v>2023</v>
      </c>
      <c r="D626" s="18">
        <v>44979</v>
      </c>
      <c r="E626" s="16" t="s">
        <v>334</v>
      </c>
      <c r="F626" s="19">
        <v>3825.69</v>
      </c>
      <c r="G626" s="19">
        <v>0</v>
      </c>
      <c r="H626" s="16" t="s">
        <v>112</v>
      </c>
      <c r="I626" s="20" t="s">
        <v>336</v>
      </c>
    </row>
    <row r="627" spans="1:9" x14ac:dyDescent="0.25">
      <c r="A627" s="8">
        <v>626</v>
      </c>
      <c r="B627" s="16" t="s">
        <v>1017</v>
      </c>
      <c r="C627" s="17">
        <v>2023</v>
      </c>
      <c r="D627" s="18">
        <v>44986</v>
      </c>
      <c r="E627" s="16" t="s">
        <v>334</v>
      </c>
      <c r="F627" s="19">
        <v>870.5</v>
      </c>
      <c r="G627" s="19">
        <v>0</v>
      </c>
      <c r="H627" s="16" t="s">
        <v>62</v>
      </c>
      <c r="I627" s="20" t="s">
        <v>336</v>
      </c>
    </row>
    <row r="628" spans="1:9" x14ac:dyDescent="0.25">
      <c r="A628" s="8">
        <v>627</v>
      </c>
      <c r="B628" s="16" t="s">
        <v>1018</v>
      </c>
      <c r="C628" s="17">
        <v>2023</v>
      </c>
      <c r="D628" s="18">
        <v>44988</v>
      </c>
      <c r="E628" s="16" t="s">
        <v>334</v>
      </c>
      <c r="F628" s="19">
        <v>3236.32</v>
      </c>
      <c r="G628" s="19">
        <v>0</v>
      </c>
      <c r="H628" s="16" t="s">
        <v>118</v>
      </c>
      <c r="I628" s="20" t="s">
        <v>336</v>
      </c>
    </row>
    <row r="629" spans="1:9" x14ac:dyDescent="0.25">
      <c r="A629" s="8">
        <v>628</v>
      </c>
      <c r="B629" s="16" t="s">
        <v>1019</v>
      </c>
      <c r="C629" s="17">
        <v>2023</v>
      </c>
      <c r="D629" s="18">
        <v>44991</v>
      </c>
      <c r="E629" s="16" t="s">
        <v>334</v>
      </c>
      <c r="F629" s="19">
        <v>2812.24</v>
      </c>
      <c r="G629" s="19">
        <v>0</v>
      </c>
      <c r="H629" s="16" t="s">
        <v>126</v>
      </c>
      <c r="I629" s="20" t="s">
        <v>336</v>
      </c>
    </row>
    <row r="630" spans="1:9" x14ac:dyDescent="0.25">
      <c r="A630" s="8">
        <v>629</v>
      </c>
      <c r="B630" s="16" t="s">
        <v>1021</v>
      </c>
      <c r="C630" s="17">
        <v>2023</v>
      </c>
      <c r="D630" s="18">
        <v>45006</v>
      </c>
      <c r="E630" s="16" t="s">
        <v>334</v>
      </c>
      <c r="F630" s="19">
        <v>3679.37</v>
      </c>
      <c r="G630" s="19">
        <v>0</v>
      </c>
      <c r="H630" s="16" t="s">
        <v>180</v>
      </c>
      <c r="I630" s="20" t="s">
        <v>336</v>
      </c>
    </row>
    <row r="631" spans="1:9" x14ac:dyDescent="0.25">
      <c r="A631" s="8">
        <v>630</v>
      </c>
      <c r="B631" s="16" t="s">
        <v>1020</v>
      </c>
      <c r="C631" s="17">
        <v>2023</v>
      </c>
      <c r="D631" s="18">
        <v>45006</v>
      </c>
      <c r="E631" s="16" t="s">
        <v>334</v>
      </c>
      <c r="F631" s="19">
        <v>1462.85</v>
      </c>
      <c r="G631" s="19">
        <v>0</v>
      </c>
      <c r="H631" s="16" t="s">
        <v>156</v>
      </c>
      <c r="I631" s="20" t="s">
        <v>336</v>
      </c>
    </row>
    <row r="632" spans="1:9" x14ac:dyDescent="0.25">
      <c r="A632" s="8">
        <v>631</v>
      </c>
      <c r="B632" s="16" t="s">
        <v>1022</v>
      </c>
      <c r="C632" s="17">
        <v>2023</v>
      </c>
      <c r="D632" s="18">
        <v>45009</v>
      </c>
      <c r="E632" s="16" t="s">
        <v>334</v>
      </c>
      <c r="F632" s="19">
        <v>1915.01</v>
      </c>
      <c r="G632" s="19">
        <v>0</v>
      </c>
      <c r="H632" s="16" t="s">
        <v>114</v>
      </c>
      <c r="I632" s="20" t="s">
        <v>336</v>
      </c>
    </row>
    <row r="633" spans="1:9" x14ac:dyDescent="0.25">
      <c r="A633" s="8">
        <v>632</v>
      </c>
      <c r="B633" s="16" t="s">
        <v>1023</v>
      </c>
      <c r="C633" s="17">
        <v>2023</v>
      </c>
      <c r="D633" s="18">
        <v>45009</v>
      </c>
      <c r="E633" s="16" t="s">
        <v>334</v>
      </c>
      <c r="F633" s="19">
        <v>1345.16</v>
      </c>
      <c r="G633" s="19">
        <v>0</v>
      </c>
      <c r="H633" s="16" t="s">
        <v>114</v>
      </c>
      <c r="I633" s="20" t="s">
        <v>336</v>
      </c>
    </row>
    <row r="634" spans="1:9" x14ac:dyDescent="0.25">
      <c r="A634" s="8">
        <v>633</v>
      </c>
      <c r="B634" s="16" t="s">
        <v>1024</v>
      </c>
      <c r="C634" s="17">
        <v>2023</v>
      </c>
      <c r="D634" s="18">
        <v>45020</v>
      </c>
      <c r="E634" s="16" t="s">
        <v>334</v>
      </c>
      <c r="F634" s="19">
        <v>4270.0200000000004</v>
      </c>
      <c r="G634" s="19">
        <v>0</v>
      </c>
      <c r="H634" s="16" t="s">
        <v>166</v>
      </c>
      <c r="I634" s="20" t="s">
        <v>336</v>
      </c>
    </row>
    <row r="635" spans="1:9" x14ac:dyDescent="0.25">
      <c r="A635" s="8">
        <v>634</v>
      </c>
      <c r="B635" s="22" t="s">
        <v>1025</v>
      </c>
      <c r="C635" s="23">
        <v>2023</v>
      </c>
      <c r="D635" s="24">
        <v>45035</v>
      </c>
      <c r="E635" s="22" t="s">
        <v>348</v>
      </c>
      <c r="F635" s="25">
        <v>1400</v>
      </c>
      <c r="G635" s="25">
        <v>0</v>
      </c>
      <c r="H635" s="22" t="s">
        <v>190</v>
      </c>
      <c r="I635" s="20" t="s">
        <v>336</v>
      </c>
    </row>
    <row r="636" spans="1:9" x14ac:dyDescent="0.25">
      <c r="A636" s="8">
        <v>635</v>
      </c>
      <c r="B636" s="16" t="s">
        <v>1026</v>
      </c>
      <c r="C636" s="17">
        <v>2023</v>
      </c>
      <c r="D636" s="18">
        <v>45044</v>
      </c>
      <c r="E636" s="16" t="s">
        <v>334</v>
      </c>
      <c r="F636" s="19">
        <v>12651.55</v>
      </c>
      <c r="G636" s="25">
        <v>0</v>
      </c>
      <c r="H636" s="16" t="s">
        <v>223</v>
      </c>
      <c r="I636" s="20" t="s">
        <v>336</v>
      </c>
    </row>
    <row r="637" spans="1:9" x14ac:dyDescent="0.25">
      <c r="A637" s="8">
        <v>636</v>
      </c>
      <c r="B637" s="16" t="s">
        <v>1027</v>
      </c>
      <c r="C637" s="17">
        <v>2023</v>
      </c>
      <c r="D637" s="18">
        <v>45068</v>
      </c>
      <c r="E637" s="16" t="s">
        <v>334</v>
      </c>
      <c r="F637" s="19">
        <v>9294.4500000000007</v>
      </c>
      <c r="G637" s="25">
        <v>0</v>
      </c>
      <c r="H637" s="16" t="s">
        <v>194</v>
      </c>
      <c r="I637" s="20" t="s">
        <v>336</v>
      </c>
    </row>
    <row r="638" spans="1:9" x14ac:dyDescent="0.25">
      <c r="A638" s="8">
        <v>637</v>
      </c>
      <c r="B638" s="16" t="s">
        <v>1028</v>
      </c>
      <c r="C638" s="17">
        <v>2023</v>
      </c>
      <c r="D638" s="18">
        <v>45068</v>
      </c>
      <c r="E638" s="16" t="s">
        <v>334</v>
      </c>
      <c r="F638" s="19">
        <v>2952.11</v>
      </c>
      <c r="G638" s="25">
        <v>0</v>
      </c>
      <c r="H638" s="16" t="s">
        <v>95</v>
      </c>
      <c r="I638" s="20" t="s">
        <v>336</v>
      </c>
    </row>
    <row r="639" spans="1:9" x14ac:dyDescent="0.25">
      <c r="A639" s="8">
        <v>638</v>
      </c>
      <c r="B639" s="16" t="s">
        <v>1029</v>
      </c>
      <c r="C639" s="17">
        <v>2023</v>
      </c>
      <c r="D639" s="18">
        <v>45076</v>
      </c>
      <c r="E639" s="16" t="s">
        <v>334</v>
      </c>
      <c r="F639" s="19">
        <v>2281.11</v>
      </c>
      <c r="G639" s="19">
        <v>0</v>
      </c>
      <c r="H639" s="16" t="s">
        <v>105</v>
      </c>
      <c r="I639" s="20" t="s">
        <v>336</v>
      </c>
    </row>
    <row r="640" spans="1:9" x14ac:dyDescent="0.25">
      <c r="A640" s="8">
        <v>639</v>
      </c>
      <c r="B640" s="16" t="s">
        <v>1030</v>
      </c>
      <c r="C640" s="17">
        <v>2023</v>
      </c>
      <c r="D640" s="18">
        <v>45090</v>
      </c>
      <c r="E640" s="16" t="s">
        <v>334</v>
      </c>
      <c r="F640" s="19">
        <v>952.22</v>
      </c>
      <c r="G640" s="19">
        <v>0</v>
      </c>
      <c r="H640" s="16" t="s">
        <v>138</v>
      </c>
      <c r="I640" s="20" t="s">
        <v>336</v>
      </c>
    </row>
    <row r="641" spans="1:9" x14ac:dyDescent="0.25">
      <c r="A641" s="8">
        <v>640</v>
      </c>
      <c r="B641" s="16" t="s">
        <v>1031</v>
      </c>
      <c r="C641" s="17">
        <v>2023</v>
      </c>
      <c r="D641" s="18">
        <v>45090</v>
      </c>
      <c r="E641" s="16" t="s">
        <v>348</v>
      </c>
      <c r="F641" s="19">
        <v>1072.75</v>
      </c>
      <c r="G641" s="19">
        <v>0</v>
      </c>
      <c r="H641" s="16" t="s">
        <v>138</v>
      </c>
      <c r="I641" s="20" t="s">
        <v>336</v>
      </c>
    </row>
    <row r="642" spans="1:9" x14ac:dyDescent="0.25">
      <c r="A642" s="8">
        <v>641</v>
      </c>
      <c r="B642" s="16" t="s">
        <v>1032</v>
      </c>
      <c r="C642" s="17">
        <v>2023</v>
      </c>
      <c r="D642" s="18">
        <v>45091</v>
      </c>
      <c r="E642" s="16" t="s">
        <v>334</v>
      </c>
      <c r="F642" s="19">
        <v>807.91</v>
      </c>
      <c r="G642" s="19">
        <v>0</v>
      </c>
      <c r="H642" s="16" t="s">
        <v>176</v>
      </c>
      <c r="I642" s="20" t="s">
        <v>336</v>
      </c>
    </row>
    <row r="643" spans="1:9" x14ac:dyDescent="0.25">
      <c r="A643" s="8">
        <v>642</v>
      </c>
      <c r="B643" s="16" t="s">
        <v>1033</v>
      </c>
      <c r="C643" s="17">
        <v>2023</v>
      </c>
      <c r="D643" s="18">
        <v>45110</v>
      </c>
      <c r="E643" s="16" t="s">
        <v>334</v>
      </c>
      <c r="F643" s="19">
        <v>3522.5899999999997</v>
      </c>
      <c r="G643" s="19">
        <v>0</v>
      </c>
      <c r="H643" s="16" t="s">
        <v>118</v>
      </c>
      <c r="I643" s="20" t="s">
        <v>336</v>
      </c>
    </row>
    <row r="644" spans="1:9" x14ac:dyDescent="0.25">
      <c r="A644" s="8">
        <v>643</v>
      </c>
      <c r="B644" s="16" t="s">
        <v>1034</v>
      </c>
      <c r="C644" s="17">
        <v>2023</v>
      </c>
      <c r="D644" s="18">
        <v>45111</v>
      </c>
      <c r="E644" s="16" t="s">
        <v>334</v>
      </c>
      <c r="F644" s="19">
        <v>2833.83</v>
      </c>
      <c r="G644" s="19">
        <v>0</v>
      </c>
      <c r="H644" s="16" t="s">
        <v>180</v>
      </c>
      <c r="I644" s="20" t="s">
        <v>336</v>
      </c>
    </row>
    <row r="645" spans="1:9" x14ac:dyDescent="0.25">
      <c r="A645" s="8">
        <v>644</v>
      </c>
      <c r="B645" s="16" t="s">
        <v>1035</v>
      </c>
      <c r="C645" s="17">
        <v>2023</v>
      </c>
      <c r="D645" s="18">
        <v>45112</v>
      </c>
      <c r="E645" s="16" t="s">
        <v>334</v>
      </c>
      <c r="F645" s="19">
        <v>3527.01</v>
      </c>
      <c r="G645" s="19">
        <v>0</v>
      </c>
      <c r="H645" s="16" t="s">
        <v>148</v>
      </c>
      <c r="I645" s="20" t="s">
        <v>336</v>
      </c>
    </row>
    <row r="646" spans="1:9" x14ac:dyDescent="0.25">
      <c r="A646" s="8">
        <v>645</v>
      </c>
      <c r="B646" s="16" t="s">
        <v>1036</v>
      </c>
      <c r="C646" s="17">
        <v>2023</v>
      </c>
      <c r="D646" s="18">
        <v>45113</v>
      </c>
      <c r="E646" s="16" t="s">
        <v>334</v>
      </c>
      <c r="F646" s="19">
        <v>1594.77</v>
      </c>
      <c r="G646" s="19">
        <v>0</v>
      </c>
      <c r="H646" s="16" t="s">
        <v>184</v>
      </c>
      <c r="I646" s="20" t="s">
        <v>336</v>
      </c>
    </row>
    <row r="647" spans="1:9" x14ac:dyDescent="0.25">
      <c r="A647" s="8">
        <v>646</v>
      </c>
      <c r="B647" s="16" t="s">
        <v>1037</v>
      </c>
      <c r="C647" s="17">
        <v>2023</v>
      </c>
      <c r="D647" s="18">
        <v>45119</v>
      </c>
      <c r="E647" s="16" t="s">
        <v>334</v>
      </c>
      <c r="F647" s="19">
        <v>8277.77</v>
      </c>
      <c r="G647" s="19">
        <v>0</v>
      </c>
      <c r="H647" s="16" t="s">
        <v>105</v>
      </c>
      <c r="I647" s="20" t="s">
        <v>336</v>
      </c>
    </row>
    <row r="648" spans="1:9" x14ac:dyDescent="0.25">
      <c r="A648" s="8">
        <v>647</v>
      </c>
      <c r="B648" s="16" t="s">
        <v>1038</v>
      </c>
      <c r="C648" s="17">
        <v>2023</v>
      </c>
      <c r="D648" s="18">
        <v>45121</v>
      </c>
      <c r="E648" s="16" t="s">
        <v>334</v>
      </c>
      <c r="F648" s="19">
        <v>2799.25</v>
      </c>
      <c r="G648" s="19">
        <v>0</v>
      </c>
      <c r="H648" s="16" t="s">
        <v>162</v>
      </c>
      <c r="I648" s="20" t="s">
        <v>336</v>
      </c>
    </row>
    <row r="649" spans="1:9" x14ac:dyDescent="0.25">
      <c r="A649" s="8">
        <v>648</v>
      </c>
      <c r="B649" s="16" t="s">
        <v>1039</v>
      </c>
      <c r="C649" s="17">
        <v>2023</v>
      </c>
      <c r="D649" s="18">
        <v>45121</v>
      </c>
      <c r="E649" s="16" t="s">
        <v>348</v>
      </c>
      <c r="F649" s="19">
        <v>4984</v>
      </c>
      <c r="G649" s="19">
        <v>0</v>
      </c>
      <c r="H649" s="16" t="s">
        <v>162</v>
      </c>
      <c r="I649" s="20" t="s">
        <v>336</v>
      </c>
    </row>
    <row r="650" spans="1:9" x14ac:dyDescent="0.25">
      <c r="A650" s="8">
        <v>649</v>
      </c>
      <c r="B650" s="16" t="s">
        <v>1040</v>
      </c>
      <c r="C650" s="17">
        <v>2023</v>
      </c>
      <c r="D650" s="18">
        <v>45147</v>
      </c>
      <c r="E650" s="16" t="s">
        <v>334</v>
      </c>
      <c r="F650" s="19">
        <v>420.05</v>
      </c>
      <c r="G650" s="19">
        <v>0</v>
      </c>
      <c r="H650" s="16" t="s">
        <v>201</v>
      </c>
      <c r="I650" s="20" t="s">
        <v>336</v>
      </c>
    </row>
    <row r="651" spans="1:9" x14ac:dyDescent="0.25">
      <c r="A651" s="8">
        <v>650</v>
      </c>
      <c r="B651" s="16" t="s">
        <v>1041</v>
      </c>
      <c r="C651" s="17">
        <v>2023</v>
      </c>
      <c r="D651" s="18">
        <v>45173</v>
      </c>
      <c r="E651" s="16" t="s">
        <v>334</v>
      </c>
      <c r="F651" s="19">
        <v>930.5</v>
      </c>
      <c r="G651" s="19">
        <v>0</v>
      </c>
      <c r="H651" s="16" t="s">
        <v>114</v>
      </c>
      <c r="I651" s="20" t="s">
        <v>336</v>
      </c>
    </row>
    <row r="652" spans="1:9" x14ac:dyDescent="0.25">
      <c r="A652" s="8">
        <v>651</v>
      </c>
      <c r="B652" s="16" t="s">
        <v>1042</v>
      </c>
      <c r="C652" s="17">
        <v>2023</v>
      </c>
      <c r="D652" s="18">
        <v>45187</v>
      </c>
      <c r="E652" s="16" t="s">
        <v>348</v>
      </c>
      <c r="F652" s="19">
        <v>1206.21</v>
      </c>
      <c r="G652" s="19">
        <v>0</v>
      </c>
      <c r="H652" s="16" t="s">
        <v>186</v>
      </c>
      <c r="I652" s="20" t="s">
        <v>336</v>
      </c>
    </row>
    <row r="653" spans="1:9" x14ac:dyDescent="0.25">
      <c r="A653" s="8">
        <v>652</v>
      </c>
      <c r="B653" s="16" t="s">
        <v>1043</v>
      </c>
      <c r="C653" s="17">
        <v>2023</v>
      </c>
      <c r="D653" s="18">
        <v>45194</v>
      </c>
      <c r="E653" s="16" t="s">
        <v>334</v>
      </c>
      <c r="F653" s="19">
        <v>236</v>
      </c>
      <c r="G653" s="19">
        <v>0</v>
      </c>
      <c r="H653" s="16" t="s">
        <v>56</v>
      </c>
      <c r="I653" s="20" t="s">
        <v>336</v>
      </c>
    </row>
    <row r="654" spans="1:9" x14ac:dyDescent="0.25">
      <c r="A654" s="8">
        <v>653</v>
      </c>
      <c r="B654" s="16" t="s">
        <v>1044</v>
      </c>
      <c r="C654" s="17">
        <v>2023</v>
      </c>
      <c r="D654" s="18">
        <v>45196</v>
      </c>
      <c r="E654" s="16" t="s">
        <v>334</v>
      </c>
      <c r="F654" s="19">
        <v>753.74</v>
      </c>
      <c r="G654" s="19">
        <v>0</v>
      </c>
      <c r="H654" s="16" t="s">
        <v>192</v>
      </c>
      <c r="I654" s="20" t="s">
        <v>336</v>
      </c>
    </row>
    <row r="655" spans="1:9" x14ac:dyDescent="0.25">
      <c r="A655" s="8">
        <v>654</v>
      </c>
      <c r="B655" s="16" t="s">
        <v>1045</v>
      </c>
      <c r="C655" s="17">
        <v>2023</v>
      </c>
      <c r="D655" s="18">
        <v>45202</v>
      </c>
      <c r="E655" s="16" t="s">
        <v>334</v>
      </c>
      <c r="F655" s="19">
        <v>553.5</v>
      </c>
      <c r="G655" s="19">
        <v>0</v>
      </c>
      <c r="H655" s="16" t="s">
        <v>90</v>
      </c>
      <c r="I655" s="20" t="s">
        <v>336</v>
      </c>
    </row>
    <row r="656" spans="1:9" x14ac:dyDescent="0.25">
      <c r="A656" s="8">
        <v>655</v>
      </c>
      <c r="B656" s="16" t="s">
        <v>1046</v>
      </c>
      <c r="C656" s="17">
        <v>2023</v>
      </c>
      <c r="D656" s="18">
        <v>45206</v>
      </c>
      <c r="E656" s="16" t="s">
        <v>334</v>
      </c>
      <c r="F656" s="19">
        <v>3196.49</v>
      </c>
      <c r="G656" s="19">
        <v>0</v>
      </c>
      <c r="H656" s="16" t="s">
        <v>990</v>
      </c>
      <c r="I656" s="20" t="s">
        <v>336</v>
      </c>
    </row>
    <row r="657" spans="1:9" x14ac:dyDescent="0.25">
      <c r="A657" s="8">
        <v>656</v>
      </c>
      <c r="B657" s="16" t="s">
        <v>1047</v>
      </c>
      <c r="C657" s="17">
        <v>2023</v>
      </c>
      <c r="D657" s="18">
        <v>45208</v>
      </c>
      <c r="E657" s="16" t="s">
        <v>334</v>
      </c>
      <c r="F657" s="19">
        <v>5482.26</v>
      </c>
      <c r="G657" s="19">
        <v>0</v>
      </c>
      <c r="H657" s="16" t="s">
        <v>60</v>
      </c>
      <c r="I657" s="20" t="s">
        <v>336</v>
      </c>
    </row>
    <row r="658" spans="1:9" x14ac:dyDescent="0.25">
      <c r="A658" s="8">
        <v>657</v>
      </c>
      <c r="B658" s="16" t="s">
        <v>1048</v>
      </c>
      <c r="C658" s="17">
        <v>2023</v>
      </c>
      <c r="D658" s="18">
        <v>45210</v>
      </c>
      <c r="E658" s="16" t="s">
        <v>334</v>
      </c>
      <c r="F658" s="19">
        <v>635.17999999999995</v>
      </c>
      <c r="G658" s="19">
        <v>0</v>
      </c>
      <c r="H658" s="16" t="s">
        <v>144</v>
      </c>
      <c r="I658" s="20" t="s">
        <v>336</v>
      </c>
    </row>
    <row r="659" spans="1:9" x14ac:dyDescent="0.25">
      <c r="A659" s="8">
        <v>658</v>
      </c>
      <c r="B659" s="16" t="s">
        <v>1049</v>
      </c>
      <c r="C659" s="17">
        <v>2023</v>
      </c>
      <c r="D659" s="18">
        <v>45225</v>
      </c>
      <c r="E659" s="16" t="s">
        <v>334</v>
      </c>
      <c r="F659" s="19">
        <v>3449.37</v>
      </c>
      <c r="G659" s="19">
        <v>0</v>
      </c>
      <c r="H659" s="16" t="s">
        <v>58</v>
      </c>
      <c r="I659" s="20" t="s">
        <v>336</v>
      </c>
    </row>
    <row r="660" spans="1:9" x14ac:dyDescent="0.25">
      <c r="A660" s="8">
        <v>659</v>
      </c>
      <c r="B660" s="16" t="s">
        <v>1050</v>
      </c>
      <c r="C660" s="17">
        <v>2023</v>
      </c>
      <c r="D660" s="18">
        <v>45226</v>
      </c>
      <c r="E660" s="16" t="s">
        <v>334</v>
      </c>
      <c r="F660" s="19">
        <v>2495.06</v>
      </c>
      <c r="G660" s="19">
        <v>0</v>
      </c>
      <c r="H660" s="16" t="s">
        <v>160</v>
      </c>
      <c r="I660" s="21" t="s">
        <v>336</v>
      </c>
    </row>
    <row r="661" spans="1:9" x14ac:dyDescent="0.25">
      <c r="A661" s="8">
        <v>660</v>
      </c>
      <c r="B661" s="16" t="s">
        <v>1052</v>
      </c>
      <c r="C661" s="17">
        <v>2023</v>
      </c>
      <c r="D661" s="18">
        <v>45247</v>
      </c>
      <c r="E661" s="16" t="s">
        <v>348</v>
      </c>
      <c r="F661" s="19">
        <v>38958.68</v>
      </c>
      <c r="G661" s="19">
        <v>0</v>
      </c>
      <c r="H661" s="16" t="s">
        <v>144</v>
      </c>
      <c r="I661" s="20" t="s">
        <v>336</v>
      </c>
    </row>
    <row r="662" spans="1:9" x14ac:dyDescent="0.25">
      <c r="A662" s="8">
        <v>661</v>
      </c>
      <c r="B662" s="16" t="s">
        <v>1051</v>
      </c>
      <c r="C662" s="17">
        <v>2023</v>
      </c>
      <c r="D662" s="18">
        <v>45247</v>
      </c>
      <c r="E662" s="16" t="s">
        <v>334</v>
      </c>
      <c r="F662" s="19">
        <v>17644.23</v>
      </c>
      <c r="G662" s="19">
        <v>0</v>
      </c>
      <c r="H662" s="16" t="s">
        <v>144</v>
      </c>
      <c r="I662" s="20" t="s">
        <v>336</v>
      </c>
    </row>
    <row r="663" spans="1:9" x14ac:dyDescent="0.25">
      <c r="A663" s="8">
        <v>662</v>
      </c>
      <c r="B663" s="16" t="s">
        <v>1053</v>
      </c>
      <c r="C663" s="17">
        <v>2023</v>
      </c>
      <c r="D663" s="18">
        <v>45250</v>
      </c>
      <c r="E663" s="16" t="s">
        <v>334</v>
      </c>
      <c r="F663" s="19">
        <v>2929</v>
      </c>
      <c r="G663" s="19">
        <v>0</v>
      </c>
      <c r="H663" s="16" t="s">
        <v>18</v>
      </c>
      <c r="I663" s="20" t="s">
        <v>336</v>
      </c>
    </row>
    <row r="664" spans="1:9" x14ac:dyDescent="0.25">
      <c r="A664" s="8">
        <v>663</v>
      </c>
      <c r="B664" s="16" t="s">
        <v>1055</v>
      </c>
      <c r="C664" s="17">
        <v>2023</v>
      </c>
      <c r="D664" s="18">
        <v>45253</v>
      </c>
      <c r="E664" s="16" t="s">
        <v>348</v>
      </c>
      <c r="F664" s="19">
        <v>105.78</v>
      </c>
      <c r="G664" s="19">
        <v>3000</v>
      </c>
      <c r="H664" s="16" t="s">
        <v>114</v>
      </c>
      <c r="I664" s="20" t="s">
        <v>336</v>
      </c>
    </row>
    <row r="665" spans="1:9" x14ac:dyDescent="0.25">
      <c r="A665" s="8">
        <v>664</v>
      </c>
      <c r="B665" s="16" t="s">
        <v>1054</v>
      </c>
      <c r="C665" s="17">
        <v>2023</v>
      </c>
      <c r="D665" s="18">
        <v>45253</v>
      </c>
      <c r="E665" s="16" t="s">
        <v>348</v>
      </c>
      <c r="F665" s="19">
        <v>1596.01</v>
      </c>
      <c r="G665" s="19">
        <v>3000</v>
      </c>
      <c r="H665" s="16" t="s">
        <v>118</v>
      </c>
      <c r="I665" s="20" t="s">
        <v>336</v>
      </c>
    </row>
    <row r="666" spans="1:9" x14ac:dyDescent="0.25">
      <c r="A666" s="8">
        <v>665</v>
      </c>
      <c r="B666" s="16" t="s">
        <v>1056</v>
      </c>
      <c r="C666" s="17">
        <v>2023</v>
      </c>
      <c r="D666" s="18">
        <v>45275</v>
      </c>
      <c r="E666" s="16" t="s">
        <v>334</v>
      </c>
      <c r="F666" s="19">
        <v>881.16</v>
      </c>
      <c r="G666" s="19">
        <v>0</v>
      </c>
      <c r="H666" s="16" t="s">
        <v>120</v>
      </c>
      <c r="I666" s="20" t="s">
        <v>336</v>
      </c>
    </row>
    <row r="667" spans="1:9" x14ac:dyDescent="0.25">
      <c r="A667" s="8">
        <v>666</v>
      </c>
      <c r="B667" s="16" t="s">
        <v>1057</v>
      </c>
      <c r="C667" s="17">
        <v>2023</v>
      </c>
      <c r="D667" s="18">
        <v>45278</v>
      </c>
      <c r="E667" s="16" t="s">
        <v>334</v>
      </c>
      <c r="F667" s="19">
        <v>1029.3</v>
      </c>
      <c r="G667" s="19">
        <v>0</v>
      </c>
      <c r="H667" s="16" t="s">
        <v>124</v>
      </c>
      <c r="I667" s="20" t="s">
        <v>336</v>
      </c>
    </row>
    <row r="668" spans="1:9" x14ac:dyDescent="0.25">
      <c r="A668" s="8">
        <v>667</v>
      </c>
      <c r="B668" s="16" t="s">
        <v>1058</v>
      </c>
      <c r="C668" s="17">
        <v>2023</v>
      </c>
      <c r="D668" s="18">
        <v>45278</v>
      </c>
      <c r="E668" s="16" t="s">
        <v>334</v>
      </c>
      <c r="F668" s="19">
        <v>3361.71</v>
      </c>
      <c r="G668" s="19">
        <v>0</v>
      </c>
      <c r="H668" s="16" t="s">
        <v>124</v>
      </c>
      <c r="I668" s="20" t="s">
        <v>336</v>
      </c>
    </row>
    <row r="669" spans="1:9" x14ac:dyDescent="0.25">
      <c r="A669" s="8">
        <v>668</v>
      </c>
      <c r="B669" s="16" t="s">
        <v>1059</v>
      </c>
      <c r="C669" s="17">
        <v>2023</v>
      </c>
      <c r="D669" s="18">
        <v>45280</v>
      </c>
      <c r="E669" s="16" t="s">
        <v>348</v>
      </c>
      <c r="F669" s="19">
        <v>2450</v>
      </c>
      <c r="G669" s="19">
        <v>0</v>
      </c>
      <c r="H669" s="16" t="s">
        <v>30</v>
      </c>
      <c r="I669" s="20" t="s">
        <v>336</v>
      </c>
    </row>
    <row r="670" spans="1:9" x14ac:dyDescent="0.25">
      <c r="A670" s="8">
        <v>669</v>
      </c>
      <c r="B670" s="16" t="s">
        <v>1060</v>
      </c>
      <c r="C670" s="17">
        <v>2024</v>
      </c>
      <c r="D670" s="18">
        <v>45307</v>
      </c>
      <c r="E670" s="16" t="s">
        <v>334</v>
      </c>
      <c r="F670" s="19">
        <v>812</v>
      </c>
      <c r="G670" s="19">
        <v>0</v>
      </c>
      <c r="H670" s="16" t="s">
        <v>18</v>
      </c>
      <c r="I670" s="20" t="s">
        <v>336</v>
      </c>
    </row>
    <row r="671" spans="1:9" x14ac:dyDescent="0.25">
      <c r="A671" s="8">
        <v>670</v>
      </c>
      <c r="B671" s="16" t="s">
        <v>1061</v>
      </c>
      <c r="C671" s="17">
        <v>2024</v>
      </c>
      <c r="D671" s="18">
        <v>45343</v>
      </c>
      <c r="E671" s="16" t="s">
        <v>334</v>
      </c>
      <c r="F671" s="19">
        <v>3656.22</v>
      </c>
      <c r="G671" s="19">
        <v>0</v>
      </c>
      <c r="H671" s="16" t="s">
        <v>184</v>
      </c>
      <c r="I671" s="20" t="s">
        <v>336</v>
      </c>
    </row>
    <row r="672" spans="1:9" x14ac:dyDescent="0.25">
      <c r="A672" s="8">
        <v>671</v>
      </c>
      <c r="B672" s="16" t="s">
        <v>1062</v>
      </c>
      <c r="C672" s="17">
        <v>2024</v>
      </c>
      <c r="D672" s="18">
        <v>45344</v>
      </c>
      <c r="E672" s="16" t="s">
        <v>334</v>
      </c>
      <c r="F672" s="19">
        <v>3695.72</v>
      </c>
      <c r="G672" s="19">
        <v>0</v>
      </c>
      <c r="H672" s="16" t="s">
        <v>162</v>
      </c>
      <c r="I672" s="20" t="s">
        <v>336</v>
      </c>
    </row>
    <row r="673" spans="1:9" x14ac:dyDescent="0.25">
      <c r="A673" s="8">
        <v>672</v>
      </c>
      <c r="B673" s="16" t="s">
        <v>1064</v>
      </c>
      <c r="C673" s="17">
        <v>2024</v>
      </c>
      <c r="D673" s="18">
        <v>45351</v>
      </c>
      <c r="E673" s="16" t="s">
        <v>348</v>
      </c>
      <c r="F673" s="19">
        <v>1060.2</v>
      </c>
      <c r="G673" s="19">
        <v>0</v>
      </c>
      <c r="H673" s="16" t="s">
        <v>120</v>
      </c>
      <c r="I673" s="20" t="s">
        <v>336</v>
      </c>
    </row>
    <row r="674" spans="1:9" x14ac:dyDescent="0.25">
      <c r="A674" s="8">
        <v>673</v>
      </c>
      <c r="B674" s="16" t="s">
        <v>1063</v>
      </c>
      <c r="C674" s="17">
        <v>2024</v>
      </c>
      <c r="D674" s="18">
        <v>45351</v>
      </c>
      <c r="E674" s="16" t="s">
        <v>334</v>
      </c>
      <c r="F674" s="19">
        <v>945.14</v>
      </c>
      <c r="G674" s="19">
        <v>0</v>
      </c>
      <c r="H674" s="16" t="s">
        <v>120</v>
      </c>
      <c r="I674" s="20" t="s">
        <v>336</v>
      </c>
    </row>
    <row r="675" spans="1:9" x14ac:dyDescent="0.25">
      <c r="A675" s="8">
        <v>674</v>
      </c>
      <c r="B675" s="16" t="s">
        <v>1065</v>
      </c>
      <c r="C675" s="17">
        <v>2024</v>
      </c>
      <c r="D675" s="18">
        <v>45357</v>
      </c>
      <c r="E675" s="16" t="s">
        <v>334</v>
      </c>
      <c r="F675" s="19">
        <v>765.14</v>
      </c>
      <c r="G675" s="19">
        <v>0</v>
      </c>
      <c r="H675" s="16" t="s">
        <v>154</v>
      </c>
      <c r="I675" s="20" t="s">
        <v>336</v>
      </c>
    </row>
    <row r="676" spans="1:9" x14ac:dyDescent="0.25">
      <c r="A676" s="8">
        <v>675</v>
      </c>
      <c r="B676" s="16" t="s">
        <v>1067</v>
      </c>
      <c r="C676" s="17">
        <v>2024</v>
      </c>
      <c r="D676" s="18">
        <v>45359</v>
      </c>
      <c r="E676" s="16" t="s">
        <v>334</v>
      </c>
      <c r="F676" s="19">
        <v>989.29</v>
      </c>
      <c r="G676" s="19">
        <v>2000</v>
      </c>
      <c r="H676" s="16" t="s">
        <v>112</v>
      </c>
      <c r="I676" s="20" t="s">
        <v>336</v>
      </c>
    </row>
    <row r="677" spans="1:9" x14ac:dyDescent="0.25">
      <c r="A677" s="8">
        <v>676</v>
      </c>
      <c r="B677" s="16" t="s">
        <v>1068</v>
      </c>
      <c r="C677" s="17">
        <v>2024</v>
      </c>
      <c r="D677" s="18">
        <v>45359</v>
      </c>
      <c r="E677" s="16" t="s">
        <v>348</v>
      </c>
      <c r="F677" s="19">
        <v>1883.57</v>
      </c>
      <c r="G677" s="19">
        <v>3000</v>
      </c>
      <c r="H677" s="16" t="s">
        <v>112</v>
      </c>
      <c r="I677" s="20" t="s">
        <v>336</v>
      </c>
    </row>
    <row r="678" spans="1:9" x14ac:dyDescent="0.25">
      <c r="A678" s="8">
        <v>677</v>
      </c>
      <c r="B678" s="16" t="s">
        <v>1066</v>
      </c>
      <c r="C678" s="17">
        <v>2024</v>
      </c>
      <c r="D678" s="18">
        <v>45359</v>
      </c>
      <c r="E678" s="16" t="s">
        <v>334</v>
      </c>
      <c r="F678" s="19">
        <v>2245.25</v>
      </c>
      <c r="G678" s="19">
        <v>2000</v>
      </c>
      <c r="H678" s="16" t="s">
        <v>122</v>
      </c>
      <c r="I678" s="20" t="s">
        <v>336</v>
      </c>
    </row>
    <row r="679" spans="1:9" x14ac:dyDescent="0.25">
      <c r="A679" s="8">
        <v>678</v>
      </c>
      <c r="B679" s="16" t="s">
        <v>1070</v>
      </c>
      <c r="C679" s="17">
        <v>2024</v>
      </c>
      <c r="D679" s="18">
        <v>45365</v>
      </c>
      <c r="E679" s="16" t="s">
        <v>334</v>
      </c>
      <c r="F679" s="19">
        <v>5134.68</v>
      </c>
      <c r="G679" s="19">
        <v>0</v>
      </c>
      <c r="H679" s="16" t="s">
        <v>170</v>
      </c>
      <c r="I679" s="20" t="s">
        <v>336</v>
      </c>
    </row>
    <row r="680" spans="1:9" x14ac:dyDescent="0.25">
      <c r="A680" s="8">
        <v>679</v>
      </c>
      <c r="B680" s="16" t="s">
        <v>1069</v>
      </c>
      <c r="C680" s="17">
        <v>2024</v>
      </c>
      <c r="D680" s="18">
        <v>45365</v>
      </c>
      <c r="E680" s="16" t="s">
        <v>334</v>
      </c>
      <c r="F680" s="19">
        <v>4732.72</v>
      </c>
      <c r="G680" s="19">
        <v>0</v>
      </c>
      <c r="H680" s="16" t="s">
        <v>146</v>
      </c>
      <c r="I680" s="20" t="s">
        <v>336</v>
      </c>
    </row>
    <row r="681" spans="1:9" x14ac:dyDescent="0.25">
      <c r="A681" s="8">
        <v>680</v>
      </c>
      <c r="B681" s="16" t="s">
        <v>1072</v>
      </c>
      <c r="C681" s="17">
        <v>2024</v>
      </c>
      <c r="D681" s="18">
        <v>45369</v>
      </c>
      <c r="E681" s="16" t="s">
        <v>334</v>
      </c>
      <c r="F681" s="19">
        <v>6194.41</v>
      </c>
      <c r="G681" s="19">
        <v>0</v>
      </c>
      <c r="H681" s="16" t="s">
        <v>172</v>
      </c>
      <c r="I681" s="20" t="s">
        <v>336</v>
      </c>
    </row>
    <row r="682" spans="1:9" x14ac:dyDescent="0.25">
      <c r="A682" s="8">
        <v>681</v>
      </c>
      <c r="B682" s="16" t="s">
        <v>1071</v>
      </c>
      <c r="C682" s="17">
        <v>2024</v>
      </c>
      <c r="D682" s="18">
        <v>45369</v>
      </c>
      <c r="E682" s="16" t="s">
        <v>334</v>
      </c>
      <c r="F682" s="19">
        <v>577.52</v>
      </c>
      <c r="G682" s="19">
        <v>2000</v>
      </c>
      <c r="H682" s="16" t="s">
        <v>122</v>
      </c>
      <c r="I682" s="20" t="s">
        <v>336</v>
      </c>
    </row>
    <row r="683" spans="1:9" x14ac:dyDescent="0.25">
      <c r="A683" s="8">
        <v>682</v>
      </c>
      <c r="B683" s="16" t="s">
        <v>1073</v>
      </c>
      <c r="C683" s="17">
        <v>2024</v>
      </c>
      <c r="D683" s="18">
        <v>45371</v>
      </c>
      <c r="E683" s="16" t="s">
        <v>334</v>
      </c>
      <c r="F683" s="19">
        <v>1397.92</v>
      </c>
      <c r="G683" s="19">
        <v>2000</v>
      </c>
      <c r="H683" s="16" t="s">
        <v>158</v>
      </c>
      <c r="I683" s="20" t="s">
        <v>336</v>
      </c>
    </row>
    <row r="684" spans="1:9" x14ac:dyDescent="0.25">
      <c r="A684" s="8">
        <v>683</v>
      </c>
      <c r="B684" s="16" t="s">
        <v>1074</v>
      </c>
      <c r="C684" s="17">
        <v>2024</v>
      </c>
      <c r="D684" s="18">
        <v>45378</v>
      </c>
      <c r="E684" s="16" t="s">
        <v>334</v>
      </c>
      <c r="F684" s="19">
        <v>775.01</v>
      </c>
      <c r="G684" s="19">
        <v>2000</v>
      </c>
      <c r="H684" s="16" t="s">
        <v>174</v>
      </c>
      <c r="I684" s="20" t="s">
        <v>336</v>
      </c>
    </row>
    <row r="685" spans="1:9" x14ac:dyDescent="0.25">
      <c r="A685" s="8">
        <v>684</v>
      </c>
      <c r="B685" s="16" t="s">
        <v>1075</v>
      </c>
      <c r="C685" s="17">
        <v>2024</v>
      </c>
      <c r="D685" s="18">
        <v>45379</v>
      </c>
      <c r="E685" s="16" t="s">
        <v>334</v>
      </c>
      <c r="F685" s="19">
        <v>8881.5300000000007</v>
      </c>
      <c r="G685" s="19">
        <v>0</v>
      </c>
      <c r="H685" s="16" t="s">
        <v>150</v>
      </c>
      <c r="I685" s="20" t="s">
        <v>336</v>
      </c>
    </row>
    <row r="686" spans="1:9" x14ac:dyDescent="0.25">
      <c r="A686" s="8">
        <v>685</v>
      </c>
      <c r="B686" s="16" t="s">
        <v>1076</v>
      </c>
      <c r="C686" s="17">
        <v>2024</v>
      </c>
      <c r="D686" s="18">
        <v>45384</v>
      </c>
      <c r="E686" s="16" t="s">
        <v>334</v>
      </c>
      <c r="F686" s="19">
        <v>880.45</v>
      </c>
      <c r="G686" s="19">
        <v>0</v>
      </c>
      <c r="H686" s="16" t="s">
        <v>150</v>
      </c>
      <c r="I686" s="20" t="s">
        <v>336</v>
      </c>
    </row>
    <row r="687" spans="1:9" x14ac:dyDescent="0.25">
      <c r="A687" s="8">
        <v>686</v>
      </c>
      <c r="B687" s="16" t="s">
        <v>1077</v>
      </c>
      <c r="C687" s="17">
        <v>2024</v>
      </c>
      <c r="D687" s="18">
        <v>45385</v>
      </c>
      <c r="E687" s="16" t="s">
        <v>334</v>
      </c>
      <c r="F687" s="19">
        <v>4123.9799999999996</v>
      </c>
      <c r="G687" s="19">
        <v>0</v>
      </c>
      <c r="H687" s="16" t="s">
        <v>144</v>
      </c>
      <c r="I687" s="20" t="s">
        <v>336</v>
      </c>
    </row>
    <row r="688" spans="1:9" x14ac:dyDescent="0.25">
      <c r="A688" s="8">
        <v>687</v>
      </c>
      <c r="B688" s="16" t="s">
        <v>1078</v>
      </c>
      <c r="C688" s="17">
        <v>2024</v>
      </c>
      <c r="D688" s="18">
        <v>45386</v>
      </c>
      <c r="E688" s="16" t="s">
        <v>334</v>
      </c>
      <c r="F688" s="19">
        <v>1190.97</v>
      </c>
      <c r="G688" s="19">
        <v>2000</v>
      </c>
      <c r="H688" s="16" t="s">
        <v>134</v>
      </c>
      <c r="I688" s="20" t="s">
        <v>336</v>
      </c>
    </row>
    <row r="689" spans="1:9" x14ac:dyDescent="0.25">
      <c r="A689" s="8">
        <v>688</v>
      </c>
      <c r="B689" s="16" t="s">
        <v>1079</v>
      </c>
      <c r="C689" s="17">
        <v>2024</v>
      </c>
      <c r="D689" s="18">
        <v>45390</v>
      </c>
      <c r="E689" s="16" t="s">
        <v>334</v>
      </c>
      <c r="F689" s="19">
        <v>3823.06</v>
      </c>
      <c r="G689" s="19">
        <v>0</v>
      </c>
      <c r="H689" s="16" t="s">
        <v>172</v>
      </c>
      <c r="I689" s="20" t="s">
        <v>336</v>
      </c>
    </row>
    <row r="690" spans="1:9" x14ac:dyDescent="0.25">
      <c r="A690" s="8">
        <v>689</v>
      </c>
      <c r="B690" s="16" t="s">
        <v>1080</v>
      </c>
      <c r="C690" s="17">
        <v>2024</v>
      </c>
      <c r="D690" s="18">
        <v>45394</v>
      </c>
      <c r="E690" s="16" t="s">
        <v>334</v>
      </c>
      <c r="F690" s="19">
        <v>598.78</v>
      </c>
      <c r="G690" s="19">
        <v>2000</v>
      </c>
      <c r="H690" s="16" t="s">
        <v>156</v>
      </c>
      <c r="I690" s="20" t="s">
        <v>336</v>
      </c>
    </row>
    <row r="691" spans="1:9" x14ac:dyDescent="0.25">
      <c r="A691" s="8">
        <v>690</v>
      </c>
      <c r="B691" s="16" t="s">
        <v>1081</v>
      </c>
      <c r="C691" s="17">
        <v>2024</v>
      </c>
      <c r="D691" s="18">
        <v>45400</v>
      </c>
      <c r="E691" s="16" t="s">
        <v>334</v>
      </c>
      <c r="F691" s="19">
        <v>2899.1</v>
      </c>
      <c r="G691" s="19">
        <v>0</v>
      </c>
      <c r="H691" s="16" t="s">
        <v>206</v>
      </c>
      <c r="I691" s="20" t="s">
        <v>336</v>
      </c>
    </row>
    <row r="692" spans="1:9" x14ac:dyDescent="0.25">
      <c r="A692" s="8">
        <v>691</v>
      </c>
      <c r="B692" s="16" t="s">
        <v>1082</v>
      </c>
      <c r="C692" s="17">
        <v>2024</v>
      </c>
      <c r="D692" s="18">
        <v>45420</v>
      </c>
      <c r="E692" s="16" t="s">
        <v>334</v>
      </c>
      <c r="F692" s="19">
        <v>651.32000000000005</v>
      </c>
      <c r="G692" s="19">
        <v>2000</v>
      </c>
      <c r="H692" s="16" t="s">
        <v>116</v>
      </c>
      <c r="I692" s="20" t="s">
        <v>336</v>
      </c>
    </row>
    <row r="693" spans="1:9" x14ac:dyDescent="0.25">
      <c r="A693" s="8">
        <v>692</v>
      </c>
      <c r="B693" s="16" t="s">
        <v>1083</v>
      </c>
      <c r="C693" s="17">
        <v>2024</v>
      </c>
      <c r="D693" s="18">
        <v>45428</v>
      </c>
      <c r="E693" s="16" t="s">
        <v>334</v>
      </c>
      <c r="F693" s="19">
        <v>948</v>
      </c>
      <c r="G693" s="19">
        <v>2000</v>
      </c>
      <c r="H693" s="16" t="s">
        <v>152</v>
      </c>
      <c r="I693" s="20" t="s">
        <v>336</v>
      </c>
    </row>
    <row r="694" spans="1:9" x14ac:dyDescent="0.25">
      <c r="A694" s="8">
        <v>693</v>
      </c>
      <c r="B694" s="16" t="s">
        <v>1085</v>
      </c>
      <c r="C694" s="17">
        <v>2024</v>
      </c>
      <c r="D694" s="18">
        <v>45434</v>
      </c>
      <c r="E694" s="16" t="s">
        <v>334</v>
      </c>
      <c r="F694" s="19">
        <v>136</v>
      </c>
      <c r="G694" s="19">
        <v>0</v>
      </c>
      <c r="H694" s="16" t="s">
        <v>54</v>
      </c>
      <c r="I694" s="20" t="s">
        <v>336</v>
      </c>
    </row>
    <row r="695" spans="1:9" x14ac:dyDescent="0.25">
      <c r="A695" s="8">
        <v>694</v>
      </c>
      <c r="B695" s="16" t="s">
        <v>1084</v>
      </c>
      <c r="C695" s="17">
        <v>2024</v>
      </c>
      <c r="D695" s="18">
        <v>45434</v>
      </c>
      <c r="E695" s="16" t="s">
        <v>334</v>
      </c>
      <c r="F695" s="19">
        <v>1599</v>
      </c>
      <c r="G695" s="19">
        <v>2000</v>
      </c>
      <c r="H695" s="16" t="s">
        <v>148</v>
      </c>
      <c r="I695" s="20" t="s">
        <v>336</v>
      </c>
    </row>
    <row r="696" spans="1:9" x14ac:dyDescent="0.25">
      <c r="A696" s="8">
        <v>695</v>
      </c>
      <c r="B696" s="16" t="s">
        <v>1086</v>
      </c>
      <c r="C696" s="17">
        <v>2024</v>
      </c>
      <c r="D696" s="18">
        <v>45435</v>
      </c>
      <c r="E696" s="16" t="s">
        <v>334</v>
      </c>
      <c r="F696" s="19">
        <v>966.74</v>
      </c>
      <c r="G696" s="19">
        <v>2000</v>
      </c>
      <c r="H696" s="16" t="s">
        <v>152</v>
      </c>
      <c r="I696" s="20" t="s">
        <v>336</v>
      </c>
    </row>
    <row r="697" spans="1:9" x14ac:dyDescent="0.25">
      <c r="A697" s="8">
        <v>696</v>
      </c>
      <c r="B697" s="16" t="s">
        <v>1087</v>
      </c>
      <c r="C697" s="17">
        <v>2024</v>
      </c>
      <c r="D697" s="18">
        <v>45435</v>
      </c>
      <c r="E697" s="16" t="s">
        <v>334</v>
      </c>
      <c r="F697" s="19">
        <v>1336.38</v>
      </c>
      <c r="G697" s="19">
        <v>2000</v>
      </c>
      <c r="H697" s="16" t="s">
        <v>176</v>
      </c>
      <c r="I697" s="20" t="s">
        <v>336</v>
      </c>
    </row>
    <row r="698" spans="1:9" x14ac:dyDescent="0.25">
      <c r="A698" s="8">
        <v>697</v>
      </c>
      <c r="B698" s="16" t="s">
        <v>1088</v>
      </c>
      <c r="C698" s="17">
        <v>2024</v>
      </c>
      <c r="D698" s="18">
        <v>45436</v>
      </c>
      <c r="E698" s="16" t="s">
        <v>334</v>
      </c>
      <c r="F698" s="19">
        <v>1382.5</v>
      </c>
      <c r="G698" s="19">
        <v>0</v>
      </c>
      <c r="H698" s="16" t="s">
        <v>164</v>
      </c>
      <c r="I698" s="20" t="s">
        <v>336</v>
      </c>
    </row>
    <row r="699" spans="1:9" x14ac:dyDescent="0.25">
      <c r="A699" s="8">
        <v>698</v>
      </c>
      <c r="B699" s="16" t="s">
        <v>1089</v>
      </c>
      <c r="C699" s="17">
        <v>2024</v>
      </c>
      <c r="D699" s="18">
        <v>45439</v>
      </c>
      <c r="E699" s="16" t="s">
        <v>334</v>
      </c>
      <c r="F699" s="19">
        <v>2446.94</v>
      </c>
      <c r="G699" s="19">
        <v>2000</v>
      </c>
      <c r="H699" s="16" t="s">
        <v>124</v>
      </c>
      <c r="I699" s="20" t="s">
        <v>336</v>
      </c>
    </row>
    <row r="700" spans="1:9" x14ac:dyDescent="0.25">
      <c r="A700" s="8">
        <v>699</v>
      </c>
      <c r="B700" s="16" t="s">
        <v>1090</v>
      </c>
      <c r="C700" s="17">
        <v>2024</v>
      </c>
      <c r="D700" s="18">
        <v>45448</v>
      </c>
      <c r="E700" s="16" t="s">
        <v>334</v>
      </c>
      <c r="F700" s="19">
        <v>1914.53</v>
      </c>
      <c r="G700" s="19">
        <v>0</v>
      </c>
      <c r="H700" s="16" t="s">
        <v>178</v>
      </c>
      <c r="I700" s="20" t="s">
        <v>336</v>
      </c>
    </row>
    <row r="701" spans="1:9" x14ac:dyDescent="0.25">
      <c r="A701" s="8">
        <v>700</v>
      </c>
      <c r="B701" s="16" t="s">
        <v>1091</v>
      </c>
      <c r="C701" s="17">
        <v>2024</v>
      </c>
      <c r="D701" s="18">
        <v>45450</v>
      </c>
      <c r="E701" s="16" t="s">
        <v>334</v>
      </c>
      <c r="F701" s="19">
        <v>4858.04</v>
      </c>
      <c r="G701" s="19">
        <v>0</v>
      </c>
      <c r="H701" s="16" t="s">
        <v>164</v>
      </c>
      <c r="I701" s="20" t="s">
        <v>336</v>
      </c>
    </row>
    <row r="702" spans="1:9" x14ac:dyDescent="0.25">
      <c r="A702" s="8">
        <v>701</v>
      </c>
      <c r="B702" s="16" t="s">
        <v>1093</v>
      </c>
      <c r="C702" s="17">
        <v>2024</v>
      </c>
      <c r="D702" s="18">
        <v>45456</v>
      </c>
      <c r="E702" s="16" t="s">
        <v>334</v>
      </c>
      <c r="F702" s="19">
        <v>1485.65</v>
      </c>
      <c r="G702" s="19">
        <v>0</v>
      </c>
      <c r="H702" s="16" t="s">
        <v>118</v>
      </c>
      <c r="I702" s="20" t="s">
        <v>336</v>
      </c>
    </row>
    <row r="703" spans="1:9" x14ac:dyDescent="0.25">
      <c r="A703" s="8">
        <v>702</v>
      </c>
      <c r="B703" s="16" t="s">
        <v>1094</v>
      </c>
      <c r="C703" s="17">
        <v>2024</v>
      </c>
      <c r="D703" s="18">
        <v>45456</v>
      </c>
      <c r="E703" s="16" t="s">
        <v>334</v>
      </c>
      <c r="F703" s="19">
        <v>287.99</v>
      </c>
      <c r="G703" s="19">
        <v>2000</v>
      </c>
      <c r="H703" s="16" t="s">
        <v>166</v>
      </c>
      <c r="I703" s="20" t="s">
        <v>336</v>
      </c>
    </row>
    <row r="704" spans="1:9" x14ac:dyDescent="0.25">
      <c r="A704" s="8">
        <v>703</v>
      </c>
      <c r="B704" s="16" t="s">
        <v>1095</v>
      </c>
      <c r="C704" s="17">
        <v>2024</v>
      </c>
      <c r="D704" s="18">
        <v>45456</v>
      </c>
      <c r="E704" s="16" t="s">
        <v>334</v>
      </c>
      <c r="F704" s="19">
        <v>651.32000000000005</v>
      </c>
      <c r="G704" s="19">
        <v>2000</v>
      </c>
      <c r="H704" s="16" t="s">
        <v>166</v>
      </c>
      <c r="I704" s="20" t="s">
        <v>336</v>
      </c>
    </row>
    <row r="705" spans="1:9" x14ac:dyDescent="0.25">
      <c r="A705" s="8">
        <v>704</v>
      </c>
      <c r="B705" s="16" t="s">
        <v>1092</v>
      </c>
      <c r="C705" s="17">
        <v>2024</v>
      </c>
      <c r="D705" s="18">
        <v>45456</v>
      </c>
      <c r="E705" s="16" t="s">
        <v>334</v>
      </c>
      <c r="F705" s="19">
        <v>3589.7</v>
      </c>
      <c r="G705" s="19">
        <v>0</v>
      </c>
      <c r="H705" s="16" t="s">
        <v>118</v>
      </c>
      <c r="I705" s="20" t="s">
        <v>336</v>
      </c>
    </row>
    <row r="706" spans="1:9" x14ac:dyDescent="0.25">
      <c r="A706" s="8">
        <v>705</v>
      </c>
      <c r="B706" s="16" t="s">
        <v>1097</v>
      </c>
      <c r="C706" s="17">
        <v>2024</v>
      </c>
      <c r="D706" s="18">
        <v>45462</v>
      </c>
      <c r="E706" s="16" t="s">
        <v>334</v>
      </c>
      <c r="F706" s="19">
        <v>1262.3599999999999</v>
      </c>
      <c r="G706" s="19">
        <v>2000</v>
      </c>
      <c r="H706" s="16" t="s">
        <v>110</v>
      </c>
      <c r="I706" s="20" t="s">
        <v>336</v>
      </c>
    </row>
    <row r="707" spans="1:9" x14ac:dyDescent="0.25">
      <c r="A707" s="8">
        <v>706</v>
      </c>
      <c r="B707" s="16" t="s">
        <v>1096</v>
      </c>
      <c r="C707" s="17">
        <v>2024</v>
      </c>
      <c r="D707" s="18">
        <v>45462</v>
      </c>
      <c r="E707" s="16" t="s">
        <v>334</v>
      </c>
      <c r="F707" s="19">
        <v>809.62</v>
      </c>
      <c r="G707" s="19">
        <v>5000</v>
      </c>
      <c r="H707" s="16" t="s">
        <v>146</v>
      </c>
      <c r="I707" s="20" t="s">
        <v>336</v>
      </c>
    </row>
    <row r="708" spans="1:9" x14ac:dyDescent="0.25">
      <c r="A708" s="8">
        <v>707</v>
      </c>
      <c r="B708" s="16" t="s">
        <v>1098</v>
      </c>
      <c r="C708" s="17">
        <v>2024</v>
      </c>
      <c r="D708" s="18">
        <v>45462</v>
      </c>
      <c r="E708" s="16" t="s">
        <v>334</v>
      </c>
      <c r="F708" s="19">
        <v>809.62</v>
      </c>
      <c r="G708" s="19">
        <v>2000</v>
      </c>
      <c r="H708" s="16" t="s">
        <v>116</v>
      </c>
      <c r="I708" s="20" t="s">
        <v>336</v>
      </c>
    </row>
    <row r="709" spans="1:9" x14ac:dyDescent="0.25">
      <c r="A709" s="8">
        <v>708</v>
      </c>
      <c r="B709" s="16" t="s">
        <v>1100</v>
      </c>
      <c r="C709" s="17">
        <v>2024</v>
      </c>
      <c r="D709" s="18">
        <v>45464</v>
      </c>
      <c r="E709" s="16" t="s">
        <v>348</v>
      </c>
      <c r="F709" s="19">
        <v>1240.95</v>
      </c>
      <c r="G709" s="19">
        <v>3400</v>
      </c>
      <c r="H709" s="16" t="s">
        <v>162</v>
      </c>
      <c r="I709" s="20" t="s">
        <v>336</v>
      </c>
    </row>
    <row r="710" spans="1:9" x14ac:dyDescent="0.25">
      <c r="A710" s="8">
        <v>709</v>
      </c>
      <c r="B710" s="16" t="s">
        <v>1099</v>
      </c>
      <c r="C710" s="17">
        <v>2024</v>
      </c>
      <c r="D710" s="18">
        <v>45464</v>
      </c>
      <c r="E710" s="16" t="s">
        <v>334</v>
      </c>
      <c r="F710" s="19">
        <v>2245.25</v>
      </c>
      <c r="G710" s="19">
        <v>2000</v>
      </c>
      <c r="H710" s="16" t="s">
        <v>162</v>
      </c>
      <c r="I710" s="20" t="s">
        <v>336</v>
      </c>
    </row>
    <row r="711" spans="1:9" x14ac:dyDescent="0.25">
      <c r="A711" s="8">
        <v>710</v>
      </c>
      <c r="B711" s="16" t="s">
        <v>1103</v>
      </c>
      <c r="C711" s="17">
        <v>2024</v>
      </c>
      <c r="D711" s="18">
        <v>45468</v>
      </c>
      <c r="E711" s="16" t="s">
        <v>348</v>
      </c>
      <c r="F711" s="19">
        <v>1947.64</v>
      </c>
      <c r="G711" s="19">
        <v>3400</v>
      </c>
      <c r="H711" s="16" t="s">
        <v>136</v>
      </c>
      <c r="I711" s="20" t="s">
        <v>336</v>
      </c>
    </row>
    <row r="712" spans="1:9" x14ac:dyDescent="0.25">
      <c r="A712" s="8">
        <v>711</v>
      </c>
      <c r="B712" s="16" t="s">
        <v>1102</v>
      </c>
      <c r="C712" s="17">
        <v>2024</v>
      </c>
      <c r="D712" s="18">
        <v>45468</v>
      </c>
      <c r="E712" s="16" t="s">
        <v>334</v>
      </c>
      <c r="F712" s="19">
        <v>10247.450000000001</v>
      </c>
      <c r="G712" s="19">
        <v>0</v>
      </c>
      <c r="H712" s="16" t="s">
        <v>88</v>
      </c>
      <c r="I712" s="20" t="s">
        <v>336</v>
      </c>
    </row>
    <row r="713" spans="1:9" x14ac:dyDescent="0.25">
      <c r="A713" s="8">
        <v>712</v>
      </c>
      <c r="B713" s="16" t="s">
        <v>1101</v>
      </c>
      <c r="C713" s="17">
        <v>2024</v>
      </c>
      <c r="D713" s="18">
        <v>45468</v>
      </c>
      <c r="E713" s="16" t="s">
        <v>334</v>
      </c>
      <c r="F713" s="19">
        <v>933.99</v>
      </c>
      <c r="G713" s="19">
        <v>5000</v>
      </c>
      <c r="H713" s="16" t="s">
        <v>136</v>
      </c>
      <c r="I713" s="20" t="s">
        <v>336</v>
      </c>
    </row>
    <row r="714" spans="1:9" x14ac:dyDescent="0.25">
      <c r="A714" s="8">
        <v>713</v>
      </c>
      <c r="B714" s="16" t="s">
        <v>1104</v>
      </c>
      <c r="C714" s="17">
        <v>2024</v>
      </c>
      <c r="D714" s="18">
        <v>45474</v>
      </c>
      <c r="E714" s="16" t="s">
        <v>348</v>
      </c>
      <c r="F714" s="19">
        <v>1300</v>
      </c>
      <c r="G714" s="19">
        <v>0</v>
      </c>
      <c r="H714" s="16" t="s">
        <v>122</v>
      </c>
      <c r="I714" s="20" t="s">
        <v>336</v>
      </c>
    </row>
    <row r="715" spans="1:9" x14ac:dyDescent="0.25">
      <c r="A715" s="8">
        <v>714</v>
      </c>
      <c r="B715" s="27" t="s">
        <v>1124</v>
      </c>
      <c r="C715" s="17">
        <v>2024</v>
      </c>
      <c r="D715" s="28">
        <v>45474</v>
      </c>
      <c r="E715" s="31" t="s">
        <v>334</v>
      </c>
      <c r="F715" s="29">
        <v>489.64</v>
      </c>
      <c r="G715" s="29">
        <v>5000</v>
      </c>
      <c r="H715" s="30" t="s">
        <v>122</v>
      </c>
      <c r="I715" s="20" t="s">
        <v>336</v>
      </c>
    </row>
    <row r="716" spans="1:9" x14ac:dyDescent="0.25">
      <c r="A716" s="8">
        <v>715</v>
      </c>
      <c r="B716" s="27" t="s">
        <v>1121</v>
      </c>
      <c r="C716" s="17">
        <v>2024</v>
      </c>
      <c r="D716" s="28">
        <v>45490</v>
      </c>
      <c r="E716" s="16" t="s">
        <v>334</v>
      </c>
      <c r="F716" s="29">
        <v>635.36</v>
      </c>
      <c r="G716" s="29">
        <v>5000</v>
      </c>
      <c r="H716" s="27" t="s">
        <v>136</v>
      </c>
      <c r="I716" s="20" t="s">
        <v>336</v>
      </c>
    </row>
    <row r="717" spans="1:9" x14ac:dyDescent="0.25">
      <c r="A717" s="8">
        <v>716</v>
      </c>
      <c r="B717" s="27" t="s">
        <v>1123</v>
      </c>
      <c r="C717" s="17">
        <v>2024</v>
      </c>
      <c r="D717" s="28">
        <v>45496</v>
      </c>
      <c r="E717" s="16" t="s">
        <v>334</v>
      </c>
      <c r="F717" s="29">
        <v>1336.38</v>
      </c>
      <c r="G717" s="29">
        <v>5000</v>
      </c>
      <c r="H717" s="27" t="s">
        <v>184</v>
      </c>
      <c r="I717" s="20" t="s">
        <v>336</v>
      </c>
    </row>
    <row r="718" spans="1:9" x14ac:dyDescent="0.25">
      <c r="A718" s="8">
        <v>717</v>
      </c>
      <c r="B718" s="27" t="s">
        <v>1122</v>
      </c>
      <c r="C718" s="17">
        <v>2024</v>
      </c>
      <c r="D718" s="28">
        <v>45496</v>
      </c>
      <c r="E718" s="16" t="s">
        <v>334</v>
      </c>
      <c r="F718" s="29">
        <v>966.74</v>
      </c>
      <c r="G718" s="29">
        <v>5000</v>
      </c>
      <c r="H718" s="27" t="s">
        <v>154</v>
      </c>
      <c r="I718" s="20" t="s">
        <v>336</v>
      </c>
    </row>
    <row r="719" spans="1:9" x14ac:dyDescent="0.25">
      <c r="A719" s="8">
        <v>718</v>
      </c>
      <c r="B719" s="27" t="s">
        <v>1120</v>
      </c>
      <c r="C719" s="17">
        <v>2024</v>
      </c>
      <c r="D719" s="28">
        <v>45505</v>
      </c>
      <c r="E719" s="16" t="s">
        <v>334</v>
      </c>
      <c r="F719" s="29">
        <v>1336.38</v>
      </c>
      <c r="G719" s="29">
        <v>5000</v>
      </c>
      <c r="H719" s="27" t="s">
        <v>166</v>
      </c>
      <c r="I719" s="20" t="s">
        <v>336</v>
      </c>
    </row>
    <row r="720" spans="1:9" x14ac:dyDescent="0.25">
      <c r="A720" s="8">
        <v>719</v>
      </c>
      <c r="B720" s="27" t="s">
        <v>1119</v>
      </c>
      <c r="C720" s="17">
        <v>2024</v>
      </c>
      <c r="D720" s="28">
        <v>45510</v>
      </c>
      <c r="E720" s="16" t="s">
        <v>334</v>
      </c>
      <c r="F720" s="29">
        <v>2446.94</v>
      </c>
      <c r="G720" s="29">
        <v>5000</v>
      </c>
      <c r="H720" s="27" t="s">
        <v>110</v>
      </c>
      <c r="I720" s="20" t="s">
        <v>336</v>
      </c>
    </row>
    <row r="721" spans="1:9" x14ac:dyDescent="0.25">
      <c r="A721" s="8">
        <v>720</v>
      </c>
      <c r="B721" s="27" t="s">
        <v>1118</v>
      </c>
      <c r="C721" s="17">
        <v>2024</v>
      </c>
      <c r="D721" s="28">
        <v>45511</v>
      </c>
      <c r="E721" s="16" t="s">
        <v>334</v>
      </c>
      <c r="F721" s="29">
        <v>996.41</v>
      </c>
      <c r="G721" s="29">
        <v>5000</v>
      </c>
      <c r="H721" s="27" t="s">
        <v>160</v>
      </c>
      <c r="I721" s="20" t="s">
        <v>336</v>
      </c>
    </row>
    <row r="722" spans="1:9" x14ac:dyDescent="0.25">
      <c r="A722" s="8">
        <v>721</v>
      </c>
      <c r="B722" s="27" t="s">
        <v>1116</v>
      </c>
      <c r="C722" s="17">
        <v>2024</v>
      </c>
      <c r="D722" s="28">
        <v>45513</v>
      </c>
      <c r="E722" s="16" t="s">
        <v>334</v>
      </c>
      <c r="F722" s="29">
        <v>809.62</v>
      </c>
      <c r="G722" s="29">
        <v>5000</v>
      </c>
      <c r="H722" s="27" t="s">
        <v>148</v>
      </c>
      <c r="I722" s="20" t="s">
        <v>336</v>
      </c>
    </row>
    <row r="723" spans="1:9" x14ac:dyDescent="0.25">
      <c r="A723" s="8">
        <v>722</v>
      </c>
      <c r="B723" s="27" t="s">
        <v>1117</v>
      </c>
      <c r="C723" s="17">
        <v>2024</v>
      </c>
      <c r="D723" s="28">
        <v>45516</v>
      </c>
      <c r="E723" s="16" t="s">
        <v>334</v>
      </c>
      <c r="F723" s="29">
        <v>948</v>
      </c>
      <c r="G723" s="29">
        <v>5000</v>
      </c>
      <c r="H723" s="27" t="s">
        <v>158</v>
      </c>
      <c r="I723" s="20" t="s">
        <v>336</v>
      </c>
    </row>
    <row r="724" spans="1:9" x14ac:dyDescent="0.25">
      <c r="A724" s="8">
        <v>723</v>
      </c>
      <c r="B724" s="27" t="s">
        <v>1115</v>
      </c>
      <c r="C724" s="17">
        <v>2024</v>
      </c>
      <c r="D724" s="28">
        <v>45516</v>
      </c>
      <c r="E724" s="16" t="s">
        <v>334</v>
      </c>
      <c r="F724" s="29">
        <v>989.29</v>
      </c>
      <c r="G724" s="29">
        <v>5000</v>
      </c>
      <c r="H724" s="27" t="s">
        <v>190</v>
      </c>
      <c r="I724" s="20" t="s">
        <v>336</v>
      </c>
    </row>
    <row r="725" spans="1:9" x14ac:dyDescent="0.25">
      <c r="A725" s="8">
        <v>724</v>
      </c>
      <c r="B725" s="27" t="s">
        <v>1114</v>
      </c>
      <c r="C725" s="17">
        <v>2024</v>
      </c>
      <c r="D725" s="28">
        <v>45524</v>
      </c>
      <c r="E725" s="16" t="s">
        <v>334</v>
      </c>
      <c r="F725" s="29">
        <v>470.3</v>
      </c>
      <c r="G725" s="29">
        <v>5000</v>
      </c>
      <c r="H725" s="27" t="s">
        <v>180</v>
      </c>
      <c r="I725" s="20" t="s">
        <v>336</v>
      </c>
    </row>
    <row r="726" spans="1:9" x14ac:dyDescent="0.25">
      <c r="A726" s="8">
        <v>725</v>
      </c>
      <c r="B726" s="27" t="s">
        <v>1113</v>
      </c>
      <c r="C726" s="17">
        <v>2024</v>
      </c>
      <c r="D726" s="28">
        <v>45524</v>
      </c>
      <c r="E726" s="16" t="s">
        <v>334</v>
      </c>
      <c r="F726" s="29">
        <v>583.04</v>
      </c>
      <c r="G726" s="29">
        <v>5000</v>
      </c>
      <c r="H726" s="27" t="s">
        <v>180</v>
      </c>
      <c r="I726" s="20" t="s">
        <v>336</v>
      </c>
    </row>
    <row r="727" spans="1:9" x14ac:dyDescent="0.25">
      <c r="A727" s="8">
        <v>726</v>
      </c>
      <c r="B727" s="27" t="s">
        <v>1112</v>
      </c>
      <c r="C727" s="17">
        <v>2024</v>
      </c>
      <c r="D727" s="28">
        <v>45527</v>
      </c>
      <c r="E727" s="16" t="s">
        <v>334</v>
      </c>
      <c r="F727" s="29">
        <v>1291.5</v>
      </c>
      <c r="G727" s="29">
        <v>5000</v>
      </c>
      <c r="H727" s="27" t="s">
        <v>166</v>
      </c>
      <c r="I727" s="20" t="s">
        <v>336</v>
      </c>
    </row>
    <row r="728" spans="1:9" x14ac:dyDescent="0.25">
      <c r="A728" s="8">
        <v>727</v>
      </c>
      <c r="B728" s="27" t="s">
        <v>1111</v>
      </c>
      <c r="C728" s="17">
        <v>2024</v>
      </c>
      <c r="D728" s="28">
        <v>45527</v>
      </c>
      <c r="E728" s="16" t="s">
        <v>334</v>
      </c>
      <c r="F728" s="29">
        <v>0</v>
      </c>
      <c r="G728" s="29">
        <v>1643.6</v>
      </c>
      <c r="H728" s="27" t="s">
        <v>166</v>
      </c>
      <c r="I728" s="20" t="s">
        <v>336</v>
      </c>
    </row>
    <row r="729" spans="1:9" x14ac:dyDescent="0.25">
      <c r="A729" s="8">
        <v>728</v>
      </c>
      <c r="B729" s="27" t="s">
        <v>1110</v>
      </c>
      <c r="C729" s="17">
        <v>2024</v>
      </c>
      <c r="D729" s="28">
        <v>45527</v>
      </c>
      <c r="E729" s="16" t="s">
        <v>334</v>
      </c>
      <c r="F729" s="29">
        <v>0</v>
      </c>
      <c r="G729" s="29">
        <v>12200</v>
      </c>
      <c r="H729" s="27" t="s">
        <v>208</v>
      </c>
      <c r="I729" s="20" t="s">
        <v>336</v>
      </c>
    </row>
  </sheetData>
  <autoFilter ref="A1:I729" xr:uid="{3D4047B7-03E3-4866-A848-75135BBF1EF8}">
    <sortState xmlns:xlrd2="http://schemas.microsoft.com/office/spreadsheetml/2017/richdata2" ref="A2:I729">
      <sortCondition ref="D1:D72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3"/>
  <sheetViews>
    <sheetView workbookViewId="0"/>
  </sheetViews>
  <sheetFormatPr defaultRowHeight="15" x14ac:dyDescent="0.25"/>
  <sheetData>
    <row r="1" spans="1:14" x14ac:dyDescent="0.25">
      <c r="A1" t="s">
        <v>231</v>
      </c>
    </row>
    <row r="2" spans="1:14" x14ac:dyDescent="0.25">
      <c r="A2" t="s">
        <v>198</v>
      </c>
      <c r="B2" t="s">
        <v>51</v>
      </c>
      <c r="C2" t="s">
        <v>64</v>
      </c>
      <c r="D2" t="s">
        <v>13</v>
      </c>
      <c r="E2" t="s">
        <v>20</v>
      </c>
      <c r="F2" t="s">
        <v>232</v>
      </c>
      <c r="G2" t="s">
        <v>233</v>
      </c>
      <c r="H2" t="s">
        <v>36</v>
      </c>
      <c r="I2" t="s">
        <v>26</v>
      </c>
      <c r="J2" t="s">
        <v>79</v>
      </c>
      <c r="K2" t="s">
        <v>73</v>
      </c>
      <c r="L2" t="s">
        <v>234</v>
      </c>
      <c r="M2" t="s">
        <v>235</v>
      </c>
      <c r="N2" t="s">
        <v>236</v>
      </c>
    </row>
    <row r="3" spans="1:14" x14ac:dyDescent="0.25">
      <c r="A3" t="s">
        <v>237</v>
      </c>
      <c r="B3" t="s">
        <v>17</v>
      </c>
      <c r="C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Pojazdów</vt:lpstr>
      <vt:lpstr>Wykaz szkód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</dc:creator>
  <cp:lastModifiedBy>Jakub Jaroszyński</cp:lastModifiedBy>
  <dcterms:created xsi:type="dcterms:W3CDTF">2024-08-08T08:59:10Z</dcterms:created>
  <dcterms:modified xsi:type="dcterms:W3CDTF">2024-09-06T07:49:44Z</dcterms:modified>
</cp:coreProperties>
</file>