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Wazne\PRZETARGI\2023\Polski Ład drugie (20-2023)\drogi dok -cja\"/>
    </mc:Choice>
  </mc:AlternateContent>
  <xr:revisionPtr revIDLastSave="0" documentId="13_ncr:1_{F24EB03F-E907-4B04-935F-1EB3942B9B5D}" xr6:coauthVersionLast="47" xr6:coauthVersionMax="47" xr10:uidLastSave="{00000000-0000-0000-0000-000000000000}"/>
  <bookViews>
    <workbookView xWindow="-120" yWindow="-120" windowWidth="29040" windowHeight="15720" firstSheet="1" activeTab="5" xr2:uid="{00000000-000D-0000-FFFF-FFFF00000000}"/>
  </bookViews>
  <sheets>
    <sheet name="strona tyt KI" sheetId="60" state="hidden" r:id="rId1"/>
    <sheet name="ST PR" sheetId="65" r:id="rId2"/>
    <sheet name="PR1" sheetId="78" state="hidden" r:id="rId3"/>
    <sheet name="PR2" sheetId="66" r:id="rId4"/>
    <sheet name="OFERTOWY ZBIORCZA" sheetId="82" r:id="rId5"/>
    <sheet name="OFERTOWY SZCZEGOLOWE" sheetId="83" r:id="rId6"/>
    <sheet name="5.1. Brzeziny - Dół Płn." sheetId="56" state="hidden" r:id="rId7"/>
    <sheet name="5.2. Brzeziny - Dół Płn." sheetId="55" state="hidden" r:id="rId8"/>
    <sheet name="4.Zdjęcie humusu" sheetId="28" state="hidden" r:id="rId9"/>
    <sheet name="5. Humusowanie" sheetId="29" state="hidden" r:id="rId10"/>
    <sheet name="6.Wykopy-Nasypy" sheetId="30" state="hidden" r:id="rId11"/>
    <sheet name="7.Koryto" sheetId="31" state="hidden" r:id="rId12"/>
    <sheet name="8.odcinająca" sheetId="32" state="hidden" r:id="rId13"/>
    <sheet name="9.wiążąca" sheetId="33" state="hidden" r:id="rId14"/>
    <sheet name="10.ścieralna" sheetId="34" state="hidden" r:id="rId15"/>
  </sheets>
  <externalReferences>
    <externalReference r:id="rId16"/>
    <externalReference r:id="rId17"/>
    <externalReference r:id="rId18"/>
    <externalReference r:id="rId19"/>
    <externalReference r:id="rId20"/>
  </externalReferences>
  <definedNames>
    <definedName name="balustrady_m" localSheetId="2">#REF!</definedName>
    <definedName name="balustrady_m">#REF!</definedName>
    <definedName name="barieroporęcze_na_bazie_SP06_m" localSheetId="2">#REF!</definedName>
    <definedName name="barieroporęcze_na_bazie_SP06_m">#REF!</definedName>
    <definedName name="bariery_SP06_m" localSheetId="2">#REF!</definedName>
    <definedName name="bariery_SP06_m">#REF!</definedName>
    <definedName name="beton_murku_żelbetowego">'[1]Zał. 1 - Zestawienie robót'!$I$853</definedName>
    <definedName name="bramy_wjazdowe_nowe" localSheetId="2">#REF!</definedName>
    <definedName name="bramy_wjazdowe_nowe">#REF!</definedName>
    <definedName name="bramy_wjazdowe_z_odzysku" localSheetId="2">#REF!</definedName>
    <definedName name="bramy_wjazdowe_z_odzysku">#REF!</definedName>
    <definedName name="dojścia_z_kruszywa" localSheetId="2">#REF!</definedName>
    <definedName name="dojścia_z_kruszywa">#REF!</definedName>
    <definedName name="dren_z_kruszywa_naturalnego_32_do_63" localSheetId="2">#REF!</definedName>
    <definedName name="dren_z_kruszywa_naturalnego_32_do_63">#REF!</definedName>
    <definedName name="ff">'[1]Zał. 1 - Zestawienie robót'!$I$1215</definedName>
    <definedName name="frezowanie_gr_2.5cm_m2" localSheetId="2">#REF!</definedName>
    <definedName name="frezowanie_gr_2.5cm_m2">#REF!</definedName>
    <definedName name="frezowanie_gr_2cm_m2" localSheetId="2">#REF!</definedName>
    <definedName name="frezowanie_gr_2cm_m2">#REF!</definedName>
    <definedName name="frezowanie_gr_4cm_m2" localSheetId="2">#REF!</definedName>
    <definedName name="frezowanie_gr_4cm_m2">#REF!</definedName>
    <definedName name="frezowanie_gr_5cm_m2" localSheetId="2">#REF!</definedName>
    <definedName name="frezowanie_gr_5cm_m2">#REF!</definedName>
    <definedName name="frezowanie_gr_8cm_m2" localSheetId="2">#REF!</definedName>
    <definedName name="frezowanie_gr_8cm_m2">#REF!</definedName>
    <definedName name="furtki_nowe_szt.">'[2]Zał. 1 - Zestawienie robót'!$E$1309</definedName>
    <definedName name="furtki_z_odzysku" localSheetId="2">#REF!</definedName>
    <definedName name="furtki_z_odzysku">#REF!</definedName>
    <definedName name="georuszt_m2" localSheetId="2">#REF!</definedName>
    <definedName name="georuszt_m2">#REF!</definedName>
    <definedName name="geowłóknina_separacyjna_m2" localSheetId="2">#REF!</definedName>
    <definedName name="geowłóknina_separacyjna_m2">#REF!</definedName>
    <definedName name="grubosc_plantowania" localSheetId="2">#REF!</definedName>
    <definedName name="grubosc_plantowania">#REF!</definedName>
    <definedName name="grubosc_zdjecia_humusu" localSheetId="2">#REF!</definedName>
    <definedName name="grubosc_zdjecia_humusu">#REF!</definedName>
    <definedName name="grunt_do_wywiezienia" localSheetId="2">#REF!</definedName>
    <definedName name="grunt_do_wywiezienia">#REF!</definedName>
    <definedName name="humus_do_plantowania_m3" localSheetId="2">#REF!</definedName>
    <definedName name="humus_do_plantowania_m3">#REF!</definedName>
    <definedName name="humus_nadmiar_do_wywiezienia" localSheetId="2">#REF!</definedName>
    <definedName name="humus_nadmiar_do_wywiezienia">#REF!</definedName>
    <definedName name="humus_zdjęcie_m2" localSheetId="2">#REF!</definedName>
    <definedName name="humus_zdjęcie_m2">#REF!</definedName>
    <definedName name="humus_zdjęcie_m3" localSheetId="2">#REF!</definedName>
    <definedName name="humus_zdjęcie_m3">#REF!</definedName>
    <definedName name="karczowanie_krzaków" localSheetId="2">#REF!</definedName>
    <definedName name="karczowanie_krzaków">#REF!</definedName>
    <definedName name="korytka_kolejowe_m" localSheetId="2">#REF!</definedName>
    <definedName name="korytka_kolejowe_m">#REF!</definedName>
    <definedName name="korytka_wypłycone_m" localSheetId="2">#REF!</definedName>
    <definedName name="korytka_wypłycone_m">#REF!</definedName>
    <definedName name="korytko_30cm" localSheetId="2">#REF!</definedName>
    <definedName name="korytko_30cm">#REF!</definedName>
    <definedName name="korytko_60cm" localSheetId="2">#REF!</definedName>
    <definedName name="korytko_60cm">#REF!</definedName>
    <definedName name="korytko_odwadniające_wbudowanie" localSheetId="2">#REF!</definedName>
    <definedName name="korytko_odwadniające_wbudowanie">#REF!</definedName>
    <definedName name="koryto_jezdnia" localSheetId="2">#REF!</definedName>
    <definedName name="koryto_jezdnia">#REF!</definedName>
    <definedName name="koryto_pod_chodnik" localSheetId="2">#REF!</definedName>
    <definedName name="koryto_pod_chodnik">#REF!</definedName>
    <definedName name="koryto_pod_dojściami" localSheetId="2">#REF!</definedName>
    <definedName name="koryto_pod_dojściami">#REF!</definedName>
    <definedName name="koryto_pod_zjazdami" localSheetId="2">#REF!</definedName>
    <definedName name="koryto_pod_zjazdami">#REF!</definedName>
    <definedName name="koryto_zatoki_autobusowej" localSheetId="2">#REF!</definedName>
    <definedName name="koryto_zatoki_autobusowej">#REF!</definedName>
    <definedName name="koryto_zjazdy" localSheetId="2">#REF!</definedName>
    <definedName name="koryto_zjazdy">#REF!</definedName>
    <definedName name="kostka_6cm_nowa_kolorowa" localSheetId="2">#REF!</definedName>
    <definedName name="kostka_6cm_nowa_kolorowa">#REF!</definedName>
    <definedName name="kostka_6cm_nowa_szara" localSheetId="2">#REF!</definedName>
    <definedName name="kostka_6cm_nowa_szara">#REF!</definedName>
    <definedName name="kostka_6cm_schody" localSheetId="2">#REF!</definedName>
    <definedName name="kostka_6cm_schody">#REF!</definedName>
    <definedName name="kostka_bet_nowa_opaska_przy_ogrodzeniu" localSheetId="2">#REF!</definedName>
    <definedName name="kostka_bet_nowa_opaska_przy_ogrodzeniu">#REF!</definedName>
    <definedName name="kostka_betonowa_8cm_nowa_zjazdy_m2" localSheetId="2">#REF!</definedName>
    <definedName name="kostka_betonowa_8cm_nowa_zjazdy_m2">#REF!</definedName>
    <definedName name="kostka_integracyjna" localSheetId="2">#REF!</definedName>
    <definedName name="kostka_integracyjna">#REF!</definedName>
    <definedName name="kostka_nowa_chodnik" localSheetId="2">#REF!</definedName>
    <definedName name="kostka_nowa_chodnik">#REF!</definedName>
    <definedName name="kostka_z_rozbiórki" localSheetId="2">#REF!</definedName>
    <definedName name="kostka_z_rozbiórki">#REF!</definedName>
    <definedName name="krawężnik_15x30cm_obnizony_4cm" localSheetId="2">#REF!</definedName>
    <definedName name="krawężnik_15x30cm_obnizony_4cm">#REF!</definedName>
    <definedName name="krawężnik_20x30cm_na_płask" localSheetId="2">#REF!</definedName>
    <definedName name="krawężnik_20x30cm_na_płask">#REF!</definedName>
    <definedName name="krawężnik_20x30cm_obnizony_4cm" localSheetId="2">#REF!</definedName>
    <definedName name="krawężnik_20x30cm_obnizony_4cm">#REF!</definedName>
    <definedName name="krawężnik_20x30cm_stojący_12cm_nowy" localSheetId="2">#REF!</definedName>
    <definedName name="krawężnik_20x30cm_stojący_12cm_nowy">#REF!</definedName>
    <definedName name="krawężnik_20x30cm_stojący_12cm_z_robiórki" localSheetId="2">#REF!</definedName>
    <definedName name="krawężnik_20x30cm_stojący_12cm_z_robiórki">#REF!</definedName>
    <definedName name="krawężnik_na_ławie_12cm_nowy" localSheetId="2">#REF!</definedName>
    <definedName name="krawężnik_na_ławie_12cm_nowy">#REF!</definedName>
    <definedName name="krawężnik_na_ławie_4cm_nowy" localSheetId="2">#REF!</definedName>
    <definedName name="krawężnik_na_ławie_4cm_nowy">#REF!</definedName>
    <definedName name="krawężnik_na_ławie_nowy" localSheetId="2">#REF!</definedName>
    <definedName name="krawężnik_na_ławie_nowy">#REF!</definedName>
    <definedName name="krawężnikk_15cm_na_szer_zjazdó" localSheetId="2">#REF!</definedName>
    <definedName name="krawężnikk_15cm_na_szer_zjazdó">#REF!</definedName>
    <definedName name="kruszywo_przy_oporniku" localSheetId="2">#REF!</definedName>
    <definedName name="kruszywo_przy_oporniku">#REF!</definedName>
    <definedName name="nasyp_wysadzinowy" localSheetId="2">#REF!</definedName>
    <definedName name="nasyp_wysadzinowy">#REF!</definedName>
    <definedName name="nasypy_z_dokopu" localSheetId="2">#REF!</definedName>
    <definedName name="nasypy_z_dokopu">#REF!</definedName>
    <definedName name="nasypy_zjazdy" localSheetId="2">#REF!</definedName>
    <definedName name="nasypy_zjazdy">#REF!</definedName>
    <definedName name="obrzeże_na_ławie" localSheetId="2">#REF!</definedName>
    <definedName name="obrzeże_na_ławie">#REF!</definedName>
    <definedName name="obrzeże_na_ławie_bet" localSheetId="2">#REF!</definedName>
    <definedName name="obrzeże_na_ławie_bet">#REF!</definedName>
    <definedName name="obrzeże_na_ławie_nowe" localSheetId="2">#REF!</definedName>
    <definedName name="obrzeże_na_ławie_nowe">#REF!</definedName>
    <definedName name="obrzeże_na_podsypce_nowe" localSheetId="2">#REF!</definedName>
    <definedName name="obrzeże_na_podsypce_nowe">#REF!</definedName>
    <definedName name="_xlnm.Print_Area" localSheetId="14">'10.ścieralna'!$A$1:$G$46</definedName>
    <definedName name="_xlnm.Print_Area" localSheetId="8">'4.Zdjęcie humusu'!$A$1:$F$58</definedName>
    <definedName name="_xlnm.Print_Area" localSheetId="9">'5. Humusowanie'!$A$1:$F$61</definedName>
    <definedName name="_xlnm.Print_Area" localSheetId="6">'5.1. Brzeziny - Dół Płn.'!$A$1:$I$35</definedName>
    <definedName name="_xlnm.Print_Area" localSheetId="7">'5.2. Brzeziny - Dół Płn.'!$A$1:$E$28</definedName>
    <definedName name="_xlnm.Print_Area" localSheetId="10">'6.Wykopy-Nasypy'!$A$1:$N$77</definedName>
    <definedName name="_xlnm.Print_Area" localSheetId="11">'7.Koryto'!$A$1:$G$55</definedName>
    <definedName name="_xlnm.Print_Area" localSheetId="12">'8.odcinająca'!$A$1:$G$54</definedName>
    <definedName name="_xlnm.Print_Area" localSheetId="13">'9.wiążąca'!$A$1:$G$46</definedName>
    <definedName name="_xlnm.Print_Area" localSheetId="5">'OFERTOWY SZCZEGOLOWE'!$A$1:$J$106</definedName>
    <definedName name="_xlnm.Print_Area" localSheetId="4">'OFERTOWY ZBIORCZA'!$A$1:$M$25</definedName>
    <definedName name="_xlnm.Print_Area" localSheetId="3">'PR2'!$A$1:$H$92</definedName>
    <definedName name="_xlnm.Print_Area" localSheetId="1">'ST PR'!$A$1:$J$34</definedName>
    <definedName name="_xlnm.Print_Area" localSheetId="0">'strona tyt KI'!$A$1:$J$32</definedName>
    <definedName name="ogrodzenia_drewniane_z_odzysku" localSheetId="2">#REF!</definedName>
    <definedName name="ogrodzenia_drewniane_z_odzysku">#REF!</definedName>
    <definedName name="ogrodzenia_metalowe_na_słupkach_murowanych_z_odzysku" localSheetId="2">#REF!</definedName>
    <definedName name="ogrodzenia_metalowe_na_słupkach_murowanych_z_odzysku">#REF!</definedName>
    <definedName name="ogrodzenia_metalowe_z_odzysku">'[2]Zał. 1 - Zestawienie robót'!$E$1224</definedName>
    <definedName name="ogrodzenia_metalowych_z_odzysku">'[2]Zał. 1 - Zestawienie robót'!$E$1224</definedName>
    <definedName name="ogrodzenia_z_siatki_nowe_m">'[2]Zał. 1 - Zestawienie robót'!$E$1182</definedName>
    <definedName name="ogrodzenia_z_siatki_z_odzysku_m" localSheetId="2">#REF!</definedName>
    <definedName name="ogrodzenia_z_siatki_z_odzysku_m">#REF!</definedName>
    <definedName name="ogrodzenie_betonowe_nowe_m3" localSheetId="2">#REF!</definedName>
    <definedName name="ogrodzenie_betonowe_nowe_m3">#REF!</definedName>
    <definedName name="ogrzodzenia_drewniane_z_odzysku" localSheetId="2">#REF!</definedName>
    <definedName name="ogrzodzenia_drewniane_z_odzysku">#REF!</definedName>
    <definedName name="oznakowanie_poziome_cienkow_skrzyżowania_przejścia_m2" localSheetId="2">#REF!</definedName>
    <definedName name="oznakowanie_poziome_cienkow_skrzyżowania_przejścia_m2">#REF!</definedName>
    <definedName name="oznakowanie_poziome_linie_ciągłe_m2" localSheetId="2">#REF!</definedName>
    <definedName name="oznakowanie_poziome_linie_ciągłe_m2">#REF!</definedName>
    <definedName name="oznakowanie_poziome_linie_przerywane_m2" localSheetId="2">#REF!</definedName>
    <definedName name="oznakowanie_poziome_linie_przerywane_m2">#REF!</definedName>
    <definedName name="płyty_ażurowe_nawierzchnia_m2" localSheetId="2">#REF!</definedName>
    <definedName name="płyty_ażurowe_nawierzchnia_m2">#REF!</definedName>
    <definedName name="płyty_drogowe_m2" localSheetId="2">#REF!</definedName>
    <definedName name="płyty_drogowe_m2">#REF!</definedName>
    <definedName name="pobocze_z_kruszywa" localSheetId="2">#REF!</definedName>
    <definedName name="pobocze_z_kruszywa">#REF!</definedName>
    <definedName name="podbudowa_z_AC_KR2" localSheetId="2">#REF!</definedName>
    <definedName name="podbudowa_z_AC_KR2">#REF!</definedName>
    <definedName name="podbudowa_z_AC_KR5" localSheetId="2">#REF!</definedName>
    <definedName name="podbudowa_z_AC_KR5">#REF!</definedName>
    <definedName name="podbudowa_z_kr_chodnik_m2" localSheetId="2">#REF!</definedName>
    <definedName name="podbudowa_z_kr_chodnik_m2">#REF!</definedName>
    <definedName name="podbudowa_z_kr_chodnik_m3" localSheetId="2">#REF!</definedName>
    <definedName name="podbudowa_z_kr_chodnik_m3">#REF!</definedName>
    <definedName name="podbudowa_z_kr_dojścia_m3" localSheetId="2">#REF!</definedName>
    <definedName name="podbudowa_z_kr_dojścia_m3">#REF!</definedName>
    <definedName name="podbudowa_z_kr_jezdnia_m2" localSheetId="2">#REF!</definedName>
    <definedName name="podbudowa_z_kr_jezdnia_m2">#REF!</definedName>
    <definedName name="podbudowa_z_kr_zjazdy_m2" localSheetId="2">#REF!</definedName>
    <definedName name="podbudowa_z_kr_zjazdy_m2">#REF!</definedName>
    <definedName name="podmurówki" localSheetId="2">#REF!</definedName>
    <definedName name="podmurówki">#REF!</definedName>
    <definedName name="pow_humusu_do_zdjęcia_zjazdy" localSheetId="2">#REF!</definedName>
    <definedName name="pow_humusu_do_zdjęcia_zjazdy">#REF!</definedName>
    <definedName name="pow_plantowania_zjazdy" localSheetId="2">#REF!</definedName>
    <definedName name="pow_plantowania_zjazdy">#REF!</definedName>
    <definedName name="powierzchnia_plantowania" localSheetId="2">#REF!</definedName>
    <definedName name="powierzchnia_plantowania">#REF!</definedName>
    <definedName name="powierzchnia_plantowania_zjazdy" localSheetId="2">#REF!</definedName>
    <definedName name="powierzchnia_plantowania_zjazdy">#REF!</definedName>
    <definedName name="powierzchnia_zdjęcia_humusu_zjazdy" localSheetId="2">#REF!</definedName>
    <definedName name="powierzchnia_zdjęcia_humusu_zjazdy">#REF!</definedName>
    <definedName name="Print_Area" localSheetId="5">'OFERTOWY SZCZEGOLOWE'!$A$1:$J$96</definedName>
    <definedName name="Print_Area" localSheetId="3">'PR2'!$A$1:$J$88</definedName>
    <definedName name="przepusty_pod_zjazdami_m" localSheetId="2">#REF!</definedName>
    <definedName name="przepusty_pod_zjazdami_m">#REF!</definedName>
    <definedName name="Przymocowanie_tablic_B_C_nowych" localSheetId="2">#REF!</definedName>
    <definedName name="Przymocowanie_tablic_B_C_nowych">#REF!</definedName>
    <definedName name="Przymocowanie_tablic_E_nowych" localSheetId="2">#REF!</definedName>
    <definedName name="Przymocowanie_tablic_E_nowych">#REF!</definedName>
    <definedName name="Przymocowanie_tablic_F_nowych" localSheetId="2">#REF!</definedName>
    <definedName name="Przymocowanie_tablic_F_nowych">#REF!</definedName>
    <definedName name="Przymocowanie_tablic_T_nowych" localSheetId="2">#REF!</definedName>
    <definedName name="Przymocowanie_tablic_T_nowych">#REF!</definedName>
    <definedName name="przymocowanie_tablic_U" localSheetId="2">#REF!</definedName>
    <definedName name="przymocowanie_tablic_U">#REF!</definedName>
    <definedName name="Przymocowanie_tablic_U_nowych" localSheetId="2">#REF!</definedName>
    <definedName name="Przymocowanie_tablic_U_nowych">#REF!</definedName>
    <definedName name="przymocowanie_tablic_znaku_A_nowe" localSheetId="2">#REF!</definedName>
    <definedName name="przymocowanie_tablic_znaku_A_nowe">#REF!</definedName>
    <definedName name="przymocowanie_tablic_znaku_B_i_C_nowe" localSheetId="2">#REF!</definedName>
    <definedName name="przymocowanie_tablic_znaku_B_i_C_nowe">#REF!</definedName>
    <definedName name="przymocowanie_tablic_znaku_D_nowe" localSheetId="2">#REF!</definedName>
    <definedName name="przymocowanie_tablic_znaku_D_nowe">#REF!</definedName>
    <definedName name="przymocowanie_tabliczek_T" localSheetId="2">#REF!</definedName>
    <definedName name="przymocowanie_tabliczek_T">#REF!</definedName>
    <definedName name="przymocowanie_tarcz_tablic_uzupełniających_F_prostokątnych" localSheetId="2">#REF!</definedName>
    <definedName name="przymocowanie_tarcz_tablic_uzupełniających_F_prostokątnych">#REF!</definedName>
    <definedName name="przymocowanie_tarcz_znaków_informacyjnych_D_prostokątnych" localSheetId="2">#REF!</definedName>
    <definedName name="przymocowanie_tarcz_znaków_informacyjnych_D_prostokątnych">#REF!</definedName>
    <definedName name="przymocowanie_tarcz_znaków_kierunkowych_E_prostokątnych" localSheetId="2">#REF!</definedName>
    <definedName name="przymocowanie_tarcz_znaków_kierunkowych_E_prostokątnych">#REF!</definedName>
    <definedName name="przymocowanie_tarcz_znaków_nakazu_B_i_zakazu_C_okrągłych" localSheetId="2">#REF!</definedName>
    <definedName name="przymocowanie_tarcz_znaków_nakazu_B_i_zakazu_C_okrągłych">#REF!</definedName>
    <definedName name="przymocowanie_tarcz_znaków_ostrzegawczych_A_trójkątnych" localSheetId="2">#REF!</definedName>
    <definedName name="przymocowanie_tarcz_znaków_ostrzegawczych_A_trójkątnych">#REF!</definedName>
    <definedName name="Rk" localSheetId="2">#REF!</definedName>
    <definedName name="Rk">#REF!</definedName>
    <definedName name="rozbiórka_budynków" localSheetId="2">#REF!</definedName>
    <definedName name="rozbiórka_budynków">#REF!</definedName>
    <definedName name="rozbiórka_fundamentów_budynków_m3" localSheetId="2">#REF!</definedName>
    <definedName name="rozbiórka_fundamentów_budynków_m3">#REF!</definedName>
    <definedName name="rozbiórka_kostki_betonowej_dojscia_m2" localSheetId="2">#REF!</definedName>
    <definedName name="rozbiórka_kostki_betonowej_dojscia_m2">#REF!</definedName>
    <definedName name="rozbiórka_kostki_betonowej_wbudowanie_dojscia_m2" localSheetId="2">#REF!</definedName>
    <definedName name="rozbiórka_kostki_betonowej_wbudowanie_dojscia_m2">#REF!</definedName>
    <definedName name="rozbiórka_kostki_brukowej_do_wbudowania_m2" localSheetId="2">#REF!</definedName>
    <definedName name="rozbiórka_kostki_brukowej_do_wbudowania_m2">#REF!</definedName>
    <definedName name="rozbiórka_kostki_brukowej_do_wywiezienia_m2" localSheetId="2">#REF!</definedName>
    <definedName name="rozbiórka_kostki_brukowej_do_wywiezienia_m2">#REF!</definedName>
    <definedName name="rozbiórka_krawężnika_na_ławie_m" localSheetId="2">#REF!</definedName>
    <definedName name="rozbiórka_krawężnika_na_ławie_m">#REF!</definedName>
    <definedName name="rozbiórka_krawężnika_na_ławie_wbudowanie">'[1]Zał. 1 - Zestawienie robót'!$G$222</definedName>
    <definedName name="rozbiórka_krawężnika_na_ławie_wywiezienie">'[1]Zał. 1 - Zestawienie robót'!$G$221</definedName>
    <definedName name="rozbiórka_krawężnika_na_podsypce_wbudowanie">'[1]Zał. 1 - Zestawienie robót'!$G$231</definedName>
    <definedName name="rozbiórka_krawężnika_na_podsypce_wywiezienie">'[1]Zał. 1 - Zestawienie robót'!$G$230</definedName>
    <definedName name="rozbiórka_nawierchni_z_kostki_brukowej_m2" localSheetId="2">#REF!</definedName>
    <definedName name="rozbiórka_nawierchni_z_kostki_brukowej_m2">#REF!</definedName>
    <definedName name="rozbiórka_nawierzchni_z_bitumu_m2">'[1]Zał. 1 - Zestawienie robót'!$F$166</definedName>
    <definedName name="rozbiórka_nawierzchni_z_kruszywa_20cm" localSheetId="2">#REF!</definedName>
    <definedName name="rozbiórka_nawierzchni_z_kruszywa_20cm">#REF!</definedName>
    <definedName name="rozbiórka_nawierzchni_z_płyt_drogowych_m2">'[3]Zał. 1 - Zestawienie robót'!$F$171</definedName>
    <definedName name="rozbiórka_obrzeża_na_ławie_m" localSheetId="2">#REF!</definedName>
    <definedName name="rozbiórka_obrzeża_na_ławie_m">#REF!</definedName>
    <definedName name="rozbiórka_podbudowy_z_kruszywa" localSheetId="2">#REF!</definedName>
    <definedName name="rozbiórka_podbudowy_z_kruszywa">#REF!</definedName>
    <definedName name="rozbiórka_przepustów_betonowych_m" localSheetId="2">#REF!</definedName>
    <definedName name="rozbiórka_przepustów_betonowych_m">#REF!</definedName>
    <definedName name="rozbiórka_przepustów_stalowych_m" localSheetId="2">#REF!</definedName>
    <definedName name="rozbiórka_przepustów_stalowych_m">#REF!</definedName>
    <definedName name="rozbiórka_słupków_prowadzących_do_ponownego_wbudowania_szt" localSheetId="2">#REF!</definedName>
    <definedName name="rozbiórka_słupków_prowadzących_do_ponownego_wbudowania_szt">#REF!</definedName>
    <definedName name="rozbiórka_słupków_prowadzących_U1a_do_ponownego_wbudowania_szt" localSheetId="2">#REF!</definedName>
    <definedName name="rozbiórka_słupków_prowadzących_U1a_do_ponownego_wbudowania_szt">#REF!</definedName>
    <definedName name="rozbiórka_słupków_prowadzących_U1b_do_ponownego_wbudowania_szt" localSheetId="2">#REF!</definedName>
    <definedName name="rozbiórka_słupków_prowadzących_U1b_do_ponownego_wbudowania_szt">#REF!</definedName>
    <definedName name="rozbiórka_słupków_prowadzących_z_wywózką_do_Zamawiającego_szt" localSheetId="2">#REF!</definedName>
    <definedName name="rozbiórka_słupków_prowadzących_z_wywózką_do_Zamawiającego_szt">#REF!</definedName>
    <definedName name="rozbiórka_słupków_znaków_do_ponownego_wbudowania_szt" localSheetId="2">#REF!</definedName>
    <definedName name="rozbiórka_słupków_znaków_do_ponownego_wbudowania_szt">#REF!</definedName>
    <definedName name="rozbiórka_słupków_znaków_z_wywózką_do_Zamawiającego_szt" localSheetId="2">#REF!</definedName>
    <definedName name="rozbiórka_słupków_znaków_z_wywózką_do_Zamawiającego_szt">#REF!</definedName>
    <definedName name="rozbiórka_studni_z_betonowych_kręgów_szt." localSheetId="2">#REF!</definedName>
    <definedName name="rozbiórka_studni_z_betonowych_kręgów_szt.">#REF!</definedName>
    <definedName name="rozbiórka_ścieku_z_wywozem_materiału_z_rozbiórki" localSheetId="2">#REF!</definedName>
    <definedName name="rozbiórka_ścieku_z_wywozem_materiału_z_rozbiórki">#REF!</definedName>
    <definedName name="rozbiórka_umocnień_z_ażurów" localSheetId="2">#REF!</definedName>
    <definedName name="rozbiórka_umocnień_z_ażurów">#REF!</definedName>
    <definedName name="rozebranie_ogrodzeń_z_siatki_wbudowanie" localSheetId="2">#REF!</definedName>
    <definedName name="rozebranie_ogrodzeń_z_siatki_wbudowanie">#REF!</definedName>
    <definedName name="rozebranie_ogrodzeń_z_siatki_wywiezienie_elementów_z_rozbiórki" localSheetId="2">#REF!</definedName>
    <definedName name="rozebranie_ogrodzeń_z_siatki_wywiezienie_elementów_z_rozbiórki">#REF!</definedName>
    <definedName name="Rp" localSheetId="2">#REF!</definedName>
    <definedName name="Rp">#REF!</definedName>
    <definedName name="Rw" localSheetId="2">#REF!</definedName>
    <definedName name="Rw">#REF!</definedName>
    <definedName name="Rz" localSheetId="2">#REF!</definedName>
    <definedName name="Rz">#REF!</definedName>
    <definedName name="skropienie_pod_podbudowę_z_BA_m2" localSheetId="2">#REF!</definedName>
    <definedName name="skropienie_pod_podbudowę_z_BA_m2">#REF!</definedName>
    <definedName name="skropienie_pod_ścieralną_m2" localSheetId="2">#REF!</definedName>
    <definedName name="skropienie_pod_ścieralną_m2">#REF!</definedName>
    <definedName name="skropienie_pod_wiążącą_m2" localSheetId="2">#REF!</definedName>
    <definedName name="skropienie_pod_wiążącą_m2">#REF!</definedName>
    <definedName name="słupki_do_znaków_materiał_z_rozbiórki_szt" localSheetId="2">#REF!</definedName>
    <definedName name="słupki_do_znaków_materiał_z_rozbiórki_szt">#REF!</definedName>
    <definedName name="słupki_do_znaków_nowe_szt" localSheetId="2">#REF!</definedName>
    <definedName name="słupki_do_znaków_nowe_szt">#REF!</definedName>
    <definedName name="słupki_kilometowe_U7_na_U1a_nowe_szt" localSheetId="2">#REF!</definedName>
    <definedName name="słupki_kilometowe_U7_na_U1a_nowe_szt">#REF!</definedName>
    <definedName name="słupki_kilometowe_U7_na_U1a_z_rozbiórki_szt" localSheetId="2">#REF!</definedName>
    <definedName name="słupki_kilometowe_U7_na_U1a_z_rozbiórki_szt">#REF!</definedName>
    <definedName name="słupki_kilometowe_U7_na_U1b_nowe_szt" localSheetId="2">#REF!</definedName>
    <definedName name="słupki_kilometowe_U7_na_U1b_nowe_szt">#REF!</definedName>
    <definedName name="słupki_kilometowe_U7_na_U1b_z_rozbiórki_szt" localSheetId="2">#REF!</definedName>
    <definedName name="słupki_kilometowe_U7_na_U1b_z_rozbiórki_szt">#REF!</definedName>
    <definedName name="słupki_kilometrowe_U8_na_U1a_nowe_szt" localSheetId="2">#REF!</definedName>
    <definedName name="słupki_kilometrowe_U8_na_U1a_nowe_szt">#REF!</definedName>
    <definedName name="słupki_kilometrowe_U8_na_U1a_z_rozbiórki_szt" localSheetId="2">#REF!</definedName>
    <definedName name="słupki_kilometrowe_U8_na_U1a_z_rozbiórki_szt">#REF!</definedName>
    <definedName name="słupki_kilometrowe_U8_na_U1b_nowe_szt" localSheetId="2">#REF!</definedName>
    <definedName name="słupki_kilometrowe_U8_na_U1b_nowe_szt">#REF!</definedName>
    <definedName name="słupki_kilometrowe_U8_na_U1b_z_rozbiórki_szt" localSheetId="2">#REF!</definedName>
    <definedName name="słupki_kilometrowe_U8_na_U1b_z_rozbiórki_szt">#REF!</definedName>
    <definedName name="słupki_murowane" localSheetId="2">#REF!</definedName>
    <definedName name="słupki_murowane">#REF!</definedName>
    <definedName name="stabilizacja_chodnik_m2" localSheetId="2">#REF!</definedName>
    <definedName name="stabilizacja_chodnik_m2">#REF!</definedName>
    <definedName name="stabilizacja_dolna_jezdnia_m2" localSheetId="2">#REF!</definedName>
    <definedName name="stabilizacja_dolna_jezdnia_m2">#REF!</definedName>
    <definedName name="stabilizacja_górna_jezdnia_m2" localSheetId="2">#REF!</definedName>
    <definedName name="stabilizacja_górna_jezdnia_m2">#REF!</definedName>
    <definedName name="stabilizacja_pod_chodnikiem_m2">"="</definedName>
    <definedName name="stabilizacja_pod_dojściami_z_kostki_m2" localSheetId="2">#REF!</definedName>
    <definedName name="stabilizacja_pod_dojściami_z_kostki_m2">#REF!</definedName>
    <definedName name="stabilizacja_pod_zjazdami_m2" localSheetId="2">#REF!</definedName>
    <definedName name="stabilizacja_pod_zjazdami_m2">#REF!</definedName>
    <definedName name="stabilizacja_pod_zjazdami_z_kostki_m2" localSheetId="2">#REF!</definedName>
    <definedName name="stabilizacja_pod_zjazdami_z_kostki_m2">#REF!</definedName>
    <definedName name="stal_murku_żelbetowego">'[1]Zał. 1 - Zestawienie robót'!$I$854</definedName>
    <definedName name="ściek_drogowy_mulda_30cm_m" localSheetId="2">#REF!</definedName>
    <definedName name="ściek_drogowy_mulda_30cm_m">#REF!</definedName>
    <definedName name="ściek_drogowy_mulda_m" localSheetId="2">#REF!</definedName>
    <definedName name="ściek_drogowy_mulda_m">#REF!</definedName>
    <definedName name="ściek_podchodnikowy_m" localSheetId="2">#REF!</definedName>
    <definedName name="ściek_podchodnikowy_m">#REF!</definedName>
    <definedName name="ściek_przykrawężnikowy" localSheetId="2">#REF!</definedName>
    <definedName name="ściek_przykrawężnikowy">#REF!</definedName>
    <definedName name="ściek_skarpowy_m" localSheetId="2">#REF!</definedName>
    <definedName name="ściek_skarpowy_m">#REF!</definedName>
    <definedName name="ściek_skarpowy_monolityczny_m" localSheetId="2">#REF!</definedName>
    <definedName name="ściek_skarpowy_monolityczny_m">#REF!</definedName>
    <definedName name="ścieralna_z_AC_KR2" localSheetId="2">#REF!</definedName>
    <definedName name="ścieralna_z_AC_KR2">#REF!</definedName>
    <definedName name="ścieralna_z_SMA_KR5" localSheetId="2">#REF!</definedName>
    <definedName name="ścieralna_z_SMA_KR5">#REF!</definedName>
    <definedName name="transport_stali_na_odl_1km_t" localSheetId="2">#REF!</definedName>
    <definedName name="transport_stali_na_odl_1km_t">#REF!</definedName>
    <definedName name="transport_stali_powyżej_1km_t" localSheetId="2">#REF!</definedName>
    <definedName name="transport_stali_powyżej_1km_t">#REF!</definedName>
    <definedName name="ułożenie_geosiatki_m2" localSheetId="2">#REF!</definedName>
    <definedName name="ułożenie_geosiatki_m2">#REF!</definedName>
    <definedName name="umocnienie_rowu" localSheetId="2">#REF!</definedName>
    <definedName name="umocnienie_rowu">#REF!</definedName>
    <definedName name="umocnienie_skarp_płytami_ażurowymi_m2" localSheetId="2">#REF!</definedName>
    <definedName name="umocnienie_skarp_płytami_ażurowymi_m2">#REF!</definedName>
    <definedName name="umocnienie_skarp_trylinką" localSheetId="2">#REF!</definedName>
    <definedName name="umocnienie_skarp_trylinką">#REF!</definedName>
    <definedName name="wiążąca_z_AC_KR5" localSheetId="2">#REF!</definedName>
    <definedName name="wiążąca_z_AC_KR5">#REF!</definedName>
    <definedName name="wsp." localSheetId="2">#REF!</definedName>
    <definedName name="wsp.">#REF!</definedName>
    <definedName name="wsp.GD" localSheetId="2">#REF!</definedName>
    <definedName name="wsp.GD">#REF!</definedName>
    <definedName name="wsp.OD" localSheetId="2">#REF!</definedName>
    <definedName name="wsp.OD">#REF!</definedName>
    <definedName name="wsp.RK" localSheetId="2">#REF!</definedName>
    <definedName name="wsp.RK">#REF!</definedName>
    <definedName name="wsp.RZ" localSheetId="2">#REF!</definedName>
    <definedName name="wsp.RZ">#REF!</definedName>
    <definedName name="wycinka_drzew_sr_10_do_15" localSheetId="2">#REF!</definedName>
    <definedName name="wycinka_drzew_sr_10_do_15">#REF!</definedName>
    <definedName name="wycinka_drzew_sr_16_do_35" localSheetId="2">#REF!</definedName>
    <definedName name="wycinka_drzew_sr_16_do_35">#REF!</definedName>
    <definedName name="wycinka_drzew_sr_36_do_45" localSheetId="2">#REF!</definedName>
    <definedName name="wycinka_drzew_sr_36_do_45">#REF!</definedName>
    <definedName name="wycinka_drzew_sr_46_do_55" localSheetId="2">#REF!</definedName>
    <definedName name="wycinka_drzew_sr_46_do_55">#REF!</definedName>
    <definedName name="wycinka_drzew_sr_56_do_75" localSheetId="2">#REF!</definedName>
    <definedName name="wycinka_drzew_sr_56_do_75">#REF!</definedName>
    <definedName name="wycinka_drzew_sr_powyżej_75" localSheetId="2">#REF!</definedName>
    <definedName name="wycinka_drzew_sr_powyżej_75">#REF!</definedName>
    <definedName name="wykopy_zjazdy" localSheetId="2">#REF!</definedName>
    <definedName name="wykopy_zjazdy">#REF!</definedName>
    <definedName name="wymiana_podłoża_do_G1_kruszywo_CBR25" localSheetId="2">#REF!</definedName>
    <definedName name="wymiana_podłoża_do_G1_kruszywo_CBR25">#REF!</definedName>
    <definedName name="wymiana_podłoża_do_G1_kruszywo_CBR60" localSheetId="2">#REF!</definedName>
    <definedName name="wymiana_podłoża_do_G1_kruszywo_CBR60">#REF!</definedName>
    <definedName name="wyrównanie_kruszywem_najezdni_m3" localSheetId="2">#REF!</definedName>
    <definedName name="wyrównanie_kruszywem_najezdni_m3">#REF!</definedName>
    <definedName name="wyrównanie_kruszywem_opaski_przy_ogrodzeniu" localSheetId="2">#REF!</definedName>
    <definedName name="wyrównanie_kruszywem_opaski_przy_ogrodzeniu">#REF!</definedName>
    <definedName name="wyrównanie_z_AC_na_jezdni_t" localSheetId="2">#REF!</definedName>
    <definedName name="wyrównanie_z_AC_na_jezdni_t">#REF!</definedName>
    <definedName name="zdjęcie_tarcz_znaków_do_ponownego_wbudowania_szt" localSheetId="2">#REF!</definedName>
    <definedName name="zdjęcie_tarcz_znaków_do_ponownego_wbudowania_szt">#REF!</definedName>
    <definedName name="zdjęcie_tarcz_znaków_z_wywózką_do_Zamawiającego_szt" localSheetId="2">#REF!</definedName>
    <definedName name="zdjęcie_tarcz_znaków_z_wywózką_do_Zamawiającego_szt">#REF!</definedName>
    <definedName name="zjazdy_z_kruszywa" localSheetId="2">#REF!</definedName>
    <definedName name="zjazdy_z_kruszywa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8" i="83" l="1"/>
  <c r="J89" i="83"/>
  <c r="K93" i="83"/>
  <c r="J86" i="83"/>
  <c r="J83" i="83"/>
  <c r="H80" i="83"/>
  <c r="K80" i="83" s="1"/>
  <c r="K78" i="83"/>
  <c r="H73" i="83"/>
  <c r="M71" i="83"/>
  <c r="H70" i="83"/>
  <c r="M69" i="83"/>
  <c r="M68" i="83"/>
  <c r="H68" i="83"/>
  <c r="M67" i="83"/>
  <c r="H63" i="83"/>
  <c r="H57" i="83"/>
  <c r="H54" i="83"/>
  <c r="H42" i="83"/>
  <c r="H40" i="83"/>
  <c r="M40" i="83" s="1"/>
  <c r="M36" i="83"/>
  <c r="N36" i="83" s="1"/>
  <c r="H36" i="83"/>
  <c r="H29" i="83"/>
  <c r="K27" i="83"/>
  <c r="H27" i="83"/>
  <c r="K8" i="83"/>
  <c r="K7" i="83"/>
  <c r="E21" i="82"/>
  <c r="E22" i="82" s="1"/>
  <c r="I15" i="82"/>
  <c r="I14" i="82"/>
  <c r="I12" i="82"/>
  <c r="C8" i="82"/>
  <c r="H27" i="66"/>
  <c r="H25" i="66"/>
  <c r="K73" i="83" l="1"/>
  <c r="H60" i="83"/>
  <c r="M60" i="83"/>
  <c r="M61" i="83" l="1"/>
  <c r="A67" i="82"/>
  <c r="J9" i="82"/>
  <c r="L9" i="82" s="1"/>
  <c r="K60" i="83" l="1"/>
  <c r="A77" i="82"/>
  <c r="M77" i="82" s="1"/>
  <c r="A69" i="82"/>
  <c r="A79" i="82"/>
  <c r="F69" i="82" l="1"/>
  <c r="E69" i="82"/>
  <c r="D69" i="82"/>
  <c r="C69" i="82"/>
  <c r="A70" i="82"/>
  <c r="F70" i="82" l="1"/>
  <c r="E70" i="82"/>
  <c r="C70" i="82"/>
  <c r="J61" i="82"/>
  <c r="D70" i="82"/>
  <c r="K70" i="82"/>
  <c r="A71" i="82"/>
  <c r="M69" i="82"/>
  <c r="C71" i="82" l="1"/>
  <c r="F71" i="82"/>
  <c r="E71" i="82"/>
  <c r="D71" i="82"/>
  <c r="A72" i="82"/>
  <c r="M70" i="82"/>
  <c r="M71" i="82" l="1"/>
  <c r="C72" i="82"/>
  <c r="D72" i="82"/>
  <c r="F72" i="82"/>
  <c r="E72" i="82"/>
  <c r="A73" i="82"/>
  <c r="M72" i="82" l="1"/>
  <c r="F73" i="82"/>
  <c r="K73" i="82"/>
  <c r="J64" i="82"/>
  <c r="C73" i="82"/>
  <c r="E73" i="82"/>
  <c r="D73" i="82"/>
  <c r="A74" i="82"/>
  <c r="M73" i="82" l="1"/>
  <c r="F74" i="82"/>
  <c r="E74" i="82"/>
  <c r="D74" i="82"/>
  <c r="C74" i="82"/>
  <c r="A75" i="82"/>
  <c r="M74" i="82" l="1"/>
  <c r="C75" i="82"/>
  <c r="D75" i="82"/>
  <c r="F75" i="82"/>
  <c r="E75" i="82"/>
  <c r="A76" i="82"/>
  <c r="K76" i="82" l="1"/>
  <c r="C76" i="82"/>
  <c r="F76" i="82"/>
  <c r="E76" i="82"/>
  <c r="J67" i="82"/>
  <c r="D76" i="82"/>
  <c r="M75" i="82"/>
  <c r="M76" i="82" l="1"/>
  <c r="E79" i="82" s="1"/>
  <c r="H81" i="66" l="1"/>
  <c r="H73" i="66"/>
  <c r="H67" i="66"/>
  <c r="M65" i="66"/>
  <c r="H64" i="66"/>
  <c r="M63" i="66"/>
  <c r="H62" i="66"/>
  <c r="M62" i="66"/>
  <c r="M61" i="66"/>
  <c r="H58" i="66"/>
  <c r="H52" i="66"/>
  <c r="H55" i="66" s="1"/>
  <c r="H49" i="66"/>
  <c r="H39" i="66"/>
  <c r="H33" i="66"/>
  <c r="M33" i="66" s="1"/>
  <c r="N33" i="66" s="1"/>
  <c r="M55" i="66" l="1"/>
  <c r="M56" i="66" s="1"/>
  <c r="J82" i="66" l="1"/>
  <c r="J81" i="66"/>
  <c r="J79" i="66"/>
  <c r="J78" i="66"/>
  <c r="J67" i="66" l="1"/>
  <c r="K67" i="66" s="1"/>
  <c r="J39" i="66" l="1"/>
  <c r="H37" i="66"/>
  <c r="M37" i="66" s="1"/>
  <c r="J85" i="66" l="1"/>
  <c r="K85" i="66" s="1"/>
  <c r="I73" i="66"/>
  <c r="J71" i="66"/>
  <c r="K71" i="66" s="1"/>
  <c r="J49" i="66"/>
  <c r="J37" i="66"/>
  <c r="J34" i="66"/>
  <c r="J33" i="66"/>
  <c r="J25" i="66"/>
  <c r="K25" i="66" s="1"/>
  <c r="J22" i="66"/>
  <c r="J19" i="66"/>
  <c r="J12" i="66"/>
  <c r="I8" i="66"/>
  <c r="K8" i="66" s="1"/>
  <c r="I7" i="66"/>
  <c r="K7" i="66" s="1"/>
  <c r="J55" i="66" l="1"/>
  <c r="K55" i="66" s="1"/>
  <c r="J73" i="66"/>
  <c r="K73" i="66" s="1"/>
  <c r="J74" i="66"/>
  <c r="J72" i="66"/>
  <c r="D17" i="60" l="1"/>
  <c r="E17" i="55" l="1"/>
  <c r="B5" i="56" l="1"/>
  <c r="A53" i="56"/>
  <c r="A65" i="56" s="1"/>
  <c r="D22" i="56"/>
  <c r="E25" i="55"/>
  <c r="E22" i="55"/>
  <c r="E12" i="55"/>
  <c r="E9" i="55"/>
  <c r="E26" i="55" l="1"/>
  <c r="G26" i="55" s="1"/>
  <c r="H26" i="55" s="1"/>
  <c r="A63" i="56"/>
  <c r="J63" i="56" s="1"/>
  <c r="E27" i="55" l="1"/>
  <c r="E28" i="55" s="1"/>
  <c r="A66" i="56"/>
  <c r="E19" i="56" l="1"/>
  <c r="A55" i="56"/>
  <c r="A78" i="56"/>
  <c r="A76" i="56"/>
  <c r="J76" i="56" s="1"/>
  <c r="A68" i="56"/>
  <c r="A69" i="56" s="1"/>
  <c r="A70" i="55"/>
  <c r="E22" i="56"/>
  <c r="F69" i="56" l="1"/>
  <c r="E69" i="56"/>
  <c r="D69" i="56"/>
  <c r="C69" i="56"/>
  <c r="H69" i="56"/>
  <c r="G69" i="56"/>
  <c r="A70" i="56"/>
  <c r="F68" i="56"/>
  <c r="D68" i="56"/>
  <c r="E68" i="56"/>
  <c r="C68" i="56"/>
  <c r="A56" i="56"/>
  <c r="C55" i="56"/>
  <c r="E55" i="56"/>
  <c r="D55" i="56"/>
  <c r="F55" i="56"/>
  <c r="A82" i="55"/>
  <c r="A80" i="55"/>
  <c r="J81" i="55" s="1"/>
  <c r="A72" i="55"/>
  <c r="J68" i="56" l="1"/>
  <c r="J55" i="56"/>
  <c r="A73" i="55"/>
  <c r="E72" i="55"/>
  <c r="C72" i="55"/>
  <c r="F73" i="55"/>
  <c r="D72" i="55"/>
  <c r="D56" i="56"/>
  <c r="G56" i="56"/>
  <c r="H56" i="56"/>
  <c r="E56" i="56"/>
  <c r="F56" i="56"/>
  <c r="C56" i="56"/>
  <c r="A57" i="56"/>
  <c r="F70" i="56"/>
  <c r="E70" i="56"/>
  <c r="D70" i="56"/>
  <c r="A71" i="56"/>
  <c r="C70" i="56"/>
  <c r="J69" i="56"/>
  <c r="F50" i="32"/>
  <c r="F30" i="32"/>
  <c r="F51" i="31"/>
  <c r="F30" i="31"/>
  <c r="F50" i="29"/>
  <c r="F29" i="29"/>
  <c r="F49" i="28"/>
  <c r="F29" i="28"/>
  <c r="E41" i="34"/>
  <c r="C41" i="34"/>
  <c r="E39" i="34"/>
  <c r="C39" i="34"/>
  <c r="E37" i="34"/>
  <c r="C37" i="34"/>
  <c r="F37" i="34" s="1"/>
  <c r="E25" i="34"/>
  <c r="C25" i="34"/>
  <c r="E23" i="34"/>
  <c r="C23" i="34"/>
  <c r="E21" i="34"/>
  <c r="C21" i="34"/>
  <c r="E19" i="34"/>
  <c r="C19" i="34"/>
  <c r="E17" i="34"/>
  <c r="C17" i="34"/>
  <c r="E15" i="34"/>
  <c r="C15" i="34"/>
  <c r="F15" i="34" s="1"/>
  <c r="E13" i="34"/>
  <c r="C13" i="34"/>
  <c r="E41" i="33"/>
  <c r="C41" i="33"/>
  <c r="E39" i="33"/>
  <c r="C39" i="33"/>
  <c r="E37" i="33"/>
  <c r="C37" i="33"/>
  <c r="E25" i="33"/>
  <c r="C25" i="33"/>
  <c r="E23" i="33"/>
  <c r="C23" i="33"/>
  <c r="F23" i="33" s="1"/>
  <c r="E21" i="33"/>
  <c r="F21" i="33" s="1"/>
  <c r="C21" i="33"/>
  <c r="E19" i="33"/>
  <c r="C19" i="33"/>
  <c r="F19" i="33" s="1"/>
  <c r="E17" i="33"/>
  <c r="C17" i="33"/>
  <c r="E15" i="33"/>
  <c r="C15" i="33"/>
  <c r="E13" i="33"/>
  <c r="C13" i="33"/>
  <c r="E45" i="32"/>
  <c r="C45" i="32"/>
  <c r="F45" i="32" s="1"/>
  <c r="E43" i="32"/>
  <c r="C43" i="32"/>
  <c r="E41" i="32"/>
  <c r="C41" i="32"/>
  <c r="E25" i="32"/>
  <c r="C25" i="32"/>
  <c r="E23" i="32"/>
  <c r="C23" i="32"/>
  <c r="E21" i="32"/>
  <c r="C21" i="32"/>
  <c r="F21" i="32" s="1"/>
  <c r="E19" i="32"/>
  <c r="C19" i="32"/>
  <c r="E17" i="32"/>
  <c r="C17" i="32"/>
  <c r="E15" i="32"/>
  <c r="C15" i="32"/>
  <c r="E13" i="32"/>
  <c r="C13" i="32"/>
  <c r="E46" i="31"/>
  <c r="C46" i="31"/>
  <c r="E44" i="31"/>
  <c r="C44" i="31"/>
  <c r="E42" i="31"/>
  <c r="C42" i="31"/>
  <c r="E25" i="31"/>
  <c r="C25" i="31"/>
  <c r="E23" i="31"/>
  <c r="C23" i="31"/>
  <c r="E21" i="31"/>
  <c r="C21" i="31"/>
  <c r="E19" i="31"/>
  <c r="C19" i="31"/>
  <c r="E17" i="31"/>
  <c r="C17" i="31"/>
  <c r="E15" i="31"/>
  <c r="C15" i="31"/>
  <c r="E13" i="31"/>
  <c r="C13" i="31"/>
  <c r="H55" i="30"/>
  <c r="I53" i="30"/>
  <c r="H53" i="30"/>
  <c r="H51" i="30"/>
  <c r="I51" i="30" s="1"/>
  <c r="K51" i="30" s="1"/>
  <c r="H49" i="30"/>
  <c r="G41" i="30"/>
  <c r="F41" i="30"/>
  <c r="E41" i="30"/>
  <c r="G39" i="30"/>
  <c r="F39" i="30"/>
  <c r="E39" i="30"/>
  <c r="G37" i="30"/>
  <c r="F37" i="30"/>
  <c r="E37" i="30"/>
  <c r="G25" i="30"/>
  <c r="F25" i="30"/>
  <c r="E25" i="30"/>
  <c r="G23" i="30"/>
  <c r="F23" i="30"/>
  <c r="E23" i="30"/>
  <c r="G21" i="30"/>
  <c r="F21" i="30"/>
  <c r="E21" i="30"/>
  <c r="G19" i="30"/>
  <c r="F19" i="30"/>
  <c r="E19" i="30"/>
  <c r="G17" i="30"/>
  <c r="F17" i="30"/>
  <c r="E17" i="30"/>
  <c r="G15" i="30"/>
  <c r="F15" i="30"/>
  <c r="E15" i="30"/>
  <c r="G13" i="30"/>
  <c r="F13" i="30"/>
  <c r="E13" i="30"/>
  <c r="A4" i="30"/>
  <c r="E45" i="29"/>
  <c r="C45" i="29"/>
  <c r="E43" i="29"/>
  <c r="C43" i="29"/>
  <c r="E41" i="29"/>
  <c r="C41" i="29"/>
  <c r="E24" i="29"/>
  <c r="C24" i="29"/>
  <c r="E22" i="29"/>
  <c r="C22" i="29"/>
  <c r="E20" i="29"/>
  <c r="C20" i="29"/>
  <c r="E18" i="29"/>
  <c r="C18" i="29"/>
  <c r="E16" i="29"/>
  <c r="C16" i="29"/>
  <c r="E14" i="29"/>
  <c r="C14" i="29"/>
  <c r="E12" i="29"/>
  <c r="C12" i="29"/>
  <c r="E44" i="28"/>
  <c r="C44" i="28"/>
  <c r="E42" i="28"/>
  <c r="C42" i="28"/>
  <c r="E40" i="28"/>
  <c r="C40" i="28"/>
  <c r="E24" i="28"/>
  <c r="C24" i="28"/>
  <c r="E22" i="28"/>
  <c r="C22" i="28"/>
  <c r="E20" i="28"/>
  <c r="C20" i="28"/>
  <c r="E18" i="28"/>
  <c r="C18" i="28"/>
  <c r="E16" i="28"/>
  <c r="C16" i="28"/>
  <c r="E14" i="28"/>
  <c r="C14" i="28"/>
  <c r="F14" i="28" s="1"/>
  <c r="E12" i="28"/>
  <c r="C12" i="28"/>
  <c r="F25" i="34"/>
  <c r="F13" i="34"/>
  <c r="F13" i="33"/>
  <c r="I41" i="30"/>
  <c r="F19" i="31" l="1"/>
  <c r="F15" i="33"/>
  <c r="F19" i="34"/>
  <c r="F25" i="33"/>
  <c r="F39" i="33"/>
  <c r="F17" i="33"/>
  <c r="J53" i="30"/>
  <c r="F17" i="34"/>
  <c r="H17" i="30"/>
  <c r="J17" i="30" s="1"/>
  <c r="F12" i="28"/>
  <c r="I17" i="30"/>
  <c r="K17" i="30" s="1"/>
  <c r="I19" i="30"/>
  <c r="L19" i="30" s="1"/>
  <c r="F25" i="31"/>
  <c r="H23" i="30"/>
  <c r="I39" i="30"/>
  <c r="F16" i="28"/>
  <c r="H19" i="30"/>
  <c r="F18" i="28"/>
  <c r="F45" i="29"/>
  <c r="I21" i="30"/>
  <c r="F23" i="31"/>
  <c r="F41" i="33"/>
  <c r="F23" i="32"/>
  <c r="H25" i="30"/>
  <c r="L25" i="30" s="1"/>
  <c r="F20" i="29"/>
  <c r="I49" i="30"/>
  <c r="J49" i="30" s="1"/>
  <c r="F24" i="28"/>
  <c r="I55" i="30"/>
  <c r="J55" i="30" s="1"/>
  <c r="F40" i="28"/>
  <c r="F22" i="29"/>
  <c r="I37" i="30"/>
  <c r="I44" i="30" s="1"/>
  <c r="H72" i="30" s="1"/>
  <c r="F15" i="31"/>
  <c r="H41" i="30"/>
  <c r="J41" i="30" s="1"/>
  <c r="H21" i="30"/>
  <c r="K21" i="30" s="1"/>
  <c r="F21" i="31"/>
  <c r="F18" i="29"/>
  <c r="K53" i="30"/>
  <c r="H37" i="30"/>
  <c r="J51" i="30"/>
  <c r="F44" i="28"/>
  <c r="F14" i="29"/>
  <c r="I23" i="30"/>
  <c r="K23" i="30" s="1"/>
  <c r="F28" i="33"/>
  <c r="H39" i="30"/>
  <c r="K39" i="30" s="1"/>
  <c r="H15" i="30"/>
  <c r="F43" i="32"/>
  <c r="F37" i="33"/>
  <c r="F12" i="29"/>
  <c r="F16" i="29"/>
  <c r="H13" i="30"/>
  <c r="I15" i="30"/>
  <c r="F17" i="31"/>
  <c r="F22" i="28"/>
  <c r="F41" i="29"/>
  <c r="F43" i="29"/>
  <c r="I13" i="30"/>
  <c r="F44" i="31"/>
  <c r="F46" i="31"/>
  <c r="F13" i="32"/>
  <c r="F15" i="32"/>
  <c r="F17" i="32"/>
  <c r="F19" i="32"/>
  <c r="F23" i="34"/>
  <c r="F39" i="34"/>
  <c r="F41" i="34"/>
  <c r="F20" i="28"/>
  <c r="F42" i="28"/>
  <c r="F24" i="29"/>
  <c r="I25" i="30"/>
  <c r="F42" i="31"/>
  <c r="F25" i="32"/>
  <c r="F41" i="32"/>
  <c r="F21" i="34"/>
  <c r="J56" i="56"/>
  <c r="J73" i="55"/>
  <c r="J70" i="56"/>
  <c r="A72" i="56"/>
  <c r="C71" i="56"/>
  <c r="F71" i="56"/>
  <c r="D71" i="56"/>
  <c r="A58" i="56"/>
  <c r="D57" i="56"/>
  <c r="E57" i="56"/>
  <c r="C57" i="56"/>
  <c r="F57" i="56"/>
  <c r="A74" i="55"/>
  <c r="G65" i="55"/>
  <c r="H74" i="55"/>
  <c r="F74" i="55"/>
  <c r="E73" i="55"/>
  <c r="D73" i="55"/>
  <c r="C73" i="55"/>
  <c r="L23" i="30"/>
  <c r="F13" i="31"/>
  <c r="L17" i="30" l="1"/>
  <c r="J23" i="30"/>
  <c r="F44" i="33"/>
  <c r="J19" i="30"/>
  <c r="L21" i="30"/>
  <c r="L13" i="30"/>
  <c r="J21" i="30"/>
  <c r="L39" i="30"/>
  <c r="J39" i="30"/>
  <c r="H28" i="30"/>
  <c r="F48" i="29"/>
  <c r="F52" i="29" s="1"/>
  <c r="E59" i="29" s="1"/>
  <c r="E55" i="28" s="1"/>
  <c r="F47" i="28"/>
  <c r="F51" i="28" s="1"/>
  <c r="G54" i="28" s="1"/>
  <c r="H54" i="28" s="1"/>
  <c r="F48" i="32"/>
  <c r="F52" i="32" s="1"/>
  <c r="H44" i="30"/>
  <c r="H70" i="30" s="1"/>
  <c r="H74" i="30" s="1"/>
  <c r="F28" i="34"/>
  <c r="K25" i="30"/>
  <c r="K41" i="30"/>
  <c r="F27" i="29"/>
  <c r="F31" i="29" s="1"/>
  <c r="G57" i="29" s="1"/>
  <c r="L15" i="30"/>
  <c r="K19" i="30"/>
  <c r="F49" i="31"/>
  <c r="F53" i="31" s="1"/>
  <c r="F27" i="28"/>
  <c r="F31" i="28" s="1"/>
  <c r="E56" i="28" s="1"/>
  <c r="F44" i="34"/>
  <c r="K13" i="30"/>
  <c r="K28" i="30" s="1"/>
  <c r="J57" i="30"/>
  <c r="L41" i="30"/>
  <c r="F28" i="31"/>
  <c r="F32" i="31" s="1"/>
  <c r="J13" i="30"/>
  <c r="J25" i="30"/>
  <c r="K55" i="30"/>
  <c r="K49" i="30"/>
  <c r="J15" i="30"/>
  <c r="J37" i="30"/>
  <c r="L37" i="30"/>
  <c r="K37" i="30"/>
  <c r="K15" i="30"/>
  <c r="I28" i="30"/>
  <c r="H64" i="30" s="1"/>
  <c r="F28" i="32"/>
  <c r="F32" i="32" s="1"/>
  <c r="J74" i="55"/>
  <c r="J57" i="56"/>
  <c r="E74" i="55"/>
  <c r="A75" i="55"/>
  <c r="C74" i="55"/>
  <c r="F75" i="55"/>
  <c r="D74" i="55"/>
  <c r="C58" i="56"/>
  <c r="A59" i="56"/>
  <c r="F58" i="56"/>
  <c r="D58" i="56"/>
  <c r="E71" i="56"/>
  <c r="J71" i="56" s="1"/>
  <c r="C72" i="56"/>
  <c r="A73" i="56"/>
  <c r="H72" i="56"/>
  <c r="G72" i="56"/>
  <c r="F72" i="56"/>
  <c r="E72" i="56"/>
  <c r="D72" i="56"/>
  <c r="N15" i="30"/>
  <c r="L28" i="30"/>
  <c r="N13" i="30"/>
  <c r="G55" i="29" l="1"/>
  <c r="E57" i="28"/>
  <c r="H35" i="29"/>
  <c r="G59" i="29"/>
  <c r="G61" i="29" s="1"/>
  <c r="E61" i="29"/>
  <c r="H62" i="30"/>
  <c r="H66" i="30" s="1"/>
  <c r="M13" i="30"/>
  <c r="M15" i="30" s="1"/>
  <c r="M17" i="30" s="1"/>
  <c r="N19" i="30" s="1"/>
  <c r="N21" i="30" s="1"/>
  <c r="N23" i="30" s="1"/>
  <c r="N25" i="30" s="1"/>
  <c r="N27" i="30" s="1"/>
  <c r="N28" i="30" s="1"/>
  <c r="E57" i="29"/>
  <c r="E54" i="28" s="1"/>
  <c r="J28" i="30"/>
  <c r="J44" i="30" s="1"/>
  <c r="E55" i="29"/>
  <c r="H59" i="29" s="1"/>
  <c r="I60" i="29" s="1"/>
  <c r="H56" i="28"/>
  <c r="K57" i="30"/>
  <c r="K44" i="30"/>
  <c r="L44" i="30"/>
  <c r="D75" i="55"/>
  <c r="A76" i="55"/>
  <c r="E75" i="55" s="1"/>
  <c r="C75" i="55"/>
  <c r="F76" i="55"/>
  <c r="E73" i="56"/>
  <c r="A74" i="56"/>
  <c r="C73" i="56"/>
  <c r="F73" i="56"/>
  <c r="D73" i="56"/>
  <c r="J72" i="56"/>
  <c r="E58" i="56"/>
  <c r="J58" i="56" s="1"/>
  <c r="D59" i="56"/>
  <c r="A60" i="56"/>
  <c r="G59" i="56"/>
  <c r="C59" i="56"/>
  <c r="H59" i="56"/>
  <c r="E59" i="56"/>
  <c r="F59" i="56"/>
  <c r="J75" i="55"/>
  <c r="N37" i="30" l="1"/>
  <c r="N39" i="30" s="1"/>
  <c r="M41" i="30" s="1"/>
  <c r="M43" i="30" s="1"/>
  <c r="M44" i="30" s="1"/>
  <c r="J76" i="55"/>
  <c r="J59" i="56"/>
  <c r="J73" i="56"/>
  <c r="F74" i="56"/>
  <c r="D74" i="56"/>
  <c r="E74" i="56"/>
  <c r="A75" i="56"/>
  <c r="C74" i="56"/>
  <c r="E60" i="56"/>
  <c r="A61" i="56"/>
  <c r="C60" i="56"/>
  <c r="F60" i="56"/>
  <c r="D60" i="56"/>
  <c r="C76" i="55"/>
  <c r="A77" i="55"/>
  <c r="G68" i="55"/>
  <c r="H77" i="55"/>
  <c r="F77" i="55"/>
  <c r="E76" i="55"/>
  <c r="D76" i="55"/>
  <c r="J74" i="56" l="1"/>
  <c r="C77" i="55"/>
  <c r="F78" i="55"/>
  <c r="A78" i="55"/>
  <c r="D77" i="55"/>
  <c r="E77" i="55"/>
  <c r="J60" i="56"/>
  <c r="E75" i="56"/>
  <c r="D75" i="56"/>
  <c r="C75" i="56"/>
  <c r="H75" i="56"/>
  <c r="G75" i="56"/>
  <c r="F75" i="56"/>
  <c r="J77" i="55"/>
  <c r="E61" i="56"/>
  <c r="A62" i="56"/>
  <c r="C61" i="56"/>
  <c r="F61" i="56"/>
  <c r="D61" i="56"/>
  <c r="J75" i="56" l="1"/>
  <c r="E78" i="56" s="1"/>
  <c r="B20" i="56" s="1"/>
  <c r="J61" i="56"/>
  <c r="F62" i="56"/>
  <c r="C62" i="56"/>
  <c r="D62" i="56"/>
  <c r="G62" i="56"/>
  <c r="H62" i="56"/>
  <c r="E62" i="56"/>
  <c r="C78" i="55"/>
  <c r="A79" i="55"/>
  <c r="F79" i="55"/>
  <c r="D78" i="55"/>
  <c r="J78" i="55"/>
  <c r="J62" i="56" l="1"/>
  <c r="E65" i="56" s="1"/>
  <c r="E78" i="55"/>
  <c r="J79" i="55" s="1"/>
  <c r="F80" i="55"/>
  <c r="C79" i="55"/>
  <c r="D79" i="55"/>
  <c r="G71" i="55"/>
  <c r="H80" i="55"/>
  <c r="E79" i="55"/>
  <c r="J80" i="55" l="1"/>
  <c r="E82" i="55" s="1"/>
  <c r="B24" i="56" s="1"/>
</calcChain>
</file>

<file path=xl/sharedStrings.xml><?xml version="1.0" encoding="utf-8"?>
<sst xmlns="http://schemas.openxmlformats.org/spreadsheetml/2006/main" count="1237" uniqueCount="441">
  <si>
    <t>Razem</t>
  </si>
  <si>
    <t>I</t>
  </si>
  <si>
    <t>x</t>
  </si>
  <si>
    <t>II</t>
  </si>
  <si>
    <t>Inwestor:</t>
  </si>
  <si>
    <t>Słownie:</t>
  </si>
  <si>
    <t>Oznaczenie elementu</t>
  </si>
  <si>
    <t>Wyszczególnienie</t>
  </si>
  <si>
    <t xml:space="preserve">Wartość netto 
(PLN) </t>
  </si>
  <si>
    <t>KOSZT DOSTOSOWANIA SIĘ DO WYMAGAŃ WARUNKÓW KONTRAKTU</t>
  </si>
  <si>
    <t>D</t>
  </si>
  <si>
    <t>E</t>
  </si>
  <si>
    <t>A</t>
  </si>
  <si>
    <t>B</t>
  </si>
  <si>
    <t>C</t>
  </si>
  <si>
    <t>F</t>
  </si>
  <si>
    <t>G</t>
  </si>
  <si>
    <t>PODATEK VAT 23%</t>
  </si>
  <si>
    <t>Lp</t>
  </si>
  <si>
    <t>2.</t>
  </si>
  <si>
    <t>3.</t>
  </si>
  <si>
    <t>H</t>
  </si>
  <si>
    <t>WYMAGANIA OGÓLNE (DZIAŁ OGÓLNY)</t>
  </si>
  <si>
    <t>DROGOWA</t>
  </si>
  <si>
    <t>RAZEM [I]</t>
  </si>
  <si>
    <t>RAZEM [II]</t>
  </si>
  <si>
    <t>Tabela Nr 4</t>
  </si>
  <si>
    <t xml:space="preserve">TABELA ZDJĘCIA HUMUSU </t>
  </si>
  <si>
    <t>CHODNIK W CIĄGU DW NR 987</t>
  </si>
  <si>
    <t>Km</t>
  </si>
  <si>
    <t>Hm</t>
  </si>
  <si>
    <t>Odległości</t>
  </si>
  <si>
    <t>Zdjęcie humusu gr. 15 cm i darniny gr. 10 cm</t>
  </si>
  <si>
    <t>Szerokość [m]</t>
  </si>
  <si>
    <t>Szerokość średnia    
[m]</t>
  </si>
  <si>
    <t>Powierzchnia                 [m2]</t>
  </si>
  <si>
    <t>CHODNIK W CIĄGU DP NR 1333R</t>
  </si>
  <si>
    <t>RAZEM:</t>
  </si>
  <si>
    <t>ZJAZDY:</t>
  </si>
  <si>
    <t>ZW0</t>
  </si>
  <si>
    <t>ZW1</t>
  </si>
  <si>
    <t>ZW2</t>
  </si>
  <si>
    <t>ZP1</t>
  </si>
  <si>
    <t>ZP2</t>
  </si>
  <si>
    <r>
      <t>m</t>
    </r>
    <r>
      <rPr>
        <vertAlign val="superscript"/>
        <sz val="9"/>
        <rFont val="Arial CE"/>
        <charset val="238"/>
      </rPr>
      <t>2</t>
    </r>
  </si>
  <si>
    <t>Tabela Nr 5</t>
  </si>
  <si>
    <t>TABELA HUMUSOWANIA</t>
  </si>
  <si>
    <t>humusowanie gr. warstwy  proj. humusu 10cm</t>
  </si>
  <si>
    <t>Objętość zdjętego humusu wg tabeli nr 4 warstwa gr. 15cm.</t>
  </si>
  <si>
    <r>
      <t>m</t>
    </r>
    <r>
      <rPr>
        <vertAlign val="superscript"/>
        <sz val="9"/>
        <rFont val="Arial CE"/>
        <charset val="238"/>
      </rPr>
      <t>3</t>
    </r>
  </si>
  <si>
    <t>Powierzchnia humusu przeznacozna do usunięcia i wywiezienia na odkład przez Wykonawcę</t>
  </si>
  <si>
    <t xml:space="preserve">TABELA ROBÓT ZIEMNYCH                         </t>
  </si>
  <si>
    <t>Powierzchnia</t>
  </si>
  <si>
    <t>Średnia powierzchnia</t>
  </si>
  <si>
    <t>Odległość (m)</t>
  </si>
  <si>
    <t>Objętość</t>
  </si>
  <si>
    <t>Zyżycie na miejscu [m3]</t>
  </si>
  <si>
    <t>Nadmiar objętości</t>
  </si>
  <si>
    <t>Suma alg.</t>
  </si>
  <si>
    <t>Wykop</t>
  </si>
  <si>
    <t>Nasyp</t>
  </si>
  <si>
    <t>+</t>
  </si>
  <si>
    <t>-</t>
  </si>
  <si>
    <t>[m2]</t>
  </si>
  <si>
    <t>[m3]</t>
  </si>
  <si>
    <t>a</t>
  </si>
  <si>
    <t>b</t>
  </si>
  <si>
    <t>c</t>
  </si>
  <si>
    <t>d</t>
  </si>
  <si>
    <t>e</t>
  </si>
  <si>
    <t>f</t>
  </si>
  <si>
    <t>g</t>
  </si>
  <si>
    <t>Razem:</t>
  </si>
  <si>
    <t>Wykop
[m3]</t>
  </si>
  <si>
    <t>Nasyp
[m3]</t>
  </si>
  <si>
    <t>Bilans [m3]</t>
  </si>
  <si>
    <t>Wykonanie studni kanalizacyjnych przelotowych betonowych ø120 cm - 4,0 sztuk (wykopy i nasypy niezbedne dla wykonania kanału deszcozwego ujęto w ilościach wykazanych w tabeli robót ziemnych)</t>
  </si>
  <si>
    <t>Wykonanie studni kanalizacyjnej połączeniowej o średnicy ø150 cm w gotowym wykopie - 1,0 sztuka</t>
  </si>
  <si>
    <t>Wykonanie przykanalików deszczowych - 11mb</t>
  </si>
  <si>
    <t>Wykonanie studzienek ściekowych ø50cm - 4,0 sztuk</t>
  </si>
  <si>
    <t>WYKOPY OGÓŁEM [m3]</t>
  </si>
  <si>
    <t>NASYPY OGÓŁEM [m3]</t>
  </si>
  <si>
    <t>NADMIAR GRUNTU PRZEZNACOZNY NA ODKŁAD [m3]</t>
  </si>
  <si>
    <t>Tabela nr 7</t>
  </si>
  <si>
    <t>WYKONANIE KORYTA</t>
  </si>
  <si>
    <t>Wykonanie koryta o gł. śr. 55cm</t>
  </si>
  <si>
    <t>Tabela nr 8</t>
  </si>
  <si>
    <t>WYKONANIE WARSTWY ODCINAJĄCEJ</t>
  </si>
  <si>
    <t>Warstwa odcinająca z pospółki gr. 10cm</t>
  </si>
  <si>
    <t>Tabela nr 9</t>
  </si>
  <si>
    <t>WYKONANIE WARSTWY WIĄŻĄCEJ 
Z BETONU ASFALTOWEGO AC 16W</t>
  </si>
  <si>
    <t>Warstwa wiążaca z betonu asfaltowego gr. 7cm</t>
  </si>
  <si>
    <t>Tabela nr 10</t>
  </si>
  <si>
    <t>WYKONANIE WARSTWY ŚCIERALNEJ
Z BETONU ASFALTOWEGO AC 11S</t>
  </si>
  <si>
    <t>Warstwa ścieralna z betonu asfaltowego gr. 5cm</t>
  </si>
  <si>
    <t>Tabela Nr 6</t>
  </si>
  <si>
    <t>PRZEBUDOWA DROGI WOJEWÓDZKIEJ NR 987 KOLBUSZOWA – SĘDZISZÓW MAŁOPOLSKI POLEGAJĄCA NA BUDOWIE CHODNIKA DLA PIESZYCH W KM 13+788 ÷ 13+940 STRONA LEWA W MIEJSCOWOŚCI CZARNA SĘDZISZOWSKA</t>
  </si>
  <si>
    <t>OGÓŁEM DW:</t>
  </si>
  <si>
    <t>OGÓŁEM DP:</t>
  </si>
  <si>
    <t>Humus do ponownego wykorzystnia na miejscu  warstwa gr. 10 cm w ciągu DP.</t>
  </si>
  <si>
    <t>Wykorzystanie humusu na miejscu wg. tabeli nr 5 warstwa gr. 10 cm - DP</t>
  </si>
  <si>
    <t>Wykorzystanie humusu na miejscu wg. tabeli nr 5 warstwa gr. 10 cm - DW</t>
  </si>
  <si>
    <t>Humus do ponownego wykorzystnia na miejscu  warstwa gr. 10 cm w ciagu DW.</t>
  </si>
  <si>
    <t>Powierzchnia humusu do zdjęcia i wywiezienia na odkład warstwa gr. 15 cm - DW</t>
  </si>
  <si>
    <t>Powierzchnia humusu do zdjęcia i wywiezienia na odkład warstwa gr. 15 cm - DP</t>
  </si>
  <si>
    <t xml:space="preserve">Roboty ziemne związane z wykonaniem kanału deszczowego i studzieniek ściekowych w ciągu DW </t>
  </si>
  <si>
    <t>BILANS MAS ZIEMNYCH W CIĄGU DW NR 987</t>
  </si>
  <si>
    <t>BILANS MAS ZIEMNYCH W CIĄGU DP NR 1333R</t>
  </si>
  <si>
    <t>jeżeli "naście"</t>
  </si>
  <si>
    <t>0-5</t>
  </si>
  <si>
    <t>6-9</t>
  </si>
  <si>
    <t>dodatek</t>
  </si>
  <si>
    <t>sumuj te ciągi</t>
  </si>
  <si>
    <t>mgr inż.Tomasz Mroczek
mgr inż. Roman Charchut</t>
  </si>
  <si>
    <t>Branża:</t>
  </si>
  <si>
    <t>Kalkulację sporządził:</t>
  </si>
  <si>
    <t>Data opracowania kalkulacji:</t>
  </si>
  <si>
    <t>.............................</t>
  </si>
  <si>
    <t>Sporządził:</t>
  </si>
  <si>
    <t>Aktualizacje Kosztorysu Inwestorskiego</t>
  </si>
  <si>
    <t>1. styczeń 2015 r.</t>
  </si>
  <si>
    <t xml:space="preserve">SZACUNKOWA KALKULACJA KOSZTÓW </t>
  </si>
  <si>
    <t>X</t>
  </si>
  <si>
    <t>DOKUMENTY WYKONAWCY</t>
  </si>
  <si>
    <t>PRZEBUDOWA / ROZBUDOWA DROGI GMINNEJ (ROBOTY DROGOWE)</t>
  </si>
  <si>
    <t>ROBOTY ZIEMNE
- Wykonanie wykopów i nasypów,</t>
  </si>
  <si>
    <t xml:space="preserve">
ROBOTY  PRZYGOTOWAWCZE
- Wyznaczenei trasy i punktów wysokościowych w terenie,
- Wycinka i karczowanie drzew i krzewów,
- Zdjęcie warstwy humusu,
- Rozbiórki elementów dróg, przepustów, ogrodzeń i furtek, demontaż istn. oznakowania,
</t>
  </si>
  <si>
    <t>OZNAKOWANIE DRÓG I URZĄDZENIA BEZPIECZEŃSTWA RUCHU
- Montaż oznakowania pionowego
- Montaż barier ochronnych
- Wykonanie oznakowania poziomego</t>
  </si>
  <si>
    <t>PRZEBUDOWA I ZABEZPIECZENIE ISTNIEJĄCYCH SIECI UZBROJENIA TERENU
(ROBOTY BRANŻOWE)</t>
  </si>
  <si>
    <t xml:space="preserve">ROBOTY BUDOWLANE W ZAKRESIE ISTNIEJĄCYCH SIECI </t>
  </si>
  <si>
    <r>
      <t xml:space="preserve">
Dokumentacja Projektowa opracowywana przez Wykonawcę:
</t>
    </r>
    <r>
      <rPr>
        <i/>
        <sz val="10"/>
        <rFont val="Arial"/>
        <family val="2"/>
        <charset val="238"/>
      </rPr>
      <t>- Materiały geodezyjne - mapa do celów projektowych, wypisy i wyrysy z ewidencji gruntów, projekty podziału gruntów
  w zalezności od potrzeb,
- Dokumentacja Geotechniczna/Geologiczno - Inzynierska w zależności od potrzeb,
- Projekt Budowlany dla wszystkich branż wraz z kompletem niezbędnych decyzji opinii i uzgodnień
- Wniosek o wydanie pozwolenie na budowę wraz z uzyskaniem decyzji o pozwoleniu na budowę (w zależności od potrzeb) 
- Materiały do wniosku o ZRID wraz ze złożeniem wniosku i uzyskaniem decyzji ZRID (w zależności od potrzeb)
- Projekt Wykonawczy, Projekty stałej i tymczasowej organizacji ruchu, STWiORB, projekty branżowe, projekty technologiczne
  i inne w zalezności od potrzeb</t>
    </r>
    <r>
      <rPr>
        <i/>
        <sz val="12"/>
        <rFont val="Arial"/>
        <family val="2"/>
        <charset val="238"/>
      </rPr>
      <t xml:space="preserve">
</t>
    </r>
  </si>
  <si>
    <t>RAZEM [III]</t>
  </si>
  <si>
    <t>IV</t>
  </si>
  <si>
    <t>RAZEM [IV]</t>
  </si>
  <si>
    <t>GMINA WIELOPOLE SKRZYŃSKIE
POWIAT ROPCZYCKO - SĘDZISZOWSKI
WOJ. PODKARPACKIE</t>
  </si>
  <si>
    <t>SZACUNKOWA KALKULACJA KOSZTÓW</t>
  </si>
  <si>
    <t>J</t>
  </si>
  <si>
    <t>GMINA WIELOPOLE SKRZYŃSKIE
WIELOPOLE SKRZYŃSKIE 200
39-110 WIELOPOLE SKRZYŃSKIE</t>
  </si>
  <si>
    <t>OGÓŁEM SZACUNKOWA WARTOŚĆ ROBÓT BRUTTO</t>
  </si>
  <si>
    <t>Wartość szacunkowa robót  (netto):</t>
  </si>
  <si>
    <t>Ogółem szacunkowa wartość robót (brutto):</t>
  </si>
  <si>
    <t>K</t>
  </si>
  <si>
    <t>Numer i relacja drogi gminnej oraz planowany zakres robót:</t>
  </si>
  <si>
    <t>Nazwa obiektu:</t>
  </si>
  <si>
    <t>Adres obiektu:</t>
  </si>
  <si>
    <t>grudzień 2015 r.</t>
  </si>
  <si>
    <t xml:space="preserve">
Droga gminna nr 107718 R Brzeziny – Dół Północny
km od 0+000 do km 4+927
</t>
  </si>
  <si>
    <t xml:space="preserve">
NAWIERZCHNIE
- Wykonanie poszerzenia jezdni, wykonanie warstwy profilowej i warstwy ścieralnej lokalne naprawy istniejącej
   nawierzchni odcinek od km 0+000 do km 1+000
- Wykonanie nowych warstw nawierzchni bitumicznej, warstwa wiążąca i warstwa ścieralna na całej szerokości 
   jezdni od km 1+000 do km 4+927
</t>
  </si>
  <si>
    <t xml:space="preserve">ODWODNIENIE KORPUSU DROGOWEGO
- Odtworzenie rowów przydrożnych, umocnienie skarp i dna rowów elementami prefabrykowanymi,
- Sprawdzenie stanu technicznego, oczyszczenie i udrożnienie, przebudowa istniejących lub budowa 
  nowych przepustów (w zależności od potrzeb),
- Roboty konserwacyjne na istniejących rowach - odmulenie regulacja skarp na całej długości odcinka,
</t>
  </si>
  <si>
    <t>ROBOTY  WYKOŃCZENIOWE
- Plantowanie terenu, humusowanie,
- Scinanie i uzpełnianie poboczy,
- Odtworzenie zjazdów i zapewnienie dostepu do sąsiednich działek i pól uprawnych</t>
  </si>
  <si>
    <t xml:space="preserve">PODBUDOWY
- Wykonanie koryta i warstw konstrukcyjnych na poszerzeniach jezdni dcinek od km 0+000 do km 0+1+000
- Wykonanie koryta i warstw konstrukcyjnych na całej szerokości jedni odcinek od km 1+000 do km 4+927
  </t>
  </si>
  <si>
    <t xml:space="preserve">
ZATOKI POSTOJOWE
- Wykonanie 2 zatok postojowych wraz z peronem w lokalizacjach uzgodnionych z Zamawiającym
</t>
  </si>
  <si>
    <t xml:space="preserve">SZACUNKOWA WARTOŚĆ ROBÓT NETTO [I+II+III+IV] </t>
  </si>
  <si>
    <t>koszty ogólne</t>
  </si>
  <si>
    <t>koszty inwestycyjne</t>
  </si>
  <si>
    <t xml:space="preserve">ZBIORCZE ZESTAWIENIE KOSZTÓW </t>
  </si>
  <si>
    <t>Drogowa</t>
  </si>
  <si>
    <t>01.2018 r.</t>
  </si>
  <si>
    <t>mgr inż. Barbara Kawalec</t>
  </si>
  <si>
    <t>Opracował</t>
  </si>
  <si>
    <t>1.</t>
  </si>
  <si>
    <t>Nr uprawnień</t>
  </si>
  <si>
    <t>Podpis</t>
  </si>
  <si>
    <t>Data</t>
  </si>
  <si>
    <t>Imię i Nazwisko</t>
  </si>
  <si>
    <t>Lp.</t>
  </si>
  <si>
    <t>AUTORZY OPRACOWANIA:</t>
  </si>
  <si>
    <t>INWESTOR:</t>
  </si>
  <si>
    <t>CZĘŚĆ</t>
  </si>
  <si>
    <t>DZIAŁKI NR EWID.:</t>
  </si>
  <si>
    <t>WOJEWÓDZTWO PODKARPACKIE</t>
  </si>
  <si>
    <t>POWIAT ROPCZYCKO - SĘDZISZOWSKI</t>
  </si>
  <si>
    <t>ADRES OBIEKTÓW:</t>
  </si>
  <si>
    <t>OBIEKTY:</t>
  </si>
  <si>
    <t>NAZWA ZADANIA:</t>
  </si>
  <si>
    <r>
      <t>RODZAJ OPRACOWANIA</t>
    </r>
    <r>
      <rPr>
        <i/>
        <sz val="12"/>
        <rFont val="Arial"/>
        <family val="2"/>
        <charset val="238"/>
      </rPr>
      <t>:</t>
    </r>
  </si>
  <si>
    <t xml:space="preserve">
PROGRAM
 FUNKCJONALNO-UŻYTKOWY
</t>
  </si>
  <si>
    <t>ZAPROJEKTOWANIE I BUDOWA DROGI GMINNEJ – PRZEDŁUŻENIE UL. PRZEMYSŁOWEJ – ODCINEK „A” 
O DŁUGOŚCI OK 1220 M, ODCINEK „B” 
O DŁUGOŚCI OKOŁO 100 M ORAZ ZAPROJEKTOWANIE 
I PRZEBUDOWA ODCINKA UL. PRZEMYSŁOWEJ OD KM 0+555,00 DO KM 0+788,00 WRAZ Z NIEZBĘDNĄ INFRASTRUKTURĄ I PRZEBUDOWĄ SIECI UZBROJENIA TERENU W MIEŚCIE ROPCZYCE</t>
  </si>
  <si>
    <t>GMINA ROPCZYCE, POWIAT ROPCZYCKO - SĘDZISZOWSKI
WOJEWÓDZTWO PODKARPACKIE</t>
  </si>
  <si>
    <t>GMINA ROPCZYCE
WOJEWÓDZTWO PODKARPACKIE</t>
  </si>
  <si>
    <t>ZBIORCZE ZESTAWIENIE KOSZTÓW</t>
  </si>
  <si>
    <t xml:space="preserve">UL. KRISEGO 1 </t>
  </si>
  <si>
    <t>39 – 100 ROPCZYCE</t>
  </si>
  <si>
    <t>Funkcja</t>
  </si>
  <si>
    <t>ISTNIEJĄCA DROGA GMINNA NR 107558R UL. PRZEMYSŁOWA ORAZ NOWOPROJEKTOWANY ODCINEK DROGI GMINNEJ STANOWIĄCY PRZEDŁUŻENIE UL. PRZEMYSŁOWEJ</t>
  </si>
  <si>
    <t>ilości wykopów nasypów x średnia cena</t>
  </si>
  <si>
    <t>powierzchnie utwardzoen ogółem</t>
  </si>
  <si>
    <t>Magnezyty konstr na KR6 80 ok 9 800 m2 jezdnia, 
ścieżka rowerowa 30cm, chodnik 25 cm</t>
  </si>
  <si>
    <t>wg. opracowanego PSOR</t>
  </si>
  <si>
    <t>należy przyjąć realnie ok 0,5% wartosci netto robót zasadniczych maksymalnei 1%</t>
  </si>
  <si>
    <t>należy przyjać maks 0,5% wartości rboót budowlanych</t>
  </si>
  <si>
    <t>Rzeszów, maj 2020 r.</t>
  </si>
  <si>
    <t>05.2020 r.</t>
  </si>
  <si>
    <t>mgr inż. Roman Charchut
PDK/0061/PWOD/18</t>
  </si>
  <si>
    <t>Poz.</t>
  </si>
  <si>
    <t>Nazwa jednostki</t>
  </si>
  <si>
    <t>Ilość jednostek</t>
  </si>
  <si>
    <t>Cena
jednostkowa</t>
  </si>
  <si>
    <t>Wartość
netto</t>
  </si>
  <si>
    <t>SST 00.00.00</t>
  </si>
  <si>
    <t>00.00.00</t>
  </si>
  <si>
    <t xml:space="preserve">Koszt dostosowania się do warunków kontraktowych </t>
  </si>
  <si>
    <t>1.1</t>
  </si>
  <si>
    <t>ryczałt</t>
  </si>
  <si>
    <t>1.2</t>
  </si>
  <si>
    <t>RAZEM [A]:</t>
  </si>
  <si>
    <t>SST 01.00.00
CPV 45111000-8</t>
  </si>
  <si>
    <r>
      <t xml:space="preserve">ROBOTY PRZYGOTOWAWCZE
</t>
    </r>
    <r>
      <rPr>
        <sz val="10"/>
        <rFont val="Times New Roman"/>
        <family val="1"/>
        <charset val="238"/>
      </rPr>
      <t>Roboty w zakresie burzenia, roboty ziemne</t>
    </r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</si>
  <si>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</si>
  <si>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t>01.02.04</t>
  </si>
  <si>
    <t>m</t>
  </si>
  <si>
    <t>szt.</t>
  </si>
  <si>
    <r>
      <t>m</t>
    </r>
    <r>
      <rPr>
        <b/>
        <vertAlign val="superscript"/>
        <sz val="10"/>
        <rFont val="Times New Roman"/>
        <family val="1"/>
        <charset val="238"/>
      </rPr>
      <t>3</t>
    </r>
  </si>
  <si>
    <t>SST 02.00.00
CPV 45112000-5</t>
  </si>
  <si>
    <r>
      <t xml:space="preserve">ROBOTY ZIEMNE
</t>
    </r>
    <r>
      <rPr>
        <sz val="10"/>
        <rFont val="Times New Roman"/>
        <family val="1"/>
        <charset val="238"/>
      </rPr>
      <t>Roboty w zakresie usuwania gleby</t>
    </r>
  </si>
  <si>
    <t>RAZEM [B]:</t>
  </si>
  <si>
    <t>RAZEM [C]:</t>
  </si>
  <si>
    <t>SST 04.00.00
CPV 45233000-9</t>
  </si>
  <si>
    <t>Koryto wraz z profilowaniem i zagęszczeniem podłoża</t>
  </si>
  <si>
    <t>RAZEM [D]:</t>
  </si>
  <si>
    <t>SST 05.00.00
CPV 45233000-9</t>
  </si>
  <si>
    <r>
      <t xml:space="preserve">NAWIERZCHNIE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</si>
  <si>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RAZEM [E]:</t>
  </si>
  <si>
    <t>SST 06.00.00
CPV 45233000-9</t>
  </si>
  <si>
    <r>
      <t xml:space="preserve">ROBOTY WYKOŃCZENIOWE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</si>
  <si>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Umocnienie skarp, rowów i ścieków</t>
  </si>
  <si>
    <t>06.01.01.22</t>
  </si>
  <si>
    <t>RAZEM [F]:</t>
  </si>
  <si>
    <t>SST 07.00.00
CPV 45233000-9</t>
  </si>
  <si>
    <r>
      <t xml:space="preserve">OZNAKOWANIE DRÓG I URZĄDZENIA BEZPIECZEŃSTWA RUCHU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</si>
  <si>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07.02.01</t>
  </si>
  <si>
    <t>Oznakowanie pionowe</t>
  </si>
  <si>
    <t/>
  </si>
  <si>
    <t>RAZEM [G]:</t>
  </si>
  <si>
    <t>L</t>
  </si>
  <si>
    <t>m2</t>
  </si>
  <si>
    <t>PODATEK VAT 23%:</t>
  </si>
  <si>
    <t>OGÓŁEM WARTOŚĆ KOSZTORYSOWA ROBÓT BRUTTO:</t>
  </si>
  <si>
    <t>Wytyczenie proj. robót w terenie oczyszczenie i przygotowanie pasa drogowego</t>
  </si>
  <si>
    <t>Wykonanie wykopów / nasypów w gruntach I-V kat.</t>
  </si>
  <si>
    <t>Ulepszone podłoże z gruntu stabilizowanego cemenetem</t>
  </si>
  <si>
    <t>V</t>
  </si>
  <si>
    <t>PRZEBUDOWA SIECI GAZOWEJ - BRANŻA SANITARNA -</t>
  </si>
  <si>
    <t>OGÓŁEM [I] PRACE PROJEKTOWE I KOSZTY OGÓLNE:</t>
  </si>
  <si>
    <t>OGÓŁEM [II] ROBOTY DROGOWE:</t>
  </si>
  <si>
    <t>ROBOTY  PRZYGOTOWAWCZE</t>
  </si>
  <si>
    <t>ROBOTY ZIEMNE</t>
  </si>
  <si>
    <t>PODBUDOWY</t>
  </si>
  <si>
    <t xml:space="preserve">NAWIERZCHNIE </t>
  </si>
  <si>
    <t>ROBOTY  WYKOŃCZENIOWE</t>
  </si>
  <si>
    <t>OZNAKOWANIE DRÓG I URZĄDZENIA BEZPIECZEŃSTWA RUCHU</t>
  </si>
  <si>
    <t>PRZEBUDOWA DOZIEMNYCH SIECI I PRZYŁĄCZY GAZOWYCH KOLIDUJĄCYCH Z PROj. DROGĄ</t>
  </si>
  <si>
    <t>RAZEM [V]</t>
  </si>
  <si>
    <t>BRANŻA:</t>
  </si>
  <si>
    <r>
      <t xml:space="preserve">mgr inż. Roman Charchut 
</t>
    </r>
    <r>
      <rPr>
        <i/>
        <sz val="8"/>
        <rFont val="Arial"/>
        <family val="2"/>
        <charset val="238"/>
      </rPr>
      <t>PDK/0061/PWOD/18</t>
    </r>
  </si>
  <si>
    <t>01.02.02</t>
  </si>
  <si>
    <t>02.00.00</t>
  </si>
  <si>
    <t>PROJEKT WYKONAWCZY</t>
  </si>
  <si>
    <t>06.01.01.45</t>
  </si>
  <si>
    <t xml:space="preserve">Umocnienie skarp prefabrykatami ażurowymi typu krata </t>
  </si>
  <si>
    <t>04.03.01</t>
  </si>
  <si>
    <t>Oczyszczenie i skropienie warstw konstrukcyjnych</t>
  </si>
  <si>
    <t>Oczyszcznie i skropienie emulsją asfaltową warstw konstrukcyjnych ulepszonych mechanicznie</t>
  </si>
  <si>
    <t>04.04.02</t>
  </si>
  <si>
    <t>Podbudowy z kruszywa łamanego stabilizowanego mechanicznie</t>
  </si>
  <si>
    <t>04.05.01</t>
  </si>
  <si>
    <t>3.2</t>
  </si>
  <si>
    <t>01.02.01</t>
  </si>
  <si>
    <t>Zdjęcie humusu darniny</t>
  </si>
  <si>
    <t>Usunięcie drzew i krzaków</t>
  </si>
  <si>
    <t>01.02.01.22</t>
  </si>
  <si>
    <t>Rozbiórki elementów dróg, ogrodzeń i przepustów</t>
  </si>
  <si>
    <t>01.02.04.11</t>
  </si>
  <si>
    <t>Rozebranie podbudowy z kruszywa, gr. w-wy do 30 cm</t>
  </si>
  <si>
    <t>Wykonanie nasypów mechanicznie z gruntu kat. I-V uzyskanego z wykopu</t>
  </si>
  <si>
    <t>2.1</t>
  </si>
  <si>
    <t>01.02.02.12</t>
  </si>
  <si>
    <t>3.1</t>
  </si>
  <si>
    <t>4.1</t>
  </si>
  <si>
    <t>5.1</t>
  </si>
  <si>
    <t>5.2</t>
  </si>
  <si>
    <t>5.3</t>
  </si>
  <si>
    <t>5.4</t>
  </si>
  <si>
    <t>6.1</t>
  </si>
  <si>
    <t>6.2</t>
  </si>
  <si>
    <t>7.1</t>
  </si>
  <si>
    <t>8.1</t>
  </si>
  <si>
    <t>PRZEDMIAR ROBÓT</t>
  </si>
  <si>
    <t>01.01.01.22</t>
  </si>
  <si>
    <t>Wykonanie wykopów mechanicznie w gr. kat. I-V z możliwością wykorzystania na miejscu</t>
  </si>
  <si>
    <t>KOSZTORYS OFERTOWY</t>
  </si>
  <si>
    <t>Nazwa zadania:</t>
  </si>
  <si>
    <t>Usunięcie zakrzaczeń karczowanie roślinnosci niskiej (w tym nasadzeń ozodbnych) w obrębie  pasa drogowego</t>
  </si>
  <si>
    <t>Mechaniczne usunięcie warstwy ziemi urodzajnej (humusu) o średniej gr. w-wy 15 cm z darniną do późniejszego częściowego wykorzystania</t>
  </si>
  <si>
    <r>
      <t xml:space="preserve">PODBUDOWY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</si>
  <si>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01.02.04.21</t>
  </si>
  <si>
    <t>Rozebranie nawierzchni z tłucznia, gr. w-wy do 15 cm</t>
  </si>
  <si>
    <t>WOJEWÓDZTWO: PODKARPACKIE</t>
  </si>
  <si>
    <t>CZĘŚĆ:</t>
  </si>
  <si>
    <t xml:space="preserve">
Wykonanie i zatwierdzenie projektu oznakowania robót i organizacji ruchu na czas prowadzenia robót (4 egz.) wraz z zakupem, ustawieniem, rozbiórką (po zakończeniu robót) oraz utrzymaniem oznakowania w trakcie realizacji robót
</t>
  </si>
  <si>
    <t>Nawierzchnia z betonu asfaltowego</t>
  </si>
  <si>
    <t>Wykonanie nawierzchni z betonu asfaltowego AC16W, warstwa wiążąca, gr. w-wy 4 cm</t>
  </si>
  <si>
    <t>05.03.05.26</t>
  </si>
  <si>
    <t>Wykonanie nawierzchni z betonu asfaltowego AC 11S warstwa ścieralna, gr. w-wy 4 cm</t>
  </si>
  <si>
    <t>04.04.02.23</t>
  </si>
  <si>
    <t>Plantowanie i humusowanie z obsianiem skarp przy grubości humusu 10 cm</t>
  </si>
  <si>
    <t>Wykonanie wykopów mechanicznie w gr. kat. I-V z transportem urobku</t>
  </si>
  <si>
    <t>Wykonanie nasypów mechanicznie z gruntu kat. I-V uzyskanego z dokopu</t>
  </si>
  <si>
    <t>Podstawy
[Nr STWiORB/ SP/CPV]</t>
  </si>
  <si>
    <t>Usunięcie drzew kolidujących z inwestycją o średnicy pnia 10-35cm w obrębie pasa drogowego</t>
  </si>
  <si>
    <t>01.02.01.11</t>
  </si>
  <si>
    <t>Usunięcie drzew kolidujących z inwestycją o średnicy pnia 36-55cm w obrębie pasa drogowego</t>
  </si>
  <si>
    <t>01.02.01.12</t>
  </si>
  <si>
    <t>02.01.01.12</t>
  </si>
  <si>
    <t>02.01.01.14</t>
  </si>
  <si>
    <t>02.02.03.11</t>
  </si>
  <si>
    <t>02.02.03.13</t>
  </si>
  <si>
    <t>04.01.01.13</t>
  </si>
  <si>
    <t>04.03.01.12
04.03.01.22</t>
  </si>
  <si>
    <t>05.03.05</t>
  </si>
  <si>
    <t>05.03.05.13</t>
  </si>
  <si>
    <t>6.3</t>
  </si>
  <si>
    <t>6.4</t>
  </si>
  <si>
    <t>07.02.01.41</t>
  </si>
  <si>
    <t>07.02.01.44</t>
  </si>
  <si>
    <t>Dostawa i montaż tarcz znaków - znaki małe</t>
  </si>
  <si>
    <t>Wyszczególnienie elementów rozliczeniowych
(Opis robót i obliczenie ich ilości)</t>
  </si>
  <si>
    <t>KOSZT DOSTOSOWANIA SIĘ DO WYMAGAŃ OGÓLNYCH KONTRAKTU</t>
  </si>
  <si>
    <t xml:space="preserve">Wyznaczenie proj. trasy i punktów wysokościowych w terenie. Kompleksowa obsługa geodezyjna inwestycji. Odtworzenie przebiegu istniejącego pasa drogowego (I.P.D.) wraz z wykonaniem geodezyjnej inwentaryzacji powykonawczej. </t>
  </si>
  <si>
    <t>Karczowanie zarośli i krzaków. Przycinanie gałęzi drzew wraz z usunięciem (zniszczeniem) karpiny, drągowiny i gałęzi. Utylizacja materiału z karczowania w gestii Wykonawcy robót - roślinność niska kolidująca z projektowanym zakresem robót drogowych.
&lt;F=350,00 m2&gt;</t>
  </si>
  <si>
    <t>01.02.04.72</t>
  </si>
  <si>
    <t>wykop</t>
  </si>
  <si>
    <t>nasyp</t>
  </si>
  <si>
    <t>05.03.11</t>
  </si>
  <si>
    <t>Recykling /remixing/</t>
  </si>
  <si>
    <t>05.03.11.32</t>
  </si>
  <si>
    <t>Wykonanie ulepszonego podłoża z gruntu stabilizowanego spoiwem hydraulicznym na miejscu, gr. w-wy 30 o Rm=2,5MPa</t>
  </si>
  <si>
    <t>04.05.01.15</t>
  </si>
  <si>
    <t xml:space="preserve">Wykonanie frezowania istn. nawierzchni asfaltowych na zimno śr gr. w-wy 6cm </t>
  </si>
  <si>
    <t>06.01.01.61</t>
  </si>
  <si>
    <t>Wykonanie umocnienia dna rowów elementami prefabrykowanymi typu korytko muldowe</t>
  </si>
  <si>
    <t>Przepusty pod zjazdami</t>
  </si>
  <si>
    <t xml:space="preserve">Ustawienie słupków z rur stalowych dla znaków drogowych </t>
  </si>
  <si>
    <t>Dostawa i przymocowanie tarcz do słupków stalowych.</t>
  </si>
  <si>
    <t>Dostawa i ustawienie słupków z rur stalowych pod znaki drogowe, długość dostosowana do ilości montowanych znaków.</t>
  </si>
  <si>
    <t>06.02.01</t>
  </si>
  <si>
    <t>06.01.01</t>
  </si>
  <si>
    <t>06.02.01.13</t>
  </si>
  <si>
    <t>Ścinanie i uzupełnianie poboczy</t>
  </si>
  <si>
    <t>Wykonanie pobocza ulepszonego z mieszanki z kruszyw łamanych - gr 10cm</t>
  </si>
  <si>
    <t>06.03.01</t>
  </si>
  <si>
    <t>06.03.01.31</t>
  </si>
  <si>
    <t>3.3</t>
  </si>
  <si>
    <t>GMINA: LUBENIA</t>
  </si>
  <si>
    <t>POWIAT: RZESZOWSKI</t>
  </si>
  <si>
    <t>GMINA LUBENIA
36-042 LUBENIA 131</t>
  </si>
  <si>
    <t>04.01.01</t>
  </si>
  <si>
    <t>01.01.01</t>
  </si>
  <si>
    <t>km</t>
  </si>
  <si>
    <t>ROBOTY DROGOWE: PRZEBUDOWA DROGI GMINNEJ</t>
  </si>
  <si>
    <t>WARTOŚĆ KOSZTORYSOWA ROBÓT BEZ PODATKU VAT [I+II]:</t>
  </si>
  <si>
    <t>1.2 PRZEDMIAR ROBÓT I KOSZTORYS OFERTOWY</t>
  </si>
  <si>
    <t>Adres zadania:</t>
  </si>
  <si>
    <t>Branża</t>
  </si>
  <si>
    <t>Opracował:</t>
  </si>
  <si>
    <t>mgr inż. Roman Charchut
mgr inż. Krzysztof Gajewski</t>
  </si>
  <si>
    <t>Data opracowania:</t>
  </si>
  <si>
    <t xml:space="preserve">SZACUNKOWA WARTOŚĆ ROBÓT NETTO [I+II] </t>
  </si>
  <si>
    <t xml:space="preserve">GMINA LUBENIA
36-042 LUBENIA 131
</t>
  </si>
  <si>
    <t xml:space="preserve">PRZEBUDOWA DROGI GMINNEJ STRASZYDLE - BLIZIANKA
KM OD 0+000,00 DO 0+998,00 W MIEJSCOWOŚCI STRASZYDLE
</t>
  </si>
  <si>
    <t>M. STRASZYDLE
GMINA LUBENIA
POWIAT RZESZOWSKI
WOJ. PODKARPACKIE</t>
  </si>
  <si>
    <t>08.2022 r.</t>
  </si>
  <si>
    <t>PRZEBUDOWA DROGI GMINNEJ STRASZYDLE - BLIZIANKA
KM OD 0+000,00 DO 0+998,00 W MIEJSCOWOŚCI STRASZYDLE</t>
  </si>
  <si>
    <t>MIEJSCOWOŚĆ: STRASZYDLE, BLIZIANKA</t>
  </si>
  <si>
    <t>Rzeszów, sierpień 2022 r.</t>
  </si>
  <si>
    <t xml:space="preserve">
Wykonanie planu bezpieczeństwa i ochrony zdrowia (BIOZ) i programu zapwenienia jakości (PZJ) oraz harmonogramu rzeczowo-finansowego wraz z aktualizacją tych dokumentów w czasie robót
</t>
  </si>
  <si>
    <r>
      <rPr>
        <sz val="10"/>
        <rFont val="Times New Roman"/>
        <family val="1"/>
        <charset val="238"/>
      </rPr>
      <t xml:space="preserve">Odcinek  drogi gminnej od km 0+000,00 do km 0+998,00   położony w terenie pagórowatym. 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W ramach ceny ryczałtowej uwzględnić należy kompletną obsluge geodezyjną inwestycji m.in. wytyczenie wszystkich punktów projektowanej drogi, wyniesienie wysokościowe w charakterystycznych przekrojach poprzecznych wytyczenie istniejących sieci oraz ich ewentualnej nowej trasy po przebudowie itp. Tymczasowa stabilizacja na czas robót przebiegu granic pasa drogowego. Inne czynnosci przewidzane w STWiORB
&lt;L=0,998 km&gt; - dlugość odcinka drogi gminnej objętej opracowaniem</t>
    </r>
  </si>
  <si>
    <t>Wycinka drzew kolidujących z inwestycją obejmuje ewentualne przycinanie gałęzi drzew przed ścięciem wraz z usunięciem (zniszczeniem) karpiny, drągowiny i gałęzi. Transport poza obręb robót oraz utylizacja materiału z karczowania w gestii Wykonawcy robót. Pełnowartościowe drewno zagospodarować zgodnie z warunkami kontraktowymi.
&lt;N=15,0 szt.&gt;</t>
  </si>
  <si>
    <t>Wycinka drzew kolidujących z inwestycją obejmuje ewentualne przycinanie gałęzi drzew przed ścięciem wraz z usunięciem (zniszczeniem) karpiny, drągowiny i gałęzi. Transport poza obręb robót oraz utylizacja materiału z karczowania w gestii Wykonawcy robót. Pełnowartościowe drewno zagospodarować zgodnie z warunkami kontraktowymi 
&lt;N=5,0 szt.&gt;</t>
  </si>
  <si>
    <t xml:space="preserve">Mechaniczne usunięcie warstwy urodzajnej (humusu) gr. w-wy 15cm z transportem na odkład. Transport i miejsce składowania (ewen. utylizacji) zapewnia Wykonawca robót. Nadmiar darniny i humus przechodzi na własność Wykonawcy.
&lt;F=5331,32 m2&gt; - wg rys. Plan sytuacyjny przewidywane jest odhumusowanie powierzchni skarp i terenów zielonych do granicy pasa drogowego </t>
  </si>
  <si>
    <t>Rozbiórka nawierzchni z tłucznia na istniejących zjazdach do sąsiadujących nieruchomości gruntowych.
 &lt;F=432,00 m2&gt;  - wg rys. Plan sytuacyjny</t>
  </si>
  <si>
    <t>Rozebranie przepustów betonowych i z tworzyw sztucznych średnicy Ø30 - Ø60 cm pod korpusem drogi oraz istniejącymi zjazdami wraz z ściankami czołowymi.  Materiał z rozbiórki stanowi własność Wykonawcy. Transport materiału i utylizacja w gestii Wykonawcy
&lt;L=98,00m&gt;  - wg rys. Plan sytuacyjny</t>
  </si>
  <si>
    <t xml:space="preserve">Wykonanie wykopów mechanicznie w gr. kat. I-V z transportem urobku w nasyp. Wykonawca zapewni miejsce składowania gruntu własnym staraniem i na własny koszt.
Założono ok 80% wykorzystanie gruntu z wykopu - &lt;V=2295,40 m3&gt; </t>
  </si>
  <si>
    <t xml:space="preserve">Wykonanie wykopów mechanicznie w gr. kat. I-V z transportem urobku. Nadmiar gruntu - grunt nieprzydatny pochodzący z wykopu. Wykonawca przetransportuje w miejsce uzgodnione z Inwestorem na odlełgość do 5,0 km.
&lt;V=483,23 m3&gt; </t>
  </si>
  <si>
    <t>Wykonanie nasypów mechanicznie. Grunt dostarczony w wykopu.
&lt;V=2295,40 m3&gt;</t>
  </si>
  <si>
    <t>Wykonanie nasypów mechanicznie. Grunt dostarczony w dokopu, pozyskany na koszt i staraniem Wykonawcy
&lt;V= 1596,80 m3&gt;</t>
  </si>
  <si>
    <t xml:space="preserve">Wykonanie koryta mechanicznie wraz z profilowaniem i zagęszczaniem podłoża w gr. kat I-VI, głębok. koryta do 50 cm </t>
  </si>
  <si>
    <t>Wykonanie koryta pod konstrukcję drogi gminnej oraz zjazdów wraz z profilowaniem i zagęszczaniem podłoża w gr. kat. I-VI. Średnia głębokość korytowania 35 - 50 cm.
&lt;F=2206,70 m2&gt;  - wg Plan sytuacyjny</t>
  </si>
  <si>
    <r>
      <rPr>
        <sz val="10"/>
        <rFont val="Times New Roman"/>
        <family val="1"/>
        <charset val="238"/>
      </rPr>
      <t xml:space="preserve">Oczyszczenie i skropienie emulsją asfaltową warstw konstrukcyjnych ulepszonych mechanicznie, warstwa wiążąca na
jezdnii DG. 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&lt;Razem F=3870,00 m2&gt;</t>
    </r>
  </si>
  <si>
    <t>Wykonanie podbudowy z kruszywa łamanego 0-32 mm stabilizowanego mechanicznie, gr. w-wy 15cm</t>
  </si>
  <si>
    <t>Wykonanie warstwy podbudowy zasadniczej z kruszywa łamnego 0/32 mm stabilizowanego mechanicznie, gr. w-wy po zagęszczeniu 15cm. Podbudowa jezdni DG i zjazdów.
F1 = 390,00 m2 - podbudowa z kruszywa na zjazdach
F2= 5293,00 m2 - podbudowa z kruszywa na jezdni DG
&lt;Razem F1+F2=5783,00 m2&gt;</t>
  </si>
  <si>
    <t>Wykonanie warstwy ulepszonego podłoża stabilizowanej spoiwem hydraulicznym o gr. 30cm po zagęszczeniu i wytrzymałości Rm=2,5 MPa. Należy zakładać doziarnienie destrutem pochodzacym z frezowania nawierzchni bitumicznej i pospółką w ilości do ok. 30%. Skład mieszanki winien być ustalony w oparciu o badania laboratoryjne próbek z gruntu podłoża pobranego w obrębie inwestycji.
jezdnia DG
&lt;F=5988,00 m2&gt;   wg rys. Plan sytuacyjny i przekroje typowe</t>
  </si>
  <si>
    <t xml:space="preserve">Wykonanie warstwy wiążącej nawierzchni z betonu asfaltowego AC 16W, gr. w-wy po zagęszczeniu 4 cm 
jezdnia.
&lt;F1=448,00 m2&gt; - zjazdy
&lt;F2=3969,00 m2&gt; - jezdnia DG
&lt;Razem F1+F2=4417,00 m2&gt;  </t>
  </si>
  <si>
    <t xml:space="preserve">Wykonanie warstwy ścieralnej nawierzchni z betonu asfaltowego AC 11S, gr. w-wy po zagęszczeniu 4cm 
jezdnia.
&lt;F1=425,60 m2&gt; - zjazdy
&lt;F2=3780,00 m2&gt; - jezdnia DG
&lt;Razem F1+F2=4205,60 m2&gt; </t>
  </si>
  <si>
    <t>Wykonanie frezowania istniejącej nawierzchni bitumicznej drogi gminnej z pozostaiweniem destruktu na miejscu i równomiernym rozprowadzeniemna szerokosci projektowanej warstwy ulepszonego podłoża. Średnia grubość frezowania - 6cm.
&lt;F=2894,20 m2&gt;</t>
  </si>
  <si>
    <t xml:space="preserve">Humusowanie z obsianiem skarp rowu przy grubości humusu 10 cm. Humus uprzednio usunięty i zmagazynowany przez Wykonawcę.  Wykonawca pozyska  nasiona traw własnym staraniem i na własny koszt.
&lt;F= 4100m2&gt; </t>
  </si>
  <si>
    <t>Wykonanie umocnienia skarp korpusu drogowego płytami ażurowymi 40x60x8cm na podsypce cementowo-piaskowej gr.10cm (płyty zamocowane kołkami drewnianymi w ilości min. 2szt. na płytę z wypełnieniem otworów humusem) w rejonie wlotówi  wylotów przepustu na odcinkach po około 1,5m otwory wypełnione zaprawą.
&lt;F= 558,60,00 m2&gt; -  wg. rys. Plan sytuacyjny i Przekroje typowe</t>
  </si>
  <si>
    <t>Wykonanie umocnienia dna rowów drogowych w postaci betonowych prefabrykatów typu "korytko muldowe" o wym. 40x40x15cm lub zbliżone na podsypce cementowo-piaskowej gr. 5cm i ławie z pospółki gr. 15cm.
&lt;L= 410,00 m&gt; -  wg. rys. Plan sytuacyjny</t>
  </si>
  <si>
    <t xml:space="preserve">Przepusty z rur PP pod zjazdami o średnicy 40 cm wraz z betonowymi ściankami czołowymi </t>
  </si>
  <si>
    <r>
      <t xml:space="preserve">Wykonanie przypustów z rur PP </t>
    </r>
    <r>
      <rPr>
        <sz val="10"/>
        <rFont val="Calibri"/>
        <family val="2"/>
        <charset val="238"/>
      </rPr>
      <t>Ø</t>
    </r>
    <r>
      <rPr>
        <sz val="10"/>
        <rFont val="Times New Roman"/>
        <family val="1"/>
        <charset val="238"/>
      </rPr>
      <t xml:space="preserve">40 pod projektowanymi zjazdami wraz z prefabrykowanymi betonowymi ściankami czołowymi na wlocie i wylocie przepustów.
&lt;L= 144,00 m&gt; </t>
    </r>
  </si>
  <si>
    <t xml:space="preserve">Wykonanie pobocza obustronnego z kruszywa łamanego o gr. 10 cm oraz szerokości 75 cm w tym 50 cm warstwa kruszywa oraz 25 cm opór z zagęszcoznego gruntu. Pobocza w obrębie DG oraz zjazdów.
&lt;F=998,00 m2&gt; </t>
  </si>
  <si>
    <t>SST 08.00.00
CPV 45233000-9</t>
  </si>
  <si>
    <t>ELEMENTY ULIC
Roboty w zakresie konstruowania, fundamentowania oraz wykonywania nawierzchni dróg</t>
  </si>
  <si>
    <t>08.05.01</t>
  </si>
  <si>
    <t>Ściek przykrawędziowy z prefabrykowanych elementów betonowych</t>
  </si>
  <si>
    <t>08.05.01.10</t>
  </si>
  <si>
    <t>Wykonanie ścieków muldowych z prefabrykowanych elementów betonowych na podsypce cementowo-piaskowej gr. 5 cm oraz ławie betonowej z betonu C16/20 gr. 15cm</t>
  </si>
  <si>
    <t>Wykonanie ścieków z prefabrykowanych elementów betonowych (koryta muldowe lub trókątne) przy krawędzi jezdni drogi gminnej na podsypce cementowo-piaskowej gr. 5 cm oraz ławie betonowej z betonu C16/20 gr. 15 cm z oporem.</t>
  </si>
  <si>
    <t>SST 03.00.00
CPV 45231000-5</t>
  </si>
  <si>
    <r>
      <t xml:space="preserve">ODWODNIENIE KORPUSU DROGOWEGO
</t>
    </r>
    <r>
      <rPr>
        <sz val="10"/>
        <rFont val="Times New Roman"/>
        <family val="1"/>
        <charset val="238"/>
      </rPr>
      <t>Roboty budowlane w zakresie budowy rurociągów, ciągów komunikacyjnych i linii energetycznych</t>
    </r>
  </si>
  <si>
    <t>03.01.01</t>
  </si>
  <si>
    <t>03.01.01.11</t>
  </si>
  <si>
    <t>Wykonanie przepustów pod zjazdami z rur PP o średnicy wew. 60cm wraz z wykonaniem fundamentu z pospółki gr. 20 cm i szerokosci min. 60 cm, wykonaniem zasypek do poziomu proj. konstrukcji poszerzenia jezdni oraz mntażem ścianek czołowych betonowych prefabrykowanych na wlocie i wylocie.</t>
  </si>
  <si>
    <t>Przepusty pod korpusem drogi</t>
  </si>
  <si>
    <t>Wykonanie ścianek czołowych przepustów</t>
  </si>
  <si>
    <t>03.01.01.60</t>
  </si>
  <si>
    <t>Wykonanie ścianek czołowych z betonu C25/30 wraz z fundamentem na wylocie i wylocie przebudowywanych przepustów z użyciem deskowania, ścianki zbrojone dwoma rzędami siatki stalowej żebrowanej (A-III) fi 10mm co 20cm wraz z izolacją cienkowarstwową. Ścianki o wymiarach - 3 szt. proste 160x180x25cm, 1 szt. scianka typu L o wymiarach w rzucie poziomym 120x120 i gr. 25 cm. Po uzyskaniu akceptacji Inwestora dopuszczalne jest zastosowanie rozwiązańrównoważnych np. ścianek czołowych prefabrykowanych.</t>
  </si>
  <si>
    <t>Istniejąca warstwa podbudowy w miejscach wymiany przepustów pod korpusem drogi izjazdami.
&lt;F=240,00 m2&gt;  - wg rys. Plan sytuacyjny</t>
  </si>
  <si>
    <t>7.2</t>
  </si>
  <si>
    <t>2.2</t>
  </si>
  <si>
    <t>2.3</t>
  </si>
  <si>
    <t>2.4</t>
  </si>
  <si>
    <t>2.5</t>
  </si>
  <si>
    <t>2.6</t>
  </si>
  <si>
    <t>2.7</t>
  </si>
  <si>
    <t>2.8</t>
  </si>
  <si>
    <t>3.4</t>
  </si>
  <si>
    <t>4.2</t>
  </si>
  <si>
    <t>6.5</t>
  </si>
  <si>
    <t>6.6</t>
  </si>
  <si>
    <t>6.7</t>
  </si>
  <si>
    <t>6.8</t>
  </si>
  <si>
    <t>RAZEM [H]:</t>
  </si>
  <si>
    <t>RAZEM [I]:</t>
  </si>
  <si>
    <t>Rozebranie przepustów rurowych wraz z ściankami czołowymi</t>
  </si>
  <si>
    <r>
      <t xml:space="preserve">Wykonanie przypustów z rur PP </t>
    </r>
    <r>
      <rPr>
        <sz val="10"/>
        <rFont val="Calibri"/>
        <family val="2"/>
        <charset val="238"/>
      </rPr>
      <t>Ø</t>
    </r>
    <r>
      <rPr>
        <sz val="10"/>
        <rFont val="Times New Roman"/>
        <family val="1"/>
        <charset val="238"/>
      </rPr>
      <t xml:space="preserve">40 minimum SN8 pod projektowanymi zjazdami wraz z prefabrykowanymi betonowymi ściankami czołowymi na wlocie i wylocie przepustów.
&lt;L= 144,00 m&gt; </t>
    </r>
  </si>
  <si>
    <t xml:space="preserve">Ułożenie przepustów z rur z tworzyw sztucznych o średnicy 60 cm </t>
  </si>
  <si>
    <t>Wykonanie przepustów pod korpusem drogi z rur PP o średnicy wew. 60cm wraz z wykonaniem fundamentu z pospółki gr. 20 cm i szerokosci min. 60 cm, wykonaniem zasypek do poziomu proj. konstrukcji jezdni .</t>
  </si>
  <si>
    <t>ODWODNIENIE KOPRUSU DROGOWEGO</t>
  </si>
  <si>
    <t>ELEMENTY ULIC</t>
  </si>
  <si>
    <t>DROGA GMINNA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</si>
</sst>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zł&quot;;\-#,##0.00\ &quot;zł&quot;"/>
    <numFmt numFmtId="164" formatCode="_-* #,##0.00\ _z_ł_-;\-* #,##0.00\ _z_ł_-;_-* &quot;-&quot;??\ _z_ł_-;_-@_-"/>
    <numFmt numFmtId="165" formatCode="00\-000"/>
    <numFmt numFmtId="166" formatCode="0.000%"/>
    <numFmt numFmtId="167" formatCode="0#\.##\.##\.##\."/>
    <numFmt numFmtId="168" formatCode="0.0"/>
    <numFmt numFmtId="169" formatCode="##\.##\.##\.00\."/>
    <numFmt numFmtId="170" formatCode="_-* #,##0.00\ _z_ł_-;\-* #,##0.00\ _z_ł_-;_-* \-??\ _z_ł_-;_-@_-"/>
  </numFmts>
  <fonts count="6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9"/>
      <color indexed="48"/>
      <name val="Times New Roman"/>
      <family val="1"/>
      <charset val="238"/>
    </font>
    <font>
      <sz val="8"/>
      <color indexed="48"/>
      <name val="Times New Roman"/>
      <family val="1"/>
      <charset val="238"/>
    </font>
    <font>
      <b/>
      <i/>
      <sz val="28"/>
      <name val="Arial"/>
      <family val="2"/>
      <charset val="238"/>
    </font>
    <font>
      <i/>
      <sz val="10"/>
      <name val="Arial"/>
      <family val="2"/>
      <charset val="238"/>
    </font>
    <font>
      <i/>
      <sz val="14"/>
      <name val="Arial"/>
      <family val="2"/>
      <charset val="238"/>
    </font>
    <font>
      <b/>
      <i/>
      <sz val="16"/>
      <name val="Arial"/>
      <family val="2"/>
      <charset val="238"/>
    </font>
    <font>
      <sz val="10"/>
      <name val="Arial CE"/>
      <family val="2"/>
      <charset val="238"/>
    </font>
    <font>
      <b/>
      <i/>
      <sz val="12"/>
      <name val="Arial"/>
      <family val="2"/>
      <charset val="238"/>
    </font>
    <font>
      <b/>
      <i/>
      <sz val="14"/>
      <name val="Arial"/>
      <family val="2"/>
      <charset val="238"/>
    </font>
    <font>
      <i/>
      <sz val="12"/>
      <name val="Arial"/>
      <family val="2"/>
      <charset val="238"/>
    </font>
    <font>
      <b/>
      <i/>
      <sz val="24"/>
      <name val="Arial"/>
      <family val="2"/>
      <charset val="238"/>
    </font>
    <font>
      <b/>
      <i/>
      <u/>
      <sz val="12"/>
      <name val="Arial"/>
      <family val="2"/>
      <charset val="238"/>
    </font>
    <font>
      <b/>
      <i/>
      <u/>
      <sz val="11"/>
      <name val="Arial"/>
      <family val="2"/>
      <charset val="238"/>
    </font>
    <font>
      <b/>
      <u/>
      <sz val="10"/>
      <name val="Arial CE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charset val="238"/>
    </font>
    <font>
      <sz val="8"/>
      <name val="Arial CE"/>
      <family val="2"/>
      <charset val="238"/>
    </font>
    <font>
      <u/>
      <sz val="10"/>
      <name val="Arial CE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i/>
      <u/>
      <sz val="10"/>
      <name val="Arial CE"/>
      <charset val="238"/>
    </font>
    <font>
      <sz val="16"/>
      <name val="Arial CE"/>
      <family val="2"/>
      <charset val="238"/>
    </font>
    <font>
      <sz val="10"/>
      <color theme="0" tint="-0.249977111117893"/>
      <name val="Arial CE"/>
      <charset val="238"/>
    </font>
    <font>
      <b/>
      <sz val="10"/>
      <color theme="0" tint="-0.249977111117893"/>
      <name val="Arial CE"/>
      <charset val="238"/>
    </font>
    <font>
      <b/>
      <i/>
      <sz val="18"/>
      <name val="Arial"/>
      <family val="2"/>
      <charset val="238"/>
    </font>
    <font>
      <i/>
      <sz val="12"/>
      <color rgb="FF222222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6"/>
      <color rgb="FF0070C0"/>
      <name val="Arial CE"/>
      <charset val="238"/>
    </font>
    <font>
      <b/>
      <i/>
      <sz val="18"/>
      <color rgb="FF0070C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i/>
      <sz val="12"/>
      <color rgb="FF000000"/>
      <name val="Arial"/>
      <family val="2"/>
      <charset val="238"/>
    </font>
    <font>
      <i/>
      <sz val="8"/>
      <name val="Arial"/>
      <family val="2"/>
      <charset val="238"/>
    </font>
    <font>
      <sz val="11"/>
      <name val="Times New Roman"/>
      <family val="1"/>
      <charset val="238"/>
    </font>
    <font>
      <sz val="11"/>
      <name val="Times New Roman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47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41"/>
      </patternFill>
    </fill>
    <fill>
      <patternFill patternType="solid">
        <fgColor rgb="FFFFFF00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1">
    <xf numFmtId="0" fontId="0" fillId="0" borderId="0"/>
    <xf numFmtId="164" fontId="10" fillId="0" borderId="0" applyFont="0" applyFill="0" applyBorder="0" applyAlignment="0" applyProtection="0"/>
    <xf numFmtId="0" fontId="17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5" fillId="0" borderId="0"/>
    <xf numFmtId="0" fontId="8" fillId="0" borderId="0"/>
    <xf numFmtId="0" fontId="8" fillId="0" borderId="0"/>
    <xf numFmtId="0" fontId="10" fillId="0" borderId="0"/>
    <xf numFmtId="0" fontId="46" fillId="0" borderId="0"/>
    <xf numFmtId="164" fontId="10" fillId="0" borderId="0" applyFont="0" applyFill="0" applyBorder="0" applyAlignment="0" applyProtection="0"/>
    <xf numFmtId="0" fontId="7" fillId="0" borderId="0"/>
    <xf numFmtId="0" fontId="45" fillId="0" borderId="0"/>
    <xf numFmtId="164" fontId="7" fillId="0" borderId="0" applyFont="0" applyFill="0" applyBorder="0" applyAlignment="0" applyProtection="0"/>
    <xf numFmtId="0" fontId="45" fillId="0" borderId="0"/>
    <xf numFmtId="0" fontId="45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46" fillId="0" borderId="0"/>
    <xf numFmtId="0" fontId="45" fillId="0" borderId="0" applyNumberFormat="0" applyFont="0" applyFill="0" applyBorder="0" applyAlignment="0" applyProtection="0">
      <alignment vertical="top"/>
    </xf>
    <xf numFmtId="0" fontId="45" fillId="0" borderId="0" applyNumberFormat="0" applyFont="0" applyFill="0" applyBorder="0" applyAlignment="0" applyProtection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0" fontId="60" fillId="0" borderId="2">
      <alignment horizontal="center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70" fontId="66" fillId="0" borderId="0" applyBorder="0" applyProtection="0"/>
    <xf numFmtId="170" fontId="66" fillId="0" borderId="0" applyBorder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6" fillId="0" borderId="0"/>
    <xf numFmtId="0" fontId="45" fillId="0" borderId="0" applyNumberFormat="0" applyFont="0" applyFill="0" applyBorder="0" applyAlignment="0" applyProtection="0">
      <alignment vertical="top"/>
    </xf>
    <xf numFmtId="0" fontId="46" fillId="0" borderId="0"/>
    <xf numFmtId="0" fontId="10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45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14">
    <xf numFmtId="0" fontId="0" fillId="0" borderId="0" xfId="0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vertical="top" wrapText="1"/>
    </xf>
    <xf numFmtId="0" fontId="18" fillId="2" borderId="2" xfId="2" applyFont="1" applyFill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18" fillId="3" borderId="4" xfId="2" applyFont="1" applyFill="1" applyBorder="1" applyAlignment="1">
      <alignment horizontal="center" vertical="center" wrapText="1"/>
    </xf>
    <xf numFmtId="0" fontId="18" fillId="3" borderId="5" xfId="2" applyFont="1" applyFill="1" applyBorder="1" applyAlignment="1">
      <alignment horizontal="center" vertical="center" wrapText="1"/>
    </xf>
    <xf numFmtId="0" fontId="18" fillId="2" borderId="3" xfId="2" applyFont="1" applyFill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18" fillId="2" borderId="6" xfId="2" applyFont="1" applyFill="1" applyBorder="1" applyAlignment="1">
      <alignment horizontal="center" vertical="center"/>
    </xf>
    <xf numFmtId="0" fontId="18" fillId="2" borderId="7" xfId="2" applyFont="1" applyFill="1" applyBorder="1" applyAlignment="1">
      <alignment horizontal="center" vertical="center"/>
    </xf>
    <xf numFmtId="0" fontId="18" fillId="3" borderId="8" xfId="2" applyFont="1" applyFill="1" applyBorder="1" applyAlignment="1">
      <alignment horizontal="center" vertical="center" wrapText="1"/>
    </xf>
    <xf numFmtId="4" fontId="18" fillId="2" borderId="9" xfId="2" applyNumberFormat="1" applyFont="1" applyFill="1" applyBorder="1" applyAlignment="1">
      <alignment horizontal="center" vertical="center"/>
    </xf>
    <xf numFmtId="4" fontId="20" fillId="0" borderId="9" xfId="2" applyNumberFormat="1" applyFont="1" applyBorder="1" applyAlignment="1">
      <alignment horizontal="center" vertical="center"/>
    </xf>
    <xf numFmtId="4" fontId="18" fillId="2" borderId="10" xfId="2" applyNumberFormat="1" applyFont="1" applyFill="1" applyBorder="1" applyAlignment="1">
      <alignment horizontal="center" vertical="center"/>
    </xf>
    <xf numFmtId="4" fontId="18" fillId="0" borderId="9" xfId="2" applyNumberFormat="1" applyFont="1" applyBorder="1" applyAlignment="1">
      <alignment horizontal="center" vertical="center"/>
    </xf>
    <xf numFmtId="4" fontId="18" fillId="0" borderId="11" xfId="2" applyNumberFormat="1" applyFont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8" fillId="4" borderId="2" xfId="0" applyFont="1" applyFill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/>
    </xf>
    <xf numFmtId="2" fontId="17" fillId="0" borderId="2" xfId="1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2" fontId="17" fillId="0" borderId="7" xfId="1" applyNumberFormat="1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2" fontId="0" fillId="0" borderId="0" xfId="0" applyNumberFormat="1"/>
    <xf numFmtId="2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0" xfId="0" applyNumberFormat="1" applyAlignment="1">
      <alignment horizontal="center"/>
    </xf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vertical="center"/>
    </xf>
    <xf numFmtId="0" fontId="24" fillId="0" borderId="0" xfId="0" applyFont="1" applyAlignment="1">
      <alignment horizontal="right"/>
    </xf>
    <xf numFmtId="165" fontId="28" fillId="4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17" fillId="0" borderId="13" xfId="0" applyNumberFormat="1" applyFont="1" applyBorder="1" applyAlignment="1">
      <alignment vertical="center"/>
    </xf>
    <xf numFmtId="2" fontId="17" fillId="0" borderId="7" xfId="0" applyNumberFormat="1" applyFont="1" applyBorder="1" applyAlignment="1">
      <alignment vertical="center"/>
    </xf>
    <xf numFmtId="0" fontId="9" fillId="0" borderId="2" xfId="0" applyFont="1" applyBorder="1" applyAlignment="1">
      <alignment horizontal="right" vertical="center"/>
    </xf>
    <xf numFmtId="2" fontId="0" fillId="0" borderId="2" xfId="0" applyNumberForma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2" fontId="17" fillId="0" borderId="13" xfId="1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17" fillId="0" borderId="23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17" fillId="0" borderId="0" xfId="1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2" fontId="17" fillId="0" borderId="23" xfId="0" applyNumberFormat="1" applyFont="1" applyBorder="1" applyAlignment="1">
      <alignment vertical="center"/>
    </xf>
    <xf numFmtId="0" fontId="0" fillId="0" borderId="23" xfId="0" applyBorder="1"/>
    <xf numFmtId="0" fontId="17" fillId="0" borderId="24" xfId="0" applyFont="1" applyBorder="1" applyAlignment="1">
      <alignment horizontal="center" vertical="center"/>
    </xf>
    <xf numFmtId="2" fontId="17" fillId="0" borderId="24" xfId="0" applyNumberFormat="1" applyFont="1" applyBorder="1" applyAlignment="1">
      <alignment horizontal="center" vertical="center"/>
    </xf>
    <xf numFmtId="2" fontId="17" fillId="0" borderId="24" xfId="1" applyNumberFormat="1" applyFont="1" applyBorder="1" applyAlignment="1">
      <alignment horizontal="center" vertical="center"/>
    </xf>
    <xf numFmtId="2" fontId="30" fillId="0" borderId="24" xfId="0" applyNumberFormat="1" applyFont="1" applyBorder="1" applyAlignment="1">
      <alignment vertical="center"/>
    </xf>
    <xf numFmtId="0" fontId="30" fillId="0" borderId="25" xfId="0" applyFont="1" applyBorder="1" applyAlignment="1">
      <alignment vertical="center"/>
    </xf>
    <xf numFmtId="0" fontId="17" fillId="0" borderId="26" xfId="0" applyFont="1" applyBorder="1" applyAlignment="1">
      <alignment horizontal="center" vertical="center"/>
    </xf>
    <xf numFmtId="4" fontId="37" fillId="0" borderId="0" xfId="0" applyNumberFormat="1" applyFont="1"/>
    <xf numFmtId="0" fontId="37" fillId="0" borderId="0" xfId="0" applyFont="1"/>
    <xf numFmtId="0" fontId="37" fillId="0" borderId="24" xfId="0" applyFont="1" applyBorder="1"/>
    <xf numFmtId="0" fontId="38" fillId="0" borderId="0" xfId="0" quotePrefix="1" applyFont="1" applyAlignment="1">
      <alignment horizontal="center"/>
    </xf>
    <xf numFmtId="16" fontId="38" fillId="0" borderId="0" xfId="0" quotePrefix="1" applyNumberFormat="1" applyFont="1" applyAlignment="1">
      <alignment horizontal="center"/>
    </xf>
    <xf numFmtId="0" fontId="38" fillId="0" borderId="0" xfId="0" applyFont="1"/>
    <xf numFmtId="0" fontId="37" fillId="0" borderId="0" xfId="0" applyFont="1" applyAlignment="1">
      <alignment horizontal="center"/>
    </xf>
    <xf numFmtId="0" fontId="37" fillId="5" borderId="0" xfId="0" applyFont="1" applyFill="1"/>
    <xf numFmtId="0" fontId="37" fillId="0" borderId="0" xfId="0" applyFont="1" applyAlignment="1">
      <alignment horizontal="right"/>
    </xf>
    <xf numFmtId="4" fontId="0" fillId="0" borderId="0" xfId="0" applyNumberFormat="1"/>
    <xf numFmtId="9" fontId="0" fillId="0" borderId="0" xfId="0" applyNumberFormat="1"/>
    <xf numFmtId="0" fontId="38" fillId="0" borderId="0" xfId="0" applyFont="1" applyAlignment="1">
      <alignment horizontal="center"/>
    </xf>
    <xf numFmtId="0" fontId="22" fillId="0" borderId="22" xfId="0" applyFont="1" applyBorder="1" applyAlignment="1">
      <alignment vertical="center" wrapText="1"/>
    </xf>
    <xf numFmtId="0" fontId="14" fillId="0" borderId="0" xfId="0" applyFont="1" applyAlignment="1">
      <alignment horizontal="center"/>
    </xf>
    <xf numFmtId="4" fontId="18" fillId="0" borderId="0" xfId="0" applyNumberFormat="1" applyFont="1"/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8" fillId="7" borderId="6" xfId="2" applyFont="1" applyFill="1" applyBorder="1" applyAlignment="1">
      <alignment horizontal="center" vertical="center" wrapText="1"/>
    </xf>
    <xf numFmtId="0" fontId="18" fillId="7" borderId="7" xfId="2" applyFont="1" applyFill="1" applyBorder="1" applyAlignment="1">
      <alignment horizontal="center" vertical="center" wrapText="1"/>
    </xf>
    <xf numFmtId="0" fontId="18" fillId="7" borderId="10" xfId="2" applyFont="1" applyFill="1" applyBorder="1" applyAlignment="1">
      <alignment horizontal="center" vertical="center" wrapText="1"/>
    </xf>
    <xf numFmtId="0" fontId="18" fillId="0" borderId="0" xfId="2" applyFont="1" applyAlignment="1">
      <alignment vertical="center"/>
    </xf>
    <xf numFmtId="0" fontId="20" fillId="0" borderId="6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wrapText="1"/>
    </xf>
    <xf numFmtId="4" fontId="18" fillId="0" borderId="21" xfId="2" applyNumberFormat="1" applyFont="1" applyBorder="1" applyAlignment="1">
      <alignment horizontal="center" vertical="center"/>
    </xf>
    <xf numFmtId="0" fontId="20" fillId="0" borderId="12" xfId="2" applyFont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166" fontId="0" fillId="0" borderId="0" xfId="3" applyNumberFormat="1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justify" vertical="center"/>
    </xf>
    <xf numFmtId="0" fontId="0" fillId="0" borderId="25" xfId="0" applyBorder="1"/>
    <xf numFmtId="0" fontId="0" fillId="0" borderId="24" xfId="0" applyBorder="1"/>
    <xf numFmtId="0" fontId="0" fillId="0" borderId="26" xfId="0" applyBorder="1"/>
    <xf numFmtId="0" fontId="0" fillId="0" borderId="1" xfId="0" applyBorder="1"/>
    <xf numFmtId="0" fontId="0" fillId="0" borderId="42" xfId="0" applyBorder="1"/>
    <xf numFmtId="0" fontId="41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41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0" fillId="0" borderId="40" xfId="0" applyBorder="1"/>
    <xf numFmtId="164" fontId="0" fillId="0" borderId="0" xfId="11" applyFont="1"/>
    <xf numFmtId="0" fontId="0" fillId="0" borderId="0" xfId="0" applyAlignment="1">
      <alignment horizontal="center" vertical="center"/>
    </xf>
    <xf numFmtId="4" fontId="14" fillId="0" borderId="0" xfId="0" applyNumberFormat="1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48" fillId="0" borderId="2" xfId="12" applyFont="1" applyBorder="1" applyAlignment="1">
      <alignment horizontal="center" vertical="center"/>
    </xf>
    <xf numFmtId="0" fontId="48" fillId="0" borderId="0" xfId="12" applyFont="1" applyAlignment="1">
      <alignment horizontal="center" vertical="center"/>
    </xf>
    <xf numFmtId="0" fontId="7" fillId="0" borderId="0" xfId="12" applyAlignment="1">
      <alignment vertical="center"/>
    </xf>
    <xf numFmtId="0" fontId="50" fillId="0" borderId="0" xfId="12" applyFont="1" applyAlignment="1">
      <alignment horizontal="center" vertical="center"/>
    </xf>
    <xf numFmtId="4" fontId="48" fillId="0" borderId="2" xfId="12" applyNumberFormat="1" applyFont="1" applyBorder="1" applyAlignment="1">
      <alignment horizontal="center" vertical="center"/>
    </xf>
    <xf numFmtId="164" fontId="49" fillId="0" borderId="20" xfId="14" applyFont="1" applyFill="1" applyBorder="1" applyAlignment="1">
      <alignment horizontal="center" vertical="center" wrapText="1"/>
    </xf>
    <xf numFmtId="0" fontId="7" fillId="0" borderId="0" xfId="12" applyAlignment="1">
      <alignment vertical="center" wrapText="1"/>
    </xf>
    <xf numFmtId="0" fontId="49" fillId="0" borderId="0" xfId="12" applyFont="1" applyAlignment="1">
      <alignment vertical="center"/>
    </xf>
    <xf numFmtId="4" fontId="49" fillId="0" borderId="2" xfId="12" applyNumberFormat="1" applyFont="1" applyBorder="1" applyAlignment="1">
      <alignment horizontal="center" vertical="center"/>
    </xf>
    <xf numFmtId="164" fontId="54" fillId="0" borderId="20" xfId="14" applyFont="1" applyFill="1" applyBorder="1" applyAlignment="1">
      <alignment horizontal="center" vertical="center"/>
    </xf>
    <xf numFmtId="0" fontId="48" fillId="13" borderId="0" xfId="15" applyFont="1" applyFill="1" applyAlignment="1">
      <alignment horizontal="left" vertical="center"/>
    </xf>
    <xf numFmtId="0" fontId="48" fillId="14" borderId="0" xfId="15" applyFont="1" applyFill="1" applyAlignment="1">
      <alignment horizontal="left" vertical="center"/>
    </xf>
    <xf numFmtId="164" fontId="54" fillId="0" borderId="20" xfId="14" applyFont="1" applyFill="1" applyBorder="1" applyAlignment="1">
      <alignment horizontal="center" vertical="center" wrapText="1"/>
    </xf>
    <xf numFmtId="0" fontId="48" fillId="0" borderId="0" xfId="12" applyFont="1" applyAlignment="1">
      <alignment vertical="center"/>
    </xf>
    <xf numFmtId="0" fontId="49" fillId="0" borderId="2" xfId="12" applyFont="1" applyBorder="1" applyAlignment="1">
      <alignment horizontal="center" vertical="center"/>
    </xf>
    <xf numFmtId="164" fontId="54" fillId="0" borderId="22" xfId="14" applyFont="1" applyFill="1" applyBorder="1" applyAlignment="1">
      <alignment horizontal="center" vertical="center"/>
    </xf>
    <xf numFmtId="0" fontId="49" fillId="0" borderId="0" xfId="15" applyFont="1" applyAlignment="1">
      <alignment horizontal="left" vertical="center"/>
    </xf>
    <xf numFmtId="0" fontId="7" fillId="13" borderId="0" xfId="12" applyFill="1" applyAlignment="1">
      <alignment vertical="center"/>
    </xf>
    <xf numFmtId="0" fontId="7" fillId="15" borderId="0" xfId="12" applyFill="1" applyAlignment="1">
      <alignment vertical="center"/>
    </xf>
    <xf numFmtId="164" fontId="0" fillId="0" borderId="0" xfId="14" applyFont="1" applyAlignment="1">
      <alignment vertical="center"/>
    </xf>
    <xf numFmtId="0" fontId="7" fillId="0" borderId="0" xfId="12" applyAlignment="1">
      <alignment horizontal="center" vertical="center"/>
    </xf>
    <xf numFmtId="4" fontId="9" fillId="0" borderId="0" xfId="12" applyNumberFormat="1" applyFont="1" applyAlignment="1">
      <alignment horizontal="center" vertical="center"/>
    </xf>
    <xf numFmtId="4" fontId="9" fillId="0" borderId="1" xfId="12" applyNumberFormat="1" applyFont="1" applyBorder="1" applyAlignment="1">
      <alignment horizontal="center" vertical="center"/>
    </xf>
    <xf numFmtId="4" fontId="49" fillId="0" borderId="2" xfId="13" applyNumberFormat="1" applyFont="1" applyBorder="1" applyAlignment="1">
      <alignment horizontal="center" vertical="center"/>
    </xf>
    <xf numFmtId="2" fontId="49" fillId="0" borderId="2" xfId="13" applyNumberFormat="1" applyFont="1" applyBorder="1" applyAlignment="1">
      <alignment horizontal="center" vertical="center" wrapText="1"/>
    </xf>
    <xf numFmtId="164" fontId="49" fillId="0" borderId="2" xfId="11" applyFont="1" applyFill="1" applyBorder="1" applyAlignment="1">
      <alignment horizontal="center" vertical="center" wrapText="1"/>
    </xf>
    <xf numFmtId="49" fontId="49" fillId="11" borderId="2" xfId="0" applyNumberFormat="1" applyFont="1" applyFill="1" applyBorder="1" applyAlignment="1">
      <alignment horizontal="center" vertical="center" wrapText="1"/>
    </xf>
    <xf numFmtId="0" fontId="18" fillId="3" borderId="2" xfId="2" applyFont="1" applyFill="1" applyBorder="1" applyAlignment="1">
      <alignment horizontal="center" vertical="center" wrapText="1"/>
    </xf>
    <xf numFmtId="0" fontId="18" fillId="7" borderId="2" xfId="2" applyFont="1" applyFill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40" fillId="0" borderId="2" xfId="0" applyFont="1" applyBorder="1" applyAlignment="1">
      <alignment vertical="center" wrapText="1"/>
    </xf>
    <xf numFmtId="4" fontId="48" fillId="0" borderId="2" xfId="15" applyNumberFormat="1" applyFont="1" applyBorder="1" applyAlignment="1">
      <alignment horizontal="center" vertical="center"/>
    </xf>
    <xf numFmtId="0" fontId="49" fillId="0" borderId="2" xfId="15" applyFont="1" applyBorder="1" applyAlignment="1">
      <alignment horizontal="center" vertical="center" wrapText="1"/>
    </xf>
    <xf numFmtId="0" fontId="48" fillId="0" borderId="0" xfId="15" applyFont="1" applyAlignment="1">
      <alignment horizontal="left" vertical="center"/>
    </xf>
    <xf numFmtId="4" fontId="49" fillId="0" borderId="2" xfId="15" applyNumberFormat="1" applyFont="1" applyBorder="1" applyAlignment="1">
      <alignment horizontal="center" vertical="center"/>
    </xf>
    <xf numFmtId="0" fontId="41" fillId="8" borderId="2" xfId="0" applyFont="1" applyFill="1" applyBorder="1" applyAlignment="1">
      <alignment horizontal="center" vertical="center" wrapText="1"/>
    </xf>
    <xf numFmtId="0" fontId="49" fillId="0" borderId="2" xfId="16" applyFont="1" applyBorder="1" applyAlignment="1">
      <alignment horizontal="center" vertical="center" wrapText="1"/>
    </xf>
    <xf numFmtId="4" fontId="49" fillId="0" borderId="2" xfId="16" applyNumberFormat="1" applyFont="1" applyBorder="1" applyAlignment="1">
      <alignment horizontal="center" vertical="center"/>
    </xf>
    <xf numFmtId="49" fontId="49" fillId="11" borderId="3" xfId="12" applyNumberFormat="1" applyFont="1" applyFill="1" applyBorder="1" applyAlignment="1">
      <alignment horizontal="center" vertical="center" wrapText="1"/>
    </xf>
    <xf numFmtId="49" fontId="49" fillId="12" borderId="3" xfId="13" applyNumberFormat="1" applyFont="1" applyFill="1" applyBorder="1" applyAlignment="1">
      <alignment horizontal="center" vertical="center" wrapText="1"/>
    </xf>
    <xf numFmtId="49" fontId="49" fillId="0" borderId="3" xfId="13" applyNumberFormat="1" applyFont="1" applyBorder="1" applyAlignment="1">
      <alignment horizontal="center" vertical="center" wrapText="1"/>
    </xf>
    <xf numFmtId="49" fontId="49" fillId="9" borderId="3" xfId="13" applyNumberFormat="1" applyFont="1" applyFill="1" applyBorder="1" applyAlignment="1">
      <alignment horizontal="center" vertical="center" wrapText="1"/>
    </xf>
    <xf numFmtId="49" fontId="49" fillId="0" borderId="3" xfId="12" applyNumberFormat="1" applyFont="1" applyBorder="1" applyAlignment="1">
      <alignment horizontal="center" vertical="center" wrapText="1"/>
    </xf>
    <xf numFmtId="49" fontId="49" fillId="12" borderId="7" xfId="13" applyNumberFormat="1" applyFont="1" applyFill="1" applyBorder="1" applyAlignment="1">
      <alignment horizontal="center" vertical="center" wrapText="1"/>
    </xf>
    <xf numFmtId="49" fontId="49" fillId="0" borderId="3" xfId="15" applyNumberFormat="1" applyFont="1" applyBorder="1" applyAlignment="1">
      <alignment horizontal="center" vertical="center" wrapText="1"/>
    </xf>
    <xf numFmtId="49" fontId="54" fillId="0" borderId="3" xfId="15" applyNumberFormat="1" applyFont="1" applyBorder="1" applyAlignment="1">
      <alignment horizontal="center" vertical="center" wrapText="1"/>
    </xf>
    <xf numFmtId="49" fontId="49" fillId="0" borderId="2" xfId="16" applyNumberFormat="1" applyFont="1" applyBorder="1" applyAlignment="1">
      <alignment horizontal="center" vertical="center" wrapText="1"/>
    </xf>
    <xf numFmtId="49" fontId="49" fillId="12" borderId="13" xfId="13" applyNumberFormat="1" applyFont="1" applyFill="1" applyBorder="1" applyAlignment="1">
      <alignment horizontal="center" vertical="center" wrapText="1"/>
    </xf>
    <xf numFmtId="49" fontId="49" fillId="0" borderId="2" xfId="15" applyNumberFormat="1" applyFont="1" applyBorder="1" applyAlignment="1">
      <alignment horizontal="center" vertical="center" wrapText="1"/>
    </xf>
    <xf numFmtId="49" fontId="49" fillId="11" borderId="2" xfId="12" applyNumberFormat="1" applyFont="1" applyFill="1" applyBorder="1" applyAlignment="1">
      <alignment horizontal="center" vertical="center" wrapText="1"/>
    </xf>
    <xf numFmtId="49" fontId="49" fillId="0" borderId="2" xfId="13" applyNumberFormat="1" applyFont="1" applyBorder="1" applyAlignment="1">
      <alignment horizontal="center" vertical="center" wrapText="1"/>
    </xf>
    <xf numFmtId="49" fontId="9" fillId="0" borderId="0" xfId="12" applyNumberFormat="1" applyFont="1" applyAlignment="1">
      <alignment horizontal="center" vertical="center"/>
    </xf>
    <xf numFmtId="49" fontId="7" fillId="0" borderId="0" xfId="12" applyNumberFormat="1" applyAlignment="1">
      <alignment vertical="center"/>
    </xf>
    <xf numFmtId="0" fontId="49" fillId="0" borderId="2" xfId="12" applyFont="1" applyBorder="1" applyAlignment="1">
      <alignment horizontal="center" vertical="center" wrapText="1"/>
    </xf>
    <xf numFmtId="49" fontId="49" fillId="0" borderId="2" xfId="13" quotePrefix="1" applyNumberFormat="1" applyFont="1" applyBorder="1" applyAlignment="1">
      <alignment horizontal="center" vertical="center" wrapText="1"/>
    </xf>
    <xf numFmtId="49" fontId="48" fillId="0" borderId="2" xfId="13" quotePrefix="1" applyNumberFormat="1" applyFont="1" applyBorder="1" applyAlignment="1">
      <alignment horizontal="center" vertical="center" wrapText="1"/>
    </xf>
    <xf numFmtId="49" fontId="49" fillId="12" borderId="2" xfId="13" quotePrefix="1" applyNumberFormat="1" applyFont="1" applyFill="1" applyBorder="1" applyAlignment="1">
      <alignment horizontal="center" vertical="center" wrapText="1"/>
    </xf>
    <xf numFmtId="49" fontId="53" fillId="0" borderId="2" xfId="13" quotePrefix="1" applyNumberFormat="1" applyFont="1" applyBorder="1" applyAlignment="1">
      <alignment horizontal="center" vertical="center" wrapText="1"/>
    </xf>
    <xf numFmtId="49" fontId="56" fillId="0" borderId="2" xfId="15" applyNumberFormat="1" applyFont="1" applyBorder="1" applyAlignment="1">
      <alignment horizontal="center" vertical="center" wrapText="1"/>
    </xf>
    <xf numFmtId="49" fontId="49" fillId="0" borderId="2" xfId="16" quotePrefix="1" applyNumberFormat="1" applyFont="1" applyBorder="1" applyAlignment="1">
      <alignment horizontal="center" vertical="center" wrapText="1"/>
    </xf>
    <xf numFmtId="164" fontId="49" fillId="0" borderId="2" xfId="11" applyFont="1" applyBorder="1" applyAlignment="1">
      <alignment horizontal="center" vertical="center" wrapText="1"/>
    </xf>
    <xf numFmtId="164" fontId="53" fillId="0" borderId="20" xfId="11" applyFont="1" applyFill="1" applyBorder="1" applyAlignment="1">
      <alignment vertical="center"/>
    </xf>
    <xf numFmtId="164" fontId="54" fillId="0" borderId="20" xfId="11" applyFont="1" applyFill="1" applyBorder="1" applyAlignment="1">
      <alignment vertical="center"/>
    </xf>
    <xf numFmtId="164" fontId="53" fillId="0" borderId="20" xfId="11" applyFont="1" applyFill="1" applyBorder="1" applyAlignment="1">
      <alignment horizontal="left" vertical="center"/>
    </xf>
    <xf numFmtId="164" fontId="53" fillId="0" borderId="22" xfId="11" applyFont="1" applyFill="1" applyBorder="1" applyAlignment="1">
      <alignment horizontal="left" vertical="center"/>
    </xf>
    <xf numFmtId="164" fontId="0" fillId="0" borderId="0" xfId="11" applyFont="1" applyAlignment="1">
      <alignment vertical="center"/>
    </xf>
    <xf numFmtId="0" fontId="59" fillId="0" borderId="2" xfId="13" applyFont="1" applyBorder="1" applyAlignment="1">
      <alignment horizontal="center" vertical="center" wrapText="1"/>
    </xf>
    <xf numFmtId="0" fontId="48" fillId="0" borderId="13" xfId="13" applyFont="1" applyBorder="1" applyAlignment="1">
      <alignment horizontal="center" vertical="center" wrapText="1"/>
    </xf>
    <xf numFmtId="4" fontId="48" fillId="0" borderId="13" xfId="13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49" fillId="12" borderId="2" xfId="13" applyFont="1" applyFill="1" applyBorder="1" applyAlignment="1">
      <alignment horizontal="center" vertical="center" wrapText="1"/>
    </xf>
    <xf numFmtId="169" fontId="49" fillId="0" borderId="2" xfId="15" applyNumberFormat="1" applyFont="1" applyBorder="1" applyAlignment="1">
      <alignment horizontal="center" vertical="center" wrapText="1"/>
    </xf>
    <xf numFmtId="49" fontId="49" fillId="12" borderId="2" xfId="13" applyNumberFormat="1" applyFont="1" applyFill="1" applyBorder="1" applyAlignment="1">
      <alignment horizontal="center" vertical="center" wrapText="1"/>
    </xf>
    <xf numFmtId="49" fontId="48" fillId="0" borderId="3" xfId="13" applyNumberFormat="1" applyFont="1" applyBorder="1" applyAlignment="1">
      <alignment horizontal="center" vertical="center" wrapText="1"/>
    </xf>
    <xf numFmtId="49" fontId="53" fillId="0" borderId="3" xfId="13" applyNumberFormat="1" applyFont="1" applyBorder="1" applyAlignment="1">
      <alignment horizontal="center" vertical="center" wrapText="1"/>
    </xf>
    <xf numFmtId="0" fontId="18" fillId="3" borderId="3" xfId="2" applyFont="1" applyFill="1" applyBorder="1" applyAlignment="1">
      <alignment horizontal="center" vertical="center" wrapText="1"/>
    </xf>
    <xf numFmtId="0" fontId="18" fillId="3" borderId="29" xfId="2" applyFont="1" applyFill="1" applyBorder="1" applyAlignment="1">
      <alignment horizontal="center" vertical="center" wrapText="1"/>
    </xf>
    <xf numFmtId="0" fontId="18" fillId="7" borderId="3" xfId="2" applyFont="1" applyFill="1" applyBorder="1" applyAlignment="1">
      <alignment horizontal="center" vertical="center" wrapText="1"/>
    </xf>
    <xf numFmtId="0" fontId="18" fillId="7" borderId="29" xfId="2" applyFont="1" applyFill="1" applyBorder="1" applyAlignment="1">
      <alignment horizontal="center" vertical="center" wrapText="1"/>
    </xf>
    <xf numFmtId="0" fontId="20" fillId="0" borderId="3" xfId="2" applyFont="1" applyBorder="1" applyAlignment="1">
      <alignment horizontal="center" vertical="center" wrapText="1"/>
    </xf>
    <xf numFmtId="4" fontId="20" fillId="0" borderId="29" xfId="2" applyNumberFormat="1" applyFont="1" applyBorder="1" applyAlignment="1">
      <alignment horizontal="center" vertical="center"/>
    </xf>
    <xf numFmtId="0" fontId="18" fillId="0" borderId="3" xfId="2" applyFont="1" applyBorder="1" applyAlignment="1">
      <alignment horizontal="center" vertical="center" wrapText="1"/>
    </xf>
    <xf numFmtId="4" fontId="18" fillId="0" borderId="29" xfId="2" applyNumberFormat="1" applyFont="1" applyBorder="1" applyAlignment="1">
      <alignment horizontal="center" vertical="center"/>
    </xf>
    <xf numFmtId="4" fontId="18" fillId="2" borderId="29" xfId="2" applyNumberFormat="1" applyFont="1" applyFill="1" applyBorder="1" applyAlignment="1">
      <alignment horizontal="center" vertical="center"/>
    </xf>
    <xf numFmtId="167" fontId="49" fillId="0" borderId="2" xfId="13" quotePrefix="1" applyNumberFormat="1" applyFont="1" applyBorder="1" applyAlignment="1">
      <alignment horizontal="center" vertical="center" wrapText="1"/>
    </xf>
    <xf numFmtId="49" fontId="48" fillId="0" borderId="21" xfId="13" applyNumberFormat="1" applyFont="1" applyBorder="1" applyAlignment="1">
      <alignment horizontal="center" vertical="center" wrapText="1"/>
    </xf>
    <xf numFmtId="4" fontId="49" fillId="0" borderId="13" xfId="16" applyNumberFormat="1" applyFont="1" applyBorder="1" applyAlignment="1">
      <alignment horizontal="center" vertical="center"/>
    </xf>
    <xf numFmtId="0" fontId="49" fillId="12" borderId="2" xfId="13" applyFont="1" applyFill="1" applyBorder="1" applyAlignment="1">
      <alignment horizontal="left" vertical="center" wrapText="1"/>
    </xf>
    <xf numFmtId="0" fontId="49" fillId="0" borderId="2" xfId="13" applyFont="1" applyBorder="1" applyAlignment="1">
      <alignment horizontal="center" vertical="center" wrapText="1"/>
    </xf>
    <xf numFmtId="0" fontId="48" fillId="0" borderId="2" xfId="15" applyFont="1" applyBorder="1" applyAlignment="1">
      <alignment horizontal="center" vertical="center" wrapText="1"/>
    </xf>
    <xf numFmtId="49" fontId="49" fillId="0" borderId="2" xfId="0" applyNumberFormat="1" applyFont="1" applyBorder="1" applyAlignment="1">
      <alignment horizontal="center" vertical="center" wrapText="1"/>
    </xf>
    <xf numFmtId="49" fontId="49" fillId="0" borderId="2" xfId="15" quotePrefix="1" applyNumberFormat="1" applyFont="1" applyBorder="1" applyAlignment="1">
      <alignment horizontal="center" vertical="center" wrapText="1"/>
    </xf>
    <xf numFmtId="164" fontId="0" fillId="0" borderId="0" xfId="14" applyFont="1" applyBorder="1" applyAlignment="1">
      <alignment vertical="center"/>
    </xf>
    <xf numFmtId="4" fontId="49" fillId="0" borderId="2" xfId="0" applyNumberFormat="1" applyFont="1" applyBorder="1" applyAlignment="1">
      <alignment horizontal="center" vertical="center"/>
    </xf>
    <xf numFmtId="164" fontId="54" fillId="0" borderId="2" xfId="11" applyFont="1" applyFill="1" applyBorder="1" applyAlignment="1">
      <alignment horizontal="center" vertical="center" wrapText="1"/>
    </xf>
    <xf numFmtId="164" fontId="54" fillId="0" borderId="2" xfId="14" applyFont="1" applyFill="1" applyBorder="1" applyAlignment="1">
      <alignment horizontal="center" vertical="center" wrapText="1"/>
    </xf>
    <xf numFmtId="164" fontId="54" fillId="0" borderId="2" xfId="11" applyFont="1" applyBorder="1" applyAlignment="1">
      <alignment horizontal="center" vertical="center" wrapText="1"/>
    </xf>
    <xf numFmtId="0" fontId="54" fillId="12" borderId="2" xfId="13" applyFont="1" applyFill="1" applyBorder="1" applyAlignment="1">
      <alignment horizontal="left" vertical="center" wrapText="1"/>
    </xf>
    <xf numFmtId="164" fontId="54" fillId="0" borderId="2" xfId="11" applyFont="1" applyFill="1" applyBorder="1" applyAlignment="1">
      <alignment vertical="center"/>
    </xf>
    <xf numFmtId="164" fontId="54" fillId="0" borderId="20" xfId="14" applyFont="1" applyBorder="1" applyAlignment="1">
      <alignment horizontal="center" vertical="center"/>
    </xf>
    <xf numFmtId="4" fontId="54" fillId="0" borderId="2" xfId="13" applyNumberFormat="1" applyFont="1" applyBorder="1" applyAlignment="1">
      <alignment horizontal="center" vertical="center"/>
    </xf>
    <xf numFmtId="164" fontId="54" fillId="0" borderId="2" xfId="11" applyFont="1" applyBorder="1" applyAlignment="1">
      <alignment horizontal="center" vertical="center"/>
    </xf>
    <xf numFmtId="164" fontId="54" fillId="0" borderId="2" xfId="11" applyFont="1" applyFill="1" applyBorder="1" applyAlignment="1">
      <alignment horizontal="center" vertical="center"/>
    </xf>
    <xf numFmtId="4" fontId="53" fillId="0" borderId="2" xfId="15" applyNumberFormat="1" applyFont="1" applyBorder="1" applyAlignment="1">
      <alignment horizontal="center" vertical="center"/>
    </xf>
    <xf numFmtId="0" fontId="62" fillId="0" borderId="22" xfId="13" applyFont="1" applyBorder="1" applyAlignment="1">
      <alignment horizontal="right" vertical="center" wrapText="1"/>
    </xf>
    <xf numFmtId="164" fontId="62" fillId="17" borderId="21" xfId="13" applyNumberFormat="1" applyFont="1" applyFill="1" applyBorder="1" applyAlignment="1">
      <alignment vertical="center" wrapText="1"/>
    </xf>
    <xf numFmtId="164" fontId="54" fillId="0" borderId="22" xfId="14" applyFont="1" applyFill="1" applyBorder="1" applyAlignment="1">
      <alignment horizontal="center" vertical="center" wrapText="1"/>
    </xf>
    <xf numFmtId="49" fontId="54" fillId="0" borderId="13" xfId="15" quotePrefix="1" applyNumberFormat="1" applyFont="1" applyBorder="1" applyAlignment="1">
      <alignment horizontal="center" vertical="center" wrapText="1"/>
    </xf>
    <xf numFmtId="164" fontId="53" fillId="0" borderId="13" xfId="11" applyFont="1" applyBorder="1" applyAlignment="1">
      <alignment horizontal="center" vertical="center"/>
    </xf>
    <xf numFmtId="49" fontId="53" fillId="0" borderId="2" xfId="16" quotePrefix="1" applyNumberFormat="1" applyFont="1" applyBorder="1" applyAlignment="1">
      <alignment horizontal="center" vertical="center" wrapText="1"/>
    </xf>
    <xf numFmtId="164" fontId="53" fillId="0" borderId="2" xfId="11" applyFont="1" applyBorder="1" applyAlignment="1">
      <alignment horizontal="center" vertical="center"/>
    </xf>
    <xf numFmtId="0" fontId="3" fillId="0" borderId="0" xfId="12" applyFont="1" applyAlignment="1">
      <alignment vertical="center"/>
    </xf>
    <xf numFmtId="4" fontId="7" fillId="0" borderId="0" xfId="12" applyNumberFormat="1" applyAlignment="1">
      <alignment vertical="center"/>
    </xf>
    <xf numFmtId="0" fontId="49" fillId="0" borderId="7" xfId="0" applyFont="1" applyBorder="1" applyAlignment="1">
      <alignment horizontal="center" vertical="center"/>
    </xf>
    <xf numFmtId="169" fontId="49" fillId="0" borderId="2" xfId="16" applyNumberFormat="1" applyFont="1" applyBorder="1" applyAlignment="1">
      <alignment horizontal="center" vertical="center" wrapText="1"/>
    </xf>
    <xf numFmtId="4" fontId="49" fillId="0" borderId="2" xfId="0" applyNumberFormat="1" applyFont="1" applyBorder="1" applyAlignment="1">
      <alignment horizontal="center" vertical="center" wrapText="1"/>
    </xf>
    <xf numFmtId="0" fontId="48" fillId="0" borderId="26" xfId="13" applyFont="1" applyBorder="1" applyAlignment="1">
      <alignment horizontal="right" vertical="center" wrapText="1"/>
    </xf>
    <xf numFmtId="4" fontId="48" fillId="0" borderId="24" xfId="13" applyNumberFormat="1" applyFont="1" applyBorder="1" applyAlignment="1">
      <alignment horizontal="left" vertical="center" wrapText="1"/>
    </xf>
    <xf numFmtId="0" fontId="48" fillId="0" borderId="24" xfId="13" applyFont="1" applyBorder="1" applyAlignment="1">
      <alignment horizontal="left" vertical="center" wrapText="1"/>
    </xf>
    <xf numFmtId="4" fontId="48" fillId="0" borderId="25" xfId="13" applyNumberFormat="1" applyFont="1" applyBorder="1" applyAlignment="1">
      <alignment horizontal="left" vertical="center" wrapText="1"/>
    </xf>
    <xf numFmtId="164" fontId="53" fillId="0" borderId="22" xfId="11" applyFont="1" applyBorder="1" applyAlignment="1">
      <alignment horizontal="center" vertical="center"/>
    </xf>
    <xf numFmtId="164" fontId="49" fillId="0" borderId="2" xfId="11" applyFont="1" applyBorder="1" applyAlignment="1">
      <alignment horizontal="center" vertical="center"/>
    </xf>
    <xf numFmtId="0" fontId="49" fillId="0" borderId="0" xfId="12" applyFont="1" applyAlignment="1">
      <alignment vertical="center" wrapText="1"/>
    </xf>
    <xf numFmtId="0" fontId="53" fillId="0" borderId="0" xfId="12" applyFont="1" applyAlignment="1">
      <alignment vertical="center"/>
    </xf>
    <xf numFmtId="0" fontId="49" fillId="0" borderId="0" xfId="13" applyFont="1" applyAlignment="1">
      <alignment vertical="center" wrapText="1"/>
    </xf>
    <xf numFmtId="0" fontId="53" fillId="0" borderId="43" xfId="12" applyFont="1" applyBorder="1" applyAlignment="1">
      <alignment horizontal="center" vertical="center"/>
    </xf>
    <xf numFmtId="0" fontId="54" fillId="0" borderId="29" xfId="12" applyFont="1" applyBorder="1" applyAlignment="1">
      <alignment vertical="center" wrapText="1"/>
    </xf>
    <xf numFmtId="0" fontId="54" fillId="0" borderId="29" xfId="12" applyFont="1" applyBorder="1" applyAlignment="1">
      <alignment vertical="center"/>
    </xf>
    <xf numFmtId="0" fontId="48" fillId="0" borderId="29" xfId="12" applyFont="1" applyBorder="1" applyAlignment="1">
      <alignment vertical="center"/>
    </xf>
    <xf numFmtId="0" fontId="49" fillId="12" borderId="29" xfId="13" applyFont="1" applyFill="1" applyBorder="1" applyAlignment="1">
      <alignment horizontal="left" vertical="center" wrapText="1"/>
    </xf>
    <xf numFmtId="164" fontId="49" fillId="0" borderId="29" xfId="11" applyFont="1" applyFill="1" applyBorder="1" applyAlignment="1">
      <alignment horizontal="right" vertical="center"/>
    </xf>
    <xf numFmtId="4" fontId="62" fillId="17" borderId="48" xfId="0" applyNumberFormat="1" applyFont="1" applyFill="1" applyBorder="1" applyAlignment="1">
      <alignment horizontal="center" vertical="center" wrapText="1"/>
    </xf>
    <xf numFmtId="0" fontId="53" fillId="0" borderId="29" xfId="12" applyFont="1" applyBorder="1" applyAlignment="1">
      <alignment vertical="center"/>
    </xf>
    <xf numFmtId="0" fontId="54" fillId="12" borderId="29" xfId="13" applyFont="1" applyFill="1" applyBorder="1" applyAlignment="1">
      <alignment horizontal="left" vertical="center" wrapText="1"/>
    </xf>
    <xf numFmtId="164" fontId="54" fillId="0" borderId="29" xfId="11" applyFont="1" applyFill="1" applyBorder="1" applyAlignment="1">
      <alignment horizontal="right" vertical="center"/>
    </xf>
    <xf numFmtId="0" fontId="53" fillId="0" borderId="29" xfId="15" applyFont="1" applyBorder="1" applyAlignment="1">
      <alignment horizontal="left" vertical="center"/>
    </xf>
    <xf numFmtId="0" fontId="54" fillId="0" borderId="29" xfId="12" applyFont="1" applyBorder="1" applyAlignment="1">
      <alignment horizontal="left" vertical="center"/>
    </xf>
    <xf numFmtId="168" fontId="53" fillId="0" borderId="29" xfId="12" applyNumberFormat="1" applyFont="1" applyBorder="1" applyAlignment="1">
      <alignment horizontal="center" vertical="center"/>
    </xf>
    <xf numFmtId="2" fontId="54" fillId="12" borderId="29" xfId="0" applyNumberFormat="1" applyFont="1" applyFill="1" applyBorder="1" applyAlignment="1">
      <alignment horizontal="center" vertical="center"/>
    </xf>
    <xf numFmtId="0" fontId="53" fillId="0" borderId="35" xfId="15" applyFont="1" applyBorder="1" applyAlignment="1">
      <alignment horizontal="left" vertical="center"/>
    </xf>
    <xf numFmtId="0" fontId="64" fillId="0" borderId="29" xfId="12" applyFont="1" applyBorder="1" applyAlignment="1">
      <alignment vertical="center"/>
    </xf>
    <xf numFmtId="0" fontId="61" fillId="0" borderId="29" xfId="12" applyFont="1" applyBorder="1" applyAlignment="1">
      <alignment vertical="center"/>
    </xf>
    <xf numFmtId="49" fontId="54" fillId="0" borderId="3" xfId="0" applyNumberFormat="1" applyFont="1" applyBorder="1" applyAlignment="1">
      <alignment horizontal="center" vertical="center"/>
    </xf>
    <xf numFmtId="164" fontId="63" fillId="0" borderId="29" xfId="11" applyFont="1" applyBorder="1" applyAlignment="1">
      <alignment vertical="center"/>
    </xf>
    <xf numFmtId="49" fontId="49" fillId="12" borderId="6" xfId="13" applyNumberFormat="1" applyFont="1" applyFill="1" applyBorder="1" applyAlignment="1">
      <alignment horizontal="center" vertical="center" wrapText="1"/>
    </xf>
    <xf numFmtId="0" fontId="49" fillId="12" borderId="3" xfId="13" applyFont="1" applyFill="1" applyBorder="1" applyAlignment="1">
      <alignment horizontal="center" vertical="center" wrapText="1"/>
    </xf>
    <xf numFmtId="49" fontId="49" fillId="12" borderId="46" xfId="13" applyNumberFormat="1" applyFont="1" applyFill="1" applyBorder="1" applyAlignment="1">
      <alignment horizontal="center" vertical="center" wrapText="1"/>
    </xf>
    <xf numFmtId="49" fontId="49" fillId="0" borderId="3" xfId="16" applyNumberFormat="1" applyFont="1" applyBorder="1" applyAlignment="1">
      <alignment horizontal="center" vertical="center" wrapText="1"/>
    </xf>
    <xf numFmtId="49" fontId="49" fillId="0" borderId="46" xfId="15" applyNumberFormat="1" applyFont="1" applyBorder="1" applyAlignment="1">
      <alignment horizontal="center" vertical="center" wrapText="1"/>
    </xf>
    <xf numFmtId="49" fontId="49" fillId="0" borderId="46" xfId="0" applyNumberFormat="1" applyFont="1" applyBorder="1" applyAlignment="1">
      <alignment horizontal="center" vertical="center"/>
    </xf>
    <xf numFmtId="49" fontId="49" fillId="0" borderId="46" xfId="0" applyNumberFormat="1" applyFont="1" applyBorder="1" applyAlignment="1">
      <alignment horizontal="center" vertical="center" wrapText="1"/>
    </xf>
    <xf numFmtId="164" fontId="63" fillId="0" borderId="0" xfId="11" applyFont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49" fillId="0" borderId="13" xfId="0" applyFont="1" applyBorder="1" applyAlignment="1">
      <alignment horizontal="center" vertical="center"/>
    </xf>
    <xf numFmtId="4" fontId="48" fillId="0" borderId="13" xfId="15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4" fontId="20" fillId="0" borderId="49" xfId="2" applyNumberFormat="1" applyFont="1" applyBorder="1" applyAlignment="1">
      <alignment horizontal="center" vertical="center"/>
    </xf>
    <xf numFmtId="0" fontId="20" fillId="0" borderId="46" xfId="2" applyFont="1" applyBorder="1" applyAlignment="1">
      <alignment horizontal="center" vertical="center"/>
    </xf>
    <xf numFmtId="0" fontId="20" fillId="0" borderId="13" xfId="2" applyFont="1" applyBorder="1" applyAlignment="1">
      <alignment horizontal="center" vertical="center"/>
    </xf>
    <xf numFmtId="4" fontId="19" fillId="0" borderId="8" xfId="2" applyNumberFormat="1" applyFont="1" applyBorder="1" applyAlignment="1">
      <alignment horizontal="center" vertical="center"/>
    </xf>
    <xf numFmtId="4" fontId="19" fillId="0" borderId="9" xfId="2" applyNumberFormat="1" applyFont="1" applyBorder="1" applyAlignment="1">
      <alignment horizontal="center" vertical="center"/>
    </xf>
    <xf numFmtId="4" fontId="19" fillId="0" borderId="11" xfId="2" applyNumberFormat="1" applyFont="1" applyBorder="1" applyAlignment="1">
      <alignment horizontal="center" vertical="center"/>
    </xf>
    <xf numFmtId="4" fontId="51" fillId="17" borderId="29" xfId="13" applyNumberFormat="1" applyFont="1" applyFill="1" applyBorder="1" applyAlignment="1">
      <alignment vertical="center" wrapText="1"/>
    </xf>
    <xf numFmtId="4" fontId="51" fillId="16" borderId="29" xfId="13" applyNumberFormat="1" applyFont="1" applyFill="1" applyBorder="1" applyAlignment="1">
      <alignment vertical="center" wrapText="1"/>
    </xf>
    <xf numFmtId="164" fontId="52" fillId="18" borderId="29" xfId="14" applyFont="1" applyFill="1" applyBorder="1" applyAlignment="1">
      <alignment vertical="center"/>
    </xf>
    <xf numFmtId="164" fontId="52" fillId="18" borderId="30" xfId="14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" fillId="0" borderId="0" xfId="12" applyFont="1" applyAlignment="1">
      <alignment vertical="center"/>
    </xf>
    <xf numFmtId="0" fontId="49" fillId="11" borderId="2" xfId="0" applyFont="1" applyFill="1" applyBorder="1" applyAlignment="1">
      <alignment horizontal="center" vertical="center" wrapText="1"/>
    </xf>
    <xf numFmtId="0" fontId="48" fillId="0" borderId="2" xfId="16" applyFont="1" applyBorder="1" applyAlignment="1">
      <alignment horizontal="center" vertical="center" wrapText="1"/>
    </xf>
    <xf numFmtId="0" fontId="49" fillId="0" borderId="2" xfId="16" applyFont="1" applyBorder="1" applyAlignment="1">
      <alignment vertical="center" wrapText="1"/>
    </xf>
    <xf numFmtId="49" fontId="49" fillId="0" borderId="2" xfId="16" applyNumberFormat="1" applyFont="1" applyBorder="1" applyAlignment="1">
      <alignment vertical="center" wrapText="1"/>
    </xf>
    <xf numFmtId="4" fontId="48" fillId="0" borderId="2" xfId="0" applyNumberFormat="1" applyFont="1" applyBorder="1" applyAlignment="1">
      <alignment horizontal="center" vertical="center"/>
    </xf>
    <xf numFmtId="4" fontId="48" fillId="0" borderId="23" xfId="13" applyNumberFormat="1" applyFont="1" applyBorder="1" applyAlignment="1">
      <alignment horizontal="center" vertical="center"/>
    </xf>
    <xf numFmtId="0" fontId="48" fillId="0" borderId="42" xfId="0" applyFont="1" applyBorder="1" applyAlignment="1">
      <alignment vertical="center"/>
    </xf>
    <xf numFmtId="0" fontId="48" fillId="0" borderId="0" xfId="0" applyFont="1" applyAlignment="1">
      <alignment vertical="center"/>
    </xf>
    <xf numFmtId="49" fontId="49" fillId="0" borderId="13" xfId="13" applyNumberFormat="1" applyFont="1" applyBorder="1" applyAlignment="1">
      <alignment horizontal="center" vertical="center" wrapText="1"/>
    </xf>
    <xf numFmtId="0" fontId="49" fillId="0" borderId="41" xfId="0" applyFont="1" applyBorder="1" applyAlignment="1">
      <alignment horizontal="center" vertical="center"/>
    </xf>
    <xf numFmtId="167" fontId="49" fillId="0" borderId="2" xfId="13" applyNumberFormat="1" applyFont="1" applyBorder="1" applyAlignment="1">
      <alignment horizontal="center" vertical="center" wrapText="1"/>
    </xf>
    <xf numFmtId="0" fontId="48" fillId="0" borderId="2" xfId="13" applyFont="1" applyBorder="1" applyAlignment="1">
      <alignment horizontal="center" vertical="center" wrapText="1"/>
    </xf>
    <xf numFmtId="4" fontId="48" fillId="0" borderId="2" xfId="13" applyNumberFormat="1" applyFont="1" applyBorder="1" applyAlignment="1">
      <alignment horizontal="center" vertical="center" wrapText="1"/>
    </xf>
    <xf numFmtId="0" fontId="49" fillId="12" borderId="2" xfId="13" applyFont="1" applyFill="1" applyBorder="1" applyAlignment="1">
      <alignment vertical="center" wrapText="1"/>
    </xf>
    <xf numFmtId="0" fontId="49" fillId="12" borderId="20" xfId="13" applyFont="1" applyFill="1" applyBorder="1" applyAlignment="1">
      <alignment vertical="center" wrapText="1"/>
    </xf>
    <xf numFmtId="164" fontId="49" fillId="0" borderId="2" xfId="14" applyFont="1" applyFill="1" applyBorder="1" applyAlignment="1">
      <alignment horizontal="center" vertical="center" wrapText="1"/>
    </xf>
    <xf numFmtId="164" fontId="53" fillId="12" borderId="22" xfId="11" applyFont="1" applyFill="1" applyBorder="1" applyAlignment="1">
      <alignment horizontal="left" vertical="center"/>
    </xf>
    <xf numFmtId="164" fontId="54" fillId="12" borderId="22" xfId="14" applyFont="1" applyFill="1" applyBorder="1" applyAlignment="1">
      <alignment horizontal="center" vertical="center"/>
    </xf>
    <xf numFmtId="164" fontId="49" fillId="0" borderId="22" xfId="11" applyFont="1" applyFill="1" applyBorder="1" applyAlignment="1">
      <alignment horizontal="left" vertical="center"/>
    </xf>
    <xf numFmtId="0" fontId="51" fillId="0" borderId="2" xfId="13" applyFont="1" applyBorder="1" applyAlignment="1">
      <alignment horizontal="right" vertical="center" wrapText="1"/>
    </xf>
    <xf numFmtId="164" fontId="51" fillId="0" borderId="21" xfId="13" applyNumberFormat="1" applyFont="1" applyBorder="1" applyAlignment="1">
      <alignment vertical="center" wrapText="1"/>
    </xf>
    <xf numFmtId="164" fontId="54" fillId="12" borderId="21" xfId="14" applyFont="1" applyFill="1" applyBorder="1" applyAlignment="1">
      <alignment horizontal="center" vertical="center"/>
    </xf>
    <xf numFmtId="164" fontId="49" fillId="0" borderId="2" xfId="11" applyFont="1" applyFill="1" applyBorder="1" applyAlignment="1">
      <alignment horizontal="center" vertical="center"/>
    </xf>
    <xf numFmtId="164" fontId="49" fillId="0" borderId="2" xfId="11" applyFont="1" applyFill="1" applyBorder="1" applyAlignment="1">
      <alignment horizontal="left" vertical="center" wrapText="1"/>
    </xf>
    <xf numFmtId="164" fontId="49" fillId="0" borderId="2" xfId="11" applyFont="1" applyFill="1" applyBorder="1" applyAlignment="1">
      <alignment vertical="center"/>
    </xf>
    <xf numFmtId="164" fontId="49" fillId="0" borderId="20" xfId="14" applyFont="1" applyBorder="1" applyAlignment="1">
      <alignment horizontal="center" vertical="center"/>
    </xf>
    <xf numFmtId="164" fontId="49" fillId="0" borderId="48" xfId="11" applyFont="1" applyFill="1" applyBorder="1" applyAlignment="1">
      <alignment horizontal="right" vertical="center"/>
    </xf>
    <xf numFmtId="0" fontId="20" fillId="0" borderId="50" xfId="2" applyFont="1" applyBorder="1" applyAlignment="1">
      <alignment horizontal="center" vertical="center"/>
    </xf>
    <xf numFmtId="4" fontId="18" fillId="0" borderId="51" xfId="2" applyNumberFormat="1" applyFont="1" applyBorder="1" applyAlignment="1">
      <alignment horizontal="center" vertical="center"/>
    </xf>
    <xf numFmtId="4" fontId="20" fillId="0" borderId="2" xfId="2" applyNumberFormat="1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42" fillId="8" borderId="2" xfId="0" applyFont="1" applyFill="1" applyBorder="1" applyAlignment="1">
      <alignment horizontal="center" vertical="center" wrapText="1"/>
    </xf>
    <xf numFmtId="0" fontId="42" fillId="8" borderId="7" xfId="0" applyFont="1" applyFill="1" applyBorder="1" applyAlignment="1">
      <alignment horizontal="center" vertical="top" wrapText="1"/>
    </xf>
    <xf numFmtId="0" fontId="41" fillId="8" borderId="2" xfId="0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2" fillId="8" borderId="13" xfId="0" applyFont="1" applyFill="1" applyBorder="1" applyAlignment="1">
      <alignment horizontal="center" vertical="center" wrapText="1"/>
    </xf>
    <xf numFmtId="0" fontId="42" fillId="8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1" fillId="0" borderId="23" xfId="0" applyFont="1" applyBorder="1" applyAlignment="1">
      <alignment vertical="center" wrapText="1"/>
    </xf>
    <xf numFmtId="0" fontId="41" fillId="0" borderId="0" xfId="0" applyFont="1" applyAlignment="1">
      <alignment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41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43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41" fillId="0" borderId="40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0" fontId="4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7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8" fillId="0" borderId="20" xfId="13" applyFont="1" applyBorder="1" applyAlignment="1">
      <alignment horizontal="left" vertical="center" wrapText="1"/>
    </xf>
    <xf numFmtId="0" fontId="48" fillId="0" borderId="22" xfId="13" applyFont="1" applyBorder="1" applyAlignment="1">
      <alignment horizontal="left" vertical="center" wrapText="1"/>
    </xf>
    <xf numFmtId="0" fontId="48" fillId="0" borderId="21" xfId="13" applyFont="1" applyBorder="1" applyAlignment="1">
      <alignment horizontal="left" vertical="center" wrapText="1"/>
    </xf>
    <xf numFmtId="0" fontId="49" fillId="0" borderId="2" xfId="12" applyFont="1" applyBorder="1" applyAlignment="1">
      <alignment horizontal="left" vertical="center" wrapText="1"/>
    </xf>
    <xf numFmtId="0" fontId="48" fillId="0" borderId="20" xfId="12" applyFont="1" applyBorder="1" applyAlignment="1">
      <alignment horizontal="left" vertical="center" wrapText="1"/>
    </xf>
    <xf numFmtId="0" fontId="48" fillId="0" borderId="22" xfId="12" applyFont="1" applyBorder="1" applyAlignment="1">
      <alignment horizontal="left" vertical="center" wrapText="1"/>
    </xf>
    <xf numFmtId="0" fontId="48" fillId="0" borderId="21" xfId="12" applyFont="1" applyBorder="1" applyAlignment="1">
      <alignment horizontal="left" vertical="center" wrapText="1"/>
    </xf>
    <xf numFmtId="0" fontId="49" fillId="0" borderId="20" xfId="13" applyFont="1" applyBorder="1" applyAlignment="1">
      <alignment horizontal="left" vertical="center" wrapText="1"/>
    </xf>
    <xf numFmtId="0" fontId="49" fillId="0" borderId="22" xfId="13" applyFont="1" applyBorder="1" applyAlignment="1">
      <alignment horizontal="left" vertical="center" wrapText="1"/>
    </xf>
    <xf numFmtId="0" fontId="49" fillId="0" borderId="21" xfId="13" applyFont="1" applyBorder="1" applyAlignment="1">
      <alignment horizontal="left" vertical="center" wrapText="1"/>
    </xf>
    <xf numFmtId="0" fontId="49" fillId="12" borderId="20" xfId="13" applyFont="1" applyFill="1" applyBorder="1" applyAlignment="1">
      <alignment horizontal="left" vertical="center" wrapText="1"/>
    </xf>
    <xf numFmtId="0" fontId="49" fillId="12" borderId="22" xfId="13" applyFont="1" applyFill="1" applyBorder="1" applyAlignment="1">
      <alignment horizontal="left" vertical="center" wrapText="1"/>
    </xf>
    <xf numFmtId="0" fontId="49" fillId="0" borderId="2" xfId="13" applyFont="1" applyBorder="1" applyAlignment="1">
      <alignment horizontal="left" vertical="center" wrapText="1"/>
    </xf>
    <xf numFmtId="0" fontId="49" fillId="12" borderId="7" xfId="13" applyFont="1" applyFill="1" applyBorder="1" applyAlignment="1">
      <alignment vertical="center" wrapText="1"/>
    </xf>
    <xf numFmtId="0" fontId="49" fillId="12" borderId="29" xfId="13" applyFont="1" applyFill="1" applyBorder="1" applyAlignment="1">
      <alignment vertical="center" wrapText="1"/>
    </xf>
    <xf numFmtId="4" fontId="48" fillId="0" borderId="2" xfId="13" applyNumberFormat="1" applyFont="1" applyBorder="1" applyAlignment="1">
      <alignment horizontal="left" vertical="center" wrapText="1"/>
    </xf>
    <xf numFmtId="4" fontId="49" fillId="0" borderId="20" xfId="13" applyNumberFormat="1" applyFont="1" applyBorder="1" applyAlignment="1">
      <alignment horizontal="left" vertical="center" wrapText="1"/>
    </xf>
    <xf numFmtId="4" fontId="49" fillId="0" borderId="22" xfId="13" applyNumberFormat="1" applyFont="1" applyBorder="1" applyAlignment="1">
      <alignment horizontal="left" vertical="center" wrapText="1"/>
    </xf>
    <xf numFmtId="4" fontId="49" fillId="0" borderId="21" xfId="13" applyNumberFormat="1" applyFont="1" applyBorder="1" applyAlignment="1">
      <alignment horizontal="left" vertical="center" wrapText="1"/>
    </xf>
    <xf numFmtId="0" fontId="48" fillId="0" borderId="2" xfId="0" applyFont="1" applyBorder="1" applyAlignment="1">
      <alignment horizontal="left" vertical="center" wrapText="1"/>
    </xf>
    <xf numFmtId="0" fontId="49" fillId="0" borderId="20" xfId="16" quotePrefix="1" applyFont="1" applyBorder="1" applyAlignment="1">
      <alignment horizontal="left" vertical="center" wrapText="1"/>
    </xf>
    <xf numFmtId="0" fontId="49" fillId="0" borderId="22" xfId="16" quotePrefix="1" applyFont="1" applyBorder="1" applyAlignment="1">
      <alignment horizontal="left" vertical="center" wrapText="1"/>
    </xf>
    <xf numFmtId="0" fontId="49" fillId="0" borderId="2" xfId="16" applyFont="1" applyBorder="1" applyAlignment="1">
      <alignment horizontal="left" vertical="center" wrapText="1"/>
    </xf>
    <xf numFmtId="0" fontId="48" fillId="0" borderId="2" xfId="16" applyFont="1" applyBorder="1" applyAlignment="1">
      <alignment horizontal="left" vertical="center" wrapText="1"/>
    </xf>
    <xf numFmtId="0" fontId="49" fillId="12" borderId="21" xfId="13" applyFont="1" applyFill="1" applyBorder="1" applyAlignment="1">
      <alignment horizontal="left" vertical="center" wrapText="1"/>
    </xf>
    <xf numFmtId="0" fontId="49" fillId="0" borderId="20" xfId="15" applyFont="1" applyBorder="1" applyAlignment="1">
      <alignment horizontal="left" vertical="center" wrapText="1"/>
    </xf>
    <xf numFmtId="0" fontId="49" fillId="0" borderId="22" xfId="15" applyFont="1" applyBorder="1" applyAlignment="1">
      <alignment horizontal="left" vertical="center" wrapText="1"/>
    </xf>
    <xf numFmtId="0" fontId="49" fillId="0" borderId="21" xfId="15" applyFont="1" applyBorder="1" applyAlignment="1">
      <alignment horizontal="left" vertical="center" wrapText="1"/>
    </xf>
    <xf numFmtId="0" fontId="48" fillId="0" borderId="20" xfId="15" applyFont="1" applyBorder="1" applyAlignment="1">
      <alignment horizontal="left" vertical="center" wrapText="1"/>
    </xf>
    <xf numFmtId="0" fontId="48" fillId="0" borderId="22" xfId="15" applyFont="1" applyBorder="1" applyAlignment="1">
      <alignment horizontal="left" vertical="center" wrapText="1"/>
    </xf>
    <xf numFmtId="0" fontId="48" fillId="0" borderId="21" xfId="15" applyFont="1" applyBorder="1" applyAlignment="1">
      <alignment horizontal="left" vertical="center" wrapText="1"/>
    </xf>
    <xf numFmtId="0" fontId="48" fillId="0" borderId="40" xfId="15" applyFont="1" applyBorder="1" applyAlignment="1">
      <alignment horizontal="left" vertical="center" wrapText="1"/>
    </xf>
    <xf numFmtId="0" fontId="53" fillId="0" borderId="23" xfId="15" applyFont="1" applyBorder="1" applyAlignment="1">
      <alignment horizontal="left" vertical="center" wrapText="1"/>
    </xf>
    <xf numFmtId="0" fontId="53" fillId="0" borderId="41" xfId="15" applyFont="1" applyBorder="1" applyAlignment="1">
      <alignment horizontal="left" vertical="center" wrapText="1"/>
    </xf>
    <xf numFmtId="0" fontId="49" fillId="11" borderId="20" xfId="12" applyFont="1" applyFill="1" applyBorder="1" applyAlignment="1">
      <alignment horizontal="left" vertical="center" wrapText="1"/>
    </xf>
    <xf numFmtId="0" fontId="49" fillId="11" borderId="22" xfId="12" applyFont="1" applyFill="1" applyBorder="1" applyAlignment="1">
      <alignment horizontal="left" vertical="center" wrapText="1"/>
    </xf>
    <xf numFmtId="0" fontId="49" fillId="11" borderId="21" xfId="12" applyFont="1" applyFill="1" applyBorder="1" applyAlignment="1">
      <alignment horizontal="left" vertical="center" wrapText="1"/>
    </xf>
    <xf numFmtId="0" fontId="47" fillId="19" borderId="4" xfId="12" applyFont="1" applyFill="1" applyBorder="1" applyAlignment="1">
      <alignment horizontal="center" vertical="center" wrapText="1"/>
    </xf>
    <xf numFmtId="0" fontId="47" fillId="19" borderId="5" xfId="12" applyFont="1" applyFill="1" applyBorder="1" applyAlignment="1">
      <alignment horizontal="center" vertical="center" wrapText="1"/>
    </xf>
    <xf numFmtId="0" fontId="52" fillId="10" borderId="47" xfId="12" applyFont="1" applyFill="1" applyBorder="1" applyAlignment="1">
      <alignment horizontal="center" vertical="center" wrapText="1"/>
    </xf>
    <xf numFmtId="0" fontId="52" fillId="10" borderId="24" xfId="12" applyFont="1" applyFill="1" applyBorder="1" applyAlignment="1">
      <alignment horizontal="center" vertical="center" wrapText="1"/>
    </xf>
    <xf numFmtId="0" fontId="52" fillId="10" borderId="25" xfId="12" applyFont="1" applyFill="1" applyBorder="1" applyAlignment="1">
      <alignment horizontal="center" vertical="center" wrapText="1"/>
    </xf>
    <xf numFmtId="0" fontId="49" fillId="0" borderId="2" xfId="13" applyFont="1" applyBorder="1" applyAlignment="1">
      <alignment horizontal="center" vertical="center" wrapText="1"/>
    </xf>
    <xf numFmtId="0" fontId="49" fillId="12" borderId="2" xfId="13" applyFont="1" applyFill="1" applyBorder="1" applyAlignment="1">
      <alignment horizontal="left" vertical="center" wrapText="1"/>
    </xf>
    <xf numFmtId="0" fontId="49" fillId="12" borderId="29" xfId="13" applyFont="1" applyFill="1" applyBorder="1" applyAlignment="1">
      <alignment horizontal="left" vertical="center" wrapText="1"/>
    </xf>
    <xf numFmtId="167" fontId="51" fillId="9" borderId="20" xfId="13" applyNumberFormat="1" applyFont="1" applyFill="1" applyBorder="1" applyAlignment="1">
      <alignment horizontal="center" vertical="center" wrapText="1"/>
    </xf>
    <xf numFmtId="167" fontId="51" fillId="9" borderId="22" xfId="13" applyNumberFormat="1" applyFont="1" applyFill="1" applyBorder="1" applyAlignment="1">
      <alignment horizontal="center" vertical="center" wrapText="1"/>
    </xf>
    <xf numFmtId="167" fontId="51" fillId="9" borderId="21" xfId="13" applyNumberFormat="1" applyFont="1" applyFill="1" applyBorder="1" applyAlignment="1">
      <alignment horizontal="center" vertical="center" wrapText="1"/>
    </xf>
    <xf numFmtId="0" fontId="49" fillId="11" borderId="2" xfId="0" applyFont="1" applyFill="1" applyBorder="1" applyAlignment="1">
      <alignment horizontal="left" vertical="center" wrapText="1"/>
    </xf>
    <xf numFmtId="0" fontId="49" fillId="11" borderId="29" xfId="0" applyFont="1" applyFill="1" applyBorder="1" applyAlignment="1">
      <alignment horizontal="left" vertical="center" wrapText="1"/>
    </xf>
    <xf numFmtId="0" fontId="49" fillId="12" borderId="35" xfId="13" applyFont="1" applyFill="1" applyBorder="1" applyAlignment="1">
      <alignment horizontal="left" vertical="center" wrapText="1"/>
    </xf>
    <xf numFmtId="0" fontId="49" fillId="0" borderId="2" xfId="13" quotePrefix="1" applyFont="1" applyBorder="1" applyAlignment="1">
      <alignment vertical="center" wrapText="1"/>
    </xf>
    <xf numFmtId="0" fontId="48" fillId="0" borderId="23" xfId="15" applyFont="1" applyBorder="1" applyAlignment="1">
      <alignment horizontal="left" vertical="center" wrapText="1"/>
    </xf>
    <xf numFmtId="0" fontId="48" fillId="0" borderId="41" xfId="15" applyFont="1" applyBorder="1" applyAlignment="1">
      <alignment horizontal="left" vertical="center" wrapText="1"/>
    </xf>
    <xf numFmtId="0" fontId="49" fillId="0" borderId="2" xfId="15" applyFont="1" applyBorder="1" applyAlignment="1">
      <alignment horizontal="left" vertical="center" wrapText="1"/>
    </xf>
    <xf numFmtId="0" fontId="53" fillId="0" borderId="20" xfId="15" applyFont="1" applyBorder="1" applyAlignment="1">
      <alignment horizontal="left" vertical="center" wrapText="1"/>
    </xf>
    <xf numFmtId="0" fontId="53" fillId="0" borderId="22" xfId="15" applyFont="1" applyBorder="1" applyAlignment="1">
      <alignment horizontal="left" vertical="center" wrapText="1"/>
    </xf>
    <xf numFmtId="0" fontId="53" fillId="0" borderId="21" xfId="15" applyFont="1" applyBorder="1" applyAlignment="1">
      <alignment horizontal="left" vertical="center" wrapText="1"/>
    </xf>
    <xf numFmtId="0" fontId="48" fillId="0" borderId="13" xfId="15" applyFont="1" applyBorder="1" applyAlignment="1">
      <alignment horizontal="center" vertical="center" wrapText="1"/>
    </xf>
    <xf numFmtId="0" fontId="48" fillId="0" borderId="7" xfId="15" applyFont="1" applyBorder="1" applyAlignment="1">
      <alignment horizontal="center" vertical="center" wrapText="1"/>
    </xf>
    <xf numFmtId="4" fontId="48" fillId="0" borderId="13" xfId="15" applyNumberFormat="1" applyFont="1" applyBorder="1" applyAlignment="1">
      <alignment horizontal="center" vertical="center"/>
    </xf>
    <xf numFmtId="4" fontId="48" fillId="0" borderId="7" xfId="15" applyNumberFormat="1" applyFont="1" applyBorder="1" applyAlignment="1">
      <alignment horizontal="center" vertical="center"/>
    </xf>
    <xf numFmtId="4" fontId="48" fillId="0" borderId="2" xfId="13" applyNumberFormat="1" applyFont="1" applyBorder="1" applyAlignment="1">
      <alignment horizontal="center" vertical="center"/>
    </xf>
    <xf numFmtId="0" fontId="49" fillId="0" borderId="2" xfId="15" quotePrefix="1" applyFont="1" applyBorder="1" applyAlignment="1">
      <alignment horizontal="left" vertical="center" wrapText="1"/>
    </xf>
    <xf numFmtId="0" fontId="49" fillId="11" borderId="2" xfId="0" applyFont="1" applyFill="1" applyBorder="1" applyAlignment="1">
      <alignment vertical="center" wrapText="1"/>
    </xf>
    <xf numFmtId="0" fontId="49" fillId="11" borderId="20" xfId="0" applyFont="1" applyFill="1" applyBorder="1" applyAlignment="1">
      <alignment vertical="center" wrapText="1"/>
    </xf>
    <xf numFmtId="0" fontId="49" fillId="0" borderId="20" xfId="16" applyFont="1" applyBorder="1" applyAlignment="1">
      <alignment horizontal="left" vertical="center" wrapText="1"/>
    </xf>
    <xf numFmtId="0" fontId="49" fillId="0" borderId="22" xfId="16" applyFont="1" applyBorder="1" applyAlignment="1">
      <alignment horizontal="left" vertical="center" wrapText="1"/>
    </xf>
    <xf numFmtId="0" fontId="49" fillId="0" borderId="21" xfId="16" applyFont="1" applyBorder="1" applyAlignment="1">
      <alignment horizontal="left" vertical="center" wrapText="1"/>
    </xf>
    <xf numFmtId="0" fontId="48" fillId="0" borderId="2" xfId="15" applyFont="1" applyBorder="1" applyAlignment="1">
      <alignment horizontal="left" vertical="center" wrapText="1"/>
    </xf>
    <xf numFmtId="0" fontId="49" fillId="0" borderId="13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169" fontId="48" fillId="0" borderId="13" xfId="16" quotePrefix="1" applyNumberFormat="1" applyFont="1" applyBorder="1" applyAlignment="1">
      <alignment horizontal="center" vertical="center" wrapText="1"/>
    </xf>
    <xf numFmtId="169" fontId="48" fillId="0" borderId="7" xfId="16" quotePrefix="1" applyNumberFormat="1" applyFont="1" applyBorder="1" applyAlignment="1">
      <alignment horizontal="center" vertical="center" wrapText="1"/>
    </xf>
    <xf numFmtId="0" fontId="48" fillId="0" borderId="40" xfId="16" applyFont="1" applyBorder="1" applyAlignment="1">
      <alignment horizontal="left" vertical="center" wrapText="1"/>
    </xf>
    <xf numFmtId="0" fontId="48" fillId="0" borderId="23" xfId="16" applyFont="1" applyBorder="1" applyAlignment="1">
      <alignment horizontal="left" vertical="center" wrapText="1"/>
    </xf>
    <xf numFmtId="0" fontId="48" fillId="0" borderId="41" xfId="16" applyFont="1" applyBorder="1" applyAlignment="1">
      <alignment horizontal="left" vertical="center" wrapText="1"/>
    </xf>
    <xf numFmtId="0" fontId="48" fillId="0" borderId="20" xfId="0" applyFont="1" applyBorder="1" applyAlignment="1">
      <alignment horizontal="left" vertical="center" wrapText="1"/>
    </xf>
    <xf numFmtId="0" fontId="48" fillId="0" borderId="22" xfId="0" applyFont="1" applyBorder="1" applyAlignment="1">
      <alignment horizontal="left" vertical="center" wrapText="1"/>
    </xf>
    <xf numFmtId="0" fontId="48" fillId="0" borderId="21" xfId="0" applyFont="1" applyBorder="1" applyAlignment="1">
      <alignment horizontal="left" vertical="center" wrapText="1"/>
    </xf>
    <xf numFmtId="0" fontId="48" fillId="0" borderId="40" xfId="13" applyFont="1" applyBorder="1" applyAlignment="1">
      <alignment horizontal="left" vertical="center" wrapText="1"/>
    </xf>
    <xf numFmtId="0" fontId="48" fillId="0" borderId="23" xfId="13" applyFont="1" applyBorder="1" applyAlignment="1">
      <alignment horizontal="left" vertical="center" wrapText="1"/>
    </xf>
    <xf numFmtId="0" fontId="48" fillId="0" borderId="41" xfId="13" applyFont="1" applyBorder="1" applyAlignment="1">
      <alignment horizontal="left" vertical="center" wrapText="1"/>
    </xf>
    <xf numFmtId="0" fontId="18" fillId="7" borderId="2" xfId="2" applyFont="1" applyFill="1" applyBorder="1" applyAlignment="1">
      <alignment horizontal="left" vertical="center"/>
    </xf>
    <xf numFmtId="0" fontId="39" fillId="6" borderId="28" xfId="2" applyFont="1" applyFill="1" applyBorder="1" applyAlignment="1">
      <alignment horizontal="center" vertical="center" wrapText="1"/>
    </xf>
    <xf numFmtId="0" fontId="39" fillId="6" borderId="27" xfId="2" applyFont="1" applyFill="1" applyBorder="1" applyAlignment="1">
      <alignment horizontal="center" vertical="center" wrapText="1"/>
    </xf>
    <xf numFmtId="0" fontId="39" fillId="6" borderId="36" xfId="2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 wrapText="1"/>
    </xf>
    <xf numFmtId="0" fontId="18" fillId="3" borderId="2" xfId="2" applyFont="1" applyFill="1" applyBorder="1" applyAlignment="1">
      <alignment horizontal="center" vertical="center"/>
    </xf>
    <xf numFmtId="0" fontId="18" fillId="0" borderId="4" xfId="2" applyFont="1" applyBorder="1" applyAlignment="1">
      <alignment horizontal="right" vertical="center"/>
    </xf>
    <xf numFmtId="0" fontId="18" fillId="0" borderId="5" xfId="2" applyFont="1" applyBorder="1" applyAlignment="1">
      <alignment horizontal="right" vertical="center"/>
    </xf>
    <xf numFmtId="0" fontId="20" fillId="0" borderId="2" xfId="2" applyFont="1" applyBorder="1" applyAlignment="1">
      <alignment horizontal="left" vertical="center" wrapText="1"/>
    </xf>
    <xf numFmtId="0" fontId="20" fillId="0" borderId="2" xfId="2" applyFont="1" applyBorder="1" applyAlignment="1">
      <alignment horizontal="left" vertical="center"/>
    </xf>
    <xf numFmtId="0" fontId="18" fillId="0" borderId="2" xfId="2" applyFont="1" applyBorder="1" applyAlignment="1">
      <alignment horizontal="right" vertical="center"/>
    </xf>
    <xf numFmtId="49" fontId="18" fillId="2" borderId="2" xfId="2" applyNumberFormat="1" applyFont="1" applyFill="1" applyBorder="1" applyAlignment="1">
      <alignment horizontal="left" vertical="center" wrapText="1"/>
    </xf>
    <xf numFmtId="0" fontId="18" fillId="2" borderId="2" xfId="2" applyFont="1" applyFill="1" applyBorder="1" applyAlignment="1">
      <alignment horizontal="left" vertical="center" wrapText="1"/>
    </xf>
    <xf numFmtId="2" fontId="20" fillId="0" borderId="2" xfId="2" applyNumberFormat="1" applyFont="1" applyBorder="1" applyAlignment="1">
      <alignment horizontal="left" vertical="center" wrapText="1"/>
    </xf>
    <xf numFmtId="0" fontId="20" fillId="0" borderId="13" xfId="2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8" fillId="0" borderId="46" xfId="2" applyFont="1" applyBorder="1" applyAlignment="1">
      <alignment horizontal="right" vertical="center"/>
    </xf>
    <xf numFmtId="0" fontId="18" fillId="0" borderId="13" xfId="2" applyFont="1" applyBorder="1" applyAlignment="1">
      <alignment horizontal="right" vertical="center"/>
    </xf>
    <xf numFmtId="0" fontId="19" fillId="0" borderId="4" xfId="2" applyFont="1" applyBorder="1" applyAlignment="1">
      <alignment horizontal="right" vertical="center"/>
    </xf>
    <xf numFmtId="0" fontId="19" fillId="0" borderId="5" xfId="2" applyFont="1" applyBorder="1" applyAlignment="1">
      <alignment horizontal="right" vertical="center"/>
    </xf>
    <xf numFmtId="0" fontId="19" fillId="0" borderId="43" xfId="2" applyFont="1" applyBorder="1" applyAlignment="1">
      <alignment horizontal="right" vertical="center"/>
    </xf>
    <xf numFmtId="0" fontId="19" fillId="0" borderId="3" xfId="2" applyFont="1" applyBorder="1" applyAlignment="1">
      <alignment horizontal="right" vertical="center"/>
    </xf>
    <xf numFmtId="0" fontId="19" fillId="0" borderId="2" xfId="2" applyFont="1" applyBorder="1" applyAlignment="1">
      <alignment horizontal="right" vertical="center"/>
    </xf>
    <xf numFmtId="0" fontId="19" fillId="0" borderId="29" xfId="2" applyFont="1" applyBorder="1" applyAlignment="1">
      <alignment horizontal="right" vertical="center"/>
    </xf>
    <xf numFmtId="0" fontId="19" fillId="0" borderId="31" xfId="2" applyFont="1" applyBorder="1" applyAlignment="1">
      <alignment horizontal="right" vertical="center"/>
    </xf>
    <xf numFmtId="0" fontId="19" fillId="0" borderId="32" xfId="2" applyFont="1" applyBorder="1" applyAlignment="1">
      <alignment horizontal="right" vertical="center"/>
    </xf>
    <xf numFmtId="0" fontId="19" fillId="0" borderId="30" xfId="2" applyFont="1" applyBorder="1" applyAlignment="1">
      <alignment horizontal="right" vertical="center"/>
    </xf>
    <xf numFmtId="0" fontId="51" fillId="17" borderId="34" xfId="13" applyFont="1" applyFill="1" applyBorder="1" applyAlignment="1">
      <alignment horizontal="right" vertical="center" wrapText="1"/>
    </xf>
    <xf numFmtId="0" fontId="51" fillId="17" borderId="22" xfId="13" applyFont="1" applyFill="1" applyBorder="1" applyAlignment="1">
      <alignment horizontal="right" vertical="center" wrapText="1"/>
    </xf>
    <xf numFmtId="0" fontId="51" fillId="17" borderId="21" xfId="13" applyFont="1" applyFill="1" applyBorder="1" applyAlignment="1">
      <alignment horizontal="right" vertical="center" wrapText="1"/>
    </xf>
    <xf numFmtId="0" fontId="51" fillId="16" borderId="34" xfId="13" applyFont="1" applyFill="1" applyBorder="1" applyAlignment="1">
      <alignment horizontal="right" vertical="center" wrapText="1"/>
    </xf>
    <xf numFmtId="0" fontId="51" fillId="16" borderId="22" xfId="13" applyFont="1" applyFill="1" applyBorder="1" applyAlignment="1">
      <alignment horizontal="right" vertical="center" wrapText="1"/>
    </xf>
    <xf numFmtId="0" fontId="51" fillId="16" borderId="21" xfId="13" applyFont="1" applyFill="1" applyBorder="1" applyAlignment="1">
      <alignment horizontal="right" vertical="center" wrapText="1"/>
    </xf>
    <xf numFmtId="0" fontId="51" fillId="17" borderId="3" xfId="13" applyFont="1" applyFill="1" applyBorder="1" applyAlignment="1">
      <alignment horizontal="right" vertical="center" wrapText="1"/>
    </xf>
    <xf numFmtId="0" fontId="51" fillId="17" borderId="2" xfId="13" applyFont="1" applyFill="1" applyBorder="1" applyAlignment="1">
      <alignment horizontal="right" vertical="center" wrapText="1"/>
    </xf>
    <xf numFmtId="0" fontId="52" fillId="18" borderId="3" xfId="12" applyFont="1" applyFill="1" applyBorder="1" applyAlignment="1">
      <alignment horizontal="right" vertical="center"/>
    </xf>
    <xf numFmtId="0" fontId="52" fillId="18" borderId="2" xfId="12" applyFont="1" applyFill="1" applyBorder="1" applyAlignment="1">
      <alignment horizontal="right" vertical="center"/>
    </xf>
    <xf numFmtId="0" fontId="52" fillId="18" borderId="31" xfId="12" applyFont="1" applyFill="1" applyBorder="1" applyAlignment="1">
      <alignment horizontal="right" vertical="center"/>
    </xf>
    <xf numFmtId="0" fontId="52" fillId="18" borderId="32" xfId="12" applyFont="1" applyFill="1" applyBorder="1" applyAlignment="1">
      <alignment horizontal="right" vertical="center"/>
    </xf>
    <xf numFmtId="0" fontId="38" fillId="0" borderId="0" xfId="0" applyFont="1" applyAlignment="1">
      <alignment horizontal="center"/>
    </xf>
    <xf numFmtId="0" fontId="20" fillId="0" borderId="22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center" wrapText="1"/>
    </xf>
    <xf numFmtId="7" fontId="19" fillId="0" borderId="2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 vertical="center" wrapText="1"/>
    </xf>
    <xf numFmtId="0" fontId="18" fillId="7" borderId="20" xfId="2" applyFont="1" applyFill="1" applyBorder="1" applyAlignment="1">
      <alignment horizontal="center" vertical="center"/>
    </xf>
    <xf numFmtId="0" fontId="18" fillId="7" borderId="35" xfId="2" applyFont="1" applyFill="1" applyBorder="1" applyAlignment="1">
      <alignment horizontal="center" vertical="center"/>
    </xf>
    <xf numFmtId="0" fontId="19" fillId="6" borderId="28" xfId="2" applyFont="1" applyFill="1" applyBorder="1" applyAlignment="1">
      <alignment horizontal="center" vertical="center" wrapText="1"/>
    </xf>
    <xf numFmtId="0" fontId="19" fillId="6" borderId="27" xfId="2" applyFont="1" applyFill="1" applyBorder="1" applyAlignment="1">
      <alignment horizontal="center" vertical="center" wrapText="1"/>
    </xf>
    <xf numFmtId="0" fontId="19" fillId="6" borderId="36" xfId="2" applyFont="1" applyFill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39" fillId="0" borderId="45" xfId="0" applyFont="1" applyBorder="1" applyAlignment="1">
      <alignment horizontal="center" vertical="top" wrapText="1"/>
    </xf>
    <xf numFmtId="0" fontId="18" fillId="3" borderId="5" xfId="2" applyFont="1" applyFill="1" applyBorder="1" applyAlignment="1">
      <alignment horizontal="center" vertical="center"/>
    </xf>
    <xf numFmtId="0" fontId="18" fillId="3" borderId="39" xfId="2" applyFont="1" applyFill="1" applyBorder="1" applyAlignment="1">
      <alignment horizontal="center" vertical="center"/>
    </xf>
    <xf numFmtId="0" fontId="20" fillId="0" borderId="20" xfId="2" applyFont="1" applyBorder="1" applyAlignment="1">
      <alignment horizontal="left" vertical="center" wrapText="1"/>
    </xf>
    <xf numFmtId="0" fontId="20" fillId="0" borderId="35" xfId="2" applyFont="1" applyBorder="1" applyAlignment="1">
      <alignment horizontal="left" vertical="center"/>
    </xf>
    <xf numFmtId="0" fontId="18" fillId="0" borderId="20" xfId="2" applyFont="1" applyBorder="1" applyAlignment="1">
      <alignment horizontal="right" vertical="center"/>
    </xf>
    <xf numFmtId="0" fontId="18" fillId="0" borderId="35" xfId="2" applyFont="1" applyBorder="1" applyAlignment="1">
      <alignment horizontal="right" vertical="center"/>
    </xf>
    <xf numFmtId="49" fontId="18" fillId="2" borderId="20" xfId="2" applyNumberFormat="1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49" fontId="20" fillId="0" borderId="20" xfId="2" applyNumberFormat="1" applyFont="1" applyBorder="1" applyAlignment="1">
      <alignment horizontal="left" vertical="center" wrapText="1"/>
    </xf>
    <xf numFmtId="49" fontId="20" fillId="0" borderId="22" xfId="2" applyNumberFormat="1" applyFont="1" applyBorder="1" applyAlignment="1">
      <alignment horizontal="left" vertical="center" wrapText="1"/>
    </xf>
    <xf numFmtId="0" fontId="18" fillId="0" borderId="34" xfId="2" applyFont="1" applyBorder="1" applyAlignment="1">
      <alignment horizontal="right" vertical="center"/>
    </xf>
    <xf numFmtId="0" fontId="18" fillId="0" borderId="22" xfId="2" applyFont="1" applyBorder="1" applyAlignment="1">
      <alignment horizontal="right" vertical="center"/>
    </xf>
    <xf numFmtId="2" fontId="20" fillId="0" borderId="20" xfId="2" applyNumberFormat="1" applyFont="1" applyBorder="1" applyAlignment="1">
      <alignment horizontal="left" vertical="center" wrapText="1"/>
    </xf>
    <xf numFmtId="2" fontId="20" fillId="0" borderId="22" xfId="2" applyNumberFormat="1" applyFont="1" applyBorder="1" applyAlignment="1">
      <alignment horizontal="left" vertical="center" wrapText="1"/>
    </xf>
    <xf numFmtId="0" fontId="18" fillId="0" borderId="37" xfId="2" applyFont="1" applyBorder="1" applyAlignment="1">
      <alignment horizontal="right" vertical="center"/>
    </xf>
    <xf numFmtId="0" fontId="18" fillId="0" borderId="38" xfId="2" applyFont="1" applyBorder="1" applyAlignment="1">
      <alignment horizontal="right" vertical="center"/>
    </xf>
    <xf numFmtId="0" fontId="20" fillId="0" borderId="22" xfId="2" applyFont="1" applyBorder="1" applyAlignment="1">
      <alignment horizontal="left" vertical="center" wrapText="1"/>
    </xf>
    <xf numFmtId="49" fontId="18" fillId="2" borderId="26" xfId="2" applyNumberFormat="1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20" fillId="0" borderId="20" xfId="2" applyFont="1" applyBorder="1" applyAlignment="1">
      <alignment horizontal="left" vertical="top" wrapText="1"/>
    </xf>
    <xf numFmtId="0" fontId="20" fillId="0" borderId="35" xfId="2" applyFont="1" applyBorder="1" applyAlignment="1">
      <alignment horizontal="left" vertical="top" wrapText="1"/>
    </xf>
    <xf numFmtId="0" fontId="30" fillId="0" borderId="0" xfId="0" applyFont="1" applyAlignment="1">
      <alignment horizontal="left" wrapText="1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27" fillId="0" borderId="2" xfId="0" applyFont="1" applyBorder="1" applyAlignment="1">
      <alignment horizontal="center" vertical="center"/>
    </xf>
    <xf numFmtId="2" fontId="27" fillId="0" borderId="2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/>
    </xf>
    <xf numFmtId="2" fontId="17" fillId="0" borderId="7" xfId="1" applyNumberFormat="1" applyFont="1" applyBorder="1" applyAlignment="1">
      <alignment horizontal="center" vertical="center"/>
    </xf>
    <xf numFmtId="2" fontId="17" fillId="0" borderId="13" xfId="1" applyNumberFormat="1" applyFont="1" applyBorder="1" applyAlignment="1">
      <alignment horizontal="center" vertical="center"/>
    </xf>
    <xf numFmtId="2" fontId="17" fillId="0" borderId="2" xfId="1" applyNumberFormat="1" applyFont="1" applyBorder="1" applyAlignment="1">
      <alignment horizontal="center" vertical="center"/>
    </xf>
    <xf numFmtId="0" fontId="24" fillId="0" borderId="0" xfId="0" applyFont="1" applyAlignment="1">
      <alignment horizontal="right" vertical="top"/>
    </xf>
    <xf numFmtId="0" fontId="24" fillId="0" borderId="24" xfId="0" applyFont="1" applyBorder="1" applyAlignment="1">
      <alignment horizontal="right" vertical="top"/>
    </xf>
    <xf numFmtId="0" fontId="2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17" fillId="0" borderId="13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30" fillId="0" borderId="26" xfId="0" applyFont="1" applyBorder="1" applyAlignment="1">
      <alignment horizontal="left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40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left" vertical="center" wrapText="1"/>
    </xf>
    <xf numFmtId="0" fontId="30" fillId="0" borderId="41" xfId="0" applyFont="1" applyBorder="1" applyAlignment="1">
      <alignment horizontal="left" vertical="center" wrapText="1"/>
    </xf>
    <xf numFmtId="0" fontId="30" fillId="0" borderId="42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2" fontId="30" fillId="0" borderId="23" xfId="0" applyNumberFormat="1" applyFont="1" applyBorder="1" applyAlignment="1">
      <alignment horizontal="right" vertical="center"/>
    </xf>
    <xf numFmtId="2" fontId="30" fillId="0" borderId="0" xfId="0" applyNumberFormat="1" applyFont="1" applyAlignment="1">
      <alignment horizontal="right" vertical="center"/>
    </xf>
    <xf numFmtId="0" fontId="30" fillId="0" borderId="4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2" fontId="30" fillId="0" borderId="1" xfId="0" applyNumberFormat="1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2" fontId="33" fillId="0" borderId="2" xfId="0" applyNumberFormat="1" applyFont="1" applyBorder="1" applyAlignment="1">
      <alignment horizontal="center" vertical="center"/>
    </xf>
    <xf numFmtId="2" fontId="33" fillId="0" borderId="40" xfId="0" applyNumberFormat="1" applyFont="1" applyBorder="1" applyAlignment="1">
      <alignment horizontal="left" vertical="center" wrapText="1"/>
    </xf>
    <xf numFmtId="2" fontId="33" fillId="0" borderId="23" xfId="0" applyNumberFormat="1" applyFont="1" applyBorder="1" applyAlignment="1">
      <alignment horizontal="left" vertical="center" wrapText="1"/>
    </xf>
    <xf numFmtId="2" fontId="33" fillId="0" borderId="41" xfId="0" applyNumberFormat="1" applyFont="1" applyBorder="1" applyAlignment="1">
      <alignment horizontal="left" vertical="center" wrapText="1"/>
    </xf>
    <xf numFmtId="2" fontId="33" fillId="0" borderId="26" xfId="0" applyNumberFormat="1" applyFont="1" applyBorder="1" applyAlignment="1">
      <alignment horizontal="left" vertical="center" wrapText="1"/>
    </xf>
    <xf numFmtId="2" fontId="33" fillId="0" borderId="24" xfId="0" applyNumberFormat="1" applyFont="1" applyBorder="1" applyAlignment="1">
      <alignment horizontal="left" vertical="center" wrapText="1"/>
    </xf>
    <xf numFmtId="2" fontId="33" fillId="0" borderId="25" xfId="0" applyNumberFormat="1" applyFont="1" applyBorder="1" applyAlignment="1">
      <alignment horizontal="left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left" vertical="center" wrapText="1"/>
    </xf>
    <xf numFmtId="2" fontId="34" fillId="0" borderId="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2" fontId="33" fillId="0" borderId="2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35" fillId="0" borderId="0" xfId="0" applyFont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2" fontId="27" fillId="0" borderId="44" xfId="0" applyNumberFormat="1" applyFont="1" applyBorder="1" applyAlignment="1">
      <alignment horizontal="center" vertical="center"/>
    </xf>
    <xf numFmtId="2" fontId="27" fillId="0" borderId="33" xfId="0" applyNumberFormat="1" applyFont="1" applyBorder="1" applyAlignment="1">
      <alignment horizontal="center" vertical="center"/>
    </xf>
  </cellXfs>
  <cellStyles count="111">
    <cellStyle name="Dziesiętny" xfId="11" builtinId="3"/>
    <cellStyle name="Dziesiętny 10" xfId="34" xr:uid="{00000000-0005-0000-0000-000001000000}"/>
    <cellStyle name="Dziesiętny 2" xfId="1" xr:uid="{00000000-0005-0000-0000-000002000000}"/>
    <cellStyle name="Dziesiętny 2 2" xfId="4" xr:uid="{00000000-0005-0000-0000-000003000000}"/>
    <cellStyle name="Dziesiętny 2 3" xfId="35" xr:uid="{00000000-0005-0000-0000-000004000000}"/>
    <cellStyle name="Dziesiętny 3" xfId="5" xr:uid="{00000000-0005-0000-0000-000005000000}"/>
    <cellStyle name="Dziesiętny 3 2" xfId="19" xr:uid="{00000000-0005-0000-0000-000006000000}"/>
    <cellStyle name="Dziesiętny 3 2 2" xfId="36" xr:uid="{00000000-0005-0000-0000-000007000000}"/>
    <cellStyle name="Dziesiętny 3 2 2 2" xfId="37" xr:uid="{00000000-0005-0000-0000-000008000000}"/>
    <cellStyle name="Dziesiętny 3 2 2 3" xfId="38" xr:uid="{00000000-0005-0000-0000-000009000000}"/>
    <cellStyle name="Dziesiętny 3 2 3" xfId="39" xr:uid="{00000000-0005-0000-0000-00000A000000}"/>
    <cellStyle name="Dziesiętny 3 2 4" xfId="40" xr:uid="{00000000-0005-0000-0000-00000B000000}"/>
    <cellStyle name="Dziesiętny 3 2 5" xfId="41" xr:uid="{00000000-0005-0000-0000-00000C000000}"/>
    <cellStyle name="Dziesiętny 3 3" xfId="31" xr:uid="{00000000-0005-0000-0000-00000D000000}"/>
    <cellStyle name="Dziesiętny 3 3 2" xfId="42" xr:uid="{00000000-0005-0000-0000-00000E000000}"/>
    <cellStyle name="Dziesiętny 3 3 3" xfId="43" xr:uid="{00000000-0005-0000-0000-00000F000000}"/>
    <cellStyle name="Dziesiętny 3 4" xfId="44" xr:uid="{00000000-0005-0000-0000-000010000000}"/>
    <cellStyle name="Dziesiętny 3 4 2" xfId="45" xr:uid="{00000000-0005-0000-0000-000011000000}"/>
    <cellStyle name="Dziesiętny 3 5" xfId="46" xr:uid="{00000000-0005-0000-0000-000012000000}"/>
    <cellStyle name="Dziesiętny 3 6" xfId="47" xr:uid="{00000000-0005-0000-0000-000013000000}"/>
    <cellStyle name="Dziesiętny 3 7" xfId="48" xr:uid="{00000000-0005-0000-0000-000014000000}"/>
    <cellStyle name="Dziesiętny 3 8" xfId="49" xr:uid="{00000000-0005-0000-0000-000015000000}"/>
    <cellStyle name="Dziesiętny 4" xfId="14" xr:uid="{00000000-0005-0000-0000-000016000000}"/>
    <cellStyle name="Dziesiętny 4 2" xfId="50" xr:uid="{00000000-0005-0000-0000-000017000000}"/>
    <cellStyle name="Dziesiętny 4 3" xfId="51" xr:uid="{00000000-0005-0000-0000-000018000000}"/>
    <cellStyle name="Dziesiętny 4 4" xfId="52" xr:uid="{00000000-0005-0000-0000-000019000000}"/>
    <cellStyle name="Dziesiętny 5" xfId="29" xr:uid="{00000000-0005-0000-0000-00001A000000}"/>
    <cellStyle name="Dziesiętny 5 2" xfId="53" xr:uid="{00000000-0005-0000-0000-00001B000000}"/>
    <cellStyle name="Dziesiętny 5 3" xfId="54" xr:uid="{00000000-0005-0000-0000-00001C000000}"/>
    <cellStyle name="Dziesiętny 6" xfId="55" xr:uid="{00000000-0005-0000-0000-00001D000000}"/>
    <cellStyle name="Dziesiętny 7" xfId="56" xr:uid="{00000000-0005-0000-0000-00001E000000}"/>
    <cellStyle name="Dziesiętny 8" xfId="57" xr:uid="{00000000-0005-0000-0000-00001F000000}"/>
    <cellStyle name="Dziesiętny 9" xfId="58" xr:uid="{00000000-0005-0000-0000-000020000000}"/>
    <cellStyle name="Normalny" xfId="0" builtinId="0"/>
    <cellStyle name="Normalny 10" xfId="59" xr:uid="{00000000-0005-0000-0000-000022000000}"/>
    <cellStyle name="Normalny 11" xfId="60" xr:uid="{00000000-0005-0000-0000-000023000000}"/>
    <cellStyle name="Normalny 12" xfId="61" xr:uid="{00000000-0005-0000-0000-000024000000}"/>
    <cellStyle name="Normalny 13" xfId="62" xr:uid="{00000000-0005-0000-0000-000025000000}"/>
    <cellStyle name="Normalny 2" xfId="6" xr:uid="{00000000-0005-0000-0000-000026000000}"/>
    <cellStyle name="Normalny 2 2" xfId="21" xr:uid="{00000000-0005-0000-0000-000027000000}"/>
    <cellStyle name="Normalny 2 2 2" xfId="63" xr:uid="{00000000-0005-0000-0000-000028000000}"/>
    <cellStyle name="Normalny 2 2 3" xfId="64" xr:uid="{00000000-0005-0000-0000-000029000000}"/>
    <cellStyle name="Normalny 2 2 4" xfId="65" xr:uid="{00000000-0005-0000-0000-00002A000000}"/>
    <cellStyle name="Normalny 2 3" xfId="20" xr:uid="{00000000-0005-0000-0000-00002B000000}"/>
    <cellStyle name="Normalny 2 4" xfId="66" xr:uid="{00000000-0005-0000-0000-00002C000000}"/>
    <cellStyle name="Normalny 3" xfId="7" xr:uid="{00000000-0005-0000-0000-00002D000000}"/>
    <cellStyle name="Normalny 3 2" xfId="17" xr:uid="{00000000-0005-0000-0000-00002E000000}"/>
    <cellStyle name="Normalny 3 2 2" xfId="26" xr:uid="{00000000-0005-0000-0000-00002F000000}"/>
    <cellStyle name="Normalny 3 2 2 2" xfId="67" xr:uid="{00000000-0005-0000-0000-000030000000}"/>
    <cellStyle name="Normalny 3 2 2 2 2" xfId="68" xr:uid="{00000000-0005-0000-0000-000031000000}"/>
    <cellStyle name="Normalny 3 2 2 3" xfId="69" xr:uid="{00000000-0005-0000-0000-000032000000}"/>
    <cellStyle name="Normalny 3 2 2 4" xfId="70" xr:uid="{00000000-0005-0000-0000-000033000000}"/>
    <cellStyle name="Normalny 3 2 2 5" xfId="71" xr:uid="{00000000-0005-0000-0000-000034000000}"/>
    <cellStyle name="Normalny 3 2 3" xfId="24" xr:uid="{00000000-0005-0000-0000-000035000000}"/>
    <cellStyle name="Normalny 3 2 3 2" xfId="72" xr:uid="{00000000-0005-0000-0000-000036000000}"/>
    <cellStyle name="Normalny 3 2 3 3" xfId="73" xr:uid="{00000000-0005-0000-0000-000037000000}"/>
    <cellStyle name="Normalny 3 2 4" xfId="74" xr:uid="{00000000-0005-0000-0000-000038000000}"/>
    <cellStyle name="Normalny 3 2 5" xfId="75" xr:uid="{00000000-0005-0000-0000-000039000000}"/>
    <cellStyle name="Normalny 3 2 6" xfId="76" xr:uid="{00000000-0005-0000-0000-00003A000000}"/>
    <cellStyle name="Normalny 3 3" xfId="22" xr:uid="{00000000-0005-0000-0000-00003B000000}"/>
    <cellStyle name="Normalny 3 3 2" xfId="25" xr:uid="{00000000-0005-0000-0000-00003C000000}"/>
    <cellStyle name="Normalny 3 3 2 2" xfId="77" xr:uid="{00000000-0005-0000-0000-00003D000000}"/>
    <cellStyle name="Normalny 3 3 2 3" xfId="78" xr:uid="{00000000-0005-0000-0000-00003E000000}"/>
    <cellStyle name="Normalny 3 3 3" xfId="79" xr:uid="{00000000-0005-0000-0000-00003F000000}"/>
    <cellStyle name="Normalny 3 3 4" xfId="80" xr:uid="{00000000-0005-0000-0000-000040000000}"/>
    <cellStyle name="Normalny 3 3 5" xfId="81" xr:uid="{00000000-0005-0000-0000-000041000000}"/>
    <cellStyle name="Normalny 3 4" xfId="27" xr:uid="{00000000-0005-0000-0000-000042000000}"/>
    <cellStyle name="Normalny 3 4 2" xfId="82" xr:uid="{00000000-0005-0000-0000-000043000000}"/>
    <cellStyle name="Normalny 3 4 3" xfId="83" xr:uid="{00000000-0005-0000-0000-000044000000}"/>
    <cellStyle name="Normalny 3 4 4" xfId="84" xr:uid="{00000000-0005-0000-0000-000045000000}"/>
    <cellStyle name="Normalny 3 4 5" xfId="85" xr:uid="{00000000-0005-0000-0000-000046000000}"/>
    <cellStyle name="Normalny 3 5" xfId="23" xr:uid="{00000000-0005-0000-0000-000047000000}"/>
    <cellStyle name="Normalny 3 5 2" xfId="86" xr:uid="{00000000-0005-0000-0000-000048000000}"/>
    <cellStyle name="Normalny 3 5 3" xfId="87" xr:uid="{00000000-0005-0000-0000-000049000000}"/>
    <cellStyle name="Normalny 3 6" xfId="32" xr:uid="{00000000-0005-0000-0000-00004A000000}"/>
    <cellStyle name="Normalny 3 7" xfId="88" xr:uid="{00000000-0005-0000-0000-00004B000000}"/>
    <cellStyle name="Normalny 3 8" xfId="89" xr:uid="{00000000-0005-0000-0000-00004C000000}"/>
    <cellStyle name="Normalny 3 8 2" xfId="90" xr:uid="{00000000-0005-0000-0000-00004D000000}"/>
    <cellStyle name="Normalny 3 9" xfId="91" xr:uid="{00000000-0005-0000-0000-00004E000000}"/>
    <cellStyle name="Normalny 4" xfId="8" xr:uid="{00000000-0005-0000-0000-00004F000000}"/>
    <cellStyle name="Normalny 4 2" xfId="18" xr:uid="{00000000-0005-0000-0000-000050000000}"/>
    <cellStyle name="Normalny 4 2 2" xfId="92" xr:uid="{00000000-0005-0000-0000-000051000000}"/>
    <cellStyle name="Normalny 4 2 2 2" xfId="93" xr:uid="{00000000-0005-0000-0000-000052000000}"/>
    <cellStyle name="Normalny 4 2 2 3" xfId="94" xr:uid="{00000000-0005-0000-0000-000053000000}"/>
    <cellStyle name="Normalny 4 2 3" xfId="95" xr:uid="{00000000-0005-0000-0000-000054000000}"/>
    <cellStyle name="Normalny 4 2 4" xfId="96" xr:uid="{00000000-0005-0000-0000-000055000000}"/>
    <cellStyle name="Normalny 4 2 5" xfId="97" xr:uid="{00000000-0005-0000-0000-000056000000}"/>
    <cellStyle name="Normalny 4 3" xfId="33" xr:uid="{00000000-0005-0000-0000-000057000000}"/>
    <cellStyle name="Normalny 4 3 2" xfId="98" xr:uid="{00000000-0005-0000-0000-000058000000}"/>
    <cellStyle name="Normalny 4 3 3" xfId="99" xr:uid="{00000000-0005-0000-0000-000059000000}"/>
    <cellStyle name="Normalny 4 4" xfId="100" xr:uid="{00000000-0005-0000-0000-00005A000000}"/>
    <cellStyle name="Normalny 4 5" xfId="101" xr:uid="{00000000-0005-0000-0000-00005B000000}"/>
    <cellStyle name="Normalny 4 6" xfId="102" xr:uid="{00000000-0005-0000-0000-00005C000000}"/>
    <cellStyle name="Normalny 4 7" xfId="103" xr:uid="{00000000-0005-0000-0000-00005D000000}"/>
    <cellStyle name="Normalny 5" xfId="9" xr:uid="{00000000-0005-0000-0000-00005E000000}"/>
    <cellStyle name="Normalny 6" xfId="10" xr:uid="{00000000-0005-0000-0000-00005F000000}"/>
    <cellStyle name="Normalny 7" xfId="12" xr:uid="{00000000-0005-0000-0000-000060000000}"/>
    <cellStyle name="Normalny 7 2" xfId="104" xr:uid="{00000000-0005-0000-0000-000061000000}"/>
    <cellStyle name="Normalny 7 2 2" xfId="105" xr:uid="{00000000-0005-0000-0000-000062000000}"/>
    <cellStyle name="Normalny 7 3" xfId="106" xr:uid="{00000000-0005-0000-0000-000063000000}"/>
    <cellStyle name="Normalny 7 4" xfId="107" xr:uid="{00000000-0005-0000-0000-000064000000}"/>
    <cellStyle name="Normalny 8" xfId="28" xr:uid="{00000000-0005-0000-0000-000065000000}"/>
    <cellStyle name="Normalny 8 2" xfId="108" xr:uid="{00000000-0005-0000-0000-000066000000}"/>
    <cellStyle name="Normalny 8 3" xfId="109" xr:uid="{00000000-0005-0000-0000-000067000000}"/>
    <cellStyle name="Normalny 9" xfId="110" xr:uid="{00000000-0005-0000-0000-000068000000}"/>
    <cellStyle name="Normalny_Arkusz1" xfId="2" xr:uid="{00000000-0005-0000-0000-000069000000}"/>
    <cellStyle name="Normalny_Tabela zbiorcza cz.1 (0030-0035)" xfId="13" xr:uid="{00000000-0005-0000-0000-00006A000000}"/>
    <cellStyle name="Normalny_Wzór tabeli" xfId="15" xr:uid="{00000000-0005-0000-0000-00006B000000}"/>
    <cellStyle name="Normalny_Wzór tabeli 2" xfId="16" xr:uid="{00000000-0005-0000-0000-00006C000000}"/>
    <cellStyle name="Procentowy" xfId="3" builtinId="5"/>
    <cellStyle name="TerespolD" xfId="30" xr:uid="{00000000-0005-0000-0000-00006E000000}"/>
  </cellStyles>
  <dxfs count="0"/>
  <tableStyles count="0" defaultTableStyle="TableStyleMedium9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56648</xdr:colOff>
      <xdr:row>25</xdr:row>
      <xdr:rowOff>59835</xdr:rowOff>
    </xdr:from>
    <xdr:to>
      <xdr:col>8</xdr:col>
      <xdr:colOff>677585</xdr:colOff>
      <xdr:row>26</xdr:row>
      <xdr:rowOff>204727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" t="4212" r="3287" b="4360"/>
        <a:stretch/>
      </xdr:blipFill>
      <xdr:spPr bwMode="auto">
        <a:xfrm rot="605261">
          <a:off x="4729290" y="8459807"/>
          <a:ext cx="620937" cy="410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504825</xdr:colOff>
      <xdr:row>16</xdr:row>
      <xdr:rowOff>66675</xdr:rowOff>
    </xdr:from>
    <xdr:to>
      <xdr:col>9</xdr:col>
      <xdr:colOff>142875</xdr:colOff>
      <xdr:row>19</xdr:row>
      <xdr:rowOff>114300</xdr:rowOff>
    </xdr:to>
    <xdr:pic>
      <xdr:nvPicPr>
        <xdr:cNvPr id="3" name="Obraz 75" descr="110px-POL_Ropczyce_CO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791325"/>
          <a:ext cx="9810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19</xdr:row>
      <xdr:rowOff>28575</xdr:rowOff>
    </xdr:from>
    <xdr:to>
      <xdr:col>8</xdr:col>
      <xdr:colOff>180975</xdr:colOff>
      <xdr:row>23</xdr:row>
      <xdr:rowOff>171450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5048250"/>
          <a:ext cx="121920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12</xdr:row>
      <xdr:rowOff>114300</xdr:rowOff>
    </xdr:from>
    <xdr:to>
      <xdr:col>7</xdr:col>
      <xdr:colOff>371475</xdr:colOff>
      <xdr:row>15</xdr:row>
      <xdr:rowOff>57150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4924425"/>
          <a:ext cx="121920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150G6\03_Projekty\065.%20Rzesz&#243;w%20-%20ulica%20Kaletnicza\06_cz&#281;&#347;&#263;%20kosztorysowo-przedmiarowa\PR_KO_KI_Rzemie&#347;lnicza_2012.08.27_v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150G6\99_Archiwum\044.%20Rzesz&#243;w%20-%20BEDNARSKA\06_cz&#281;&#347;&#263;%20kosztorysowo-przedmiarowa\PR_KO_KI_Bednarska_aktualne%20na%20dzie&#324;%2022.12.2015%20(oddanie%20z%20dat&#261;%2031.08.2015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150G6\03_Projekty\065.%20Rzesz&#243;w%20-%20ulica%20Kaletnicza\06_cz&#281;&#347;&#263;%20kosztorysowo-przedmiarowa\PR_KO_KI_Rzemie&#347;lnicza_2014.03.13_v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%202012r\14_Kosztorys%20chodnik%20Brzezowka\1_KI_KO_PR_Brzezow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jekty%202014r\21_Budowa%20chodnika%20Czarna_Nadlesnictwo\3_PW\KI\ver_2\KI_PR_01_01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"/>
      <sheetName val="KI"/>
      <sheetName val="PR"/>
      <sheetName val="Zał. 1 - Zestawienie robót"/>
      <sheetName val="Zał. 2 - Analiza przekrojów pop"/>
      <sheetName val="Pomoc_ roboty ziemn na zjazdach"/>
      <sheetName val="Zał. 2 - Analiza przekroj. pop."/>
    </sheetNames>
    <sheetDataSet>
      <sheetData sheetId="0"/>
      <sheetData sheetId="1"/>
      <sheetData sheetId="2"/>
      <sheetData sheetId="3">
        <row r="166">
          <cell r="F166">
            <v>319.3</v>
          </cell>
        </row>
        <row r="221">
          <cell r="G221">
            <v>16</v>
          </cell>
        </row>
        <row r="222">
          <cell r="G222">
            <v>0</v>
          </cell>
        </row>
        <row r="230">
          <cell r="G230" t="e">
            <v>#REF!</v>
          </cell>
        </row>
        <row r="231">
          <cell r="G231" t="e">
            <v>#REF!</v>
          </cell>
        </row>
        <row r="853">
          <cell r="I853">
            <v>34.5</v>
          </cell>
        </row>
        <row r="854">
          <cell r="I854">
            <v>3.6</v>
          </cell>
        </row>
        <row r="1215">
          <cell r="I1215">
            <v>1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I"/>
      <sheetName val="PR"/>
      <sheetName val="Zał. 1 - Zestawienie robót"/>
      <sheetName val="Zał. 2 - Analiza przekrojów pop"/>
    </sheetNames>
    <sheetDataSet>
      <sheetData sheetId="0"/>
      <sheetData sheetId="1"/>
      <sheetData sheetId="2">
        <row r="1182">
          <cell r="E1182">
            <v>7</v>
          </cell>
        </row>
        <row r="1224">
          <cell r="E1224">
            <v>58</v>
          </cell>
        </row>
        <row r="1309">
          <cell r="E1309">
            <v>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I"/>
      <sheetName val="KO"/>
      <sheetName val="PR"/>
      <sheetName val="Zał. 1 - Zestawienie robót"/>
      <sheetName val="Zał. 2 - Analiza przekrojów pop"/>
      <sheetName val="Pomoc_ roboty ziemn na zjazdach"/>
    </sheetNames>
    <sheetDataSet>
      <sheetData sheetId="0" refreshError="1"/>
      <sheetData sheetId="1" refreshError="1"/>
      <sheetData sheetId="2" refreshError="1"/>
      <sheetData sheetId="3">
        <row r="171">
          <cell r="F171">
            <v>684.8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I"/>
      <sheetName val="Przedmiar"/>
      <sheetName val="ofertowy"/>
      <sheetName val="KO1"/>
      <sheetName val="KO2"/>
      <sheetName val="KO3"/>
      <sheetName val="KI1"/>
      <sheetName val="KI2"/>
      <sheetName val="KI3"/>
      <sheetName val="KI4"/>
      <sheetName val="PR1"/>
      <sheetName val="PR2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1"/>
      <sheetName val="KO2"/>
      <sheetName val="KO3"/>
      <sheetName val="KI1"/>
      <sheetName val="KI2"/>
      <sheetName val="KI3"/>
      <sheetName val="KI4"/>
      <sheetName val="PR1"/>
      <sheetName val="PR2"/>
      <sheetName val="ZAŁACZNIKI"/>
      <sheetName val="Arkusz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230">
          <cell r="I230">
            <v>292152.32000000001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workbookViewId="0"/>
  </sheetViews>
  <sheetFormatPr defaultRowHeight="12.75" x14ac:dyDescent="0.2"/>
  <cols>
    <col min="1" max="1" width="4.7109375" customWidth="1"/>
    <col min="3" max="3" width="10.42578125" customWidth="1"/>
    <col min="9" max="9" width="11" customWidth="1"/>
    <col min="10" max="10" width="6.42578125" customWidth="1"/>
  </cols>
  <sheetData>
    <row r="1" spans="1:10" ht="44.25" customHeight="1" x14ac:dyDescent="0.2">
      <c r="A1" s="116"/>
      <c r="B1" s="332" t="s">
        <v>175</v>
      </c>
      <c r="C1" s="332"/>
      <c r="D1" s="334" t="s">
        <v>176</v>
      </c>
      <c r="E1" s="334"/>
      <c r="F1" s="334"/>
      <c r="G1" s="334"/>
      <c r="H1" s="334"/>
      <c r="I1" s="334"/>
      <c r="J1" s="335"/>
    </row>
    <row r="2" spans="1:10" ht="21" customHeight="1" x14ac:dyDescent="0.2">
      <c r="A2" s="110"/>
      <c r="B2" s="333"/>
      <c r="C2" s="333"/>
      <c r="D2" s="336"/>
      <c r="E2" s="336"/>
      <c r="F2" s="336"/>
      <c r="G2" s="336"/>
      <c r="H2" s="336"/>
      <c r="I2" s="336"/>
      <c r="J2" s="337"/>
    </row>
    <row r="3" spans="1:10" ht="12.75" hidden="1" customHeight="1" x14ac:dyDescent="0.2">
      <c r="A3" s="110"/>
      <c r="B3" s="333"/>
      <c r="C3" s="333"/>
      <c r="D3" s="336"/>
      <c r="E3" s="336"/>
      <c r="F3" s="336"/>
      <c r="G3" s="336"/>
      <c r="H3" s="336"/>
      <c r="I3" s="336"/>
      <c r="J3" s="337"/>
    </row>
    <row r="4" spans="1:10" ht="84.75" customHeight="1" x14ac:dyDescent="0.2">
      <c r="A4" s="110"/>
      <c r="B4" s="333" t="s">
        <v>174</v>
      </c>
      <c r="C4" s="333"/>
      <c r="D4" s="338" t="s">
        <v>177</v>
      </c>
      <c r="E4" s="338"/>
      <c r="F4" s="338"/>
      <c r="G4" s="338"/>
      <c r="H4" s="338"/>
      <c r="I4" s="338"/>
      <c r="J4" s="339"/>
    </row>
    <row r="5" spans="1:10" ht="77.25" customHeight="1" x14ac:dyDescent="0.2">
      <c r="A5" s="110"/>
      <c r="B5" s="333"/>
      <c r="C5" s="333"/>
      <c r="D5" s="338"/>
      <c r="E5" s="338"/>
      <c r="F5" s="338"/>
      <c r="G5" s="338"/>
      <c r="H5" s="338"/>
      <c r="I5" s="338"/>
      <c r="J5" s="339"/>
    </row>
    <row r="6" spans="1:10" ht="38.25" customHeight="1" x14ac:dyDescent="0.2">
      <c r="A6" s="110"/>
      <c r="B6" s="333" t="s">
        <v>173</v>
      </c>
      <c r="C6" s="333"/>
      <c r="D6" s="338" t="s">
        <v>184</v>
      </c>
      <c r="E6" s="338"/>
      <c r="F6" s="338"/>
      <c r="G6" s="338"/>
      <c r="H6" s="338"/>
      <c r="I6" s="338"/>
      <c r="J6" s="339"/>
    </row>
    <row r="7" spans="1:10" ht="33" customHeight="1" x14ac:dyDescent="0.2">
      <c r="A7" s="110"/>
      <c r="B7" s="333" t="s">
        <v>172</v>
      </c>
      <c r="C7" s="333"/>
      <c r="D7" s="338"/>
      <c r="E7" s="338"/>
      <c r="F7" s="338"/>
      <c r="G7" s="338"/>
      <c r="H7" s="338"/>
      <c r="I7" s="338"/>
      <c r="J7" s="339"/>
    </row>
    <row r="8" spans="1:10" ht="60.75" customHeight="1" x14ac:dyDescent="0.2">
      <c r="A8" s="110"/>
      <c r="B8" s="333"/>
      <c r="C8" s="333"/>
      <c r="D8" s="338" t="s">
        <v>178</v>
      </c>
      <c r="E8" s="338"/>
      <c r="F8" s="338"/>
      <c r="G8" s="338"/>
      <c r="H8" s="338"/>
      <c r="I8" s="338"/>
      <c r="J8" s="339"/>
    </row>
    <row r="9" spans="1:10" ht="15" customHeight="1" x14ac:dyDescent="0.2">
      <c r="A9" s="110"/>
      <c r="B9" s="333"/>
      <c r="C9" s="333"/>
      <c r="D9" s="338" t="s">
        <v>179</v>
      </c>
      <c r="E9" s="338"/>
      <c r="F9" s="338"/>
      <c r="G9" s="338"/>
      <c r="H9" s="338"/>
      <c r="I9" s="338"/>
      <c r="J9" s="109"/>
    </row>
    <row r="10" spans="1:10" ht="30" customHeight="1" x14ac:dyDescent="0.2">
      <c r="A10" s="110"/>
      <c r="B10" s="333"/>
      <c r="C10" s="333"/>
      <c r="D10" s="340" t="s">
        <v>171</v>
      </c>
      <c r="E10" s="340"/>
      <c r="F10" s="340"/>
      <c r="G10" s="340"/>
      <c r="H10" s="340"/>
      <c r="J10" s="109"/>
    </row>
    <row r="11" spans="1:10" ht="15" customHeight="1" x14ac:dyDescent="0.2">
      <c r="A11" s="110"/>
      <c r="B11" s="333"/>
      <c r="C11" s="333"/>
      <c r="D11" s="115" t="s">
        <v>170</v>
      </c>
      <c r="E11" s="115"/>
      <c r="F11" s="115"/>
      <c r="J11" s="109"/>
    </row>
    <row r="12" spans="1:10" ht="15" x14ac:dyDescent="0.2">
      <c r="A12" s="110"/>
      <c r="B12" s="333"/>
      <c r="C12" s="333"/>
      <c r="D12" s="342"/>
      <c r="E12" s="342"/>
      <c r="F12" s="342"/>
      <c r="J12" s="109"/>
    </row>
    <row r="13" spans="1:10" hidden="1" x14ac:dyDescent="0.2">
      <c r="A13" s="110"/>
      <c r="B13" s="333" t="s">
        <v>169</v>
      </c>
      <c r="C13" s="333"/>
      <c r="D13" s="355">
        <v>911</v>
      </c>
      <c r="E13" s="355"/>
      <c r="F13" s="355"/>
      <c r="J13" s="109"/>
    </row>
    <row r="14" spans="1:10" hidden="1" x14ac:dyDescent="0.2">
      <c r="A14" s="110"/>
      <c r="B14" s="333"/>
      <c r="C14" s="333"/>
      <c r="D14" s="355"/>
      <c r="E14" s="355"/>
      <c r="F14" s="355"/>
      <c r="J14" s="109"/>
    </row>
    <row r="15" spans="1:10" hidden="1" x14ac:dyDescent="0.2">
      <c r="A15" s="110"/>
      <c r="B15" s="333"/>
      <c r="C15" s="333"/>
      <c r="D15" s="355"/>
      <c r="E15" s="355"/>
      <c r="F15" s="355"/>
      <c r="J15" s="109"/>
    </row>
    <row r="16" spans="1:10" ht="46.5" customHeight="1" x14ac:dyDescent="0.2">
      <c r="A16" s="110"/>
      <c r="B16" s="341" t="s">
        <v>168</v>
      </c>
      <c r="C16" s="341"/>
      <c r="D16" s="343" t="s">
        <v>180</v>
      </c>
      <c r="E16" s="343"/>
      <c r="F16" s="343"/>
      <c r="G16" s="343"/>
      <c r="H16" s="343"/>
      <c r="I16" s="343"/>
      <c r="J16" s="344"/>
    </row>
    <row r="17" spans="1:10" ht="40.5" customHeight="1" x14ac:dyDescent="0.2">
      <c r="A17" s="110"/>
      <c r="B17" s="341" t="s">
        <v>167</v>
      </c>
      <c r="C17" s="341"/>
      <c r="D17" s="338" t="str">
        <f>D9</f>
        <v>GMINA ROPCZYCE
WOJEWÓDZTWO PODKARPACKIE</v>
      </c>
      <c r="E17" s="338"/>
      <c r="F17" s="338"/>
      <c r="G17" s="338"/>
      <c r="H17" s="338"/>
      <c r="J17" s="109"/>
    </row>
    <row r="18" spans="1:10" ht="19.5" customHeight="1" x14ac:dyDescent="0.2">
      <c r="A18" s="110"/>
      <c r="B18" s="341"/>
      <c r="C18" s="341"/>
      <c r="D18" s="338" t="s">
        <v>181</v>
      </c>
      <c r="E18" s="338"/>
      <c r="F18" s="338"/>
      <c r="G18" s="338"/>
      <c r="H18" s="338"/>
      <c r="J18" s="109"/>
    </row>
    <row r="19" spans="1:10" ht="21" customHeight="1" x14ac:dyDescent="0.2">
      <c r="A19" s="110"/>
      <c r="B19" s="341"/>
      <c r="C19" s="341"/>
      <c r="D19" s="338" t="s">
        <v>182</v>
      </c>
      <c r="E19" s="338"/>
      <c r="F19" s="338"/>
      <c r="G19" s="338"/>
      <c r="H19" s="338"/>
      <c r="J19" s="109"/>
    </row>
    <row r="20" spans="1:10" ht="15" x14ac:dyDescent="0.2">
      <c r="A20" s="110"/>
      <c r="B20" s="114"/>
      <c r="C20" s="114"/>
      <c r="D20" s="113"/>
      <c r="E20" s="112"/>
      <c r="F20" s="112"/>
      <c r="J20" s="109"/>
    </row>
    <row r="21" spans="1:10" ht="15" x14ac:dyDescent="0.2">
      <c r="A21" s="110"/>
      <c r="C21" s="114"/>
      <c r="D21" s="113"/>
      <c r="E21" s="112"/>
      <c r="F21" s="112"/>
      <c r="J21" s="109"/>
    </row>
    <row r="22" spans="1:10" ht="15" x14ac:dyDescent="0.2">
      <c r="A22" s="110"/>
      <c r="B22" s="115" t="s">
        <v>166</v>
      </c>
      <c r="C22" s="115"/>
      <c r="D22" s="113"/>
      <c r="E22" s="112"/>
      <c r="F22" s="112"/>
      <c r="J22" s="109"/>
    </row>
    <row r="23" spans="1:10" ht="15" x14ac:dyDescent="0.2">
      <c r="A23" s="110"/>
      <c r="B23" s="114"/>
      <c r="C23" s="114"/>
      <c r="D23" s="113"/>
      <c r="E23" s="112"/>
      <c r="F23" s="112"/>
      <c r="J23" s="109"/>
    </row>
    <row r="24" spans="1:10" ht="19.5" customHeight="1" x14ac:dyDescent="0.2">
      <c r="A24" s="110"/>
      <c r="B24" s="325" t="s">
        <v>165</v>
      </c>
      <c r="C24" s="329" t="s">
        <v>183</v>
      </c>
      <c r="D24" s="329" t="s">
        <v>164</v>
      </c>
      <c r="E24" s="329"/>
      <c r="F24" s="329"/>
      <c r="G24" s="329"/>
      <c r="H24" s="325" t="s">
        <v>163</v>
      </c>
      <c r="I24" s="325" t="s">
        <v>162</v>
      </c>
      <c r="J24" s="109"/>
    </row>
    <row r="25" spans="1:10" ht="20.25" customHeight="1" x14ac:dyDescent="0.2">
      <c r="A25" s="110"/>
      <c r="B25" s="325"/>
      <c r="C25" s="330"/>
      <c r="D25" s="326" t="s">
        <v>161</v>
      </c>
      <c r="E25" s="326"/>
      <c r="F25" s="326"/>
      <c r="G25" s="326"/>
      <c r="H25" s="325"/>
      <c r="I25" s="325"/>
      <c r="J25" s="109"/>
    </row>
    <row r="26" spans="1:10" ht="21" customHeight="1" x14ac:dyDescent="0.2">
      <c r="A26" s="110"/>
      <c r="B26" s="327" t="s">
        <v>160</v>
      </c>
      <c r="C26" s="345" t="s">
        <v>159</v>
      </c>
      <c r="D26" s="347" t="s">
        <v>193</v>
      </c>
      <c r="E26" s="348"/>
      <c r="F26" s="348"/>
      <c r="G26" s="349"/>
      <c r="H26" s="328" t="s">
        <v>192</v>
      </c>
      <c r="I26" s="353"/>
      <c r="J26" s="109"/>
    </row>
    <row r="27" spans="1:10" ht="20.25" customHeight="1" x14ac:dyDescent="0.2">
      <c r="A27" s="110"/>
      <c r="B27" s="327"/>
      <c r="C27" s="346"/>
      <c r="D27" s="350"/>
      <c r="E27" s="351"/>
      <c r="F27" s="351"/>
      <c r="G27" s="352"/>
      <c r="H27" s="328"/>
      <c r="I27" s="354"/>
      <c r="J27" s="109"/>
    </row>
    <row r="28" spans="1:10" ht="24" hidden="1" customHeight="1" x14ac:dyDescent="0.2">
      <c r="A28" s="110"/>
      <c r="B28" s="327" t="s">
        <v>19</v>
      </c>
      <c r="C28" s="111" t="s">
        <v>159</v>
      </c>
      <c r="D28" s="328" t="s">
        <v>158</v>
      </c>
      <c r="E28" s="328"/>
      <c r="F28" s="328"/>
      <c r="G28" s="328"/>
      <c r="H28" s="328" t="s">
        <v>157</v>
      </c>
      <c r="I28" s="324"/>
      <c r="J28" s="109"/>
    </row>
    <row r="29" spans="1:10" hidden="1" x14ac:dyDescent="0.2">
      <c r="A29" s="110"/>
      <c r="B29" s="327"/>
      <c r="C29" s="111" t="s">
        <v>156</v>
      </c>
      <c r="D29" s="328"/>
      <c r="E29" s="328"/>
      <c r="F29" s="328"/>
      <c r="G29" s="328"/>
      <c r="H29" s="328"/>
      <c r="I29" s="324"/>
      <c r="J29" s="109"/>
    </row>
    <row r="30" spans="1:10" ht="15" x14ac:dyDescent="0.2">
      <c r="A30" s="110"/>
      <c r="B30" s="105"/>
      <c r="J30" s="109"/>
    </row>
    <row r="31" spans="1:10" ht="15" x14ac:dyDescent="0.2">
      <c r="A31" s="110"/>
      <c r="B31" s="105"/>
      <c r="E31" s="331" t="s">
        <v>191</v>
      </c>
      <c r="F31" s="331"/>
      <c r="G31" s="331"/>
      <c r="J31" s="109"/>
    </row>
    <row r="32" spans="1:10" x14ac:dyDescent="0.2">
      <c r="A32" s="108"/>
      <c r="B32" s="107"/>
      <c r="C32" s="107"/>
      <c r="D32" s="107"/>
      <c r="E32" s="107"/>
      <c r="F32" s="107"/>
      <c r="G32" s="107"/>
      <c r="H32" s="107"/>
      <c r="I32" s="107"/>
      <c r="J32" s="106"/>
    </row>
    <row r="33" spans="2:2" ht="15" x14ac:dyDescent="0.2">
      <c r="B33" s="105"/>
    </row>
    <row r="40" spans="2:2" ht="15" x14ac:dyDescent="0.2">
      <c r="B40" s="104"/>
    </row>
    <row r="41" spans="2:2" ht="15" x14ac:dyDescent="0.2">
      <c r="B41" s="104"/>
    </row>
  </sheetData>
  <mergeCells count="35">
    <mergeCell ref="D16:J16"/>
    <mergeCell ref="B16:C16"/>
    <mergeCell ref="B7:C12"/>
    <mergeCell ref="C26:C27"/>
    <mergeCell ref="D26:G27"/>
    <mergeCell ref="I26:I27"/>
    <mergeCell ref="D13:F15"/>
    <mergeCell ref="E31:G31"/>
    <mergeCell ref="B1:C3"/>
    <mergeCell ref="D1:J3"/>
    <mergeCell ref="B4:C5"/>
    <mergeCell ref="D4:J5"/>
    <mergeCell ref="B6:C6"/>
    <mergeCell ref="D6:J7"/>
    <mergeCell ref="D9:I9"/>
    <mergeCell ref="D10:H10"/>
    <mergeCell ref="B17:C19"/>
    <mergeCell ref="D17:H17"/>
    <mergeCell ref="D18:H18"/>
    <mergeCell ref="D19:H19"/>
    <mergeCell ref="D8:J8"/>
    <mergeCell ref="D12:F12"/>
    <mergeCell ref="B13:C15"/>
    <mergeCell ref="I28:I29"/>
    <mergeCell ref="I24:I25"/>
    <mergeCell ref="D25:G25"/>
    <mergeCell ref="B26:B27"/>
    <mergeCell ref="H26:H27"/>
    <mergeCell ref="C24:C25"/>
    <mergeCell ref="B24:B25"/>
    <mergeCell ref="D24:G24"/>
    <mergeCell ref="H24:H25"/>
    <mergeCell ref="B28:B29"/>
    <mergeCell ref="D28:G29"/>
    <mergeCell ref="H28:H2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59999389629810485"/>
  </sheetPr>
  <dimension ref="A1:I62"/>
  <sheetViews>
    <sheetView workbookViewId="0"/>
  </sheetViews>
  <sheetFormatPr defaultRowHeight="12.75" x14ac:dyDescent="0.2"/>
  <cols>
    <col min="3" max="3" width="10.5703125" customWidth="1"/>
    <col min="4" max="4" width="10.140625" customWidth="1"/>
    <col min="5" max="5" width="13.42578125" customWidth="1"/>
    <col min="6" max="6" width="12.28515625" customWidth="1"/>
    <col min="8" max="9" width="10.140625" customWidth="1"/>
  </cols>
  <sheetData>
    <row r="1" spans="1:9" x14ac:dyDescent="0.2">
      <c r="E1" s="540" t="s">
        <v>45</v>
      </c>
      <c r="F1" s="540"/>
    </row>
    <row r="2" spans="1:9" ht="9.75" customHeight="1" x14ac:dyDescent="0.2">
      <c r="E2" s="541"/>
      <c r="F2" s="541"/>
    </row>
    <row r="3" spans="1:9" ht="25.5" customHeight="1" x14ac:dyDescent="0.2">
      <c r="A3" s="542" t="s">
        <v>46</v>
      </c>
      <c r="B3" s="542"/>
      <c r="C3" s="542"/>
      <c r="D3" s="542"/>
      <c r="E3" s="542"/>
      <c r="F3" s="542"/>
      <c r="G3" s="27"/>
      <c r="H3" s="27"/>
      <c r="I3" s="27"/>
    </row>
    <row r="4" spans="1:9" ht="24" customHeight="1" x14ac:dyDescent="0.2">
      <c r="A4" s="543" t="s">
        <v>96</v>
      </c>
      <c r="B4" s="543"/>
      <c r="C4" s="543"/>
      <c r="D4" s="543"/>
      <c r="E4" s="543"/>
      <c r="F4" s="543"/>
      <c r="G4" s="28"/>
      <c r="H4" s="28"/>
      <c r="I4" s="28"/>
    </row>
    <row r="5" spans="1:9" ht="48.75" customHeight="1" x14ac:dyDescent="0.2">
      <c r="A5" s="543"/>
      <c r="B5" s="543"/>
      <c r="C5" s="543"/>
      <c r="D5" s="543"/>
      <c r="E5" s="543"/>
      <c r="F5" s="543"/>
      <c r="G5" s="28"/>
      <c r="H5" s="28"/>
      <c r="I5" s="28"/>
    </row>
    <row r="6" spans="1:9" ht="18" customHeight="1" x14ac:dyDescent="0.2">
      <c r="A6" s="544" t="s">
        <v>28</v>
      </c>
      <c r="B6" s="545"/>
      <c r="C6" s="545"/>
      <c r="D6" s="545"/>
      <c r="E6" s="545"/>
      <c r="F6" s="546"/>
      <c r="G6" s="28"/>
      <c r="H6" s="28"/>
      <c r="I6" s="28"/>
    </row>
    <row r="7" spans="1:9" ht="12.75" customHeight="1" x14ac:dyDescent="0.2">
      <c r="A7" s="547" t="s">
        <v>29</v>
      </c>
      <c r="B7" s="547" t="s">
        <v>30</v>
      </c>
      <c r="C7" s="547" t="s">
        <v>31</v>
      </c>
      <c r="D7" s="549" t="s">
        <v>47</v>
      </c>
      <c r="E7" s="549"/>
      <c r="F7" s="549"/>
    </row>
    <row r="8" spans="1:9" ht="12.75" customHeight="1" x14ac:dyDescent="0.2">
      <c r="A8" s="548"/>
      <c r="B8" s="548"/>
      <c r="C8" s="547"/>
      <c r="D8" s="547" t="s">
        <v>33</v>
      </c>
      <c r="E8" s="547" t="s">
        <v>34</v>
      </c>
      <c r="F8" s="547" t="s">
        <v>35</v>
      </c>
    </row>
    <row r="9" spans="1:9" ht="6" customHeight="1" x14ac:dyDescent="0.2">
      <c r="A9" s="548"/>
      <c r="B9" s="548"/>
      <c r="C9" s="547"/>
      <c r="D9" s="547"/>
      <c r="E9" s="547"/>
      <c r="F9" s="547"/>
    </row>
    <row r="10" spans="1:9" ht="4.5" customHeight="1" x14ac:dyDescent="0.2">
      <c r="A10" s="548"/>
      <c r="B10" s="548"/>
      <c r="C10" s="547"/>
      <c r="D10" s="547"/>
      <c r="E10" s="547"/>
      <c r="F10" s="547"/>
    </row>
    <row r="11" spans="1:9" x14ac:dyDescent="0.2">
      <c r="A11" s="534">
        <v>13</v>
      </c>
      <c r="B11" s="536">
        <v>780</v>
      </c>
      <c r="C11" s="30" t="s">
        <v>2</v>
      </c>
      <c r="D11" s="539">
        <v>0</v>
      </c>
      <c r="E11" s="31" t="s">
        <v>2</v>
      </c>
      <c r="F11" s="31" t="s">
        <v>2</v>
      </c>
    </row>
    <row r="12" spans="1:9" x14ac:dyDescent="0.2">
      <c r="A12" s="534"/>
      <c r="B12" s="536"/>
      <c r="C12" s="536">
        <f>B13-B11</f>
        <v>2.4</v>
      </c>
      <c r="D12" s="539"/>
      <c r="E12" s="539">
        <f>SUM(0.5*D11,0.5*D13)</f>
        <v>0</v>
      </c>
      <c r="F12" s="539">
        <f>PRODUCT(C12,E12)</f>
        <v>0</v>
      </c>
    </row>
    <row r="13" spans="1:9" x14ac:dyDescent="0.2">
      <c r="A13" s="534"/>
      <c r="B13" s="536">
        <v>782.4</v>
      </c>
      <c r="C13" s="536"/>
      <c r="D13" s="539">
        <v>0</v>
      </c>
      <c r="E13" s="539"/>
      <c r="F13" s="539"/>
    </row>
    <row r="14" spans="1:9" x14ac:dyDescent="0.2">
      <c r="A14" s="534"/>
      <c r="B14" s="536"/>
      <c r="C14" s="536">
        <f>B15-B13</f>
        <v>28.9</v>
      </c>
      <c r="D14" s="539"/>
      <c r="E14" s="539">
        <f>SUM(0.5*D13,0.5*D15)</f>
        <v>0.3</v>
      </c>
      <c r="F14" s="539">
        <f>PRODUCT(C14,E14)</f>
        <v>8.67</v>
      </c>
    </row>
    <row r="15" spans="1:9" x14ac:dyDescent="0.2">
      <c r="A15" s="534"/>
      <c r="B15" s="536">
        <v>811.3</v>
      </c>
      <c r="C15" s="536"/>
      <c r="D15" s="539">
        <v>0.6</v>
      </c>
      <c r="E15" s="539"/>
      <c r="F15" s="539"/>
    </row>
    <row r="16" spans="1:9" x14ac:dyDescent="0.2">
      <c r="A16" s="534"/>
      <c r="B16" s="536"/>
      <c r="C16" s="536">
        <f>B17-B15</f>
        <v>18.7</v>
      </c>
      <c r="D16" s="539"/>
      <c r="E16" s="539">
        <f>SUM(0.5*D15,0.5*D17)</f>
        <v>0.63</v>
      </c>
      <c r="F16" s="539">
        <f>PRODUCT(C16,E16)</f>
        <v>11.78</v>
      </c>
    </row>
    <row r="17" spans="1:6" x14ac:dyDescent="0.2">
      <c r="A17" s="534"/>
      <c r="B17" s="536">
        <v>830</v>
      </c>
      <c r="C17" s="536"/>
      <c r="D17" s="539">
        <v>0.65</v>
      </c>
      <c r="E17" s="539"/>
      <c r="F17" s="539"/>
    </row>
    <row r="18" spans="1:6" x14ac:dyDescent="0.2">
      <c r="A18" s="534"/>
      <c r="B18" s="536"/>
      <c r="C18" s="536">
        <f>B19-B17</f>
        <v>31.6</v>
      </c>
      <c r="D18" s="539"/>
      <c r="E18" s="539">
        <f>SUM(0.5*D17,0.5*D19)</f>
        <v>0.78</v>
      </c>
      <c r="F18" s="539">
        <f>PRODUCT(C18,E18)</f>
        <v>24.65</v>
      </c>
    </row>
    <row r="19" spans="1:6" x14ac:dyDescent="0.2">
      <c r="A19" s="534"/>
      <c r="B19" s="536">
        <v>861.6</v>
      </c>
      <c r="C19" s="536"/>
      <c r="D19" s="539">
        <v>0.9</v>
      </c>
      <c r="E19" s="539"/>
      <c r="F19" s="539"/>
    </row>
    <row r="20" spans="1:6" x14ac:dyDescent="0.2">
      <c r="A20" s="534"/>
      <c r="B20" s="536"/>
      <c r="C20" s="536">
        <f>B21-B19</f>
        <v>18.399999999999999</v>
      </c>
      <c r="D20" s="539"/>
      <c r="E20" s="539">
        <f>SUM(0.5*D19,0.5*D21)</f>
        <v>0.95</v>
      </c>
      <c r="F20" s="539">
        <f>PRODUCT(C20,E20)</f>
        <v>17.48</v>
      </c>
    </row>
    <row r="21" spans="1:6" x14ac:dyDescent="0.2">
      <c r="A21" s="534"/>
      <c r="B21" s="536">
        <v>880</v>
      </c>
      <c r="C21" s="536"/>
      <c r="D21" s="539">
        <v>1</v>
      </c>
      <c r="E21" s="539"/>
      <c r="F21" s="539"/>
    </row>
    <row r="22" spans="1:6" x14ac:dyDescent="0.2">
      <c r="A22" s="534"/>
      <c r="B22" s="536"/>
      <c r="C22" s="536">
        <f>B23-B21</f>
        <v>23.7</v>
      </c>
      <c r="D22" s="539"/>
      <c r="E22" s="539">
        <f>SUM(0.5*D21,0.5*D23)</f>
        <v>0.5</v>
      </c>
      <c r="F22" s="539">
        <f>PRODUCT(C22,E22)</f>
        <v>11.85</v>
      </c>
    </row>
    <row r="23" spans="1:6" x14ac:dyDescent="0.2">
      <c r="A23" s="534"/>
      <c r="B23" s="536">
        <v>903.7</v>
      </c>
      <c r="C23" s="536"/>
      <c r="D23" s="539">
        <v>0</v>
      </c>
      <c r="E23" s="539"/>
      <c r="F23" s="539"/>
    </row>
    <row r="24" spans="1:6" x14ac:dyDescent="0.2">
      <c r="A24" s="534"/>
      <c r="B24" s="536"/>
      <c r="C24" s="536">
        <f>B25-B23</f>
        <v>34.299999999999997</v>
      </c>
      <c r="D24" s="539"/>
      <c r="E24" s="539">
        <f>SUM(0.5*D23,0.5*D25)</f>
        <v>0.65</v>
      </c>
      <c r="F24" s="539">
        <f>PRODUCT(C24,E24)</f>
        <v>22.3</v>
      </c>
    </row>
    <row r="25" spans="1:6" x14ac:dyDescent="0.2">
      <c r="A25" s="534"/>
      <c r="B25" s="536">
        <v>938</v>
      </c>
      <c r="C25" s="536"/>
      <c r="D25" s="539">
        <v>1.3</v>
      </c>
      <c r="E25" s="539"/>
      <c r="F25" s="539"/>
    </row>
    <row r="26" spans="1:6" ht="13.5" customHeight="1" x14ac:dyDescent="0.2">
      <c r="A26" s="534"/>
      <c r="B26" s="536"/>
      <c r="C26" s="30" t="s">
        <v>2</v>
      </c>
      <c r="D26" s="538"/>
      <c r="E26" s="57" t="s">
        <v>2</v>
      </c>
      <c r="F26" s="57" t="s">
        <v>2</v>
      </c>
    </row>
    <row r="27" spans="1:6" ht="13.5" customHeight="1" x14ac:dyDescent="0.2">
      <c r="A27" s="64"/>
      <c r="B27" s="65"/>
      <c r="C27" s="65"/>
      <c r="D27" s="529" t="s">
        <v>37</v>
      </c>
      <c r="E27" s="529"/>
      <c r="F27" s="530">
        <f>F12+F14+F16+F18+F20+F22+F24</f>
        <v>96.73</v>
      </c>
    </row>
    <row r="28" spans="1:6" ht="13.5" customHeight="1" x14ac:dyDescent="0.2">
      <c r="A28" s="64"/>
      <c r="B28" s="65"/>
      <c r="C28" s="65"/>
      <c r="D28" s="529"/>
      <c r="E28" s="529"/>
      <c r="F28" s="530"/>
    </row>
    <row r="29" spans="1:6" ht="13.5" customHeight="1" x14ac:dyDescent="0.2">
      <c r="A29" s="64"/>
      <c r="B29" s="65"/>
      <c r="C29" s="65"/>
      <c r="D29" s="529" t="s">
        <v>38</v>
      </c>
      <c r="E29" s="529"/>
      <c r="F29" s="530">
        <f>-(I50+I51+I52)</f>
        <v>-16.8</v>
      </c>
    </row>
    <row r="30" spans="1:6" ht="13.5" customHeight="1" x14ac:dyDescent="0.2">
      <c r="A30" s="64"/>
      <c r="B30" s="65"/>
      <c r="C30" s="65"/>
      <c r="D30" s="529"/>
      <c r="E30" s="529"/>
      <c r="F30" s="530"/>
    </row>
    <row r="31" spans="1:6" ht="13.5" customHeight="1" x14ac:dyDescent="0.2">
      <c r="A31" s="64"/>
      <c r="B31" s="65"/>
      <c r="C31" s="65"/>
      <c r="D31" s="529" t="s">
        <v>97</v>
      </c>
      <c r="E31" s="529"/>
      <c r="F31" s="530">
        <f>F27+F29</f>
        <v>79.930000000000007</v>
      </c>
    </row>
    <row r="32" spans="1:6" ht="13.5" customHeight="1" x14ac:dyDescent="0.2">
      <c r="A32" s="64"/>
      <c r="B32" s="65"/>
      <c r="C32" s="65"/>
      <c r="D32" s="529"/>
      <c r="E32" s="529"/>
      <c r="F32" s="530"/>
    </row>
    <row r="33" spans="1:8" ht="13.5" customHeight="1" x14ac:dyDescent="0.2">
      <c r="A33" s="64"/>
      <c r="B33" s="65"/>
      <c r="C33" s="65"/>
      <c r="D33" s="66"/>
      <c r="E33" s="66"/>
      <c r="F33" s="66"/>
    </row>
    <row r="34" spans="1:8" ht="13.5" customHeight="1" x14ac:dyDescent="0.2">
      <c r="A34" s="64"/>
      <c r="B34" s="65"/>
      <c r="C34" s="65"/>
      <c r="D34" s="66"/>
      <c r="E34" s="66"/>
      <c r="F34" s="66"/>
    </row>
    <row r="35" spans="1:8" ht="13.5" customHeight="1" x14ac:dyDescent="0.2">
      <c r="A35" s="531" t="s">
        <v>36</v>
      </c>
      <c r="B35" s="532"/>
      <c r="C35" s="532"/>
      <c r="D35" s="532"/>
      <c r="E35" s="532"/>
      <c r="F35" s="533"/>
      <c r="H35" s="36">
        <f>F31+F52</f>
        <v>103.42</v>
      </c>
    </row>
    <row r="36" spans="1:8" ht="13.5" customHeight="1" x14ac:dyDescent="0.2">
      <c r="A36" s="547" t="s">
        <v>29</v>
      </c>
      <c r="B36" s="547" t="s">
        <v>30</v>
      </c>
      <c r="C36" s="547" t="s">
        <v>31</v>
      </c>
      <c r="D36" s="549" t="s">
        <v>47</v>
      </c>
      <c r="E36" s="549"/>
      <c r="F36" s="549"/>
    </row>
    <row r="37" spans="1:8" ht="4.5" customHeight="1" x14ac:dyDescent="0.2">
      <c r="A37" s="548"/>
      <c r="B37" s="548"/>
      <c r="C37" s="547"/>
      <c r="D37" s="547" t="s">
        <v>33</v>
      </c>
      <c r="E37" s="547" t="s">
        <v>34</v>
      </c>
      <c r="F37" s="547" t="s">
        <v>35</v>
      </c>
    </row>
    <row r="38" spans="1:8" ht="11.25" customHeight="1" x14ac:dyDescent="0.2">
      <c r="A38" s="548"/>
      <c r="B38" s="548"/>
      <c r="C38" s="547"/>
      <c r="D38" s="547"/>
      <c r="E38" s="547"/>
      <c r="F38" s="547"/>
    </row>
    <row r="39" spans="1:8" ht="6.75" customHeight="1" x14ac:dyDescent="0.2">
      <c r="A39" s="548"/>
      <c r="B39" s="548"/>
      <c r="C39" s="547"/>
      <c r="D39" s="547"/>
      <c r="E39" s="547"/>
      <c r="F39" s="547"/>
    </row>
    <row r="40" spans="1:8" ht="13.5" customHeight="1" x14ac:dyDescent="0.2">
      <c r="A40" s="534">
        <v>0</v>
      </c>
      <c r="B40" s="535">
        <v>12</v>
      </c>
      <c r="C40" s="32" t="s">
        <v>2</v>
      </c>
      <c r="D40" s="537">
        <v>1.3</v>
      </c>
      <c r="E40" s="33" t="s">
        <v>2</v>
      </c>
      <c r="F40" s="33" t="s">
        <v>2</v>
      </c>
    </row>
    <row r="41" spans="1:8" ht="13.5" customHeight="1" x14ac:dyDescent="0.2">
      <c r="A41" s="534"/>
      <c r="B41" s="536"/>
      <c r="C41" s="536">
        <f>B42-B40</f>
        <v>5.7</v>
      </c>
      <c r="D41" s="538"/>
      <c r="E41" s="539">
        <f>SUM(0.5*D40,0.5*D42)</f>
        <v>1.23</v>
      </c>
      <c r="F41" s="539">
        <f>PRODUCT(C41,E41)</f>
        <v>7.01</v>
      </c>
    </row>
    <row r="42" spans="1:8" ht="13.5" customHeight="1" x14ac:dyDescent="0.2">
      <c r="A42" s="534"/>
      <c r="B42" s="536">
        <v>17.7</v>
      </c>
      <c r="C42" s="536"/>
      <c r="D42" s="539">
        <v>1.1499999999999999</v>
      </c>
      <c r="E42" s="539"/>
      <c r="F42" s="539"/>
    </row>
    <row r="43" spans="1:8" ht="13.5" customHeight="1" x14ac:dyDescent="0.2">
      <c r="A43" s="534"/>
      <c r="B43" s="536"/>
      <c r="C43" s="551">
        <f>B44-B42</f>
        <v>17.3</v>
      </c>
      <c r="D43" s="538"/>
      <c r="E43" s="539">
        <f>SUM(0.5*D42,0.5*D44)</f>
        <v>1.08</v>
      </c>
      <c r="F43" s="539">
        <f>PRODUCT(C43,E43)</f>
        <v>18.68</v>
      </c>
    </row>
    <row r="44" spans="1:8" ht="13.5" customHeight="1" x14ac:dyDescent="0.2">
      <c r="A44" s="534"/>
      <c r="B44" s="536">
        <v>35</v>
      </c>
      <c r="C44" s="552"/>
      <c r="D44" s="539">
        <v>1</v>
      </c>
      <c r="E44" s="539"/>
      <c r="F44" s="539"/>
    </row>
    <row r="45" spans="1:8" ht="13.5" customHeight="1" x14ac:dyDescent="0.2">
      <c r="A45" s="534"/>
      <c r="B45" s="536"/>
      <c r="C45" s="551">
        <f>B46-B44</f>
        <v>17</v>
      </c>
      <c r="D45" s="538"/>
      <c r="E45" s="539">
        <f>SUM(0.5*D44,0.5*D46)</f>
        <v>0.5</v>
      </c>
      <c r="F45" s="539">
        <f>PRODUCT(C45,E45)</f>
        <v>8.5</v>
      </c>
    </row>
    <row r="46" spans="1:8" ht="13.5" customHeight="1" x14ac:dyDescent="0.2">
      <c r="A46" s="534"/>
      <c r="B46" s="536">
        <v>52</v>
      </c>
      <c r="C46" s="552"/>
      <c r="D46" s="539">
        <v>0</v>
      </c>
      <c r="E46" s="539"/>
      <c r="F46" s="539"/>
    </row>
    <row r="47" spans="1:8" ht="13.5" customHeight="1" x14ac:dyDescent="0.2">
      <c r="A47" s="534"/>
      <c r="B47" s="536"/>
      <c r="C47" s="30" t="s">
        <v>2</v>
      </c>
      <c r="D47" s="538"/>
      <c r="E47" s="57" t="s">
        <v>2</v>
      </c>
      <c r="F47" s="57" t="s">
        <v>2</v>
      </c>
    </row>
    <row r="48" spans="1:8" ht="14.25" customHeight="1" x14ac:dyDescent="0.2">
      <c r="D48" s="529" t="s">
        <v>37</v>
      </c>
      <c r="E48" s="529"/>
      <c r="F48" s="530">
        <f>F41+F43+F45</f>
        <v>34.19</v>
      </c>
    </row>
    <row r="49" spans="1:9" ht="13.5" customHeight="1" thickBot="1" x14ac:dyDescent="0.25">
      <c r="D49" s="529"/>
      <c r="E49" s="529"/>
      <c r="F49" s="530"/>
    </row>
    <row r="50" spans="1:9" x14ac:dyDescent="0.2">
      <c r="D50" s="529" t="s">
        <v>38</v>
      </c>
      <c r="E50" s="529"/>
      <c r="F50" s="530">
        <f>-(I53+I54)</f>
        <v>-10.7</v>
      </c>
      <c r="H50" s="39" t="s">
        <v>39</v>
      </c>
      <c r="I50" s="40">
        <v>1.9</v>
      </c>
    </row>
    <row r="51" spans="1:9" x14ac:dyDescent="0.2">
      <c r="C51" s="35"/>
      <c r="D51" s="529"/>
      <c r="E51" s="529"/>
      <c r="F51" s="530"/>
      <c r="H51" s="41" t="s">
        <v>40</v>
      </c>
      <c r="I51" s="42">
        <v>5.9</v>
      </c>
    </row>
    <row r="52" spans="1:9" x14ac:dyDescent="0.2">
      <c r="D52" s="529" t="s">
        <v>98</v>
      </c>
      <c r="E52" s="529"/>
      <c r="F52" s="530">
        <f>F48+F50</f>
        <v>23.49</v>
      </c>
      <c r="H52" s="41" t="s">
        <v>41</v>
      </c>
      <c r="I52" s="42">
        <v>9</v>
      </c>
    </row>
    <row r="53" spans="1:9" x14ac:dyDescent="0.2">
      <c r="C53" s="26"/>
      <c r="D53" s="529"/>
      <c r="E53" s="529"/>
      <c r="F53" s="530"/>
      <c r="G53" s="43"/>
      <c r="H53" s="41" t="s">
        <v>42</v>
      </c>
      <c r="I53" s="44">
        <v>6.5</v>
      </c>
    </row>
    <row r="54" spans="1:9" ht="13.5" thickBot="1" x14ac:dyDescent="0.25">
      <c r="H54" s="45" t="s">
        <v>43</v>
      </c>
      <c r="I54" s="46">
        <v>4.2</v>
      </c>
    </row>
    <row r="55" spans="1:9" ht="12.75" customHeight="1" x14ac:dyDescent="0.2">
      <c r="A55" s="557" t="s">
        <v>48</v>
      </c>
      <c r="B55" s="558"/>
      <c r="C55" s="558"/>
      <c r="D55" s="559"/>
      <c r="E55" s="563">
        <f>('4.Zdjęcie humusu'!F31+'4.Zdjęcie humusu'!F51)*0.15</f>
        <v>55.54</v>
      </c>
      <c r="F55" s="565" t="s">
        <v>49</v>
      </c>
      <c r="G55" s="553">
        <f>'4.Zdjęcie humusu'!F51+'4.Zdjęcie humusu'!F31</f>
        <v>370.29</v>
      </c>
    </row>
    <row r="56" spans="1:9" x14ac:dyDescent="0.2">
      <c r="A56" s="560"/>
      <c r="B56" s="561"/>
      <c r="C56" s="561"/>
      <c r="D56" s="562"/>
      <c r="E56" s="564"/>
      <c r="F56" s="566"/>
      <c r="G56" s="493"/>
    </row>
    <row r="57" spans="1:9" x14ac:dyDescent="0.2">
      <c r="A57" s="560" t="s">
        <v>102</v>
      </c>
      <c r="B57" s="561"/>
      <c r="C57" s="561"/>
      <c r="D57" s="562"/>
      <c r="E57" s="564">
        <f>F31*0.1</f>
        <v>7.99</v>
      </c>
      <c r="F57" s="567" t="s">
        <v>49</v>
      </c>
      <c r="G57" s="553">
        <f>F31</f>
        <v>79.930000000000007</v>
      </c>
    </row>
    <row r="58" spans="1:9" x14ac:dyDescent="0.2">
      <c r="A58" s="560"/>
      <c r="B58" s="561"/>
      <c r="C58" s="561"/>
      <c r="D58" s="562"/>
      <c r="E58" s="564"/>
      <c r="F58" s="567"/>
      <c r="G58" s="493"/>
    </row>
    <row r="59" spans="1:9" ht="15" customHeight="1" x14ac:dyDescent="0.2">
      <c r="A59" s="560" t="s">
        <v>99</v>
      </c>
      <c r="B59" s="561"/>
      <c r="C59" s="561"/>
      <c r="D59" s="562"/>
      <c r="E59" s="564">
        <f>F52*0.1</f>
        <v>2.35</v>
      </c>
      <c r="F59" s="566" t="s">
        <v>49</v>
      </c>
      <c r="G59" s="553">
        <f>F52</f>
        <v>23.49</v>
      </c>
      <c r="H59" s="36">
        <f>E55-E57-E59</f>
        <v>45.2</v>
      </c>
    </row>
    <row r="60" spans="1:9" x14ac:dyDescent="0.2">
      <c r="A60" s="560"/>
      <c r="B60" s="561"/>
      <c r="C60" s="561"/>
      <c r="D60" s="562"/>
      <c r="E60" s="564"/>
      <c r="F60" s="566"/>
      <c r="G60" s="493"/>
      <c r="I60">
        <f>H59/0.15</f>
        <v>301.33333333333297</v>
      </c>
    </row>
    <row r="61" spans="1:9" ht="28.5" customHeight="1" x14ac:dyDescent="0.2">
      <c r="A61" s="554" t="s">
        <v>50</v>
      </c>
      <c r="B61" s="555"/>
      <c r="C61" s="555"/>
      <c r="D61" s="556"/>
      <c r="E61" s="74">
        <f>'4.Zdjęcie humusu'!F31+'4.Zdjęcie humusu'!F51-F31-F52</f>
        <v>266.87</v>
      </c>
      <c r="F61" s="75" t="s">
        <v>44</v>
      </c>
      <c r="G61" s="36">
        <f>G55-G57-G59</f>
        <v>266.87</v>
      </c>
    </row>
    <row r="62" spans="1:9" x14ac:dyDescent="0.2">
      <c r="E62" s="47"/>
      <c r="F62" s="38"/>
    </row>
  </sheetData>
  <mergeCells count="100">
    <mergeCell ref="D50:E51"/>
    <mergeCell ref="F50:F51"/>
    <mergeCell ref="D52:E53"/>
    <mergeCell ref="F52:F53"/>
    <mergeCell ref="A61:D61"/>
    <mergeCell ref="A55:D56"/>
    <mergeCell ref="E55:E56"/>
    <mergeCell ref="F55:F56"/>
    <mergeCell ref="A59:D60"/>
    <mergeCell ref="E59:E60"/>
    <mergeCell ref="F59:F60"/>
    <mergeCell ref="A57:D58"/>
    <mergeCell ref="E57:E58"/>
    <mergeCell ref="F57:F58"/>
    <mergeCell ref="F45:F46"/>
    <mergeCell ref="B46:B47"/>
    <mergeCell ref="D46:D47"/>
    <mergeCell ref="D48:E49"/>
    <mergeCell ref="F48:F49"/>
    <mergeCell ref="A40:A47"/>
    <mergeCell ref="B40:B41"/>
    <mergeCell ref="D40:D41"/>
    <mergeCell ref="C41:C42"/>
    <mergeCell ref="E41:E42"/>
    <mergeCell ref="B44:B45"/>
    <mergeCell ref="D44:D45"/>
    <mergeCell ref="C45:C46"/>
    <mergeCell ref="E45:E46"/>
    <mergeCell ref="F37:F39"/>
    <mergeCell ref="F41:F42"/>
    <mergeCell ref="B42:B43"/>
    <mergeCell ref="D42:D43"/>
    <mergeCell ref="C43:C44"/>
    <mergeCell ref="E43:E44"/>
    <mergeCell ref="F43:F44"/>
    <mergeCell ref="F20:F21"/>
    <mergeCell ref="B21:B22"/>
    <mergeCell ref="D21:D22"/>
    <mergeCell ref="C22:C23"/>
    <mergeCell ref="E22:E23"/>
    <mergeCell ref="F22:F23"/>
    <mergeCell ref="B23:B24"/>
    <mergeCell ref="D23:D24"/>
    <mergeCell ref="C24:C25"/>
    <mergeCell ref="E24:E25"/>
    <mergeCell ref="F24:F25"/>
    <mergeCell ref="B25:B26"/>
    <mergeCell ref="D25:D26"/>
    <mergeCell ref="F12:F13"/>
    <mergeCell ref="B13:B14"/>
    <mergeCell ref="D13:D14"/>
    <mergeCell ref="C14:C15"/>
    <mergeCell ref="E14:E15"/>
    <mergeCell ref="F14:F15"/>
    <mergeCell ref="B15:B16"/>
    <mergeCell ref="D15:D16"/>
    <mergeCell ref="C16:C17"/>
    <mergeCell ref="E16:E17"/>
    <mergeCell ref="F16:F17"/>
    <mergeCell ref="B17:B18"/>
    <mergeCell ref="D17:D18"/>
    <mergeCell ref="C18:C19"/>
    <mergeCell ref="E18:E19"/>
    <mergeCell ref="F18:F19"/>
    <mergeCell ref="A11:A26"/>
    <mergeCell ref="B11:B12"/>
    <mergeCell ref="D11:D12"/>
    <mergeCell ref="C12:C13"/>
    <mergeCell ref="E12:E13"/>
    <mergeCell ref="B19:B20"/>
    <mergeCell ref="D19:D20"/>
    <mergeCell ref="C20:C21"/>
    <mergeCell ref="E20:E21"/>
    <mergeCell ref="E1:F2"/>
    <mergeCell ref="A3:F3"/>
    <mergeCell ref="A4:F5"/>
    <mergeCell ref="A6:F6"/>
    <mergeCell ref="A7:A10"/>
    <mergeCell ref="B7:B10"/>
    <mergeCell ref="C7:C10"/>
    <mergeCell ref="D7:F7"/>
    <mergeCell ref="D8:D10"/>
    <mergeCell ref="E8:E10"/>
    <mergeCell ref="F8:F10"/>
    <mergeCell ref="G55:G56"/>
    <mergeCell ref="G57:G58"/>
    <mergeCell ref="G59:G60"/>
    <mergeCell ref="D27:E28"/>
    <mergeCell ref="F27:F28"/>
    <mergeCell ref="D29:E30"/>
    <mergeCell ref="F29:F30"/>
    <mergeCell ref="D31:E32"/>
    <mergeCell ref="F31:F32"/>
    <mergeCell ref="A35:F35"/>
    <mergeCell ref="A36:A39"/>
    <mergeCell ref="B36:B39"/>
    <mergeCell ref="C36:C39"/>
    <mergeCell ref="D36:F36"/>
    <mergeCell ref="D37:D39"/>
    <mergeCell ref="E37:E39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1" orientation="portrait" horizontalDpi="4294967293" vertic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9" tint="-0.499984740745262"/>
    <pageSetUpPr fitToPage="1"/>
  </sheetPr>
  <dimension ref="A1:AO75"/>
  <sheetViews>
    <sheetView workbookViewId="0"/>
  </sheetViews>
  <sheetFormatPr defaultRowHeight="12.75" x14ac:dyDescent="0.2"/>
  <cols>
    <col min="1" max="1" width="7.85546875" customWidth="1"/>
    <col min="2" max="2" width="9.42578125" customWidth="1"/>
    <col min="8" max="8" width="9.85546875" bestFit="1" customWidth="1"/>
    <col min="9" max="9" width="9.140625" customWidth="1"/>
    <col min="10" max="10" width="8.42578125" customWidth="1"/>
    <col min="11" max="12" width="8.28515625" customWidth="1"/>
  </cols>
  <sheetData>
    <row r="1" spans="1:14" ht="17.25" customHeight="1" x14ac:dyDescent="0.2">
      <c r="M1" s="540" t="s">
        <v>95</v>
      </c>
      <c r="N1" s="540"/>
    </row>
    <row r="2" spans="1:14" ht="17.25" customHeight="1" x14ac:dyDescent="0.2">
      <c r="L2" s="48"/>
      <c r="M2" s="541"/>
      <c r="N2" s="541"/>
    </row>
    <row r="3" spans="1:14" ht="30.75" customHeight="1" x14ac:dyDescent="0.2">
      <c r="A3" s="542" t="s">
        <v>51</v>
      </c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</row>
    <row r="4" spans="1:14" ht="23.25" customHeight="1" x14ac:dyDescent="0.2">
      <c r="A4" s="568" t="str">
        <f>'4.Zdjęcie humusu'!A4:F5</f>
        <v>PRZEBUDOWA DROGI WOJEWÓDZKIEJ NR 987 KOLBUSZOWA – SĘDZISZÓW MAŁOPOLSKI POLEGAJĄCA NA BUDOWIE CHODNIKA DLA PIESZYCH W KM 13+788 ÷ 13+940 STRONA LEWA W MIEJSCOWOŚCI CZARNA SĘDZISZOWSKA</v>
      </c>
      <c r="B4" s="568"/>
      <c r="C4" s="568"/>
      <c r="D4" s="568"/>
      <c r="E4" s="568"/>
      <c r="F4" s="568"/>
      <c r="G4" s="568"/>
      <c r="H4" s="568"/>
      <c r="I4" s="568"/>
      <c r="J4" s="568"/>
      <c r="K4" s="568"/>
      <c r="L4" s="568"/>
      <c r="M4" s="568"/>
      <c r="N4" s="568"/>
    </row>
    <row r="5" spans="1:14" ht="24.75" customHeight="1" x14ac:dyDescent="0.2">
      <c r="A5" s="568"/>
      <c r="B5" s="568"/>
      <c r="C5" s="568"/>
      <c r="D5" s="568"/>
      <c r="E5" s="568"/>
      <c r="F5" s="568"/>
      <c r="G5" s="568"/>
      <c r="H5" s="568"/>
      <c r="I5" s="568"/>
      <c r="J5" s="568"/>
      <c r="K5" s="568"/>
      <c r="L5" s="568"/>
      <c r="M5" s="568"/>
      <c r="N5" s="568"/>
    </row>
    <row r="6" spans="1:14" ht="24.75" customHeight="1" x14ac:dyDescent="0.2">
      <c r="A6" s="58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59"/>
    </row>
    <row r="7" spans="1:14" ht="21.75" customHeight="1" x14ac:dyDescent="0.2">
      <c r="A7" s="569" t="s">
        <v>28</v>
      </c>
      <c r="B7" s="570"/>
      <c r="C7" s="570"/>
      <c r="D7" s="570"/>
      <c r="E7" s="570"/>
      <c r="F7" s="570"/>
      <c r="G7" s="570"/>
      <c r="H7" s="570"/>
      <c r="I7" s="570"/>
      <c r="J7" s="570"/>
      <c r="K7" s="570"/>
      <c r="L7" s="570"/>
      <c r="M7" s="570"/>
      <c r="N7" s="571"/>
    </row>
    <row r="8" spans="1:14" x14ac:dyDescent="0.2">
      <c r="A8" s="547" t="s">
        <v>29</v>
      </c>
      <c r="B8" s="547" t="s">
        <v>30</v>
      </c>
      <c r="C8" s="547" t="s">
        <v>52</v>
      </c>
      <c r="D8" s="548"/>
      <c r="E8" s="547" t="s">
        <v>53</v>
      </c>
      <c r="F8" s="548"/>
      <c r="G8" s="547" t="s">
        <v>54</v>
      </c>
      <c r="H8" s="547" t="s">
        <v>55</v>
      </c>
      <c r="I8" s="548"/>
      <c r="J8" s="547" t="s">
        <v>56</v>
      </c>
      <c r="K8" s="547" t="s">
        <v>57</v>
      </c>
      <c r="L8" s="548"/>
      <c r="M8" s="547" t="s">
        <v>58</v>
      </c>
      <c r="N8" s="548"/>
    </row>
    <row r="9" spans="1:14" x14ac:dyDescent="0.2">
      <c r="A9" s="548"/>
      <c r="B9" s="548"/>
      <c r="C9" s="548"/>
      <c r="D9" s="548"/>
      <c r="E9" s="548"/>
      <c r="F9" s="548"/>
      <c r="G9" s="548"/>
      <c r="H9" s="548"/>
      <c r="I9" s="548"/>
      <c r="J9" s="548"/>
      <c r="K9" s="548"/>
      <c r="L9" s="548"/>
      <c r="M9" s="548"/>
      <c r="N9" s="548"/>
    </row>
    <row r="10" spans="1:14" x14ac:dyDescent="0.2">
      <c r="A10" s="548"/>
      <c r="B10" s="548"/>
      <c r="C10" s="29" t="s">
        <v>59</v>
      </c>
      <c r="D10" s="29" t="s">
        <v>60</v>
      </c>
      <c r="E10" s="29" t="s">
        <v>59</v>
      </c>
      <c r="F10" s="29" t="s">
        <v>60</v>
      </c>
      <c r="G10" s="548"/>
      <c r="H10" s="29" t="s">
        <v>59</v>
      </c>
      <c r="I10" s="29" t="s">
        <v>60</v>
      </c>
      <c r="J10" s="548"/>
      <c r="K10" s="29" t="s">
        <v>59</v>
      </c>
      <c r="L10" s="29" t="s">
        <v>60</v>
      </c>
      <c r="M10" s="49" t="s">
        <v>61</v>
      </c>
      <c r="N10" s="49" t="s">
        <v>62</v>
      </c>
    </row>
    <row r="11" spans="1:14" x14ac:dyDescent="0.2">
      <c r="A11" s="548"/>
      <c r="B11" s="548"/>
      <c r="C11" s="547" t="s">
        <v>63</v>
      </c>
      <c r="D11" s="547"/>
      <c r="E11" s="547" t="s">
        <v>63</v>
      </c>
      <c r="F11" s="547"/>
      <c r="G11" s="548"/>
      <c r="H11" s="547" t="s">
        <v>64</v>
      </c>
      <c r="I11" s="547"/>
      <c r="J11" s="548"/>
      <c r="K11" s="547" t="s">
        <v>64</v>
      </c>
      <c r="L11" s="547"/>
      <c r="M11" s="547" t="s">
        <v>64</v>
      </c>
      <c r="N11" s="547"/>
    </row>
    <row r="12" spans="1:14" x14ac:dyDescent="0.2">
      <c r="A12" s="575">
        <v>13</v>
      </c>
      <c r="B12" s="536">
        <v>780</v>
      </c>
      <c r="C12" s="536">
        <v>0</v>
      </c>
      <c r="D12" s="536">
        <v>0</v>
      </c>
      <c r="E12" s="30" t="s">
        <v>2</v>
      </c>
      <c r="F12" s="30" t="s">
        <v>2</v>
      </c>
      <c r="G12" s="30" t="s">
        <v>2</v>
      </c>
      <c r="H12" s="50" t="s">
        <v>65</v>
      </c>
      <c r="I12" s="50" t="s">
        <v>66</v>
      </c>
      <c r="J12" s="50" t="s">
        <v>67</v>
      </c>
      <c r="K12" s="50" t="s">
        <v>68</v>
      </c>
      <c r="L12" s="50" t="s">
        <v>69</v>
      </c>
      <c r="M12" s="50" t="s">
        <v>70</v>
      </c>
      <c r="N12" s="50" t="s">
        <v>71</v>
      </c>
    </row>
    <row r="13" spans="1:14" x14ac:dyDescent="0.2">
      <c r="A13" s="576"/>
      <c r="B13" s="536"/>
      <c r="C13" s="536"/>
      <c r="D13" s="536"/>
      <c r="E13" s="572">
        <f>SUM(0.5*C12,0.5*C14)</f>
        <v>0.83499999999999996</v>
      </c>
      <c r="F13" s="536">
        <f>SUM(0.5*D12,0.5*D14)</f>
        <v>0.23</v>
      </c>
      <c r="G13" s="536">
        <f>SUM(B14,-B12)</f>
        <v>2.4</v>
      </c>
      <c r="H13" s="536">
        <f>PRODUCT(E13,G13)</f>
        <v>2</v>
      </c>
      <c r="I13" s="536">
        <f>PRODUCT(F13,G13)</f>
        <v>0.55000000000000004</v>
      </c>
      <c r="J13" s="536">
        <f>MIN(H13:I14)</f>
        <v>0.55000000000000004</v>
      </c>
      <c r="K13" s="536">
        <f>IF(I13&lt;H13,(H13-I13),"")</f>
        <v>1.45</v>
      </c>
      <c r="L13" s="536" t="str">
        <f>IF(H13&lt;I13,(I13-H13),"")</f>
        <v/>
      </c>
      <c r="M13" s="536">
        <f>K13</f>
        <v>1.45</v>
      </c>
      <c r="N13" s="536" t="str">
        <f>L13</f>
        <v/>
      </c>
    </row>
    <row r="14" spans="1:14" x14ac:dyDescent="0.2">
      <c r="A14" s="576"/>
      <c r="B14" s="536">
        <v>782.4</v>
      </c>
      <c r="C14" s="536">
        <v>1.67</v>
      </c>
      <c r="D14" s="536">
        <v>0.46</v>
      </c>
      <c r="E14" s="572"/>
      <c r="F14" s="536"/>
      <c r="G14" s="536"/>
      <c r="H14" s="536"/>
      <c r="I14" s="536"/>
      <c r="J14" s="536"/>
      <c r="K14" s="536"/>
      <c r="L14" s="536"/>
      <c r="M14" s="536"/>
      <c r="N14" s="536"/>
    </row>
    <row r="15" spans="1:14" x14ac:dyDescent="0.2">
      <c r="A15" s="576"/>
      <c r="B15" s="536"/>
      <c r="C15" s="536"/>
      <c r="D15" s="536"/>
      <c r="E15" s="572">
        <f>SUM(0.5*C14,0.5*C16)</f>
        <v>1.0649999999999999</v>
      </c>
      <c r="F15" s="536">
        <f>SUM(0.5*D14,0.5*D16)</f>
        <v>0.61</v>
      </c>
      <c r="G15" s="536">
        <f>SUM(B16,-B14)</f>
        <v>28.9</v>
      </c>
      <c r="H15" s="536">
        <f>PRODUCT(E15,G15)</f>
        <v>30.78</v>
      </c>
      <c r="I15" s="536">
        <f>PRODUCT(F15,G15)</f>
        <v>17.63</v>
      </c>
      <c r="J15" s="536">
        <f>MIN(H15:I16)</f>
        <v>17.63</v>
      </c>
      <c r="K15" s="536">
        <f>IF(I15&lt;H15,(H15-I15),"")</f>
        <v>13.15</v>
      </c>
      <c r="L15" s="536" t="str">
        <f>IF(H15&lt;I15,(I15-H15),"")</f>
        <v/>
      </c>
      <c r="M15" s="536">
        <f>K15+M13</f>
        <v>14.6</v>
      </c>
      <c r="N15" s="536" t="str">
        <f>L15</f>
        <v/>
      </c>
    </row>
    <row r="16" spans="1:14" x14ac:dyDescent="0.2">
      <c r="A16" s="576"/>
      <c r="B16" s="536">
        <v>811.3</v>
      </c>
      <c r="C16" s="536">
        <v>0.46</v>
      </c>
      <c r="D16" s="536">
        <v>0.76</v>
      </c>
      <c r="E16" s="572"/>
      <c r="F16" s="536"/>
      <c r="G16" s="536"/>
      <c r="H16" s="536"/>
      <c r="I16" s="536"/>
      <c r="J16" s="536"/>
      <c r="K16" s="536"/>
      <c r="L16" s="536"/>
      <c r="M16" s="536"/>
      <c r="N16" s="536"/>
    </row>
    <row r="17" spans="1:41" x14ac:dyDescent="0.2">
      <c r="A17" s="576"/>
      <c r="B17" s="536"/>
      <c r="C17" s="536"/>
      <c r="D17" s="536"/>
      <c r="E17" s="536">
        <f>SUM(0.5*C16,0.5*C18)</f>
        <v>0.56999999999999995</v>
      </c>
      <c r="F17" s="536">
        <f>SUM(0.5*D16,0.5*D18)</f>
        <v>0.81</v>
      </c>
      <c r="G17" s="536">
        <f>SUM(B18,-B16)</f>
        <v>18.7</v>
      </c>
      <c r="H17" s="536">
        <f>PRODUCT(E17,G17)</f>
        <v>10.66</v>
      </c>
      <c r="I17" s="536">
        <f>PRODUCT(F17,G17)</f>
        <v>15.15</v>
      </c>
      <c r="J17" s="536">
        <f>MIN(H17:I18)</f>
        <v>10.66</v>
      </c>
      <c r="K17" s="536" t="str">
        <f>IF(I17&lt;H17,(H17-I17),"")</f>
        <v/>
      </c>
      <c r="L17" s="536">
        <f>IF(H17&lt;I17,(I17-H17),"")</f>
        <v>4.49</v>
      </c>
      <c r="M17" s="536">
        <f>M15-L17</f>
        <v>10.11</v>
      </c>
      <c r="N17" s="536"/>
    </row>
    <row r="18" spans="1:41" x14ac:dyDescent="0.2">
      <c r="A18" s="576"/>
      <c r="B18" s="536">
        <v>830</v>
      </c>
      <c r="C18" s="536">
        <v>0.68</v>
      </c>
      <c r="D18" s="536">
        <v>0.85</v>
      </c>
      <c r="E18" s="536"/>
      <c r="F18" s="536"/>
      <c r="G18" s="536"/>
      <c r="H18" s="536"/>
      <c r="I18" s="536"/>
      <c r="J18" s="536"/>
      <c r="K18" s="536"/>
      <c r="L18" s="536"/>
      <c r="M18" s="536"/>
      <c r="N18" s="536"/>
    </row>
    <row r="19" spans="1:41" x14ac:dyDescent="0.2">
      <c r="A19" s="576"/>
      <c r="B19" s="536"/>
      <c r="C19" s="536"/>
      <c r="D19" s="536"/>
      <c r="E19" s="536">
        <f>SUM(0.5*C18,0.5*C20)</f>
        <v>0.84</v>
      </c>
      <c r="F19" s="536">
        <f>SUM(0.5*D18,0.5*D20)</f>
        <v>1.1399999999999999</v>
      </c>
      <c r="G19" s="536">
        <f>SUM(B20,-B18)</f>
        <v>31.6</v>
      </c>
      <c r="H19" s="536">
        <f>PRODUCT(E19,G19)</f>
        <v>26.54</v>
      </c>
      <c r="I19" s="536">
        <f>PRODUCT(F19,G19)</f>
        <v>36.020000000000003</v>
      </c>
      <c r="J19" s="536">
        <f>MIN(H19:I20)</f>
        <v>26.54</v>
      </c>
      <c r="K19" s="536" t="str">
        <f>IF(I19&lt;H19,(H19-I19),"")</f>
        <v/>
      </c>
      <c r="L19" s="536">
        <f>IF(H19&lt;I19,(I19-H19),"")</f>
        <v>9.48</v>
      </c>
      <c r="M19" s="536"/>
      <c r="N19" s="573">
        <f>M17-L19</f>
        <v>0.63</v>
      </c>
    </row>
    <row r="20" spans="1:41" x14ac:dyDescent="0.2">
      <c r="A20" s="576"/>
      <c r="B20" s="536">
        <v>861.6</v>
      </c>
      <c r="C20" s="536">
        <v>1</v>
      </c>
      <c r="D20" s="536">
        <v>1.43</v>
      </c>
      <c r="E20" s="536"/>
      <c r="F20" s="536"/>
      <c r="G20" s="536"/>
      <c r="H20" s="536"/>
      <c r="I20" s="536"/>
      <c r="J20" s="536"/>
      <c r="K20" s="536"/>
      <c r="L20" s="536"/>
      <c r="M20" s="536"/>
      <c r="N20" s="574"/>
    </row>
    <row r="21" spans="1:41" x14ac:dyDescent="0.2">
      <c r="A21" s="576"/>
      <c r="B21" s="536"/>
      <c r="C21" s="536"/>
      <c r="D21" s="536"/>
      <c r="E21" s="536">
        <f>SUM(0.5*C20,0.5*C22)</f>
        <v>1.03</v>
      </c>
      <c r="F21" s="536">
        <f>SUM(0.5*D20,0.5*D22)</f>
        <v>1.32</v>
      </c>
      <c r="G21" s="536">
        <f>SUM(B22,-B20)</f>
        <v>18.399999999999999</v>
      </c>
      <c r="H21" s="536">
        <f>PRODUCT(E21,G21)</f>
        <v>18.95</v>
      </c>
      <c r="I21" s="536">
        <f>PRODUCT(F21,G21)</f>
        <v>24.29</v>
      </c>
      <c r="J21" s="536">
        <f>MIN(H21:I22)</f>
        <v>18.95</v>
      </c>
      <c r="K21" s="536" t="str">
        <f>IF(I21&lt;H21,(H21-I21),"")</f>
        <v/>
      </c>
      <c r="L21" s="536">
        <f>IF(H21&lt;I21,(I21-H21),"")</f>
        <v>5.34</v>
      </c>
      <c r="M21" s="536"/>
      <c r="N21" s="536">
        <f>N19-L21</f>
        <v>-4.71</v>
      </c>
    </row>
    <row r="22" spans="1:41" x14ac:dyDescent="0.2">
      <c r="A22" s="576"/>
      <c r="B22" s="536">
        <v>880</v>
      </c>
      <c r="C22" s="536">
        <v>1.05</v>
      </c>
      <c r="D22" s="536">
        <v>1.2</v>
      </c>
      <c r="E22" s="536"/>
      <c r="F22" s="536"/>
      <c r="G22" s="536"/>
      <c r="H22" s="536"/>
      <c r="I22" s="536"/>
      <c r="J22" s="536"/>
      <c r="K22" s="536"/>
      <c r="L22" s="536"/>
      <c r="M22" s="536"/>
      <c r="N22" s="536"/>
    </row>
    <row r="23" spans="1:41" x14ac:dyDescent="0.2">
      <c r="A23" s="576"/>
      <c r="B23" s="536"/>
      <c r="C23" s="536"/>
      <c r="D23" s="536"/>
      <c r="E23" s="536">
        <f>SUM(0.5*C22,0.5*C24)</f>
        <v>0.88</v>
      </c>
      <c r="F23" s="536">
        <f>SUM(0.5*D22,0.5*D24)</f>
        <v>0.85</v>
      </c>
      <c r="G23" s="536">
        <f>SUM(B24,-B22)</f>
        <v>23.7</v>
      </c>
      <c r="H23" s="536">
        <f>PRODUCT(E23,G23)</f>
        <v>20.86</v>
      </c>
      <c r="I23" s="536">
        <f>PRODUCT(F23,G23)</f>
        <v>20.149999999999999</v>
      </c>
      <c r="J23" s="536">
        <f>MIN(H23:I24)</f>
        <v>20.149999999999999</v>
      </c>
      <c r="K23" s="536">
        <f>IF(I23&lt;H23,(H23-I23),"")</f>
        <v>0.71</v>
      </c>
      <c r="L23" s="536" t="str">
        <f>IF(H23&lt;I23,(I23-H23),"")</f>
        <v/>
      </c>
      <c r="M23" s="536"/>
      <c r="N23" s="536">
        <f>N21+K23</f>
        <v>-4</v>
      </c>
    </row>
    <row r="24" spans="1:41" x14ac:dyDescent="0.2">
      <c r="A24" s="576"/>
      <c r="B24" s="536">
        <v>903.7</v>
      </c>
      <c r="C24" s="536">
        <v>0.7</v>
      </c>
      <c r="D24" s="536">
        <v>0.5</v>
      </c>
      <c r="E24" s="536"/>
      <c r="F24" s="536"/>
      <c r="G24" s="536"/>
      <c r="H24" s="536"/>
      <c r="I24" s="536"/>
      <c r="J24" s="536"/>
      <c r="K24" s="536"/>
      <c r="L24" s="536"/>
      <c r="M24" s="536"/>
      <c r="N24" s="536"/>
    </row>
    <row r="25" spans="1:41" x14ac:dyDescent="0.2">
      <c r="A25" s="576"/>
      <c r="B25" s="536"/>
      <c r="C25" s="536"/>
      <c r="D25" s="536"/>
      <c r="E25" s="536">
        <f>SUM(0.5*C24,0.5*C26)</f>
        <v>0.9</v>
      </c>
      <c r="F25" s="536">
        <f>SUM(0.5*D24,0.5*D26)</f>
        <v>0.75</v>
      </c>
      <c r="G25" s="536">
        <f>SUM(B26,-B24)</f>
        <v>34.299999999999997</v>
      </c>
      <c r="H25" s="536">
        <f>PRODUCT(E25,G25)</f>
        <v>30.87</v>
      </c>
      <c r="I25" s="536">
        <f>PRODUCT(F25,G25)</f>
        <v>25.73</v>
      </c>
      <c r="J25" s="536">
        <f>MIN(H25:I26)</f>
        <v>25.73</v>
      </c>
      <c r="K25" s="536">
        <f>IF(I25&lt;H25,(H25-I25),"")</f>
        <v>5.14</v>
      </c>
      <c r="L25" s="536" t="str">
        <f>IF(H25&lt;I25,(I25-H25),"")</f>
        <v/>
      </c>
      <c r="M25" s="536"/>
      <c r="N25" s="536">
        <f>N23+K25</f>
        <v>1.1399999999999999</v>
      </c>
    </row>
    <row r="26" spans="1:41" ht="3.75" customHeight="1" x14ac:dyDescent="0.2">
      <c r="A26" s="576"/>
      <c r="B26" s="536">
        <v>938</v>
      </c>
      <c r="C26" s="536">
        <v>1.1000000000000001</v>
      </c>
      <c r="D26" s="536">
        <v>1</v>
      </c>
      <c r="E26" s="536"/>
      <c r="F26" s="536"/>
      <c r="G26" s="536"/>
      <c r="H26" s="536"/>
      <c r="I26" s="536"/>
      <c r="J26" s="536"/>
      <c r="K26" s="536"/>
      <c r="L26" s="536"/>
      <c r="M26" s="536"/>
      <c r="N26" s="536"/>
    </row>
    <row r="27" spans="1:41" ht="18.75" customHeight="1" x14ac:dyDescent="0.2">
      <c r="A27" s="576"/>
      <c r="B27" s="536"/>
      <c r="C27" s="536"/>
      <c r="D27" s="536"/>
      <c r="E27" s="34" t="s">
        <v>2</v>
      </c>
      <c r="F27" s="34" t="s">
        <v>2</v>
      </c>
      <c r="G27" s="34" t="s">
        <v>2</v>
      </c>
      <c r="H27" s="34" t="s">
        <v>2</v>
      </c>
      <c r="I27" s="34" t="s">
        <v>2</v>
      </c>
      <c r="J27" s="34" t="s">
        <v>2</v>
      </c>
      <c r="K27" s="34" t="s">
        <v>2</v>
      </c>
      <c r="L27" s="34" t="s">
        <v>2</v>
      </c>
      <c r="M27" s="52"/>
      <c r="N27" s="34">
        <f>N25</f>
        <v>1.1399999999999999</v>
      </c>
    </row>
    <row r="28" spans="1:41" ht="18.75" customHeight="1" x14ac:dyDescent="0.2">
      <c r="A28" s="576"/>
      <c r="B28" s="536" t="s">
        <v>2</v>
      </c>
      <c r="C28" s="536" t="s">
        <v>2</v>
      </c>
      <c r="D28" s="536" t="s">
        <v>2</v>
      </c>
      <c r="E28" s="578" t="s">
        <v>72</v>
      </c>
      <c r="F28" s="578"/>
      <c r="G28" s="578"/>
      <c r="H28" s="578">
        <f>SUM(H13:H26)</f>
        <v>140.66</v>
      </c>
      <c r="I28" s="578">
        <f>SUM(I13:I26)</f>
        <v>139.52000000000001</v>
      </c>
      <c r="J28" s="578">
        <f>SUM(J13:J26)</f>
        <v>120.21</v>
      </c>
      <c r="K28" s="578">
        <f>SUM(K13:K26)</f>
        <v>20.45</v>
      </c>
      <c r="L28" s="578">
        <f>SUM(L15:L22)</f>
        <v>19.309999999999999</v>
      </c>
      <c r="M28" s="578"/>
      <c r="N28" s="578">
        <f>N27</f>
        <v>1.1399999999999999</v>
      </c>
    </row>
    <row r="29" spans="1:41" ht="18.75" customHeight="1" x14ac:dyDescent="0.2">
      <c r="A29" s="577"/>
      <c r="B29" s="536"/>
      <c r="C29" s="536"/>
      <c r="D29" s="536"/>
      <c r="E29" s="578"/>
      <c r="F29" s="578"/>
      <c r="G29" s="578"/>
      <c r="H29" s="578"/>
      <c r="I29" s="578"/>
      <c r="J29" s="578"/>
      <c r="K29" s="578"/>
      <c r="L29" s="578"/>
      <c r="M29" s="578"/>
      <c r="N29" s="603"/>
    </row>
    <row r="30" spans="1:41" s="70" customFormat="1" ht="18.75" customHeight="1" x14ac:dyDescent="0.2">
      <c r="A30" s="61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9"/>
      <c r="N30" s="63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ht="18.75" customHeight="1" x14ac:dyDescent="0.2">
      <c r="A31" s="569" t="s">
        <v>36</v>
      </c>
      <c r="B31" s="570"/>
      <c r="C31" s="570"/>
      <c r="D31" s="570"/>
      <c r="E31" s="570"/>
      <c r="F31" s="570"/>
      <c r="G31" s="570"/>
      <c r="H31" s="570"/>
      <c r="I31" s="570"/>
      <c r="J31" s="570"/>
      <c r="K31" s="570"/>
      <c r="L31" s="570"/>
      <c r="M31" s="570"/>
      <c r="N31" s="571"/>
    </row>
    <row r="32" spans="1:41" ht="12.75" customHeight="1" x14ac:dyDescent="0.2">
      <c r="A32" s="547" t="s">
        <v>29</v>
      </c>
      <c r="B32" s="547" t="s">
        <v>30</v>
      </c>
      <c r="C32" s="547" t="s">
        <v>52</v>
      </c>
      <c r="D32" s="548"/>
      <c r="E32" s="547" t="s">
        <v>53</v>
      </c>
      <c r="F32" s="548"/>
      <c r="G32" s="547" t="s">
        <v>54</v>
      </c>
      <c r="H32" s="547" t="s">
        <v>55</v>
      </c>
      <c r="I32" s="548"/>
      <c r="J32" s="547" t="s">
        <v>56</v>
      </c>
      <c r="K32" s="547" t="s">
        <v>57</v>
      </c>
      <c r="L32" s="548"/>
      <c r="M32" s="547" t="s">
        <v>58</v>
      </c>
      <c r="N32" s="548"/>
    </row>
    <row r="33" spans="1:16" x14ac:dyDescent="0.2">
      <c r="A33" s="548"/>
      <c r="B33" s="548"/>
      <c r="C33" s="548"/>
      <c r="D33" s="548"/>
      <c r="E33" s="548"/>
      <c r="F33" s="548"/>
      <c r="G33" s="548"/>
      <c r="H33" s="548"/>
      <c r="I33" s="548"/>
      <c r="J33" s="548"/>
      <c r="K33" s="548"/>
      <c r="L33" s="548"/>
      <c r="M33" s="548"/>
      <c r="N33" s="548"/>
    </row>
    <row r="34" spans="1:16" x14ac:dyDescent="0.2">
      <c r="A34" s="548"/>
      <c r="B34" s="548"/>
      <c r="C34" s="29" t="s">
        <v>59</v>
      </c>
      <c r="D34" s="29" t="s">
        <v>60</v>
      </c>
      <c r="E34" s="29" t="s">
        <v>59</v>
      </c>
      <c r="F34" s="29" t="s">
        <v>60</v>
      </c>
      <c r="G34" s="548"/>
      <c r="H34" s="29" t="s">
        <v>59</v>
      </c>
      <c r="I34" s="29" t="s">
        <v>60</v>
      </c>
      <c r="J34" s="548"/>
      <c r="K34" s="29" t="s">
        <v>59</v>
      </c>
      <c r="L34" s="29" t="s">
        <v>60</v>
      </c>
      <c r="M34" s="49" t="s">
        <v>61</v>
      </c>
      <c r="N34" s="49" t="s">
        <v>62</v>
      </c>
    </row>
    <row r="35" spans="1:16" x14ac:dyDescent="0.2">
      <c r="A35" s="548"/>
      <c r="B35" s="548"/>
      <c r="C35" s="547" t="s">
        <v>63</v>
      </c>
      <c r="D35" s="547"/>
      <c r="E35" s="547" t="s">
        <v>63</v>
      </c>
      <c r="F35" s="547"/>
      <c r="G35" s="548"/>
      <c r="H35" s="547" t="s">
        <v>64</v>
      </c>
      <c r="I35" s="547"/>
      <c r="J35" s="548"/>
      <c r="K35" s="547" t="s">
        <v>64</v>
      </c>
      <c r="L35" s="547"/>
      <c r="M35" s="547" t="s">
        <v>64</v>
      </c>
      <c r="N35" s="547"/>
    </row>
    <row r="36" spans="1:16" x14ac:dyDescent="0.2">
      <c r="A36" s="575">
        <v>0</v>
      </c>
      <c r="B36" s="535">
        <v>12</v>
      </c>
      <c r="C36" s="536">
        <v>1.1000000000000001</v>
      </c>
      <c r="D36" s="536">
        <v>1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pans="1:16" x14ac:dyDescent="0.2">
      <c r="A37" s="576"/>
      <c r="B37" s="536"/>
      <c r="C37" s="536"/>
      <c r="D37" s="536"/>
      <c r="E37" s="536">
        <f>SUM(0.5*C36,0.5*C38)</f>
        <v>0.91</v>
      </c>
      <c r="F37" s="536">
        <f>SUM(0.5*D36,0.5*D38)</f>
        <v>0.9</v>
      </c>
      <c r="G37" s="536">
        <f>SUM(B38,-B36)</f>
        <v>5.7</v>
      </c>
      <c r="H37" s="536">
        <f>PRODUCT(E37,G37)</f>
        <v>5.19</v>
      </c>
      <c r="I37" s="536">
        <f>PRODUCT(F37,G37)</f>
        <v>5.13</v>
      </c>
      <c r="J37" s="536">
        <f>MIN(H37:I38)</f>
        <v>5.13</v>
      </c>
      <c r="K37" s="536">
        <f>IF(I37&lt;H37,(H37-I37),"")</f>
        <v>0.06</v>
      </c>
      <c r="L37" s="536" t="str">
        <f>IF(H37&lt;I37,(I37-H37),"")</f>
        <v/>
      </c>
      <c r="M37" s="536"/>
      <c r="N37" s="536">
        <f>N27+K37</f>
        <v>1.2</v>
      </c>
    </row>
    <row r="38" spans="1:16" x14ac:dyDescent="0.2">
      <c r="A38" s="576"/>
      <c r="B38" s="536">
        <v>17.7</v>
      </c>
      <c r="C38" s="536">
        <v>0.72</v>
      </c>
      <c r="D38" s="536">
        <v>0.8</v>
      </c>
      <c r="E38" s="536"/>
      <c r="F38" s="536"/>
      <c r="G38" s="536"/>
      <c r="H38" s="536"/>
      <c r="I38" s="536"/>
      <c r="J38" s="536"/>
      <c r="K38" s="536"/>
      <c r="L38" s="536"/>
      <c r="M38" s="536"/>
      <c r="N38" s="536"/>
    </row>
    <row r="39" spans="1:16" x14ac:dyDescent="0.2">
      <c r="A39" s="576"/>
      <c r="B39" s="536"/>
      <c r="C39" s="536"/>
      <c r="D39" s="536"/>
      <c r="E39" s="536">
        <f>SUM(0.5*C38,0.5*C40)</f>
        <v>0.76</v>
      </c>
      <c r="F39" s="536">
        <f>SUM(0.5*D38,0.5*D40)</f>
        <v>0.73</v>
      </c>
      <c r="G39" s="536">
        <f>SUM(B40,-B38)</f>
        <v>17.3</v>
      </c>
      <c r="H39" s="536">
        <f>PRODUCT(E39,G39)</f>
        <v>13.15</v>
      </c>
      <c r="I39" s="536">
        <f>PRODUCT(F39,G39)</f>
        <v>12.63</v>
      </c>
      <c r="J39" s="536">
        <f>MIN(H39:I40)</f>
        <v>12.63</v>
      </c>
      <c r="K39" s="536">
        <f>IF(I39&lt;H39,(H39-I39),"")</f>
        <v>0.52</v>
      </c>
      <c r="L39" s="536" t="str">
        <f>IF(H39&lt;I39,(I39-H39),"")</f>
        <v/>
      </c>
      <c r="M39" s="536"/>
      <c r="N39" s="536">
        <f>N37+K39</f>
        <v>1.72</v>
      </c>
    </row>
    <row r="40" spans="1:16" x14ac:dyDescent="0.2">
      <c r="A40" s="576"/>
      <c r="B40" s="536">
        <v>35</v>
      </c>
      <c r="C40" s="536">
        <v>0.8</v>
      </c>
      <c r="D40" s="536">
        <v>0.65</v>
      </c>
      <c r="E40" s="536"/>
      <c r="F40" s="536"/>
      <c r="G40" s="536"/>
      <c r="H40" s="536"/>
      <c r="I40" s="536"/>
      <c r="J40" s="536"/>
      <c r="K40" s="536"/>
      <c r="L40" s="536"/>
      <c r="M40" s="536"/>
      <c r="N40" s="536"/>
    </row>
    <row r="41" spans="1:16" x14ac:dyDescent="0.2">
      <c r="A41" s="576"/>
      <c r="B41" s="536"/>
      <c r="C41" s="536"/>
      <c r="D41" s="536"/>
      <c r="E41" s="536">
        <f>SUM(0.5*C40,0.5*C42)</f>
        <v>0.4</v>
      </c>
      <c r="F41" s="536">
        <f>SUM(0.5*D40,0.5*D42)</f>
        <v>0.33</v>
      </c>
      <c r="G41" s="536">
        <f>SUM(B42,-B40)</f>
        <v>17</v>
      </c>
      <c r="H41" s="536">
        <f>PRODUCT(E41,G41)</f>
        <v>6.8</v>
      </c>
      <c r="I41" s="536">
        <f>PRODUCT(F41,G41)</f>
        <v>5.61</v>
      </c>
      <c r="J41" s="536">
        <f>MIN(H41:I42)</f>
        <v>5.61</v>
      </c>
      <c r="K41" s="536">
        <f>IF(I41&lt;H41,(H41-I41),"")</f>
        <v>1.19</v>
      </c>
      <c r="L41" s="536" t="str">
        <f>IF(H41&lt;I41,(I41-H41),"")</f>
        <v/>
      </c>
      <c r="M41" s="536">
        <f>N39+K41</f>
        <v>2.91</v>
      </c>
      <c r="N41" s="536"/>
    </row>
    <row r="42" spans="1:16" x14ac:dyDescent="0.2">
      <c r="A42" s="576"/>
      <c r="B42" s="536">
        <v>52</v>
      </c>
      <c r="C42" s="536">
        <v>0</v>
      </c>
      <c r="D42" s="536">
        <v>0</v>
      </c>
      <c r="E42" s="536"/>
      <c r="F42" s="536"/>
      <c r="G42" s="536"/>
      <c r="H42" s="536"/>
      <c r="I42" s="536"/>
      <c r="J42" s="536"/>
      <c r="K42" s="536"/>
      <c r="L42" s="536"/>
      <c r="M42" s="536"/>
      <c r="N42" s="536"/>
    </row>
    <row r="43" spans="1:16" ht="17.25" customHeight="1" x14ac:dyDescent="0.2">
      <c r="A43" s="576"/>
      <c r="B43" s="536"/>
      <c r="C43" s="536"/>
      <c r="D43" s="536"/>
      <c r="E43" s="30" t="s">
        <v>2</v>
      </c>
      <c r="F43" s="30" t="s">
        <v>2</v>
      </c>
      <c r="G43" s="30" t="s">
        <v>2</v>
      </c>
      <c r="H43" s="30" t="s">
        <v>2</v>
      </c>
      <c r="I43" s="30" t="s">
        <v>2</v>
      </c>
      <c r="J43" s="30" t="s">
        <v>2</v>
      </c>
      <c r="K43" s="30" t="s">
        <v>2</v>
      </c>
      <c r="L43" s="30" t="s">
        <v>2</v>
      </c>
      <c r="M43" s="30">
        <f>M41</f>
        <v>2.91</v>
      </c>
      <c r="N43" s="30"/>
    </row>
    <row r="44" spans="1:16" ht="12.75" customHeight="1" x14ac:dyDescent="0.2">
      <c r="A44" s="576"/>
      <c r="B44" s="536" t="s">
        <v>2</v>
      </c>
      <c r="C44" s="536" t="s">
        <v>2</v>
      </c>
      <c r="D44" s="536" t="s">
        <v>2</v>
      </c>
      <c r="E44" s="578" t="s">
        <v>72</v>
      </c>
      <c r="F44" s="578"/>
      <c r="G44" s="578"/>
      <c r="H44" s="578">
        <f>SUM(H37:H43)</f>
        <v>25.14</v>
      </c>
      <c r="I44" s="578">
        <f>SUM(I37:I43)</f>
        <v>23.37</v>
      </c>
      <c r="J44" s="578">
        <f>SUM(J13:J43)</f>
        <v>263.79000000000002</v>
      </c>
      <c r="K44" s="578">
        <f>SUM(K13:K43)</f>
        <v>42.67</v>
      </c>
      <c r="L44" s="578">
        <f>SUM(L13:L43)</f>
        <v>38.619999999999997</v>
      </c>
      <c r="M44" s="578">
        <f>M43</f>
        <v>2.91</v>
      </c>
      <c r="N44" s="578"/>
    </row>
    <row r="45" spans="1:16" ht="13.5" customHeight="1" x14ac:dyDescent="0.2">
      <c r="A45" s="577"/>
      <c r="B45" s="536"/>
      <c r="C45" s="536"/>
      <c r="D45" s="536"/>
      <c r="E45" s="578"/>
      <c r="F45" s="578"/>
      <c r="G45" s="578"/>
      <c r="H45" s="578"/>
      <c r="I45" s="578"/>
      <c r="J45" s="578"/>
      <c r="K45" s="578"/>
      <c r="L45" s="578"/>
      <c r="M45" s="578"/>
      <c r="N45" s="578"/>
    </row>
    <row r="46" spans="1:16" ht="14.25" customHeight="1" x14ac:dyDescent="0.2"/>
    <row r="47" spans="1:16" ht="43.5" customHeight="1" x14ac:dyDescent="0.2">
      <c r="B47" s="579" t="s">
        <v>105</v>
      </c>
      <c r="C47" s="580"/>
      <c r="D47" s="580"/>
      <c r="E47" s="580"/>
      <c r="F47" s="580"/>
      <c r="G47" s="581"/>
      <c r="H47" s="585" t="s">
        <v>73</v>
      </c>
      <c r="I47" s="585" t="s">
        <v>74</v>
      </c>
      <c r="J47" s="569" t="s">
        <v>75</v>
      </c>
      <c r="K47" s="571"/>
      <c r="P47" s="36"/>
    </row>
    <row r="48" spans="1:16" ht="15.75" customHeight="1" x14ac:dyDescent="0.2">
      <c r="B48" s="582"/>
      <c r="C48" s="583"/>
      <c r="D48" s="583"/>
      <c r="E48" s="583"/>
      <c r="F48" s="583"/>
      <c r="G48" s="584"/>
      <c r="H48" s="586"/>
      <c r="I48" s="586"/>
      <c r="J48" s="51" t="s">
        <v>61</v>
      </c>
      <c r="K48" s="51" t="s">
        <v>62</v>
      </c>
      <c r="P48" s="36"/>
    </row>
    <row r="49" spans="2:11" ht="30.75" customHeight="1" x14ac:dyDescent="0.2">
      <c r="B49" s="587" t="s">
        <v>76</v>
      </c>
      <c r="C49" s="587"/>
      <c r="D49" s="587"/>
      <c r="E49" s="587"/>
      <c r="F49" s="587"/>
      <c r="G49" s="587"/>
      <c r="H49" s="588">
        <f>(3.14*1*1)*1.6+(3.14*1*1)*1.66+(3.14*1*1)*1.67+(3.14*1*1)*1.18</f>
        <v>19.190000000000001</v>
      </c>
      <c r="I49" s="588">
        <f>H49-((3.14*0.6*0.6)*1.6+(3.14*0.6*0.6)*1.66+(3.14*0.6*0.6)*1.67+(3.14*0.6*0.6)*1.18)</f>
        <v>12.28</v>
      </c>
      <c r="J49" s="536">
        <f>IF(I49&lt;H49,(H49-I49),"")</f>
        <v>6.91</v>
      </c>
      <c r="K49" s="589" t="str">
        <f>IF(H49&lt;I49,(H49-I49),"")</f>
        <v/>
      </c>
    </row>
    <row r="50" spans="2:11" ht="24" customHeight="1" x14ac:dyDescent="0.2">
      <c r="B50" s="587"/>
      <c r="C50" s="587"/>
      <c r="D50" s="587"/>
      <c r="E50" s="587"/>
      <c r="F50" s="587"/>
      <c r="G50" s="587"/>
      <c r="H50" s="588"/>
      <c r="I50" s="588"/>
      <c r="J50" s="536"/>
      <c r="K50" s="590"/>
    </row>
    <row r="51" spans="2:11" x14ac:dyDescent="0.2">
      <c r="B51" s="587" t="s">
        <v>77</v>
      </c>
      <c r="C51" s="587"/>
      <c r="D51" s="587"/>
      <c r="E51" s="587"/>
      <c r="F51" s="587"/>
      <c r="G51" s="587"/>
      <c r="H51" s="588">
        <f>1.1*(3.14*1.25*1.25)</f>
        <v>5.4</v>
      </c>
      <c r="I51" s="598">
        <f>H51-(1.1*(3.14*0.75*0.75))</f>
        <v>3.457125</v>
      </c>
      <c r="J51" s="536">
        <f>IF(I51&lt;H51,(H51-I51),"")</f>
        <v>1.94</v>
      </c>
      <c r="K51" s="589" t="str">
        <f>IF(H51&lt;I51,(H51-I51),"")</f>
        <v/>
      </c>
    </row>
    <row r="52" spans="2:11" ht="20.25" customHeight="1" x14ac:dyDescent="0.2">
      <c r="B52" s="587"/>
      <c r="C52" s="587"/>
      <c r="D52" s="587"/>
      <c r="E52" s="587"/>
      <c r="F52" s="587"/>
      <c r="G52" s="587"/>
      <c r="H52" s="588"/>
      <c r="I52" s="598"/>
      <c r="J52" s="536"/>
      <c r="K52" s="590"/>
    </row>
    <row r="53" spans="2:11" ht="16.5" customHeight="1" x14ac:dyDescent="0.2">
      <c r="B53" s="587" t="s">
        <v>78</v>
      </c>
      <c r="C53" s="587"/>
      <c r="D53" s="587"/>
      <c r="E53" s="587"/>
      <c r="F53" s="587"/>
      <c r="G53" s="587"/>
      <c r="H53" s="598">
        <f>1*0.5*11</f>
        <v>5.5</v>
      </c>
      <c r="I53" s="588">
        <f>0.8*0.5*11</f>
        <v>4.4000000000000004</v>
      </c>
      <c r="J53" s="536">
        <f>IF(I53&lt;H53,(H53-I53),"")</f>
        <v>1.1000000000000001</v>
      </c>
      <c r="K53" s="589" t="str">
        <f>IF(H53&lt;I53,(H53-I53),"")</f>
        <v/>
      </c>
    </row>
    <row r="54" spans="2:11" ht="7.5" customHeight="1" x14ac:dyDescent="0.2">
      <c r="B54" s="587"/>
      <c r="C54" s="587"/>
      <c r="D54" s="587"/>
      <c r="E54" s="587"/>
      <c r="F54" s="587"/>
      <c r="G54" s="587"/>
      <c r="H54" s="598"/>
      <c r="I54" s="588"/>
      <c r="J54" s="536"/>
      <c r="K54" s="590"/>
    </row>
    <row r="55" spans="2:11" x14ac:dyDescent="0.2">
      <c r="B55" s="587" t="s">
        <v>79</v>
      </c>
      <c r="C55" s="587"/>
      <c r="D55" s="587"/>
      <c r="E55" s="587"/>
      <c r="F55" s="587"/>
      <c r="G55" s="587"/>
      <c r="H55" s="588">
        <f>1*1*1.7*4</f>
        <v>6.8</v>
      </c>
      <c r="I55" s="588">
        <f>H55-(0.25*0.25*3.14)*1.7*4</f>
        <v>5.47</v>
      </c>
      <c r="J55" s="536">
        <f>IF(I55&lt;H55,(H55-I55),"")</f>
        <v>1.33</v>
      </c>
      <c r="K55" s="589" t="str">
        <f>IF(H55&lt;I55,(H55-I55),"")</f>
        <v/>
      </c>
    </row>
    <row r="56" spans="2:11" x14ac:dyDescent="0.2">
      <c r="B56" s="587"/>
      <c r="C56" s="587"/>
      <c r="D56" s="587"/>
      <c r="E56" s="587"/>
      <c r="F56" s="587"/>
      <c r="G56" s="587"/>
      <c r="H56" s="588"/>
      <c r="I56" s="588"/>
      <c r="J56" s="536"/>
      <c r="K56" s="590"/>
    </row>
    <row r="57" spans="2:11" ht="21" customHeight="1" x14ac:dyDescent="0.2">
      <c r="I57" s="54" t="s">
        <v>0</v>
      </c>
      <c r="J57" s="55">
        <f>SUM(J49:J56)</f>
        <v>11.28</v>
      </c>
      <c r="K57" s="55">
        <f>SUM(K49:K56)</f>
        <v>0</v>
      </c>
    </row>
    <row r="60" spans="2:11" ht="13.5" thickBot="1" x14ac:dyDescent="0.25"/>
    <row r="61" spans="2:11" ht="15" customHeight="1" x14ac:dyDescent="0.2">
      <c r="B61" s="595" t="s">
        <v>106</v>
      </c>
      <c r="C61" s="596"/>
      <c r="D61" s="596"/>
      <c r="E61" s="596"/>
      <c r="F61" s="596"/>
      <c r="G61" s="596"/>
      <c r="H61" s="596"/>
      <c r="I61" s="597"/>
    </row>
    <row r="62" spans="2:11" ht="12.75" customHeight="1" x14ac:dyDescent="0.2">
      <c r="B62" s="599" t="s">
        <v>80</v>
      </c>
      <c r="C62" s="600"/>
      <c r="D62" s="600"/>
      <c r="E62" s="600"/>
      <c r="F62" s="600"/>
      <c r="G62" s="600"/>
      <c r="H62" s="591">
        <f>H28+J57</f>
        <v>151.94</v>
      </c>
      <c r="I62" s="592"/>
    </row>
    <row r="63" spans="2:11" x14ac:dyDescent="0.2">
      <c r="B63" s="599"/>
      <c r="C63" s="600"/>
      <c r="D63" s="600"/>
      <c r="E63" s="600"/>
      <c r="F63" s="600"/>
      <c r="G63" s="600"/>
      <c r="H63" s="572"/>
      <c r="I63" s="592"/>
    </row>
    <row r="64" spans="2:11" ht="12.75" customHeight="1" x14ac:dyDescent="0.2">
      <c r="B64" s="599" t="s">
        <v>81</v>
      </c>
      <c r="C64" s="600"/>
      <c r="D64" s="600"/>
      <c r="E64" s="600"/>
      <c r="F64" s="600"/>
      <c r="G64" s="600"/>
      <c r="H64" s="591">
        <f>I28</f>
        <v>139.52000000000001</v>
      </c>
      <c r="I64" s="592"/>
    </row>
    <row r="65" spans="2:9" x14ac:dyDescent="0.2">
      <c r="B65" s="599"/>
      <c r="C65" s="600"/>
      <c r="D65" s="600"/>
      <c r="E65" s="600"/>
      <c r="F65" s="600"/>
      <c r="G65" s="600"/>
      <c r="H65" s="572"/>
      <c r="I65" s="592"/>
    </row>
    <row r="66" spans="2:9" ht="12.75" customHeight="1" x14ac:dyDescent="0.2">
      <c r="B66" s="599" t="s">
        <v>82</v>
      </c>
      <c r="C66" s="600"/>
      <c r="D66" s="600"/>
      <c r="E66" s="600"/>
      <c r="F66" s="600"/>
      <c r="G66" s="600"/>
      <c r="H66" s="591">
        <f>H62-H64</f>
        <v>12.42</v>
      </c>
      <c r="I66" s="592"/>
    </row>
    <row r="67" spans="2:9" ht="18" customHeight="1" thickBot="1" x14ac:dyDescent="0.25">
      <c r="B67" s="601"/>
      <c r="C67" s="602"/>
      <c r="D67" s="602"/>
      <c r="E67" s="602"/>
      <c r="F67" s="602"/>
      <c r="G67" s="602"/>
      <c r="H67" s="593"/>
      <c r="I67" s="594"/>
    </row>
    <row r="68" spans="2:9" ht="13.5" thickBot="1" x14ac:dyDescent="0.25"/>
    <row r="69" spans="2:9" ht="15" x14ac:dyDescent="0.2">
      <c r="B69" s="595" t="s">
        <v>107</v>
      </c>
      <c r="C69" s="596"/>
      <c r="D69" s="596"/>
      <c r="E69" s="596"/>
      <c r="F69" s="596"/>
      <c r="G69" s="596"/>
      <c r="H69" s="596"/>
      <c r="I69" s="597"/>
    </row>
    <row r="70" spans="2:9" x14ac:dyDescent="0.2">
      <c r="B70" s="599" t="s">
        <v>80</v>
      </c>
      <c r="C70" s="600"/>
      <c r="D70" s="600"/>
      <c r="E70" s="600"/>
      <c r="F70" s="600"/>
      <c r="G70" s="600"/>
      <c r="H70" s="591">
        <f>H44</f>
        <v>25.14</v>
      </c>
      <c r="I70" s="592"/>
    </row>
    <row r="71" spans="2:9" x14ac:dyDescent="0.2">
      <c r="B71" s="599"/>
      <c r="C71" s="600"/>
      <c r="D71" s="600"/>
      <c r="E71" s="600"/>
      <c r="F71" s="600"/>
      <c r="G71" s="600"/>
      <c r="H71" s="572"/>
      <c r="I71" s="592"/>
    </row>
    <row r="72" spans="2:9" x14ac:dyDescent="0.2">
      <c r="B72" s="599" t="s">
        <v>81</v>
      </c>
      <c r="C72" s="600"/>
      <c r="D72" s="600"/>
      <c r="E72" s="600"/>
      <c r="F72" s="600"/>
      <c r="G72" s="600"/>
      <c r="H72" s="591">
        <f>I44</f>
        <v>23.37</v>
      </c>
      <c r="I72" s="592"/>
    </row>
    <row r="73" spans="2:9" x14ac:dyDescent="0.2">
      <c r="B73" s="599"/>
      <c r="C73" s="600"/>
      <c r="D73" s="600"/>
      <c r="E73" s="600"/>
      <c r="F73" s="600"/>
      <c r="G73" s="600"/>
      <c r="H73" s="572"/>
      <c r="I73" s="592"/>
    </row>
    <row r="74" spans="2:9" x14ac:dyDescent="0.2">
      <c r="B74" s="599" t="s">
        <v>82</v>
      </c>
      <c r="C74" s="600"/>
      <c r="D74" s="600"/>
      <c r="E74" s="600"/>
      <c r="F74" s="600"/>
      <c r="G74" s="600"/>
      <c r="H74" s="591">
        <f>H70-H72</f>
        <v>1.77</v>
      </c>
      <c r="I74" s="592"/>
    </row>
    <row r="75" spans="2:9" ht="13.5" thickBot="1" x14ac:dyDescent="0.25">
      <c r="B75" s="601"/>
      <c r="C75" s="602"/>
      <c r="D75" s="602"/>
      <c r="E75" s="602"/>
      <c r="F75" s="602"/>
      <c r="G75" s="602"/>
      <c r="H75" s="593"/>
      <c r="I75" s="594"/>
    </row>
  </sheetData>
  <mergeCells count="231">
    <mergeCell ref="B72:G73"/>
    <mergeCell ref="H72:I73"/>
    <mergeCell ref="B74:G75"/>
    <mergeCell ref="H74:I75"/>
    <mergeCell ref="N28:N29"/>
    <mergeCell ref="A12:A29"/>
    <mergeCell ref="I28:I29"/>
    <mergeCell ref="J28:J29"/>
    <mergeCell ref="K28:K29"/>
    <mergeCell ref="L28:L29"/>
    <mergeCell ref="M28:M29"/>
    <mergeCell ref="D28:D29"/>
    <mergeCell ref="E28:G29"/>
    <mergeCell ref="B28:B29"/>
    <mergeCell ref="C28:C29"/>
    <mergeCell ref="H28:H29"/>
    <mergeCell ref="B69:I69"/>
    <mergeCell ref="B70:G71"/>
    <mergeCell ref="H70:I71"/>
    <mergeCell ref="B62:G63"/>
    <mergeCell ref="H62:I63"/>
    <mergeCell ref="B64:G65"/>
    <mergeCell ref="H64:I65"/>
    <mergeCell ref="B66:G67"/>
    <mergeCell ref="H66:I67"/>
    <mergeCell ref="B55:G56"/>
    <mergeCell ref="H55:H56"/>
    <mergeCell ref="I55:I56"/>
    <mergeCell ref="J55:J56"/>
    <mergeCell ref="K55:K56"/>
    <mergeCell ref="B61:I61"/>
    <mergeCell ref="B51:G52"/>
    <mergeCell ref="H51:H52"/>
    <mergeCell ref="I51:I52"/>
    <mergeCell ref="J51:J52"/>
    <mergeCell ref="K51:K52"/>
    <mergeCell ref="B53:G54"/>
    <mergeCell ref="H53:H54"/>
    <mergeCell ref="I53:I54"/>
    <mergeCell ref="J53:J54"/>
    <mergeCell ref="K53:K54"/>
    <mergeCell ref="B47:G48"/>
    <mergeCell ref="H47:H48"/>
    <mergeCell ref="I47:I48"/>
    <mergeCell ref="J47:K47"/>
    <mergeCell ref="B49:G50"/>
    <mergeCell ref="H49:H50"/>
    <mergeCell ref="I49:I50"/>
    <mergeCell ref="J49:J50"/>
    <mergeCell ref="K49:K50"/>
    <mergeCell ref="M44:M45"/>
    <mergeCell ref="N44:N45"/>
    <mergeCell ref="M41:M42"/>
    <mergeCell ref="N41:N42"/>
    <mergeCell ref="B42:B43"/>
    <mergeCell ref="C42:C43"/>
    <mergeCell ref="D42:D43"/>
    <mergeCell ref="B44:B45"/>
    <mergeCell ref="C44:C45"/>
    <mergeCell ref="D44:D45"/>
    <mergeCell ref="E44:G45"/>
    <mergeCell ref="H44:H45"/>
    <mergeCell ref="G41:G42"/>
    <mergeCell ref="H41:H42"/>
    <mergeCell ref="I41:I42"/>
    <mergeCell ref="J41:J42"/>
    <mergeCell ref="K41:K42"/>
    <mergeCell ref="L41:L42"/>
    <mergeCell ref="M37:M38"/>
    <mergeCell ref="N37:N38"/>
    <mergeCell ref="B38:B39"/>
    <mergeCell ref="C38:C39"/>
    <mergeCell ref="D38:D39"/>
    <mergeCell ref="E39:E40"/>
    <mergeCell ref="F39:F40"/>
    <mergeCell ref="G39:G40"/>
    <mergeCell ref="H39:H40"/>
    <mergeCell ref="I39:I40"/>
    <mergeCell ref="G37:G38"/>
    <mergeCell ref="H37:H38"/>
    <mergeCell ref="I37:I38"/>
    <mergeCell ref="J37:J38"/>
    <mergeCell ref="K37:K38"/>
    <mergeCell ref="L37:L38"/>
    <mergeCell ref="J39:J40"/>
    <mergeCell ref="K39:K40"/>
    <mergeCell ref="L39:L40"/>
    <mergeCell ref="M39:M40"/>
    <mergeCell ref="N39:N40"/>
    <mergeCell ref="B40:B41"/>
    <mergeCell ref="C40:C41"/>
    <mergeCell ref="D40:D41"/>
    <mergeCell ref="A36:A45"/>
    <mergeCell ref="B36:B37"/>
    <mergeCell ref="C36:C37"/>
    <mergeCell ref="D36:D37"/>
    <mergeCell ref="E37:E38"/>
    <mergeCell ref="F37:F38"/>
    <mergeCell ref="H32:I33"/>
    <mergeCell ref="J32:J35"/>
    <mergeCell ref="K32:L33"/>
    <mergeCell ref="E41:E42"/>
    <mergeCell ref="F41:F42"/>
    <mergeCell ref="I44:I45"/>
    <mergeCell ref="J44:J45"/>
    <mergeCell ref="K44:K45"/>
    <mergeCell ref="L44:L45"/>
    <mergeCell ref="M32:N33"/>
    <mergeCell ref="C35:D35"/>
    <mergeCell ref="E35:F35"/>
    <mergeCell ref="H35:I35"/>
    <mergeCell ref="K35:L35"/>
    <mergeCell ref="M35:N35"/>
    <mergeCell ref="A31:N31"/>
    <mergeCell ref="G25:G26"/>
    <mergeCell ref="H25:H26"/>
    <mergeCell ref="I25:I26"/>
    <mergeCell ref="J25:J26"/>
    <mergeCell ref="A32:A35"/>
    <mergeCell ref="B32:B35"/>
    <mergeCell ref="C32:D33"/>
    <mergeCell ref="E32:F33"/>
    <mergeCell ref="G32:G35"/>
    <mergeCell ref="C26:C27"/>
    <mergeCell ref="D26:D27"/>
    <mergeCell ref="N23:N24"/>
    <mergeCell ref="B24:B25"/>
    <mergeCell ref="C24:C25"/>
    <mergeCell ref="K25:K26"/>
    <mergeCell ref="L25:L26"/>
    <mergeCell ref="J23:J24"/>
    <mergeCell ref="L23:L24"/>
    <mergeCell ref="G21:G22"/>
    <mergeCell ref="H21:H22"/>
    <mergeCell ref="M23:M24"/>
    <mergeCell ref="M25:M26"/>
    <mergeCell ref="M21:M22"/>
    <mergeCell ref="N21:N22"/>
    <mergeCell ref="K21:K22"/>
    <mergeCell ref="L21:L22"/>
    <mergeCell ref="N25:N26"/>
    <mergeCell ref="B26:B27"/>
    <mergeCell ref="B20:B21"/>
    <mergeCell ref="B22:B23"/>
    <mergeCell ref="L19:L20"/>
    <mergeCell ref="M19:M20"/>
    <mergeCell ref="C22:C23"/>
    <mergeCell ref="D22:D23"/>
    <mergeCell ref="E23:E24"/>
    <mergeCell ref="F23:F24"/>
    <mergeCell ref="G23:G24"/>
    <mergeCell ref="K23:K24"/>
    <mergeCell ref="H23:H24"/>
    <mergeCell ref="I23:I24"/>
    <mergeCell ref="D24:D25"/>
    <mergeCell ref="E25:E26"/>
    <mergeCell ref="F25:F26"/>
    <mergeCell ref="C20:C21"/>
    <mergeCell ref="D20:D21"/>
    <mergeCell ref="E21:E22"/>
    <mergeCell ref="F21:F22"/>
    <mergeCell ref="I21:I22"/>
    <mergeCell ref="J21:J22"/>
    <mergeCell ref="J19:J20"/>
    <mergeCell ref="K19:K20"/>
    <mergeCell ref="M15:M16"/>
    <mergeCell ref="N15:N16"/>
    <mergeCell ref="B16:B17"/>
    <mergeCell ref="C16:C17"/>
    <mergeCell ref="D16:D17"/>
    <mergeCell ref="E17:E18"/>
    <mergeCell ref="F17:F18"/>
    <mergeCell ref="M17:M18"/>
    <mergeCell ref="N17:N18"/>
    <mergeCell ref="B18:B19"/>
    <mergeCell ref="C18:C19"/>
    <mergeCell ref="D18:D19"/>
    <mergeCell ref="E19:E20"/>
    <mergeCell ref="F19:F20"/>
    <mergeCell ref="G19:G20"/>
    <mergeCell ref="H19:H20"/>
    <mergeCell ref="I19:I20"/>
    <mergeCell ref="G17:G18"/>
    <mergeCell ref="H17:H18"/>
    <mergeCell ref="I17:I18"/>
    <mergeCell ref="J17:J18"/>
    <mergeCell ref="K17:K18"/>
    <mergeCell ref="L17:L18"/>
    <mergeCell ref="N19:N20"/>
    <mergeCell ref="M13:M14"/>
    <mergeCell ref="N13:N14"/>
    <mergeCell ref="B14:B15"/>
    <mergeCell ref="C14:C15"/>
    <mergeCell ref="D14:D15"/>
    <mergeCell ref="E15:E16"/>
    <mergeCell ref="F15:F16"/>
    <mergeCell ref="G15:G16"/>
    <mergeCell ref="H15:H16"/>
    <mergeCell ref="I15:I16"/>
    <mergeCell ref="G13:G14"/>
    <mergeCell ref="H13:H14"/>
    <mergeCell ref="I13:I14"/>
    <mergeCell ref="J13:J14"/>
    <mergeCell ref="K13:K14"/>
    <mergeCell ref="L13:L14"/>
    <mergeCell ref="B12:B13"/>
    <mergeCell ref="C12:C13"/>
    <mergeCell ref="D12:D13"/>
    <mergeCell ref="E13:E14"/>
    <mergeCell ref="F13:F14"/>
    <mergeCell ref="J15:J16"/>
    <mergeCell ref="K15:K16"/>
    <mergeCell ref="L15:L16"/>
    <mergeCell ref="J8:J11"/>
    <mergeCell ref="K8:L9"/>
    <mergeCell ref="M8:N9"/>
    <mergeCell ref="C11:D11"/>
    <mergeCell ref="E11:F11"/>
    <mergeCell ref="H11:I11"/>
    <mergeCell ref="K11:L11"/>
    <mergeCell ref="M11:N11"/>
    <mergeCell ref="M1:N2"/>
    <mergeCell ref="A3:N3"/>
    <mergeCell ref="A4:N5"/>
    <mergeCell ref="A7:N7"/>
    <mergeCell ref="A8:A11"/>
    <mergeCell ref="B8:B11"/>
    <mergeCell ref="C8:D9"/>
    <mergeCell ref="E8:F9"/>
    <mergeCell ref="G8:G11"/>
    <mergeCell ref="H8:I9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10" fitToWidth="0" orientation="portrait" horizontalDpi="4294967294" verticalDpi="4294967294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0.59999389629810485"/>
  </sheetPr>
  <dimension ref="A1:J54"/>
  <sheetViews>
    <sheetView workbookViewId="0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604" t="s">
        <v>83</v>
      </c>
      <c r="F1" s="604"/>
      <c r="G1" s="604"/>
    </row>
    <row r="2" spans="1:9" x14ac:dyDescent="0.2">
      <c r="H2" s="605"/>
      <c r="I2" s="605"/>
    </row>
    <row r="3" spans="1:9" ht="12.75" customHeight="1" x14ac:dyDescent="0.2">
      <c r="A3" s="606" t="s">
        <v>84</v>
      </c>
      <c r="B3" s="606"/>
      <c r="C3" s="606"/>
      <c r="D3" s="606"/>
      <c r="E3" s="606"/>
      <c r="F3" s="606"/>
      <c r="G3" s="56"/>
      <c r="H3" s="56"/>
      <c r="I3" s="56"/>
    </row>
    <row r="4" spans="1:9" ht="12.75" customHeight="1" x14ac:dyDescent="0.2">
      <c r="A4" s="606"/>
      <c r="B4" s="606"/>
      <c r="C4" s="606"/>
      <c r="D4" s="606"/>
      <c r="E4" s="606"/>
      <c r="F4" s="606"/>
      <c r="G4" s="56"/>
      <c r="H4" s="56"/>
      <c r="I4" s="56"/>
    </row>
    <row r="5" spans="1:9" ht="12.75" customHeight="1" x14ac:dyDescent="0.2">
      <c r="A5" s="543" t="s">
        <v>96</v>
      </c>
      <c r="B5" s="543"/>
      <c r="C5" s="543"/>
      <c r="D5" s="543"/>
      <c r="E5" s="543"/>
      <c r="F5" s="543"/>
      <c r="G5" s="56"/>
      <c r="H5" s="56"/>
      <c r="I5" s="56"/>
    </row>
    <row r="6" spans="1:9" ht="69.75" customHeight="1" x14ac:dyDescent="0.2">
      <c r="A6" s="543"/>
      <c r="B6" s="543"/>
      <c r="C6" s="543"/>
      <c r="D6" s="543"/>
      <c r="E6" s="543"/>
      <c r="F6" s="543"/>
      <c r="G6" s="28"/>
      <c r="H6" s="28"/>
      <c r="I6" s="28"/>
    </row>
    <row r="7" spans="1:9" ht="12.75" customHeight="1" x14ac:dyDescent="0.2">
      <c r="A7" s="544" t="s">
        <v>28</v>
      </c>
      <c r="B7" s="545"/>
      <c r="C7" s="545"/>
      <c r="D7" s="545"/>
      <c r="E7" s="545"/>
      <c r="F7" s="546"/>
    </row>
    <row r="8" spans="1:9" ht="12.75" customHeight="1" x14ac:dyDescent="0.2">
      <c r="A8" s="547" t="s">
        <v>29</v>
      </c>
      <c r="B8" s="547" t="s">
        <v>30</v>
      </c>
      <c r="C8" s="547" t="s">
        <v>31</v>
      </c>
      <c r="D8" s="549" t="s">
        <v>85</v>
      </c>
      <c r="E8" s="549"/>
      <c r="F8" s="549"/>
    </row>
    <row r="9" spans="1:9" x14ac:dyDescent="0.2">
      <c r="A9" s="548"/>
      <c r="B9" s="548"/>
      <c r="C9" s="547"/>
      <c r="D9" s="547" t="s">
        <v>33</v>
      </c>
      <c r="E9" s="547" t="s">
        <v>34</v>
      </c>
      <c r="F9" s="547" t="s">
        <v>35</v>
      </c>
    </row>
    <row r="10" spans="1:9" x14ac:dyDescent="0.2">
      <c r="A10" s="548"/>
      <c r="B10" s="548"/>
      <c r="C10" s="547"/>
      <c r="D10" s="547"/>
      <c r="E10" s="547"/>
      <c r="F10" s="547"/>
    </row>
    <row r="11" spans="1:9" ht="12" customHeight="1" x14ac:dyDescent="0.2">
      <c r="A11" s="548"/>
      <c r="B11" s="548"/>
      <c r="C11" s="547"/>
      <c r="D11" s="547"/>
      <c r="E11" s="547"/>
      <c r="F11" s="547"/>
      <c r="G11" s="607"/>
    </row>
    <row r="12" spans="1:9" ht="12" customHeight="1" x14ac:dyDescent="0.2">
      <c r="A12" s="534">
        <v>13</v>
      </c>
      <c r="B12" s="536">
        <v>780</v>
      </c>
      <c r="C12" s="30" t="s">
        <v>2</v>
      </c>
      <c r="D12" s="539">
        <v>0</v>
      </c>
      <c r="E12" s="31" t="s">
        <v>2</v>
      </c>
      <c r="F12" s="31" t="s">
        <v>2</v>
      </c>
      <c r="G12" s="607"/>
    </row>
    <row r="13" spans="1:9" ht="12" customHeight="1" x14ac:dyDescent="0.2">
      <c r="A13" s="534"/>
      <c r="B13" s="536"/>
      <c r="C13" s="536">
        <f>B14-B12</f>
        <v>2.4</v>
      </c>
      <c r="D13" s="539"/>
      <c r="E13" s="539">
        <f>SUM(0.5*D12,0.5*D14)</f>
        <v>0.65</v>
      </c>
      <c r="F13" s="539">
        <f>PRODUCT(C13,E13)</f>
        <v>1.56</v>
      </c>
      <c r="G13" s="607"/>
    </row>
    <row r="14" spans="1:9" ht="12" customHeight="1" x14ac:dyDescent="0.2">
      <c r="A14" s="534"/>
      <c r="B14" s="536">
        <v>782.4</v>
      </c>
      <c r="C14" s="536"/>
      <c r="D14" s="538">
        <v>1.3</v>
      </c>
      <c r="E14" s="539"/>
      <c r="F14" s="539"/>
      <c r="G14" s="607"/>
    </row>
    <row r="15" spans="1:9" ht="12" customHeight="1" x14ac:dyDescent="0.2">
      <c r="A15" s="534"/>
      <c r="B15" s="536"/>
      <c r="C15" s="536">
        <f>B16-B14</f>
        <v>28.9</v>
      </c>
      <c r="D15" s="537"/>
      <c r="E15" s="539">
        <f>SUM(0.5*D14,0.5*D16)</f>
        <v>1.45</v>
      </c>
      <c r="F15" s="539">
        <f>PRODUCT(C15,E15)</f>
        <v>41.91</v>
      </c>
      <c r="G15" s="607"/>
    </row>
    <row r="16" spans="1:9" ht="12" customHeight="1" x14ac:dyDescent="0.2">
      <c r="A16" s="534"/>
      <c r="B16" s="536">
        <v>811.3</v>
      </c>
      <c r="C16" s="536"/>
      <c r="D16" s="539">
        <v>1.6</v>
      </c>
      <c r="E16" s="539"/>
      <c r="F16" s="539"/>
      <c r="G16" s="607"/>
    </row>
    <row r="17" spans="1:7" ht="12" customHeight="1" x14ac:dyDescent="0.2">
      <c r="A17" s="534"/>
      <c r="B17" s="536"/>
      <c r="C17" s="536">
        <f>B18-B16</f>
        <v>18.7</v>
      </c>
      <c r="D17" s="539"/>
      <c r="E17" s="539">
        <f>SUM(0.5*D16,0.5*D18)</f>
        <v>1.6</v>
      </c>
      <c r="F17" s="539">
        <f>PRODUCT(C17,E17)</f>
        <v>29.92</v>
      </c>
      <c r="G17" s="607"/>
    </row>
    <row r="18" spans="1:7" ht="12" customHeight="1" x14ac:dyDescent="0.2">
      <c r="A18" s="534"/>
      <c r="B18" s="536">
        <v>830</v>
      </c>
      <c r="C18" s="536"/>
      <c r="D18" s="539">
        <v>1.6</v>
      </c>
      <c r="E18" s="539"/>
      <c r="F18" s="539"/>
      <c r="G18" s="607"/>
    </row>
    <row r="19" spans="1:7" ht="12" customHeight="1" x14ac:dyDescent="0.2">
      <c r="A19" s="534"/>
      <c r="B19" s="536"/>
      <c r="C19" s="536">
        <f>B20-B18</f>
        <v>31.6</v>
      </c>
      <c r="D19" s="539"/>
      <c r="E19" s="539">
        <f>SUM(0.5*D18,0.5*D20)</f>
        <v>1.6</v>
      </c>
      <c r="F19" s="539">
        <f>PRODUCT(C19,E19)</f>
        <v>50.56</v>
      </c>
      <c r="G19" s="607"/>
    </row>
    <row r="20" spans="1:7" ht="12" customHeight="1" x14ac:dyDescent="0.2">
      <c r="A20" s="534"/>
      <c r="B20" s="536">
        <v>861.6</v>
      </c>
      <c r="C20" s="536"/>
      <c r="D20" s="539">
        <v>1.6</v>
      </c>
      <c r="E20" s="539"/>
      <c r="F20" s="539"/>
      <c r="G20" s="607"/>
    </row>
    <row r="21" spans="1:7" ht="12" customHeight="1" x14ac:dyDescent="0.2">
      <c r="A21" s="534"/>
      <c r="B21" s="536"/>
      <c r="C21" s="536">
        <f>B22-B20</f>
        <v>18.399999999999999</v>
      </c>
      <c r="D21" s="539"/>
      <c r="E21" s="539">
        <f>SUM(0.5*D20,0.5*D22)</f>
        <v>1.6</v>
      </c>
      <c r="F21" s="539">
        <f>PRODUCT(C21,E21)</f>
        <v>29.44</v>
      </c>
      <c r="G21" s="607"/>
    </row>
    <row r="22" spans="1:7" ht="12" customHeight="1" x14ac:dyDescent="0.2">
      <c r="A22" s="534"/>
      <c r="B22" s="536">
        <v>880</v>
      </c>
      <c r="C22" s="536"/>
      <c r="D22" s="539">
        <v>1.6</v>
      </c>
      <c r="E22" s="539"/>
      <c r="F22" s="539"/>
      <c r="G22" s="607"/>
    </row>
    <row r="23" spans="1:7" ht="12" customHeight="1" x14ac:dyDescent="0.2">
      <c r="A23" s="534"/>
      <c r="B23" s="536"/>
      <c r="C23" s="536">
        <f>B24-B22</f>
        <v>23.7</v>
      </c>
      <c r="D23" s="539"/>
      <c r="E23" s="539">
        <f>SUM(0.5*D22,0.5*D24)</f>
        <v>1.6</v>
      </c>
      <c r="F23" s="539">
        <f>PRODUCT(C23,E23)</f>
        <v>37.92</v>
      </c>
      <c r="G23" s="607"/>
    </row>
    <row r="24" spans="1:7" ht="12" customHeight="1" x14ac:dyDescent="0.2">
      <c r="A24" s="534"/>
      <c r="B24" s="536">
        <v>903.7</v>
      </c>
      <c r="C24" s="536"/>
      <c r="D24" s="539">
        <v>1.6</v>
      </c>
      <c r="E24" s="539"/>
      <c r="F24" s="539"/>
      <c r="G24" s="607"/>
    </row>
    <row r="25" spans="1:7" ht="12" customHeight="1" x14ac:dyDescent="0.2">
      <c r="A25" s="534"/>
      <c r="B25" s="536"/>
      <c r="C25" s="536">
        <f>B26-B24</f>
        <v>34.299999999999997</v>
      </c>
      <c r="D25" s="539"/>
      <c r="E25" s="539">
        <f>SUM(0.5*D24,0.5*D26)</f>
        <v>2.4</v>
      </c>
      <c r="F25" s="539">
        <f>PRODUCT(C25,E25)</f>
        <v>82.32</v>
      </c>
      <c r="G25" s="607"/>
    </row>
    <row r="26" spans="1:7" ht="12" customHeight="1" x14ac:dyDescent="0.2">
      <c r="A26" s="534"/>
      <c r="B26" s="536">
        <v>938</v>
      </c>
      <c r="C26" s="536"/>
      <c r="D26" s="539">
        <v>3.2</v>
      </c>
      <c r="E26" s="539"/>
      <c r="F26" s="539"/>
      <c r="G26" s="607"/>
    </row>
    <row r="27" spans="1:7" ht="12" customHeight="1" x14ac:dyDescent="0.2">
      <c r="A27" s="534"/>
      <c r="B27" s="536"/>
      <c r="C27" s="30" t="s">
        <v>2</v>
      </c>
      <c r="D27" s="538"/>
      <c r="E27" s="57" t="s">
        <v>2</v>
      </c>
      <c r="F27" s="57" t="s">
        <v>2</v>
      </c>
      <c r="G27" s="607"/>
    </row>
    <row r="28" spans="1:7" ht="12" customHeight="1" x14ac:dyDescent="0.2">
      <c r="A28" s="61"/>
      <c r="B28" s="63"/>
      <c r="C28" s="63"/>
      <c r="D28" s="529" t="s">
        <v>37</v>
      </c>
      <c r="E28" s="529"/>
      <c r="F28" s="530">
        <f>SUM(F13:F26)</f>
        <v>273.63</v>
      </c>
      <c r="G28" s="493"/>
    </row>
    <row r="29" spans="1:7" ht="12" customHeight="1" x14ac:dyDescent="0.2">
      <c r="A29" s="64"/>
      <c r="B29" s="65"/>
      <c r="C29" s="65"/>
      <c r="D29" s="529"/>
      <c r="E29" s="529"/>
      <c r="F29" s="530"/>
      <c r="G29" s="493"/>
    </row>
    <row r="30" spans="1:7" ht="12" customHeight="1" x14ac:dyDescent="0.2">
      <c r="A30" s="64"/>
      <c r="B30" s="65"/>
      <c r="C30" s="65"/>
      <c r="D30" s="529" t="s">
        <v>38</v>
      </c>
      <c r="E30" s="529"/>
      <c r="F30" s="530">
        <f>-(6.5*0.8+4.5*0.8+12.5*0.8)</f>
        <v>-18.8</v>
      </c>
      <c r="G30" s="493"/>
    </row>
    <row r="31" spans="1:7" ht="12" customHeight="1" x14ac:dyDescent="0.2">
      <c r="A31" s="64"/>
      <c r="B31" s="65"/>
      <c r="C31" s="65"/>
      <c r="D31" s="529"/>
      <c r="E31" s="529"/>
      <c r="F31" s="530"/>
      <c r="G31" s="493"/>
    </row>
    <row r="32" spans="1:7" ht="12" customHeight="1" x14ac:dyDescent="0.2">
      <c r="A32" s="64"/>
      <c r="B32" s="65"/>
      <c r="C32" s="65"/>
      <c r="D32" s="529" t="s">
        <v>97</v>
      </c>
      <c r="E32" s="529"/>
      <c r="F32" s="530">
        <f>F28+F30</f>
        <v>254.83</v>
      </c>
      <c r="G32" s="493"/>
    </row>
    <row r="33" spans="1:10" ht="12" customHeight="1" x14ac:dyDescent="0.2">
      <c r="A33" s="64"/>
      <c r="B33" s="65"/>
      <c r="C33" s="65"/>
      <c r="D33" s="529"/>
      <c r="E33" s="529"/>
      <c r="F33" s="530"/>
      <c r="G33" s="493"/>
    </row>
    <row r="34" spans="1:10" ht="12" customHeight="1" x14ac:dyDescent="0.2">
      <c r="A34" s="64"/>
      <c r="B34" s="65"/>
      <c r="C34" s="65"/>
      <c r="D34" s="66"/>
      <c r="E34" s="66"/>
      <c r="F34" s="66"/>
      <c r="G34" s="493"/>
    </row>
    <row r="35" spans="1:10" ht="12" customHeight="1" x14ac:dyDescent="0.2">
      <c r="A35" s="71"/>
      <c r="B35" s="72"/>
      <c r="C35" s="72"/>
      <c r="D35" s="73"/>
      <c r="E35" s="73"/>
      <c r="F35" s="73"/>
      <c r="G35" s="493"/>
    </row>
    <row r="36" spans="1:10" ht="12" customHeight="1" x14ac:dyDescent="0.2">
      <c r="A36" s="544" t="s">
        <v>36</v>
      </c>
      <c r="B36" s="545"/>
      <c r="C36" s="545"/>
      <c r="D36" s="545"/>
      <c r="E36" s="545"/>
      <c r="F36" s="546"/>
      <c r="G36" s="607"/>
    </row>
    <row r="37" spans="1:10" ht="12" customHeight="1" x14ac:dyDescent="0.2">
      <c r="A37" s="547" t="s">
        <v>29</v>
      </c>
      <c r="B37" s="547" t="s">
        <v>30</v>
      </c>
      <c r="C37" s="547" t="s">
        <v>31</v>
      </c>
      <c r="D37" s="549" t="s">
        <v>85</v>
      </c>
      <c r="E37" s="549"/>
      <c r="F37" s="549"/>
      <c r="J37" s="36"/>
    </row>
    <row r="38" spans="1:10" ht="12" customHeight="1" x14ac:dyDescent="0.2">
      <c r="A38" s="548"/>
      <c r="B38" s="548"/>
      <c r="C38" s="547"/>
      <c r="D38" s="547" t="s">
        <v>33</v>
      </c>
      <c r="E38" s="547" t="s">
        <v>34</v>
      </c>
      <c r="F38" s="547" t="s">
        <v>35</v>
      </c>
      <c r="J38" s="36"/>
    </row>
    <row r="39" spans="1:10" ht="12" customHeight="1" x14ac:dyDescent="0.2">
      <c r="A39" s="548"/>
      <c r="B39" s="548"/>
      <c r="C39" s="547"/>
      <c r="D39" s="547"/>
      <c r="E39" s="547"/>
      <c r="F39" s="547"/>
      <c r="H39" s="36"/>
    </row>
    <row r="40" spans="1:10" ht="12" customHeight="1" x14ac:dyDescent="0.2">
      <c r="A40" s="548"/>
      <c r="B40" s="548"/>
      <c r="C40" s="547"/>
      <c r="D40" s="547"/>
      <c r="E40" s="547"/>
      <c r="F40" s="547"/>
    </row>
    <row r="41" spans="1:10" x14ac:dyDescent="0.2">
      <c r="A41" s="534">
        <v>0</v>
      </c>
      <c r="B41" s="535">
        <v>12</v>
      </c>
      <c r="C41" s="32" t="s">
        <v>2</v>
      </c>
      <c r="D41" s="537">
        <v>2.2000000000000002</v>
      </c>
      <c r="E41" s="33" t="s">
        <v>2</v>
      </c>
      <c r="F41" s="33" t="s">
        <v>2</v>
      </c>
    </row>
    <row r="42" spans="1:10" x14ac:dyDescent="0.2">
      <c r="A42" s="534"/>
      <c r="B42" s="536"/>
      <c r="C42" s="536">
        <f>B43-B41</f>
        <v>5.7</v>
      </c>
      <c r="D42" s="538"/>
      <c r="E42" s="539">
        <f>SUM(0.5*D41,0.5*D43)</f>
        <v>1.65</v>
      </c>
      <c r="F42" s="539">
        <f>PRODUCT(C42,E42)</f>
        <v>9.41</v>
      </c>
    </row>
    <row r="43" spans="1:10" x14ac:dyDescent="0.2">
      <c r="A43" s="534"/>
      <c r="B43" s="536">
        <v>17.7</v>
      </c>
      <c r="C43" s="536"/>
      <c r="D43" s="539">
        <v>1.1000000000000001</v>
      </c>
      <c r="E43" s="539"/>
      <c r="F43" s="539"/>
    </row>
    <row r="44" spans="1:10" x14ac:dyDescent="0.2">
      <c r="A44" s="534"/>
      <c r="B44" s="536"/>
      <c r="C44" s="551">
        <f>B45-B43</f>
        <v>17.3</v>
      </c>
      <c r="D44" s="538"/>
      <c r="E44" s="539">
        <f>SUM(0.5*D43,0.5*D45)</f>
        <v>1.1000000000000001</v>
      </c>
      <c r="F44" s="539">
        <f>PRODUCT(C44,E44)</f>
        <v>19.03</v>
      </c>
    </row>
    <row r="45" spans="1:10" x14ac:dyDescent="0.2">
      <c r="A45" s="534"/>
      <c r="B45" s="536">
        <v>35</v>
      </c>
      <c r="C45" s="552"/>
      <c r="D45" s="539">
        <v>1.1000000000000001</v>
      </c>
      <c r="E45" s="539"/>
      <c r="F45" s="539"/>
    </row>
    <row r="46" spans="1:10" x14ac:dyDescent="0.2">
      <c r="A46" s="534"/>
      <c r="B46" s="536"/>
      <c r="C46" s="551">
        <f>B47-B45</f>
        <v>17</v>
      </c>
      <c r="D46" s="538"/>
      <c r="E46" s="539">
        <f>SUM(0.5*D45,0.5*D47)</f>
        <v>0.55000000000000004</v>
      </c>
      <c r="F46" s="539">
        <f>PRODUCT(C46,E46)</f>
        <v>9.35</v>
      </c>
    </row>
    <row r="47" spans="1:10" x14ac:dyDescent="0.2">
      <c r="A47" s="534"/>
      <c r="B47" s="536">
        <v>52</v>
      </c>
      <c r="C47" s="552"/>
      <c r="D47" s="539">
        <v>0</v>
      </c>
      <c r="E47" s="539"/>
      <c r="F47" s="539"/>
    </row>
    <row r="48" spans="1:10" x14ac:dyDescent="0.2">
      <c r="A48" s="534"/>
      <c r="B48" s="536"/>
      <c r="C48" s="30" t="s">
        <v>2</v>
      </c>
      <c r="D48" s="538"/>
      <c r="E48" s="57" t="s">
        <v>2</v>
      </c>
      <c r="F48" s="57" t="s">
        <v>2</v>
      </c>
    </row>
    <row r="49" spans="3:6" x14ac:dyDescent="0.2">
      <c r="D49" s="529" t="s">
        <v>37</v>
      </c>
      <c r="E49" s="529"/>
      <c r="F49" s="530">
        <f>SUM(F42:F48)</f>
        <v>37.79</v>
      </c>
    </row>
    <row r="50" spans="3:6" ht="13.5" customHeight="1" x14ac:dyDescent="0.2">
      <c r="C50" s="26"/>
      <c r="D50" s="529"/>
      <c r="E50" s="529"/>
      <c r="F50" s="530"/>
    </row>
    <row r="51" spans="3:6" x14ac:dyDescent="0.2">
      <c r="D51" s="529" t="s">
        <v>38</v>
      </c>
      <c r="E51" s="529"/>
      <c r="F51" s="530">
        <f>-(10.5*0.8+8*0.8)</f>
        <v>-14.8</v>
      </c>
    </row>
    <row r="52" spans="3:6" x14ac:dyDescent="0.2">
      <c r="D52" s="529"/>
      <c r="E52" s="529"/>
      <c r="F52" s="530"/>
    </row>
    <row r="53" spans="3:6" x14ac:dyDescent="0.2">
      <c r="D53" s="529" t="s">
        <v>98</v>
      </c>
      <c r="E53" s="529"/>
      <c r="F53" s="530">
        <f>F49+F51</f>
        <v>22.99</v>
      </c>
    </row>
    <row r="54" spans="3:6" x14ac:dyDescent="0.2">
      <c r="D54" s="529"/>
      <c r="E54" s="529"/>
      <c r="F54" s="530"/>
    </row>
  </sheetData>
  <mergeCells count="97">
    <mergeCell ref="D51:E52"/>
    <mergeCell ref="F51:F52"/>
    <mergeCell ref="D53:E54"/>
    <mergeCell ref="F53:F54"/>
    <mergeCell ref="D28:E29"/>
    <mergeCell ref="F28:F29"/>
    <mergeCell ref="D30:E31"/>
    <mergeCell ref="F30:F31"/>
    <mergeCell ref="D32:E33"/>
    <mergeCell ref="F32:F33"/>
    <mergeCell ref="F46:F47"/>
    <mergeCell ref="B47:B48"/>
    <mergeCell ref="D47:D48"/>
    <mergeCell ref="D49:E50"/>
    <mergeCell ref="F49:F50"/>
    <mergeCell ref="A41:A48"/>
    <mergeCell ref="B41:B42"/>
    <mergeCell ref="D41:D42"/>
    <mergeCell ref="C42:C43"/>
    <mergeCell ref="E42:E43"/>
    <mergeCell ref="B45:B46"/>
    <mergeCell ref="D45:D46"/>
    <mergeCell ref="C46:C47"/>
    <mergeCell ref="E46:E47"/>
    <mergeCell ref="F42:F43"/>
    <mergeCell ref="B43:B44"/>
    <mergeCell ref="D43:D44"/>
    <mergeCell ref="C44:C45"/>
    <mergeCell ref="E44:E45"/>
    <mergeCell ref="F44:F45"/>
    <mergeCell ref="A37:A40"/>
    <mergeCell ref="B37:B40"/>
    <mergeCell ref="C37:C40"/>
    <mergeCell ref="D37:F37"/>
    <mergeCell ref="D38:D40"/>
    <mergeCell ref="E38:E40"/>
    <mergeCell ref="F38:F40"/>
    <mergeCell ref="G25:G26"/>
    <mergeCell ref="B26:B27"/>
    <mergeCell ref="D26:D27"/>
    <mergeCell ref="G27:G36"/>
    <mergeCell ref="A36:F36"/>
    <mergeCell ref="B24:B25"/>
    <mergeCell ref="D24:D25"/>
    <mergeCell ref="C25:C26"/>
    <mergeCell ref="E25:E26"/>
    <mergeCell ref="F25:F26"/>
    <mergeCell ref="D22:D23"/>
    <mergeCell ref="C23:C24"/>
    <mergeCell ref="E23:E24"/>
    <mergeCell ref="F23:F24"/>
    <mergeCell ref="G23:G24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B16:B17"/>
    <mergeCell ref="D16:D17"/>
    <mergeCell ref="C17:C18"/>
    <mergeCell ref="E17:E18"/>
    <mergeCell ref="B14:B15"/>
    <mergeCell ref="D14:D15"/>
    <mergeCell ref="C15:C16"/>
    <mergeCell ref="E15:E16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E1:G1"/>
    <mergeCell ref="H2:I2"/>
    <mergeCell ref="A3:F4"/>
    <mergeCell ref="A5:F6"/>
    <mergeCell ref="A7:F7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6" orientation="portrait" horizontalDpi="4294967294" verticalDpi="4294967294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-0.249977111117893"/>
  </sheetPr>
  <dimension ref="A1:J53"/>
  <sheetViews>
    <sheetView workbookViewId="0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604" t="s">
        <v>86</v>
      </c>
      <c r="F1" s="604"/>
      <c r="G1" s="604"/>
    </row>
    <row r="2" spans="1:9" x14ac:dyDescent="0.2">
      <c r="H2" s="605"/>
      <c r="I2" s="605"/>
    </row>
    <row r="3" spans="1:9" ht="12.75" customHeight="1" x14ac:dyDescent="0.2">
      <c r="A3" s="606" t="s">
        <v>87</v>
      </c>
      <c r="B3" s="606"/>
      <c r="C3" s="606"/>
      <c r="D3" s="606"/>
      <c r="E3" s="606"/>
      <c r="F3" s="606"/>
      <c r="G3" s="56"/>
      <c r="H3" s="56"/>
      <c r="I3" s="56"/>
    </row>
    <row r="4" spans="1:9" ht="12.75" customHeight="1" x14ac:dyDescent="0.2">
      <c r="A4" s="606"/>
      <c r="B4" s="606"/>
      <c r="C4" s="606"/>
      <c r="D4" s="606"/>
      <c r="E4" s="606"/>
      <c r="F4" s="606"/>
      <c r="G4" s="56"/>
      <c r="H4" s="56"/>
      <c r="I4" s="56"/>
    </row>
    <row r="5" spans="1:9" ht="12.75" customHeight="1" x14ac:dyDescent="0.2">
      <c r="A5" s="543" t="s">
        <v>96</v>
      </c>
      <c r="B5" s="543"/>
      <c r="C5" s="543"/>
      <c r="D5" s="543"/>
      <c r="E5" s="543"/>
      <c r="F5" s="543"/>
      <c r="G5" s="56"/>
      <c r="H5" s="56"/>
      <c r="I5" s="56"/>
    </row>
    <row r="6" spans="1:9" ht="69.75" customHeight="1" x14ac:dyDescent="0.2">
      <c r="A6" s="543"/>
      <c r="B6" s="543"/>
      <c r="C6" s="543"/>
      <c r="D6" s="543"/>
      <c r="E6" s="543"/>
      <c r="F6" s="543"/>
      <c r="G6" s="28"/>
      <c r="H6" s="28"/>
      <c r="I6" s="28"/>
    </row>
    <row r="7" spans="1:9" ht="12.75" customHeight="1" x14ac:dyDescent="0.2">
      <c r="A7" s="544" t="s">
        <v>28</v>
      </c>
      <c r="B7" s="545"/>
      <c r="C7" s="545"/>
      <c r="D7" s="545"/>
      <c r="E7" s="545"/>
      <c r="F7" s="546"/>
    </row>
    <row r="8" spans="1:9" ht="12.75" customHeight="1" x14ac:dyDescent="0.2">
      <c r="A8" s="547" t="s">
        <v>29</v>
      </c>
      <c r="B8" s="547" t="s">
        <v>30</v>
      </c>
      <c r="C8" s="547" t="s">
        <v>31</v>
      </c>
      <c r="D8" s="549" t="s">
        <v>88</v>
      </c>
      <c r="E8" s="549"/>
      <c r="F8" s="549"/>
    </row>
    <row r="9" spans="1:9" x14ac:dyDescent="0.2">
      <c r="A9" s="548"/>
      <c r="B9" s="548"/>
      <c r="C9" s="547"/>
      <c r="D9" s="547" t="s">
        <v>33</v>
      </c>
      <c r="E9" s="547" t="s">
        <v>34</v>
      </c>
      <c r="F9" s="547" t="s">
        <v>35</v>
      </c>
    </row>
    <row r="10" spans="1:9" x14ac:dyDescent="0.2">
      <c r="A10" s="548"/>
      <c r="B10" s="548"/>
      <c r="C10" s="547"/>
      <c r="D10" s="547"/>
      <c r="E10" s="547"/>
      <c r="F10" s="547"/>
    </row>
    <row r="11" spans="1:9" ht="12" customHeight="1" x14ac:dyDescent="0.2">
      <c r="A11" s="548"/>
      <c r="B11" s="548"/>
      <c r="C11" s="547"/>
      <c r="D11" s="547"/>
      <c r="E11" s="547"/>
      <c r="F11" s="547"/>
      <c r="G11" s="607"/>
    </row>
    <row r="12" spans="1:9" ht="12" customHeight="1" x14ac:dyDescent="0.2">
      <c r="A12" s="534">
        <v>13</v>
      </c>
      <c r="B12" s="536">
        <v>780</v>
      </c>
      <c r="C12" s="30" t="s">
        <v>2</v>
      </c>
      <c r="D12" s="539">
        <v>0</v>
      </c>
      <c r="E12" s="31" t="s">
        <v>2</v>
      </c>
      <c r="F12" s="31" t="s">
        <v>2</v>
      </c>
      <c r="G12" s="607"/>
    </row>
    <row r="13" spans="1:9" ht="12" customHeight="1" x14ac:dyDescent="0.2">
      <c r="A13" s="534"/>
      <c r="B13" s="536"/>
      <c r="C13" s="536">
        <f>B14-B12</f>
        <v>2.4</v>
      </c>
      <c r="D13" s="539"/>
      <c r="E13" s="539">
        <f>SUM(0.5*D12,0.5*D14)</f>
        <v>0.81</v>
      </c>
      <c r="F13" s="539">
        <f>PRODUCT(C13,E13)</f>
        <v>1.94</v>
      </c>
      <c r="G13" s="607"/>
    </row>
    <row r="14" spans="1:9" ht="12" customHeight="1" x14ac:dyDescent="0.2">
      <c r="A14" s="534"/>
      <c r="B14" s="536">
        <v>782.4</v>
      </c>
      <c r="C14" s="536"/>
      <c r="D14" s="538">
        <v>1.62</v>
      </c>
      <c r="E14" s="539"/>
      <c r="F14" s="539"/>
      <c r="G14" s="607"/>
    </row>
    <row r="15" spans="1:9" ht="12" customHeight="1" x14ac:dyDescent="0.2">
      <c r="A15" s="534"/>
      <c r="B15" s="536"/>
      <c r="C15" s="536">
        <f>B16-B14</f>
        <v>28.9</v>
      </c>
      <c r="D15" s="537"/>
      <c r="E15" s="539">
        <f>SUM(0.5*D14,0.5*D16)</f>
        <v>1.62</v>
      </c>
      <c r="F15" s="539">
        <f>PRODUCT(C15,E15)</f>
        <v>46.82</v>
      </c>
      <c r="G15" s="607"/>
    </row>
    <row r="16" spans="1:9" ht="12" customHeight="1" x14ac:dyDescent="0.2">
      <c r="A16" s="534"/>
      <c r="B16" s="536">
        <v>811.3</v>
      </c>
      <c r="C16" s="536"/>
      <c r="D16" s="539">
        <v>1.62</v>
      </c>
      <c r="E16" s="539"/>
      <c r="F16" s="539"/>
      <c r="G16" s="607"/>
    </row>
    <row r="17" spans="1:7" ht="12" customHeight="1" x14ac:dyDescent="0.2">
      <c r="A17" s="534"/>
      <c r="B17" s="536"/>
      <c r="C17" s="536">
        <f>B18-B16</f>
        <v>18.7</v>
      </c>
      <c r="D17" s="539"/>
      <c r="E17" s="539">
        <f>SUM(0.5*D16,0.5*D18)</f>
        <v>1.62</v>
      </c>
      <c r="F17" s="539">
        <f>PRODUCT(C17,E17)</f>
        <v>30.29</v>
      </c>
      <c r="G17" s="607"/>
    </row>
    <row r="18" spans="1:7" ht="12" customHeight="1" x14ac:dyDescent="0.2">
      <c r="A18" s="534"/>
      <c r="B18" s="536">
        <v>830</v>
      </c>
      <c r="C18" s="536"/>
      <c r="D18" s="539">
        <v>1.62</v>
      </c>
      <c r="E18" s="539"/>
      <c r="F18" s="539"/>
      <c r="G18" s="607"/>
    </row>
    <row r="19" spans="1:7" ht="12" customHeight="1" x14ac:dyDescent="0.2">
      <c r="A19" s="534"/>
      <c r="B19" s="536"/>
      <c r="C19" s="536">
        <f>B20-B18</f>
        <v>31.6</v>
      </c>
      <c r="D19" s="539"/>
      <c r="E19" s="539">
        <f>SUM(0.5*D18,0.5*D20)</f>
        <v>1.62</v>
      </c>
      <c r="F19" s="539">
        <f>PRODUCT(C19,E19)</f>
        <v>51.19</v>
      </c>
      <c r="G19" s="607"/>
    </row>
    <row r="20" spans="1:7" ht="12" customHeight="1" x14ac:dyDescent="0.2">
      <c r="A20" s="534"/>
      <c r="B20" s="536">
        <v>861.6</v>
      </c>
      <c r="C20" s="536"/>
      <c r="D20" s="539">
        <v>1.62</v>
      </c>
      <c r="E20" s="539"/>
      <c r="F20" s="539"/>
      <c r="G20" s="607"/>
    </row>
    <row r="21" spans="1:7" ht="12" customHeight="1" x14ac:dyDescent="0.2">
      <c r="A21" s="534"/>
      <c r="B21" s="536"/>
      <c r="C21" s="536">
        <f>B22-B20</f>
        <v>18.399999999999999</v>
      </c>
      <c r="D21" s="539"/>
      <c r="E21" s="539">
        <f>SUM(0.5*D20,0.5*D22)</f>
        <v>1.62</v>
      </c>
      <c r="F21" s="539">
        <f>PRODUCT(C21,E21)</f>
        <v>29.81</v>
      </c>
      <c r="G21" s="607"/>
    </row>
    <row r="22" spans="1:7" ht="12" customHeight="1" x14ac:dyDescent="0.2">
      <c r="A22" s="534"/>
      <c r="B22" s="536">
        <v>880</v>
      </c>
      <c r="C22" s="536"/>
      <c r="D22" s="539">
        <v>1.62</v>
      </c>
      <c r="E22" s="539"/>
      <c r="F22" s="539"/>
      <c r="G22" s="607"/>
    </row>
    <row r="23" spans="1:7" ht="12" customHeight="1" x14ac:dyDescent="0.2">
      <c r="A23" s="534"/>
      <c r="B23" s="536"/>
      <c r="C23" s="536">
        <f>B24-B22</f>
        <v>23.7</v>
      </c>
      <c r="D23" s="539"/>
      <c r="E23" s="539">
        <f>SUM(0.5*D22,0.5*D24)</f>
        <v>1.62</v>
      </c>
      <c r="F23" s="539">
        <f>PRODUCT(C23,E23)</f>
        <v>38.39</v>
      </c>
      <c r="G23" s="607"/>
    </row>
    <row r="24" spans="1:7" ht="12" customHeight="1" x14ac:dyDescent="0.2">
      <c r="A24" s="534"/>
      <c r="B24" s="536">
        <v>903.7</v>
      </c>
      <c r="C24" s="536"/>
      <c r="D24" s="539">
        <v>1.62</v>
      </c>
      <c r="E24" s="539"/>
      <c r="F24" s="539"/>
      <c r="G24" s="607"/>
    </row>
    <row r="25" spans="1:7" ht="12" customHeight="1" x14ac:dyDescent="0.2">
      <c r="A25" s="534"/>
      <c r="B25" s="536"/>
      <c r="C25" s="536">
        <f>B26-B24</f>
        <v>34.299999999999997</v>
      </c>
      <c r="D25" s="539"/>
      <c r="E25" s="539">
        <f>SUM(0.5*D24,0.5*D26)</f>
        <v>1.62</v>
      </c>
      <c r="F25" s="539">
        <f>PRODUCT(C25,E25)</f>
        <v>55.57</v>
      </c>
      <c r="G25" s="607"/>
    </row>
    <row r="26" spans="1:7" ht="12" customHeight="1" x14ac:dyDescent="0.2">
      <c r="A26" s="534"/>
      <c r="B26" s="536">
        <v>938</v>
      </c>
      <c r="C26" s="536"/>
      <c r="D26" s="539">
        <v>1.62</v>
      </c>
      <c r="E26" s="539"/>
      <c r="F26" s="539"/>
      <c r="G26" s="607"/>
    </row>
    <row r="27" spans="1:7" ht="12" customHeight="1" x14ac:dyDescent="0.2">
      <c r="A27" s="534"/>
      <c r="B27" s="536"/>
      <c r="C27" s="30" t="s">
        <v>2</v>
      </c>
      <c r="D27" s="539"/>
      <c r="E27" s="31" t="s">
        <v>2</v>
      </c>
      <c r="F27" s="31" t="s">
        <v>2</v>
      </c>
      <c r="G27" s="607"/>
    </row>
    <row r="28" spans="1:7" ht="12" customHeight="1" x14ac:dyDescent="0.2">
      <c r="A28" s="64"/>
      <c r="B28" s="65"/>
      <c r="C28" s="65"/>
      <c r="D28" s="529" t="s">
        <v>37</v>
      </c>
      <c r="E28" s="529"/>
      <c r="F28" s="530">
        <f>SUM(F13:F26)</f>
        <v>254.01</v>
      </c>
      <c r="G28" s="493"/>
    </row>
    <row r="29" spans="1:7" ht="12" customHeight="1" x14ac:dyDescent="0.2">
      <c r="A29" s="64"/>
      <c r="B29" s="65"/>
      <c r="C29" s="65"/>
      <c r="D29" s="529"/>
      <c r="E29" s="529"/>
      <c r="F29" s="530"/>
      <c r="G29" s="493"/>
    </row>
    <row r="30" spans="1:7" ht="12" customHeight="1" x14ac:dyDescent="0.2">
      <c r="A30" s="64"/>
      <c r="B30" s="65"/>
      <c r="C30" s="65"/>
      <c r="D30" s="529" t="s">
        <v>38</v>
      </c>
      <c r="E30" s="529"/>
      <c r="F30" s="530">
        <f>14.01+11.51+9.1</f>
        <v>34.619999999999997</v>
      </c>
      <c r="G30" s="493"/>
    </row>
    <row r="31" spans="1:7" ht="12" customHeight="1" x14ac:dyDescent="0.2">
      <c r="A31" s="64"/>
      <c r="B31" s="65"/>
      <c r="C31" s="65"/>
      <c r="D31" s="529"/>
      <c r="E31" s="529"/>
      <c r="F31" s="530"/>
      <c r="G31" s="493"/>
    </row>
    <row r="32" spans="1:7" ht="12" customHeight="1" x14ac:dyDescent="0.2">
      <c r="A32" s="64"/>
      <c r="B32" s="65"/>
      <c r="C32" s="65"/>
      <c r="D32" s="529" t="s">
        <v>97</v>
      </c>
      <c r="E32" s="529"/>
      <c r="F32" s="530">
        <f>F28+F30</f>
        <v>288.63</v>
      </c>
      <c r="G32" s="493"/>
    </row>
    <row r="33" spans="1:10" ht="12" customHeight="1" x14ac:dyDescent="0.2">
      <c r="A33" s="64"/>
      <c r="B33" s="65"/>
      <c r="C33" s="65"/>
      <c r="D33" s="529"/>
      <c r="E33" s="529"/>
      <c r="F33" s="530"/>
      <c r="G33" s="493"/>
    </row>
    <row r="34" spans="1:10" ht="12" customHeight="1" x14ac:dyDescent="0.2">
      <c r="A34" s="64"/>
      <c r="B34" s="65"/>
      <c r="C34" s="65"/>
      <c r="D34" s="66"/>
      <c r="E34" s="66"/>
      <c r="F34" s="66"/>
      <c r="G34" s="493"/>
    </row>
    <row r="35" spans="1:10" ht="12" customHeight="1" x14ac:dyDescent="0.2">
      <c r="A35" s="544" t="s">
        <v>36</v>
      </c>
      <c r="B35" s="545"/>
      <c r="C35" s="545"/>
      <c r="D35" s="545"/>
      <c r="E35" s="545"/>
      <c r="F35" s="546"/>
      <c r="G35" s="607"/>
    </row>
    <row r="36" spans="1:10" ht="12" customHeight="1" x14ac:dyDescent="0.2">
      <c r="A36" s="547" t="s">
        <v>29</v>
      </c>
      <c r="B36" s="547" t="s">
        <v>30</v>
      </c>
      <c r="C36" s="547" t="s">
        <v>31</v>
      </c>
      <c r="D36" s="549" t="s">
        <v>88</v>
      </c>
      <c r="E36" s="549"/>
      <c r="F36" s="549"/>
      <c r="J36" s="36"/>
    </row>
    <row r="37" spans="1:10" ht="12" customHeight="1" x14ac:dyDescent="0.2">
      <c r="A37" s="548"/>
      <c r="B37" s="548"/>
      <c r="C37" s="547"/>
      <c r="D37" s="547" t="s">
        <v>33</v>
      </c>
      <c r="E37" s="547" t="s">
        <v>34</v>
      </c>
      <c r="F37" s="547" t="s">
        <v>35</v>
      </c>
      <c r="J37" s="36"/>
    </row>
    <row r="38" spans="1:10" ht="12" customHeight="1" x14ac:dyDescent="0.2">
      <c r="A38" s="548"/>
      <c r="B38" s="548"/>
      <c r="C38" s="547"/>
      <c r="D38" s="547"/>
      <c r="E38" s="547"/>
      <c r="F38" s="547"/>
      <c r="H38" s="36"/>
    </row>
    <row r="39" spans="1:10" ht="12" customHeight="1" x14ac:dyDescent="0.2">
      <c r="A39" s="548"/>
      <c r="B39" s="548"/>
      <c r="C39" s="547"/>
      <c r="D39" s="547"/>
      <c r="E39" s="547"/>
      <c r="F39" s="547"/>
    </row>
    <row r="40" spans="1:10" x14ac:dyDescent="0.2">
      <c r="A40" s="534">
        <v>0</v>
      </c>
      <c r="B40" s="535">
        <v>12</v>
      </c>
      <c r="C40" s="32" t="s">
        <v>2</v>
      </c>
      <c r="D40" s="537">
        <v>1.62</v>
      </c>
      <c r="E40" s="33" t="s">
        <v>2</v>
      </c>
      <c r="F40" s="33" t="s">
        <v>2</v>
      </c>
    </row>
    <row r="41" spans="1:10" x14ac:dyDescent="0.2">
      <c r="A41" s="534"/>
      <c r="B41" s="536"/>
      <c r="C41" s="536">
        <f>B42-B40</f>
        <v>5.7</v>
      </c>
      <c r="D41" s="538"/>
      <c r="E41" s="539">
        <f>SUM(0.5*D40,0.5*D42)</f>
        <v>1.62</v>
      </c>
      <c r="F41" s="539">
        <f>PRODUCT(C41,E41)</f>
        <v>9.23</v>
      </c>
    </row>
    <row r="42" spans="1:10" x14ac:dyDescent="0.2">
      <c r="A42" s="534"/>
      <c r="B42" s="536">
        <v>17.7</v>
      </c>
      <c r="C42" s="536"/>
      <c r="D42" s="539">
        <v>1.62</v>
      </c>
      <c r="E42" s="539"/>
      <c r="F42" s="539"/>
    </row>
    <row r="43" spans="1:10" x14ac:dyDescent="0.2">
      <c r="A43" s="534"/>
      <c r="B43" s="536"/>
      <c r="C43" s="551">
        <f>B44-B42</f>
        <v>17.3</v>
      </c>
      <c r="D43" s="538"/>
      <c r="E43" s="539">
        <f>SUM(0.5*D42,0.5*D44)</f>
        <v>1.62</v>
      </c>
      <c r="F43" s="539">
        <f>PRODUCT(C43,E43)</f>
        <v>28.03</v>
      </c>
    </row>
    <row r="44" spans="1:10" x14ac:dyDescent="0.2">
      <c r="A44" s="534"/>
      <c r="B44" s="536">
        <v>35</v>
      </c>
      <c r="C44" s="552"/>
      <c r="D44" s="539">
        <v>1.62</v>
      </c>
      <c r="E44" s="539"/>
      <c r="F44" s="539"/>
    </row>
    <row r="45" spans="1:10" x14ac:dyDescent="0.2">
      <c r="A45" s="534"/>
      <c r="B45" s="536"/>
      <c r="C45" s="551">
        <f>B46-B44</f>
        <v>17</v>
      </c>
      <c r="D45" s="538"/>
      <c r="E45" s="539">
        <f>SUM(0.5*D44,0.5*D46)</f>
        <v>0.81</v>
      </c>
      <c r="F45" s="539">
        <f>PRODUCT(C45,E45)</f>
        <v>13.77</v>
      </c>
    </row>
    <row r="46" spans="1:10" x14ac:dyDescent="0.2">
      <c r="A46" s="534"/>
      <c r="B46" s="536">
        <v>52</v>
      </c>
      <c r="C46" s="552"/>
      <c r="D46" s="539">
        <v>0</v>
      </c>
      <c r="E46" s="539"/>
      <c r="F46" s="539"/>
    </row>
    <row r="47" spans="1:10" x14ac:dyDescent="0.2">
      <c r="A47" s="534"/>
      <c r="B47" s="536"/>
      <c r="C47" s="30" t="s">
        <v>2</v>
      </c>
      <c r="D47" s="538"/>
      <c r="E47" s="57" t="s">
        <v>2</v>
      </c>
      <c r="F47" s="57" t="s">
        <v>2</v>
      </c>
    </row>
    <row r="48" spans="1:10" x14ac:dyDescent="0.2">
      <c r="D48" s="529" t="s">
        <v>37</v>
      </c>
      <c r="E48" s="529"/>
      <c r="F48" s="530">
        <f>SUM(F41:F47)</f>
        <v>51.03</v>
      </c>
    </row>
    <row r="49" spans="3:6" ht="13.5" customHeight="1" x14ac:dyDescent="0.2">
      <c r="C49" s="26"/>
      <c r="D49" s="529"/>
      <c r="E49" s="529"/>
      <c r="F49" s="530"/>
    </row>
    <row r="50" spans="3:6" x14ac:dyDescent="0.2">
      <c r="D50" s="529" t="s">
        <v>38</v>
      </c>
      <c r="E50" s="529"/>
      <c r="F50" s="530">
        <f>6.5+18.56</f>
        <v>25.06</v>
      </c>
    </row>
    <row r="51" spans="3:6" x14ac:dyDescent="0.2">
      <c r="D51" s="529"/>
      <c r="E51" s="529"/>
      <c r="F51" s="530"/>
    </row>
    <row r="52" spans="3:6" x14ac:dyDescent="0.2">
      <c r="D52" s="529" t="s">
        <v>98</v>
      </c>
      <c r="E52" s="529"/>
      <c r="F52" s="530">
        <f>F48+F50</f>
        <v>76.09</v>
      </c>
    </row>
    <row r="53" spans="3:6" x14ac:dyDescent="0.2">
      <c r="D53" s="529"/>
      <c r="E53" s="529"/>
      <c r="F53" s="530"/>
    </row>
  </sheetData>
  <mergeCells count="97">
    <mergeCell ref="D50:E51"/>
    <mergeCell ref="F50:F51"/>
    <mergeCell ref="D52:E53"/>
    <mergeCell ref="F52:F53"/>
    <mergeCell ref="D28:E29"/>
    <mergeCell ref="F28:F29"/>
    <mergeCell ref="D30:E31"/>
    <mergeCell ref="F30:F31"/>
    <mergeCell ref="D32:E33"/>
    <mergeCell ref="F32:F33"/>
    <mergeCell ref="F45:F46"/>
    <mergeCell ref="B46:B47"/>
    <mergeCell ref="D46:D47"/>
    <mergeCell ref="D48:E49"/>
    <mergeCell ref="F48:F49"/>
    <mergeCell ref="A40:A47"/>
    <mergeCell ref="B40:B41"/>
    <mergeCell ref="D40:D41"/>
    <mergeCell ref="C41:C42"/>
    <mergeCell ref="E41:E42"/>
    <mergeCell ref="B44:B45"/>
    <mergeCell ref="D44:D45"/>
    <mergeCell ref="C45:C46"/>
    <mergeCell ref="E45:E46"/>
    <mergeCell ref="F41:F42"/>
    <mergeCell ref="B42:B43"/>
    <mergeCell ref="D42:D43"/>
    <mergeCell ref="C43:C44"/>
    <mergeCell ref="E43:E44"/>
    <mergeCell ref="F43:F44"/>
    <mergeCell ref="A36:A39"/>
    <mergeCell ref="B36:B39"/>
    <mergeCell ref="C36:C39"/>
    <mergeCell ref="D36:F36"/>
    <mergeCell ref="D37:D39"/>
    <mergeCell ref="E37:E39"/>
    <mergeCell ref="F37:F39"/>
    <mergeCell ref="G25:G26"/>
    <mergeCell ref="B26:B27"/>
    <mergeCell ref="D26:D27"/>
    <mergeCell ref="G27:G35"/>
    <mergeCell ref="A35:F35"/>
    <mergeCell ref="B24:B25"/>
    <mergeCell ref="D24:D25"/>
    <mergeCell ref="C25:C26"/>
    <mergeCell ref="E25:E26"/>
    <mergeCell ref="F25:F26"/>
    <mergeCell ref="D22:D23"/>
    <mergeCell ref="C23:C24"/>
    <mergeCell ref="E23:E24"/>
    <mergeCell ref="F23:F24"/>
    <mergeCell ref="G23:G24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B16:B17"/>
    <mergeCell ref="D16:D17"/>
    <mergeCell ref="C17:C18"/>
    <mergeCell ref="E17:E18"/>
    <mergeCell ref="B14:B15"/>
    <mergeCell ref="D14:D15"/>
    <mergeCell ref="C15:C16"/>
    <mergeCell ref="E15:E16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E1:G1"/>
    <mergeCell ref="H2:I2"/>
    <mergeCell ref="A3:F4"/>
    <mergeCell ref="A5:F6"/>
    <mergeCell ref="A7:F7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4294967294" verticalDpi="4294967294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7030A0"/>
  </sheetPr>
  <dimension ref="A1:J45"/>
  <sheetViews>
    <sheetView workbookViewId="0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604" t="s">
        <v>89</v>
      </c>
      <c r="F1" s="604"/>
      <c r="G1" s="604"/>
    </row>
    <row r="2" spans="1:9" x14ac:dyDescent="0.2">
      <c r="H2" s="605"/>
      <c r="I2" s="605"/>
    </row>
    <row r="3" spans="1:9" ht="12.75" customHeight="1" x14ac:dyDescent="0.2">
      <c r="A3" s="606" t="s">
        <v>90</v>
      </c>
      <c r="B3" s="606"/>
      <c r="C3" s="606"/>
      <c r="D3" s="606"/>
      <c r="E3" s="606"/>
      <c r="F3" s="606"/>
      <c r="G3" s="56"/>
      <c r="H3" s="56"/>
      <c r="I3" s="56"/>
    </row>
    <row r="4" spans="1:9" ht="30.75" customHeight="1" x14ac:dyDescent="0.2">
      <c r="A4" s="606"/>
      <c r="B4" s="606"/>
      <c r="C4" s="606"/>
      <c r="D4" s="606"/>
      <c r="E4" s="606"/>
      <c r="F4" s="606"/>
      <c r="G4" s="56"/>
      <c r="H4" s="56"/>
      <c r="I4" s="56"/>
    </row>
    <row r="5" spans="1:9" ht="12.75" customHeight="1" x14ac:dyDescent="0.2">
      <c r="A5" s="543" t="s">
        <v>96</v>
      </c>
      <c r="B5" s="543"/>
      <c r="C5" s="543"/>
      <c r="D5" s="543"/>
      <c r="E5" s="543"/>
      <c r="F5" s="543"/>
      <c r="G5" s="56"/>
      <c r="H5" s="56"/>
      <c r="I5" s="56"/>
    </row>
    <row r="6" spans="1:9" ht="69.75" customHeight="1" x14ac:dyDescent="0.2">
      <c r="A6" s="543"/>
      <c r="B6" s="543"/>
      <c r="C6" s="543"/>
      <c r="D6" s="543"/>
      <c r="E6" s="543"/>
      <c r="F6" s="543"/>
      <c r="G6" s="28"/>
      <c r="H6" s="28"/>
      <c r="I6" s="28"/>
    </row>
    <row r="7" spans="1:9" ht="12.75" customHeight="1" x14ac:dyDescent="0.2">
      <c r="A7" s="544" t="s">
        <v>28</v>
      </c>
      <c r="B7" s="545"/>
      <c r="C7" s="545"/>
      <c r="D7" s="545"/>
      <c r="E7" s="545"/>
      <c r="F7" s="546"/>
    </row>
    <row r="8" spans="1:9" ht="12.75" customHeight="1" x14ac:dyDescent="0.2">
      <c r="A8" s="547" t="s">
        <v>29</v>
      </c>
      <c r="B8" s="547" t="s">
        <v>30</v>
      </c>
      <c r="C8" s="547" t="s">
        <v>31</v>
      </c>
      <c r="D8" s="549" t="s">
        <v>91</v>
      </c>
      <c r="E8" s="549"/>
      <c r="F8" s="549"/>
    </row>
    <row r="9" spans="1:9" x14ac:dyDescent="0.2">
      <c r="A9" s="548"/>
      <c r="B9" s="548"/>
      <c r="C9" s="547"/>
      <c r="D9" s="547" t="s">
        <v>33</v>
      </c>
      <c r="E9" s="547" t="s">
        <v>34</v>
      </c>
      <c r="F9" s="547" t="s">
        <v>35</v>
      </c>
    </row>
    <row r="10" spans="1:9" x14ac:dyDescent="0.2">
      <c r="A10" s="548"/>
      <c r="B10" s="548"/>
      <c r="C10" s="547"/>
      <c r="D10" s="547"/>
      <c r="E10" s="547"/>
      <c r="F10" s="547"/>
    </row>
    <row r="11" spans="1:9" ht="12" customHeight="1" x14ac:dyDescent="0.2">
      <c r="A11" s="548"/>
      <c r="B11" s="548"/>
      <c r="C11" s="547"/>
      <c r="D11" s="547"/>
      <c r="E11" s="547"/>
      <c r="F11" s="547"/>
      <c r="G11" s="607"/>
    </row>
    <row r="12" spans="1:9" ht="12" customHeight="1" x14ac:dyDescent="0.2">
      <c r="A12" s="534">
        <v>13</v>
      </c>
      <c r="B12" s="536">
        <v>780</v>
      </c>
      <c r="C12" s="30" t="s">
        <v>2</v>
      </c>
      <c r="D12" s="539">
        <v>0</v>
      </c>
      <c r="E12" s="31" t="s">
        <v>2</v>
      </c>
      <c r="F12" s="31" t="s">
        <v>2</v>
      </c>
      <c r="G12" s="607"/>
    </row>
    <row r="13" spans="1:9" ht="12" customHeight="1" x14ac:dyDescent="0.2">
      <c r="A13" s="534"/>
      <c r="B13" s="536"/>
      <c r="C13" s="536">
        <f>B14-B12</f>
        <v>2.4</v>
      </c>
      <c r="D13" s="539"/>
      <c r="E13" s="539">
        <f>SUM(0.5*D12,0.5*D14)</f>
        <v>0.68</v>
      </c>
      <c r="F13" s="539">
        <f>PRODUCT(C13,E13)</f>
        <v>1.63</v>
      </c>
      <c r="G13" s="607"/>
    </row>
    <row r="14" spans="1:9" ht="12" customHeight="1" x14ac:dyDescent="0.2">
      <c r="A14" s="534"/>
      <c r="B14" s="536">
        <v>782.4</v>
      </c>
      <c r="C14" s="536"/>
      <c r="D14" s="538">
        <v>1.35</v>
      </c>
      <c r="E14" s="539"/>
      <c r="F14" s="539"/>
      <c r="G14" s="607"/>
    </row>
    <row r="15" spans="1:9" ht="12" customHeight="1" x14ac:dyDescent="0.2">
      <c r="A15" s="534"/>
      <c r="B15" s="536"/>
      <c r="C15" s="536">
        <f>B16-B14</f>
        <v>28.9</v>
      </c>
      <c r="D15" s="537"/>
      <c r="E15" s="539">
        <f>SUM(0.5*D14,0.5*D16)</f>
        <v>1.35</v>
      </c>
      <c r="F15" s="539">
        <f>PRODUCT(C15,E15)</f>
        <v>39.020000000000003</v>
      </c>
      <c r="G15" s="607"/>
    </row>
    <row r="16" spans="1:9" ht="12" customHeight="1" x14ac:dyDescent="0.2">
      <c r="A16" s="534"/>
      <c r="B16" s="536">
        <v>811.3</v>
      </c>
      <c r="C16" s="536"/>
      <c r="D16" s="539">
        <v>1.35</v>
      </c>
      <c r="E16" s="539"/>
      <c r="F16" s="539"/>
      <c r="G16" s="607"/>
    </row>
    <row r="17" spans="1:10" ht="12" customHeight="1" x14ac:dyDescent="0.2">
      <c r="A17" s="534"/>
      <c r="B17" s="536"/>
      <c r="C17" s="536">
        <f>B18-B16</f>
        <v>18.7</v>
      </c>
      <c r="D17" s="539"/>
      <c r="E17" s="539">
        <f>SUM(0.5*D16,0.5*D18)</f>
        <v>1.35</v>
      </c>
      <c r="F17" s="539">
        <f>PRODUCT(C17,E17)</f>
        <v>25.25</v>
      </c>
      <c r="G17" s="607"/>
    </row>
    <row r="18" spans="1:10" ht="12" customHeight="1" x14ac:dyDescent="0.2">
      <c r="A18" s="534"/>
      <c r="B18" s="536">
        <v>830</v>
      </c>
      <c r="C18" s="536"/>
      <c r="D18" s="539">
        <v>1.35</v>
      </c>
      <c r="E18" s="539"/>
      <c r="F18" s="539"/>
      <c r="G18" s="607"/>
    </row>
    <row r="19" spans="1:10" ht="12" customHeight="1" x14ac:dyDescent="0.2">
      <c r="A19" s="534"/>
      <c r="B19" s="536"/>
      <c r="C19" s="536">
        <f>B20-B18</f>
        <v>31.6</v>
      </c>
      <c r="D19" s="539"/>
      <c r="E19" s="539">
        <f>SUM(0.5*D18,0.5*D20)</f>
        <v>1.35</v>
      </c>
      <c r="F19" s="539">
        <f>PRODUCT(C19,E19)</f>
        <v>42.66</v>
      </c>
      <c r="G19" s="607"/>
    </row>
    <row r="20" spans="1:10" ht="12" customHeight="1" x14ac:dyDescent="0.2">
      <c r="A20" s="534"/>
      <c r="B20" s="536">
        <v>861.6</v>
      </c>
      <c r="C20" s="536"/>
      <c r="D20" s="539">
        <v>1.35</v>
      </c>
      <c r="E20" s="539"/>
      <c r="F20" s="539"/>
      <c r="G20" s="607"/>
    </row>
    <row r="21" spans="1:10" ht="12" customHeight="1" x14ac:dyDescent="0.2">
      <c r="A21" s="534"/>
      <c r="B21" s="536"/>
      <c r="C21" s="536">
        <f>B22-B20</f>
        <v>18.399999999999999</v>
      </c>
      <c r="D21" s="539"/>
      <c r="E21" s="539">
        <f>SUM(0.5*D20,0.5*D22)</f>
        <v>1.35</v>
      </c>
      <c r="F21" s="539">
        <f>PRODUCT(C21,E21)</f>
        <v>24.84</v>
      </c>
      <c r="G21" s="607"/>
    </row>
    <row r="22" spans="1:10" ht="12" customHeight="1" x14ac:dyDescent="0.2">
      <c r="A22" s="534"/>
      <c r="B22" s="536">
        <v>880</v>
      </c>
      <c r="C22" s="536"/>
      <c r="D22" s="539">
        <v>1.35</v>
      </c>
      <c r="E22" s="539"/>
      <c r="F22" s="539"/>
      <c r="G22" s="607"/>
    </row>
    <row r="23" spans="1:10" ht="12" customHeight="1" x14ac:dyDescent="0.2">
      <c r="A23" s="534"/>
      <c r="B23" s="536"/>
      <c r="C23" s="536">
        <f>B24-B22</f>
        <v>23.7</v>
      </c>
      <c r="D23" s="539"/>
      <c r="E23" s="539">
        <f>SUM(0.5*D22,0.5*D24)</f>
        <v>1.35</v>
      </c>
      <c r="F23" s="539">
        <f>PRODUCT(C23,E23)</f>
        <v>32</v>
      </c>
      <c r="G23" s="607"/>
    </row>
    <row r="24" spans="1:10" ht="12" customHeight="1" x14ac:dyDescent="0.2">
      <c r="A24" s="534"/>
      <c r="B24" s="536">
        <v>903.7</v>
      </c>
      <c r="C24" s="536"/>
      <c r="D24" s="539">
        <v>1.35</v>
      </c>
      <c r="E24" s="539"/>
      <c r="F24" s="539"/>
      <c r="G24" s="607"/>
    </row>
    <row r="25" spans="1:10" ht="12" customHeight="1" x14ac:dyDescent="0.2">
      <c r="A25" s="534"/>
      <c r="B25" s="536"/>
      <c r="C25" s="536">
        <f>B26-B24</f>
        <v>34.299999999999997</v>
      </c>
      <c r="D25" s="539"/>
      <c r="E25" s="539">
        <f>SUM(0.5*D24,0.5*D26)</f>
        <v>1.78</v>
      </c>
      <c r="F25" s="539">
        <f>PRODUCT(C25,E25)</f>
        <v>61.05</v>
      </c>
      <c r="G25" s="607"/>
    </row>
    <row r="26" spans="1:10" ht="12" customHeight="1" x14ac:dyDescent="0.2">
      <c r="A26" s="534"/>
      <c r="B26" s="536">
        <v>938</v>
      </c>
      <c r="C26" s="536"/>
      <c r="D26" s="539">
        <v>2.2000000000000002</v>
      </c>
      <c r="E26" s="539"/>
      <c r="F26" s="539"/>
      <c r="G26" s="607"/>
    </row>
    <row r="27" spans="1:10" ht="12" customHeight="1" x14ac:dyDescent="0.2">
      <c r="A27" s="534"/>
      <c r="B27" s="536"/>
      <c r="C27" s="30" t="s">
        <v>2</v>
      </c>
      <c r="D27" s="538"/>
      <c r="E27" s="57" t="s">
        <v>2</v>
      </c>
      <c r="F27" s="57" t="s">
        <v>2</v>
      </c>
      <c r="G27" s="607"/>
    </row>
    <row r="28" spans="1:10" ht="12" customHeight="1" x14ac:dyDescent="0.2">
      <c r="A28" s="61"/>
      <c r="B28" s="63"/>
      <c r="C28" s="63"/>
      <c r="D28" s="529" t="s">
        <v>37</v>
      </c>
      <c r="E28" s="529"/>
      <c r="F28" s="530">
        <f>SUM(F13:F26)</f>
        <v>226.45</v>
      </c>
      <c r="G28" s="493"/>
    </row>
    <row r="29" spans="1:10" ht="12" customHeight="1" x14ac:dyDescent="0.2">
      <c r="A29" s="64"/>
      <c r="B29" s="65"/>
      <c r="C29" s="65"/>
      <c r="D29" s="529"/>
      <c r="E29" s="529"/>
      <c r="F29" s="530"/>
      <c r="G29" s="493"/>
    </row>
    <row r="30" spans="1:10" ht="12" customHeight="1" x14ac:dyDescent="0.2">
      <c r="A30" s="76"/>
      <c r="B30" s="72"/>
      <c r="C30" s="72"/>
      <c r="D30" s="67"/>
      <c r="E30" s="67"/>
      <c r="F30" s="68"/>
      <c r="G30" s="607"/>
    </row>
    <row r="31" spans="1:10" ht="12" customHeight="1" x14ac:dyDescent="0.2">
      <c r="A31" s="544" t="s">
        <v>36</v>
      </c>
      <c r="B31" s="545"/>
      <c r="C31" s="545"/>
      <c r="D31" s="545"/>
      <c r="E31" s="545"/>
      <c r="F31" s="546"/>
      <c r="G31" s="607"/>
    </row>
    <row r="32" spans="1:10" ht="12" customHeight="1" x14ac:dyDescent="0.2">
      <c r="A32" s="547" t="s">
        <v>29</v>
      </c>
      <c r="B32" s="547" t="s">
        <v>30</v>
      </c>
      <c r="C32" s="547" t="s">
        <v>31</v>
      </c>
      <c r="D32" s="549" t="s">
        <v>91</v>
      </c>
      <c r="E32" s="549"/>
      <c r="F32" s="549"/>
      <c r="J32" s="36"/>
    </row>
    <row r="33" spans="1:10" ht="12" customHeight="1" x14ac:dyDescent="0.2">
      <c r="A33" s="548"/>
      <c r="B33" s="548"/>
      <c r="C33" s="547"/>
      <c r="D33" s="547" t="s">
        <v>33</v>
      </c>
      <c r="E33" s="547" t="s">
        <v>34</v>
      </c>
      <c r="F33" s="547" t="s">
        <v>35</v>
      </c>
      <c r="J33" s="36"/>
    </row>
    <row r="34" spans="1:10" ht="12" customHeight="1" x14ac:dyDescent="0.2">
      <c r="A34" s="548"/>
      <c r="B34" s="548"/>
      <c r="C34" s="547"/>
      <c r="D34" s="547"/>
      <c r="E34" s="547"/>
      <c r="F34" s="547"/>
      <c r="H34" s="36"/>
    </row>
    <row r="35" spans="1:10" ht="12" customHeight="1" x14ac:dyDescent="0.2">
      <c r="A35" s="548"/>
      <c r="B35" s="548"/>
      <c r="C35" s="547"/>
      <c r="D35" s="547"/>
      <c r="E35" s="547"/>
      <c r="F35" s="547"/>
    </row>
    <row r="36" spans="1:10" x14ac:dyDescent="0.2">
      <c r="A36" s="534">
        <v>0</v>
      </c>
      <c r="B36" s="535">
        <v>12</v>
      </c>
      <c r="C36" s="32" t="s">
        <v>2</v>
      </c>
      <c r="D36" s="537">
        <v>2</v>
      </c>
      <c r="E36" s="33" t="s">
        <v>2</v>
      </c>
      <c r="F36" s="33" t="s">
        <v>2</v>
      </c>
    </row>
    <row r="37" spans="1:10" x14ac:dyDescent="0.2">
      <c r="A37" s="534"/>
      <c r="B37" s="536"/>
      <c r="C37" s="536">
        <f>B38-B36</f>
        <v>5.7</v>
      </c>
      <c r="D37" s="538"/>
      <c r="E37" s="539">
        <f>SUM(0.5*D36,0.5*D38)</f>
        <v>1.45</v>
      </c>
      <c r="F37" s="539">
        <f>PRODUCT(C37,E37)</f>
        <v>8.27</v>
      </c>
    </row>
    <row r="38" spans="1:10" x14ac:dyDescent="0.2">
      <c r="A38" s="534"/>
      <c r="B38" s="536">
        <v>17.7</v>
      </c>
      <c r="C38" s="536"/>
      <c r="D38" s="539">
        <v>0.9</v>
      </c>
      <c r="E38" s="539"/>
      <c r="F38" s="539"/>
    </row>
    <row r="39" spans="1:10" x14ac:dyDescent="0.2">
      <c r="A39" s="534"/>
      <c r="B39" s="536"/>
      <c r="C39" s="551">
        <f>B40-B38</f>
        <v>17.3</v>
      </c>
      <c r="D39" s="538"/>
      <c r="E39" s="539">
        <f>SUM(0.5*D38,0.5*D40)</f>
        <v>0.9</v>
      </c>
      <c r="F39" s="539">
        <f>PRODUCT(C39,E39)</f>
        <v>15.57</v>
      </c>
    </row>
    <row r="40" spans="1:10" x14ac:dyDescent="0.2">
      <c r="A40" s="534"/>
      <c r="B40" s="536">
        <v>35</v>
      </c>
      <c r="C40" s="552"/>
      <c r="D40" s="539">
        <v>0.9</v>
      </c>
      <c r="E40" s="539"/>
      <c r="F40" s="539"/>
    </row>
    <row r="41" spans="1:10" x14ac:dyDescent="0.2">
      <c r="A41" s="534"/>
      <c r="B41" s="536"/>
      <c r="C41" s="551">
        <f>B42-B40</f>
        <v>17</v>
      </c>
      <c r="D41" s="538"/>
      <c r="E41" s="539">
        <f>SUM(0.5*D40,0.5*D42)</f>
        <v>0.45</v>
      </c>
      <c r="F41" s="539">
        <f>PRODUCT(C41,E41)</f>
        <v>7.65</v>
      </c>
    </row>
    <row r="42" spans="1:10" x14ac:dyDescent="0.2">
      <c r="A42" s="534"/>
      <c r="B42" s="536">
        <v>52</v>
      </c>
      <c r="C42" s="552"/>
      <c r="D42" s="539">
        <v>0</v>
      </c>
      <c r="E42" s="539"/>
      <c r="F42" s="539"/>
    </row>
    <row r="43" spans="1:10" ht="13.5" thickBot="1" x14ac:dyDescent="0.25">
      <c r="A43" s="534"/>
      <c r="B43" s="536"/>
      <c r="C43" s="30" t="s">
        <v>2</v>
      </c>
      <c r="D43" s="539"/>
      <c r="E43" s="31" t="s">
        <v>2</v>
      </c>
      <c r="F43" s="31" t="s">
        <v>2</v>
      </c>
    </row>
    <row r="44" spans="1:10" x14ac:dyDescent="0.2">
      <c r="D44" s="608" t="s">
        <v>37</v>
      </c>
      <c r="E44" s="609"/>
      <c r="F44" s="612">
        <f>SUM(F37:F43)</f>
        <v>31.49</v>
      </c>
    </row>
    <row r="45" spans="1:10" ht="13.5" customHeight="1" thickBot="1" x14ac:dyDescent="0.25">
      <c r="C45" s="26"/>
      <c r="D45" s="610"/>
      <c r="E45" s="611"/>
      <c r="F45" s="613"/>
    </row>
  </sheetData>
  <mergeCells count="89">
    <mergeCell ref="D44:E45"/>
    <mergeCell ref="F44:F45"/>
    <mergeCell ref="F39:F40"/>
    <mergeCell ref="F37:F38"/>
    <mergeCell ref="F41:F42"/>
    <mergeCell ref="E41:E42"/>
    <mergeCell ref="B42:B43"/>
    <mergeCell ref="D42:D43"/>
    <mergeCell ref="D28:E29"/>
    <mergeCell ref="F28:F29"/>
    <mergeCell ref="A36:A43"/>
    <mergeCell ref="B36:B37"/>
    <mergeCell ref="D36:D37"/>
    <mergeCell ref="C37:C38"/>
    <mergeCell ref="E37:E38"/>
    <mergeCell ref="B38:B39"/>
    <mergeCell ref="D38:D39"/>
    <mergeCell ref="C39:C40"/>
    <mergeCell ref="E39:E40"/>
    <mergeCell ref="B40:B41"/>
    <mergeCell ref="D40:D41"/>
    <mergeCell ref="C41:C42"/>
    <mergeCell ref="A32:A35"/>
    <mergeCell ref="B32:B35"/>
    <mergeCell ref="C32:C35"/>
    <mergeCell ref="D32:F32"/>
    <mergeCell ref="D33:D35"/>
    <mergeCell ref="E33:E35"/>
    <mergeCell ref="F33:F35"/>
    <mergeCell ref="G25:G26"/>
    <mergeCell ref="B26:B27"/>
    <mergeCell ref="D26:D27"/>
    <mergeCell ref="G27:G31"/>
    <mergeCell ref="A31:F31"/>
    <mergeCell ref="B24:B25"/>
    <mergeCell ref="D24:D25"/>
    <mergeCell ref="C25:C26"/>
    <mergeCell ref="E25:E26"/>
    <mergeCell ref="F25:F26"/>
    <mergeCell ref="D22:D23"/>
    <mergeCell ref="C23:C24"/>
    <mergeCell ref="E23:E24"/>
    <mergeCell ref="F23:F24"/>
    <mergeCell ref="G23:G24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B16:B17"/>
    <mergeCell ref="D16:D17"/>
    <mergeCell ref="C17:C18"/>
    <mergeCell ref="E17:E18"/>
    <mergeCell ref="B14:B15"/>
    <mergeCell ref="D14:D15"/>
    <mergeCell ref="C15:C16"/>
    <mergeCell ref="E15:E16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E1:G1"/>
    <mergeCell ref="H2:I2"/>
    <mergeCell ref="A3:F4"/>
    <mergeCell ref="A5:F6"/>
    <mergeCell ref="A7:F7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7030A0"/>
  </sheetPr>
  <dimension ref="A1:J45"/>
  <sheetViews>
    <sheetView workbookViewId="0"/>
  </sheetViews>
  <sheetFormatPr defaultRowHeight="12.75" x14ac:dyDescent="0.2"/>
  <cols>
    <col min="4" max="4" width="11.5703125" customWidth="1"/>
    <col min="5" max="5" width="11" customWidth="1"/>
    <col min="6" max="6" width="12" customWidth="1"/>
  </cols>
  <sheetData>
    <row r="1" spans="1:9" ht="18.75" customHeight="1" x14ac:dyDescent="0.2">
      <c r="E1" s="604" t="s">
        <v>92</v>
      </c>
      <c r="F1" s="604"/>
      <c r="G1" s="604"/>
    </row>
    <row r="2" spans="1:9" x14ac:dyDescent="0.2">
      <c r="H2" s="605"/>
      <c r="I2" s="605"/>
    </row>
    <row r="3" spans="1:9" ht="12.75" customHeight="1" x14ac:dyDescent="0.2">
      <c r="A3" s="606" t="s">
        <v>93</v>
      </c>
      <c r="B3" s="606"/>
      <c r="C3" s="606"/>
      <c r="D3" s="606"/>
      <c r="E3" s="606"/>
      <c r="F3" s="606"/>
      <c r="G3" s="56"/>
      <c r="H3" s="56"/>
      <c r="I3" s="56"/>
    </row>
    <row r="4" spans="1:9" ht="30.75" customHeight="1" x14ac:dyDescent="0.2">
      <c r="A4" s="606"/>
      <c r="B4" s="606"/>
      <c r="C4" s="606"/>
      <c r="D4" s="606"/>
      <c r="E4" s="606"/>
      <c r="F4" s="606"/>
      <c r="G4" s="56"/>
      <c r="H4" s="56"/>
      <c r="I4" s="56"/>
    </row>
    <row r="5" spans="1:9" ht="12.75" customHeight="1" x14ac:dyDescent="0.2">
      <c r="A5" s="543" t="s">
        <v>96</v>
      </c>
      <c r="B5" s="543"/>
      <c r="C5" s="543"/>
      <c r="D5" s="543"/>
      <c r="E5" s="543"/>
      <c r="F5" s="543"/>
      <c r="G5" s="56"/>
      <c r="H5" s="56"/>
      <c r="I5" s="56"/>
    </row>
    <row r="6" spans="1:9" ht="63.75" customHeight="1" x14ac:dyDescent="0.2">
      <c r="A6" s="543"/>
      <c r="B6" s="543"/>
      <c r="C6" s="543"/>
      <c r="D6" s="543"/>
      <c r="E6" s="543"/>
      <c r="F6" s="543"/>
      <c r="G6" s="28"/>
      <c r="H6" s="28"/>
      <c r="I6" s="28"/>
    </row>
    <row r="7" spans="1:9" ht="12.75" customHeight="1" x14ac:dyDescent="0.2">
      <c r="A7" s="544" t="s">
        <v>28</v>
      </c>
      <c r="B7" s="545"/>
      <c r="C7" s="545"/>
      <c r="D7" s="545"/>
      <c r="E7" s="545"/>
      <c r="F7" s="546"/>
    </row>
    <row r="8" spans="1:9" ht="12.75" customHeight="1" x14ac:dyDescent="0.2">
      <c r="A8" s="547" t="s">
        <v>29</v>
      </c>
      <c r="B8" s="547" t="s">
        <v>30</v>
      </c>
      <c r="C8" s="547" t="s">
        <v>31</v>
      </c>
      <c r="D8" s="549" t="s">
        <v>94</v>
      </c>
      <c r="E8" s="549"/>
      <c r="F8" s="549"/>
    </row>
    <row r="9" spans="1:9" x14ac:dyDescent="0.2">
      <c r="A9" s="548"/>
      <c r="B9" s="548"/>
      <c r="C9" s="547"/>
      <c r="D9" s="547" t="s">
        <v>33</v>
      </c>
      <c r="E9" s="547" t="s">
        <v>34</v>
      </c>
      <c r="F9" s="547" t="s">
        <v>35</v>
      </c>
    </row>
    <row r="10" spans="1:9" x14ac:dyDescent="0.2">
      <c r="A10" s="548"/>
      <c r="B10" s="548"/>
      <c r="C10" s="547"/>
      <c r="D10" s="547"/>
      <c r="E10" s="547"/>
      <c r="F10" s="547"/>
    </row>
    <row r="11" spans="1:9" ht="12" customHeight="1" x14ac:dyDescent="0.2">
      <c r="A11" s="548"/>
      <c r="B11" s="548"/>
      <c r="C11" s="547"/>
      <c r="D11" s="547"/>
      <c r="E11" s="547"/>
      <c r="F11" s="547"/>
      <c r="G11" s="607"/>
    </row>
    <row r="12" spans="1:9" ht="12" customHeight="1" x14ac:dyDescent="0.2">
      <c r="A12" s="534">
        <v>13</v>
      </c>
      <c r="B12" s="536">
        <v>780</v>
      </c>
      <c r="C12" s="30" t="s">
        <v>2</v>
      </c>
      <c r="D12" s="539">
        <v>0</v>
      </c>
      <c r="E12" s="31" t="s">
        <v>2</v>
      </c>
      <c r="F12" s="31" t="s">
        <v>2</v>
      </c>
      <c r="G12" s="607"/>
    </row>
    <row r="13" spans="1:9" ht="12" customHeight="1" x14ac:dyDescent="0.2">
      <c r="A13" s="534"/>
      <c r="B13" s="536"/>
      <c r="C13" s="536">
        <f>B14-B12</f>
        <v>2.4</v>
      </c>
      <c r="D13" s="539"/>
      <c r="E13" s="539">
        <f>SUM(0.5*D12,0.5*D14)</f>
        <v>0.71</v>
      </c>
      <c r="F13" s="539">
        <f>PRODUCT(C13,E13)</f>
        <v>1.7</v>
      </c>
      <c r="G13" s="607"/>
    </row>
    <row r="14" spans="1:9" ht="12" customHeight="1" x14ac:dyDescent="0.2">
      <c r="A14" s="534"/>
      <c r="B14" s="536">
        <v>782.4</v>
      </c>
      <c r="C14" s="536"/>
      <c r="D14" s="538">
        <v>1.42</v>
      </c>
      <c r="E14" s="539"/>
      <c r="F14" s="539"/>
      <c r="G14" s="607"/>
    </row>
    <row r="15" spans="1:9" ht="12" customHeight="1" x14ac:dyDescent="0.2">
      <c r="A15" s="534"/>
      <c r="B15" s="536"/>
      <c r="C15" s="536">
        <f>B16-B14</f>
        <v>28.9</v>
      </c>
      <c r="D15" s="537"/>
      <c r="E15" s="539">
        <f>SUM(0.5*D14,0.5*D16)</f>
        <v>1.42</v>
      </c>
      <c r="F15" s="539">
        <f>PRODUCT(C15,E15)</f>
        <v>41.04</v>
      </c>
      <c r="G15" s="607"/>
    </row>
    <row r="16" spans="1:9" ht="12" customHeight="1" x14ac:dyDescent="0.2">
      <c r="A16" s="534"/>
      <c r="B16" s="536">
        <v>811.3</v>
      </c>
      <c r="C16" s="536"/>
      <c r="D16" s="538">
        <v>1.42</v>
      </c>
      <c r="E16" s="539"/>
      <c r="F16" s="539"/>
      <c r="G16" s="607"/>
    </row>
    <row r="17" spans="1:10" ht="12" customHeight="1" x14ac:dyDescent="0.2">
      <c r="A17" s="534"/>
      <c r="B17" s="536"/>
      <c r="C17" s="536">
        <f>B18-B16</f>
        <v>18.7</v>
      </c>
      <c r="D17" s="537"/>
      <c r="E17" s="539">
        <f>SUM(0.5*D16,0.5*D18)</f>
        <v>1.42</v>
      </c>
      <c r="F17" s="539">
        <f>PRODUCT(C17,E17)</f>
        <v>26.55</v>
      </c>
      <c r="G17" s="607"/>
    </row>
    <row r="18" spans="1:10" ht="12" customHeight="1" x14ac:dyDescent="0.2">
      <c r="A18" s="534"/>
      <c r="B18" s="536">
        <v>830</v>
      </c>
      <c r="C18" s="536"/>
      <c r="D18" s="538">
        <v>1.42</v>
      </c>
      <c r="E18" s="539"/>
      <c r="F18" s="539"/>
      <c r="G18" s="607"/>
    </row>
    <row r="19" spans="1:10" ht="12" customHeight="1" x14ac:dyDescent="0.2">
      <c r="A19" s="534"/>
      <c r="B19" s="536"/>
      <c r="C19" s="536">
        <f>B20-B18</f>
        <v>31.6</v>
      </c>
      <c r="D19" s="537"/>
      <c r="E19" s="539">
        <f>SUM(0.5*D18,0.5*D20)</f>
        <v>1.42</v>
      </c>
      <c r="F19" s="539">
        <f>PRODUCT(C19,E19)</f>
        <v>44.87</v>
      </c>
      <c r="G19" s="607"/>
    </row>
    <row r="20" spans="1:10" ht="12" customHeight="1" x14ac:dyDescent="0.2">
      <c r="A20" s="534"/>
      <c r="B20" s="536">
        <v>861.6</v>
      </c>
      <c r="C20" s="536"/>
      <c r="D20" s="538">
        <v>1.42</v>
      </c>
      <c r="E20" s="539"/>
      <c r="F20" s="539"/>
      <c r="G20" s="607"/>
    </row>
    <row r="21" spans="1:10" ht="12" customHeight="1" x14ac:dyDescent="0.2">
      <c r="A21" s="534"/>
      <c r="B21" s="536"/>
      <c r="C21" s="536">
        <f>B22-B20</f>
        <v>18.399999999999999</v>
      </c>
      <c r="D21" s="537"/>
      <c r="E21" s="539">
        <f>SUM(0.5*D20,0.5*D22)</f>
        <v>1.42</v>
      </c>
      <c r="F21" s="539">
        <f>PRODUCT(C21,E21)</f>
        <v>26.13</v>
      </c>
      <c r="G21" s="607"/>
    </row>
    <row r="22" spans="1:10" ht="12" customHeight="1" x14ac:dyDescent="0.2">
      <c r="A22" s="534"/>
      <c r="B22" s="536">
        <v>880</v>
      </c>
      <c r="C22" s="536"/>
      <c r="D22" s="538">
        <v>1.42</v>
      </c>
      <c r="E22" s="539"/>
      <c r="F22" s="539"/>
      <c r="G22" s="607"/>
    </row>
    <row r="23" spans="1:10" ht="12" customHeight="1" x14ac:dyDescent="0.2">
      <c r="A23" s="534"/>
      <c r="B23" s="536"/>
      <c r="C23" s="536">
        <f>B24-B22</f>
        <v>23.7</v>
      </c>
      <c r="D23" s="537"/>
      <c r="E23" s="539">
        <f>SUM(0.5*D22,0.5*D24)</f>
        <v>1.42</v>
      </c>
      <c r="F23" s="539">
        <f>PRODUCT(C23,E23)</f>
        <v>33.65</v>
      </c>
      <c r="G23" s="607"/>
    </row>
    <row r="24" spans="1:10" ht="12" customHeight="1" x14ac:dyDescent="0.2">
      <c r="A24" s="534"/>
      <c r="B24" s="536">
        <v>903.7</v>
      </c>
      <c r="C24" s="536"/>
      <c r="D24" s="538">
        <v>1.42</v>
      </c>
      <c r="E24" s="539"/>
      <c r="F24" s="539"/>
      <c r="G24" s="607"/>
    </row>
    <row r="25" spans="1:10" ht="12" customHeight="1" x14ac:dyDescent="0.2">
      <c r="A25" s="534"/>
      <c r="B25" s="536"/>
      <c r="C25" s="536">
        <f>B26-B24</f>
        <v>34.299999999999997</v>
      </c>
      <c r="D25" s="537"/>
      <c r="E25" s="539">
        <f>SUM(0.5*D24,0.5*D26)</f>
        <v>1.94</v>
      </c>
      <c r="F25" s="539">
        <f>PRODUCT(C25,E25)</f>
        <v>66.540000000000006</v>
      </c>
      <c r="G25" s="607"/>
    </row>
    <row r="26" spans="1:10" ht="12" customHeight="1" x14ac:dyDescent="0.2">
      <c r="A26" s="534"/>
      <c r="B26" s="536">
        <v>938</v>
      </c>
      <c r="C26" s="536"/>
      <c r="D26" s="539">
        <v>2.4500000000000002</v>
      </c>
      <c r="E26" s="539"/>
      <c r="F26" s="539"/>
      <c r="G26" s="607"/>
    </row>
    <row r="27" spans="1:10" ht="12" customHeight="1" x14ac:dyDescent="0.2">
      <c r="A27" s="534"/>
      <c r="B27" s="536"/>
      <c r="C27" s="30" t="s">
        <v>2</v>
      </c>
      <c r="D27" s="538"/>
      <c r="E27" s="31" t="s">
        <v>2</v>
      </c>
      <c r="F27" s="31" t="s">
        <v>2</v>
      </c>
      <c r="G27" s="607"/>
    </row>
    <row r="28" spans="1:10" ht="12" customHeight="1" x14ac:dyDescent="0.2">
      <c r="A28" s="61"/>
      <c r="B28" s="63"/>
      <c r="C28" s="63"/>
      <c r="D28" s="529" t="s">
        <v>37</v>
      </c>
      <c r="E28" s="529"/>
      <c r="F28" s="530">
        <f>SUM(F13:F26)</f>
        <v>240.48</v>
      </c>
      <c r="G28" s="493"/>
    </row>
    <row r="29" spans="1:10" ht="12" customHeight="1" x14ac:dyDescent="0.2">
      <c r="A29" s="64"/>
      <c r="B29" s="65"/>
      <c r="C29" s="65"/>
      <c r="D29" s="529"/>
      <c r="E29" s="529"/>
      <c r="F29" s="530"/>
      <c r="G29" s="493"/>
    </row>
    <row r="30" spans="1:10" ht="12" customHeight="1" x14ac:dyDescent="0.2">
      <c r="A30" s="71"/>
      <c r="B30" s="72"/>
      <c r="C30" s="72"/>
      <c r="D30" s="73"/>
      <c r="E30" s="73"/>
      <c r="F30" s="73"/>
      <c r="G30" s="493"/>
    </row>
    <row r="31" spans="1:10" ht="12" customHeight="1" x14ac:dyDescent="0.2">
      <c r="A31" s="544" t="s">
        <v>36</v>
      </c>
      <c r="B31" s="545"/>
      <c r="C31" s="545"/>
      <c r="D31" s="545"/>
      <c r="E31" s="545"/>
      <c r="F31" s="546"/>
      <c r="G31" s="607"/>
    </row>
    <row r="32" spans="1:10" ht="12" customHeight="1" x14ac:dyDescent="0.2">
      <c r="A32" s="547" t="s">
        <v>29</v>
      </c>
      <c r="B32" s="547" t="s">
        <v>30</v>
      </c>
      <c r="C32" s="547" t="s">
        <v>31</v>
      </c>
      <c r="D32" s="549" t="s">
        <v>94</v>
      </c>
      <c r="E32" s="549"/>
      <c r="F32" s="549"/>
      <c r="J32" s="36"/>
    </row>
    <row r="33" spans="1:10" ht="12" customHeight="1" x14ac:dyDescent="0.2">
      <c r="A33" s="548"/>
      <c r="B33" s="548"/>
      <c r="C33" s="547"/>
      <c r="D33" s="547" t="s">
        <v>33</v>
      </c>
      <c r="E33" s="547" t="s">
        <v>34</v>
      </c>
      <c r="F33" s="547" t="s">
        <v>35</v>
      </c>
      <c r="J33" s="36"/>
    </row>
    <row r="34" spans="1:10" ht="12" customHeight="1" x14ac:dyDescent="0.2">
      <c r="A34" s="548"/>
      <c r="B34" s="548"/>
      <c r="C34" s="547"/>
      <c r="D34" s="547"/>
      <c r="E34" s="547"/>
      <c r="F34" s="547"/>
      <c r="H34" s="36"/>
    </row>
    <row r="35" spans="1:10" ht="12" customHeight="1" x14ac:dyDescent="0.2">
      <c r="A35" s="548"/>
      <c r="B35" s="548"/>
      <c r="C35" s="547"/>
      <c r="D35" s="547"/>
      <c r="E35" s="547"/>
      <c r="F35" s="547"/>
    </row>
    <row r="36" spans="1:10" x14ac:dyDescent="0.2">
      <c r="A36" s="534">
        <v>0</v>
      </c>
      <c r="B36" s="535">
        <v>12</v>
      </c>
      <c r="C36" s="32" t="s">
        <v>2</v>
      </c>
      <c r="D36" s="537">
        <v>2.2000000000000002</v>
      </c>
      <c r="E36" s="33" t="s">
        <v>2</v>
      </c>
      <c r="F36" s="33" t="s">
        <v>2</v>
      </c>
    </row>
    <row r="37" spans="1:10" x14ac:dyDescent="0.2">
      <c r="A37" s="534"/>
      <c r="B37" s="536"/>
      <c r="C37" s="536">
        <f>B38-B36</f>
        <v>5.7</v>
      </c>
      <c r="D37" s="538"/>
      <c r="E37" s="539">
        <f>SUM(0.5*D36,0.5*D38)</f>
        <v>1.6</v>
      </c>
      <c r="F37" s="539">
        <f>PRODUCT(C37,E37)</f>
        <v>9.1199999999999992</v>
      </c>
    </row>
    <row r="38" spans="1:10" x14ac:dyDescent="0.2">
      <c r="A38" s="534"/>
      <c r="B38" s="536">
        <v>17.7</v>
      </c>
      <c r="C38" s="536"/>
      <c r="D38" s="539">
        <v>1</v>
      </c>
      <c r="E38" s="539"/>
      <c r="F38" s="539"/>
    </row>
    <row r="39" spans="1:10" x14ac:dyDescent="0.2">
      <c r="A39" s="534"/>
      <c r="B39" s="536"/>
      <c r="C39" s="551">
        <f>B40-B38</f>
        <v>17.3</v>
      </c>
      <c r="D39" s="538"/>
      <c r="E39" s="539">
        <f>SUM(0.5*D38,0.5*D40)</f>
        <v>1</v>
      </c>
      <c r="F39" s="539">
        <f>PRODUCT(C39,E39)</f>
        <v>17.3</v>
      </c>
    </row>
    <row r="40" spans="1:10" x14ac:dyDescent="0.2">
      <c r="A40" s="534"/>
      <c r="B40" s="536">
        <v>35</v>
      </c>
      <c r="C40" s="552"/>
      <c r="D40" s="539">
        <v>1</v>
      </c>
      <c r="E40" s="539"/>
      <c r="F40" s="539"/>
    </row>
    <row r="41" spans="1:10" x14ac:dyDescent="0.2">
      <c r="A41" s="534"/>
      <c r="B41" s="536"/>
      <c r="C41" s="551">
        <f>B42-B40</f>
        <v>17</v>
      </c>
      <c r="D41" s="538"/>
      <c r="E41" s="539">
        <f>SUM(0.5*D40,0.5*D42)</f>
        <v>0.5</v>
      </c>
      <c r="F41" s="539">
        <f>PRODUCT(C41,E41)</f>
        <v>8.5</v>
      </c>
    </row>
    <row r="42" spans="1:10" x14ac:dyDescent="0.2">
      <c r="A42" s="534"/>
      <c r="B42" s="536">
        <v>52</v>
      </c>
      <c r="C42" s="552"/>
      <c r="D42" s="539">
        <v>0</v>
      </c>
      <c r="E42" s="539"/>
      <c r="F42" s="539"/>
    </row>
    <row r="43" spans="1:10" x14ac:dyDescent="0.2">
      <c r="A43" s="534"/>
      <c r="B43" s="536"/>
      <c r="C43" s="30" t="s">
        <v>2</v>
      </c>
      <c r="D43" s="538"/>
      <c r="E43" s="57" t="s">
        <v>2</v>
      </c>
      <c r="F43" s="57" t="s">
        <v>2</v>
      </c>
    </row>
    <row r="44" spans="1:10" x14ac:dyDescent="0.2">
      <c r="D44" s="529" t="s">
        <v>37</v>
      </c>
      <c r="E44" s="529"/>
      <c r="F44" s="530">
        <f>SUM(F37:F43)</f>
        <v>34.92</v>
      </c>
    </row>
    <row r="45" spans="1:10" ht="13.5" customHeight="1" x14ac:dyDescent="0.2">
      <c r="C45" s="26"/>
      <c r="D45" s="529"/>
      <c r="E45" s="529"/>
      <c r="F45" s="530"/>
    </row>
  </sheetData>
  <mergeCells count="89">
    <mergeCell ref="D44:E45"/>
    <mergeCell ref="F44:F45"/>
    <mergeCell ref="F39:F40"/>
    <mergeCell ref="F37:F38"/>
    <mergeCell ref="F41:F42"/>
    <mergeCell ref="E41:E42"/>
    <mergeCell ref="B42:B43"/>
    <mergeCell ref="D42:D43"/>
    <mergeCell ref="D28:E29"/>
    <mergeCell ref="F28:F29"/>
    <mergeCell ref="A36:A43"/>
    <mergeCell ref="B36:B37"/>
    <mergeCell ref="D36:D37"/>
    <mergeCell ref="C37:C38"/>
    <mergeCell ref="E37:E38"/>
    <mergeCell ref="B38:B39"/>
    <mergeCell ref="D38:D39"/>
    <mergeCell ref="C39:C40"/>
    <mergeCell ref="E39:E40"/>
    <mergeCell ref="B40:B41"/>
    <mergeCell ref="D40:D41"/>
    <mergeCell ref="C41:C42"/>
    <mergeCell ref="A32:A35"/>
    <mergeCell ref="B32:B35"/>
    <mergeCell ref="C32:C35"/>
    <mergeCell ref="D32:F32"/>
    <mergeCell ref="D33:D35"/>
    <mergeCell ref="E33:E35"/>
    <mergeCell ref="F33:F35"/>
    <mergeCell ref="G25:G26"/>
    <mergeCell ref="B26:B27"/>
    <mergeCell ref="D26:D27"/>
    <mergeCell ref="G27:G31"/>
    <mergeCell ref="A31:F31"/>
    <mergeCell ref="B24:B25"/>
    <mergeCell ref="D24:D25"/>
    <mergeCell ref="C25:C26"/>
    <mergeCell ref="E25:E26"/>
    <mergeCell ref="F25:F26"/>
    <mergeCell ref="D22:D23"/>
    <mergeCell ref="C23:C24"/>
    <mergeCell ref="E23:E24"/>
    <mergeCell ref="F23:F24"/>
    <mergeCell ref="G23:G24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B16:B17"/>
    <mergeCell ref="D16:D17"/>
    <mergeCell ref="C17:C18"/>
    <mergeCell ref="E17:E18"/>
    <mergeCell ref="B14:B15"/>
    <mergeCell ref="D14:D15"/>
    <mergeCell ref="C15:C16"/>
    <mergeCell ref="E15:E16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E1:G1"/>
    <mergeCell ref="H2:I2"/>
    <mergeCell ref="A3:F4"/>
    <mergeCell ref="A5:F6"/>
    <mergeCell ref="A7:F7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43"/>
  <sheetViews>
    <sheetView view="pageBreakPreview" topLeftCell="A3" zoomScaleNormal="100" zoomScaleSheetLayoutView="100" workbookViewId="0">
      <selection activeCell="D6" sqref="D6:I7"/>
    </sheetView>
  </sheetViews>
  <sheetFormatPr defaultRowHeight="12.75" x14ac:dyDescent="0.2"/>
  <cols>
    <col min="1" max="1" width="4.7109375" customWidth="1"/>
    <col min="2" max="2" width="4.85546875" customWidth="1"/>
    <col min="3" max="3" width="10.42578125" customWidth="1"/>
    <col min="8" max="8" width="10.42578125" customWidth="1"/>
    <col min="9" max="9" width="11" customWidth="1"/>
    <col min="10" max="10" width="6.42578125" customWidth="1"/>
  </cols>
  <sheetData>
    <row r="1" spans="1:10" ht="15" hidden="1" x14ac:dyDescent="0.2">
      <c r="B1" s="105"/>
    </row>
    <row r="2" spans="1:10" ht="15" hidden="1" x14ac:dyDescent="0.2">
      <c r="B2" s="105"/>
    </row>
    <row r="3" spans="1:10" ht="44.25" customHeight="1" x14ac:dyDescent="0.2">
      <c r="A3" s="116"/>
      <c r="B3" s="332" t="s">
        <v>175</v>
      </c>
      <c r="C3" s="332"/>
      <c r="D3" s="334" t="s">
        <v>257</v>
      </c>
      <c r="E3" s="334"/>
      <c r="F3" s="334"/>
      <c r="G3" s="334"/>
      <c r="H3" s="334"/>
      <c r="I3" s="334"/>
      <c r="J3" s="335"/>
    </row>
    <row r="4" spans="1:10" ht="8.25" customHeight="1" x14ac:dyDescent="0.2">
      <c r="A4" s="110"/>
      <c r="B4" s="333"/>
      <c r="C4" s="333"/>
      <c r="D4" s="336"/>
      <c r="E4" s="336"/>
      <c r="F4" s="336"/>
      <c r="G4" s="336"/>
      <c r="H4" s="336"/>
      <c r="I4" s="336"/>
      <c r="J4" s="337"/>
    </row>
    <row r="5" spans="1:10" ht="12.75" hidden="1" customHeight="1" x14ac:dyDescent="0.2">
      <c r="A5" s="110"/>
      <c r="B5" s="333"/>
      <c r="C5" s="333"/>
      <c r="D5" s="336"/>
      <c r="E5" s="336"/>
      <c r="F5" s="336"/>
      <c r="G5" s="336"/>
      <c r="H5" s="336"/>
      <c r="I5" s="336"/>
      <c r="J5" s="337"/>
    </row>
    <row r="6" spans="1:10" ht="60.75" customHeight="1" x14ac:dyDescent="0.2">
      <c r="A6" s="110"/>
      <c r="B6" s="333" t="s">
        <v>174</v>
      </c>
      <c r="C6" s="333"/>
      <c r="D6" s="342" t="s">
        <v>372</v>
      </c>
      <c r="E6" s="342"/>
      <c r="F6" s="342"/>
      <c r="G6" s="342"/>
      <c r="H6" s="342"/>
      <c r="I6" s="342"/>
      <c r="J6" s="194"/>
    </row>
    <row r="7" spans="1:10" ht="61.5" customHeight="1" x14ac:dyDescent="0.2">
      <c r="A7" s="110"/>
      <c r="B7" s="333"/>
      <c r="C7" s="333"/>
      <c r="D7" s="342"/>
      <c r="E7" s="342"/>
      <c r="F7" s="342"/>
      <c r="G7" s="342"/>
      <c r="H7" s="342"/>
      <c r="I7" s="342"/>
      <c r="J7" s="194"/>
    </row>
    <row r="8" spans="1:10" ht="34.5" customHeight="1" x14ac:dyDescent="0.2">
      <c r="A8" s="110"/>
      <c r="B8" s="333" t="s">
        <v>173</v>
      </c>
      <c r="C8" s="333"/>
      <c r="D8" s="338" t="s">
        <v>440</v>
      </c>
      <c r="E8" s="338"/>
      <c r="F8" s="338"/>
      <c r="G8" s="338"/>
      <c r="H8" s="338"/>
      <c r="I8" s="338"/>
      <c r="J8" s="194"/>
    </row>
    <row r="9" spans="1:10" ht="25.5" customHeight="1" x14ac:dyDescent="0.2">
      <c r="A9" s="110"/>
      <c r="B9" s="333"/>
      <c r="C9" s="333"/>
      <c r="D9" s="338" t="s">
        <v>373</v>
      </c>
      <c r="E9" s="338"/>
      <c r="F9" s="338"/>
      <c r="G9" s="338"/>
      <c r="H9" s="338"/>
      <c r="I9" s="338"/>
      <c r="J9" s="194"/>
    </row>
    <row r="10" spans="1:10" ht="18.75" customHeight="1" x14ac:dyDescent="0.2">
      <c r="A10" s="110"/>
      <c r="B10" s="333"/>
      <c r="C10" s="333"/>
      <c r="D10" s="338" t="s">
        <v>353</v>
      </c>
      <c r="E10" s="338"/>
      <c r="F10" s="338"/>
      <c r="G10" s="338"/>
      <c r="H10" s="338"/>
      <c r="I10" s="338"/>
      <c r="J10" s="109"/>
    </row>
    <row r="11" spans="1:10" ht="37.5" customHeight="1" x14ac:dyDescent="0.2">
      <c r="A11" s="110"/>
      <c r="B11" s="333"/>
      <c r="C11" s="333"/>
      <c r="D11" s="338" t="s">
        <v>354</v>
      </c>
      <c r="E11" s="338"/>
      <c r="F11" s="338"/>
      <c r="G11" s="338"/>
      <c r="H11" s="338"/>
      <c r="J11" s="109"/>
    </row>
    <row r="12" spans="1:10" ht="21.75" customHeight="1" x14ac:dyDescent="0.2">
      <c r="A12" s="110"/>
      <c r="B12" s="333"/>
      <c r="C12" s="333"/>
      <c r="D12" s="115" t="s">
        <v>297</v>
      </c>
      <c r="E12" s="115"/>
      <c r="F12" s="115"/>
      <c r="J12" s="109"/>
    </row>
    <row r="13" spans="1:10" hidden="1" x14ac:dyDescent="0.2">
      <c r="A13" s="110"/>
      <c r="B13" s="333" t="s">
        <v>169</v>
      </c>
      <c r="C13" s="333"/>
      <c r="D13" s="355">
        <v>911</v>
      </c>
      <c r="E13" s="355"/>
      <c r="F13" s="355"/>
      <c r="J13" s="109"/>
    </row>
    <row r="14" spans="1:10" hidden="1" x14ac:dyDescent="0.2">
      <c r="A14" s="110"/>
      <c r="B14" s="333"/>
      <c r="C14" s="333"/>
      <c r="D14" s="355"/>
      <c r="E14" s="355"/>
      <c r="F14" s="355"/>
      <c r="J14" s="109"/>
    </row>
    <row r="15" spans="1:10" hidden="1" x14ac:dyDescent="0.2">
      <c r="A15" s="110"/>
      <c r="B15" s="333"/>
      <c r="C15" s="333"/>
      <c r="D15" s="355"/>
      <c r="E15" s="355"/>
      <c r="F15" s="355"/>
      <c r="J15" s="109"/>
    </row>
    <row r="16" spans="1:10" ht="12.75" customHeight="1" x14ac:dyDescent="0.2">
      <c r="A16" s="110"/>
      <c r="B16" s="356" t="s">
        <v>253</v>
      </c>
      <c r="C16" s="356"/>
      <c r="D16" s="357" t="s">
        <v>23</v>
      </c>
      <c r="E16" s="357"/>
      <c r="F16" s="358"/>
      <c r="G16" s="358"/>
      <c r="H16" s="358"/>
      <c r="J16" s="109"/>
    </row>
    <row r="17" spans="1:10" ht="12.75" customHeight="1" x14ac:dyDescent="0.2">
      <c r="A17" s="110"/>
      <c r="B17" s="356"/>
      <c r="C17" s="356"/>
      <c r="D17" s="357"/>
      <c r="E17" s="357"/>
      <c r="F17" s="358"/>
      <c r="G17" s="358"/>
      <c r="H17" s="358"/>
      <c r="J17" s="109"/>
    </row>
    <row r="18" spans="1:10" ht="12.75" customHeight="1" x14ac:dyDescent="0.2">
      <c r="A18" s="110"/>
      <c r="B18" s="356"/>
      <c r="C18" s="356"/>
      <c r="D18" s="357"/>
      <c r="E18" s="357"/>
      <c r="F18" s="358"/>
      <c r="G18" s="358"/>
      <c r="H18" s="358"/>
      <c r="J18" s="109"/>
    </row>
    <row r="19" spans="1:10" ht="44.25" customHeight="1" x14ac:dyDescent="0.2">
      <c r="A19" s="110"/>
      <c r="B19" s="356" t="s">
        <v>298</v>
      </c>
      <c r="C19" s="356"/>
      <c r="D19" s="359" t="s">
        <v>361</v>
      </c>
      <c r="E19" s="359"/>
      <c r="F19" s="359"/>
      <c r="G19" s="359"/>
      <c r="H19" s="359"/>
      <c r="J19" s="109"/>
    </row>
    <row r="20" spans="1:10" ht="32.25" customHeight="1" x14ac:dyDescent="0.2">
      <c r="A20" s="110"/>
      <c r="B20" s="356" t="s">
        <v>167</v>
      </c>
      <c r="C20" s="356"/>
      <c r="D20" s="338" t="s">
        <v>355</v>
      </c>
      <c r="E20" s="338"/>
      <c r="F20" s="338"/>
      <c r="G20" s="338"/>
      <c r="H20" s="338"/>
      <c r="J20" s="109"/>
    </row>
    <row r="21" spans="1:10" ht="19.5" customHeight="1" x14ac:dyDescent="0.2">
      <c r="A21" s="110"/>
      <c r="B21" s="356"/>
      <c r="C21" s="356"/>
      <c r="D21" s="338"/>
      <c r="E21" s="338"/>
      <c r="F21" s="338"/>
      <c r="G21" s="338"/>
      <c r="H21" s="338"/>
      <c r="J21" s="109"/>
    </row>
    <row r="22" spans="1:10" ht="21" customHeight="1" x14ac:dyDescent="0.2">
      <c r="A22" s="110"/>
      <c r="B22" s="356"/>
      <c r="C22" s="356"/>
      <c r="D22" s="338"/>
      <c r="E22" s="338"/>
      <c r="F22" s="338"/>
      <c r="G22" s="338"/>
      <c r="H22" s="338"/>
      <c r="J22" s="109"/>
    </row>
    <row r="23" spans="1:10" ht="15" x14ac:dyDescent="0.2">
      <c r="A23" s="110"/>
      <c r="B23" s="114"/>
      <c r="C23" s="114"/>
      <c r="D23" s="113"/>
      <c r="E23" s="112"/>
      <c r="F23" s="112"/>
      <c r="J23" s="109"/>
    </row>
    <row r="24" spans="1:10" ht="15" x14ac:dyDescent="0.2">
      <c r="A24" s="110"/>
      <c r="B24" s="114"/>
      <c r="C24" s="114"/>
      <c r="D24" s="113"/>
      <c r="E24" s="112"/>
      <c r="F24" s="112"/>
      <c r="J24" s="109"/>
    </row>
    <row r="25" spans="1:10" ht="15" x14ac:dyDescent="0.2">
      <c r="A25" s="110"/>
      <c r="B25" s="115" t="s">
        <v>166</v>
      </c>
      <c r="C25" s="115"/>
      <c r="D25" s="113"/>
      <c r="E25" s="112"/>
      <c r="F25" s="112"/>
      <c r="J25" s="109"/>
    </row>
    <row r="26" spans="1:10" ht="15" x14ac:dyDescent="0.2">
      <c r="A26" s="110"/>
      <c r="B26" s="114"/>
      <c r="C26" s="114"/>
      <c r="D26" s="113"/>
      <c r="E26" s="112"/>
      <c r="F26" s="112"/>
      <c r="J26" s="109"/>
    </row>
    <row r="27" spans="1:10" ht="19.5" customHeight="1" x14ac:dyDescent="0.2">
      <c r="A27" s="110"/>
      <c r="B27" s="325" t="s">
        <v>165</v>
      </c>
      <c r="C27" s="329" t="s">
        <v>183</v>
      </c>
      <c r="D27" s="329" t="s">
        <v>164</v>
      </c>
      <c r="E27" s="329"/>
      <c r="F27" s="329"/>
      <c r="G27" s="329"/>
      <c r="H27" s="325" t="s">
        <v>163</v>
      </c>
      <c r="I27" s="325" t="s">
        <v>162</v>
      </c>
      <c r="J27" s="109"/>
    </row>
    <row r="28" spans="1:10" ht="20.25" customHeight="1" x14ac:dyDescent="0.2">
      <c r="A28" s="110"/>
      <c r="B28" s="325"/>
      <c r="C28" s="330"/>
      <c r="D28" s="326" t="s">
        <v>161</v>
      </c>
      <c r="E28" s="326"/>
      <c r="F28" s="326"/>
      <c r="G28" s="326"/>
      <c r="H28" s="325"/>
      <c r="I28" s="325"/>
      <c r="J28" s="109"/>
    </row>
    <row r="29" spans="1:10" ht="27.75" customHeight="1" x14ac:dyDescent="0.2">
      <c r="A29" s="110"/>
      <c r="B29" s="160" t="s">
        <v>160</v>
      </c>
      <c r="C29" s="111" t="s">
        <v>159</v>
      </c>
      <c r="D29" s="328" t="s">
        <v>254</v>
      </c>
      <c r="E29" s="328"/>
      <c r="F29" s="328"/>
      <c r="G29" s="328"/>
      <c r="H29" s="111" t="s">
        <v>371</v>
      </c>
      <c r="I29" s="155"/>
      <c r="J29" s="109"/>
    </row>
    <row r="30" spans="1:10" ht="24" hidden="1" customHeight="1" x14ac:dyDescent="0.2">
      <c r="A30" s="110"/>
      <c r="B30" s="327" t="s">
        <v>19</v>
      </c>
      <c r="C30" s="111" t="s">
        <v>159</v>
      </c>
      <c r="D30" s="328" t="s">
        <v>158</v>
      </c>
      <c r="E30" s="328"/>
      <c r="F30" s="328"/>
      <c r="G30" s="328"/>
      <c r="H30" s="328" t="s">
        <v>157</v>
      </c>
      <c r="I30" s="324"/>
      <c r="J30" s="109"/>
    </row>
    <row r="31" spans="1:10" hidden="1" x14ac:dyDescent="0.2">
      <c r="A31" s="110"/>
      <c r="B31" s="327"/>
      <c r="C31" s="111" t="s">
        <v>156</v>
      </c>
      <c r="D31" s="328"/>
      <c r="E31" s="328"/>
      <c r="F31" s="328"/>
      <c r="G31" s="328"/>
      <c r="H31" s="328"/>
      <c r="I31" s="324"/>
      <c r="J31" s="109"/>
    </row>
    <row r="32" spans="1:10" ht="15" x14ac:dyDescent="0.2">
      <c r="A32" s="110"/>
      <c r="B32" s="105"/>
      <c r="J32" s="109"/>
    </row>
    <row r="33" spans="1:10" ht="15" x14ac:dyDescent="0.2">
      <c r="A33" s="110"/>
      <c r="B33" s="105"/>
      <c r="E33" s="7" t="s">
        <v>374</v>
      </c>
      <c r="J33" s="109"/>
    </row>
    <row r="34" spans="1:10" x14ac:dyDescent="0.2">
      <c r="A34" s="108"/>
      <c r="B34" s="107"/>
      <c r="C34" s="107"/>
      <c r="D34" s="107"/>
      <c r="E34" s="107"/>
      <c r="F34" s="107"/>
      <c r="G34" s="107"/>
      <c r="H34" s="107"/>
      <c r="I34" s="107"/>
      <c r="J34" s="106"/>
    </row>
    <row r="35" spans="1:10" ht="15" x14ac:dyDescent="0.2">
      <c r="B35" s="105"/>
    </row>
    <row r="42" spans="1:10" ht="15" x14ac:dyDescent="0.2">
      <c r="B42" s="104"/>
    </row>
    <row r="43" spans="1:10" ht="15" x14ac:dyDescent="0.2">
      <c r="B43" s="104"/>
    </row>
  </sheetData>
  <mergeCells count="30">
    <mergeCell ref="D29:G29"/>
    <mergeCell ref="B30:B31"/>
    <mergeCell ref="D30:G31"/>
    <mergeCell ref="H30:H31"/>
    <mergeCell ref="I30:I31"/>
    <mergeCell ref="B27:B28"/>
    <mergeCell ref="C27:C28"/>
    <mergeCell ref="D27:G27"/>
    <mergeCell ref="H27:H28"/>
    <mergeCell ref="I27:I28"/>
    <mergeCell ref="D28:G28"/>
    <mergeCell ref="B20:C22"/>
    <mergeCell ref="B9:C12"/>
    <mergeCell ref="D10:I10"/>
    <mergeCell ref="D11:H11"/>
    <mergeCell ref="B13:C15"/>
    <mergeCell ref="D13:F15"/>
    <mergeCell ref="B16:C18"/>
    <mergeCell ref="D16:E18"/>
    <mergeCell ref="F16:H18"/>
    <mergeCell ref="B19:C19"/>
    <mergeCell ref="D19:H19"/>
    <mergeCell ref="D9:I9"/>
    <mergeCell ref="D20:H22"/>
    <mergeCell ref="B3:C5"/>
    <mergeCell ref="D3:J5"/>
    <mergeCell ref="B6:C7"/>
    <mergeCell ref="B8:C8"/>
    <mergeCell ref="D6:I7"/>
    <mergeCell ref="D8:I8"/>
  </mergeCells>
  <pageMargins left="0.51181102362204722" right="0.51181102362204722" top="0.74803149606299213" bottom="0.74803149606299213" header="0.31496062992125984" footer="0.31496062992125984"/>
  <pageSetup paperSize="9" scale="11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3:I21"/>
  <sheetViews>
    <sheetView view="pageBreakPreview" zoomScaleNormal="100" zoomScaleSheetLayoutView="100" workbookViewId="0">
      <selection activeCell="A20" sqref="A20:I20"/>
    </sheetView>
  </sheetViews>
  <sheetFormatPr defaultRowHeight="12.75" x14ac:dyDescent="0.2"/>
  <cols>
    <col min="1" max="1" width="17.42578125" customWidth="1"/>
  </cols>
  <sheetData>
    <row r="3" spans="1:9" x14ac:dyDescent="0.2">
      <c r="A3" s="1"/>
      <c r="B3" s="2"/>
      <c r="C3" s="3"/>
      <c r="D3" s="1"/>
      <c r="E3" s="4"/>
      <c r="F3" s="1"/>
      <c r="G3" s="5"/>
      <c r="H3" s="5"/>
      <c r="I3" s="5"/>
    </row>
    <row r="4" spans="1:9" x14ac:dyDescent="0.2">
      <c r="A4" s="1"/>
      <c r="B4" s="2"/>
      <c r="C4" s="3"/>
      <c r="D4" s="1"/>
      <c r="E4" s="4"/>
      <c r="F4" s="1"/>
      <c r="G4" s="5"/>
      <c r="H4" s="5"/>
      <c r="I4" s="5"/>
    </row>
    <row r="5" spans="1:9" ht="30" x14ac:dyDescent="0.2">
      <c r="A5" s="360" t="s">
        <v>287</v>
      </c>
      <c r="B5" s="360"/>
      <c r="C5" s="360"/>
      <c r="D5" s="360"/>
      <c r="E5" s="360"/>
      <c r="F5" s="360"/>
      <c r="G5" s="360"/>
      <c r="H5" s="360"/>
      <c r="I5" s="360"/>
    </row>
    <row r="6" spans="1:9" ht="30" x14ac:dyDescent="0.2">
      <c r="A6" s="277"/>
      <c r="B6" s="277"/>
      <c r="C6" s="277"/>
      <c r="D6" s="277"/>
      <c r="E6" s="277"/>
      <c r="F6" s="277"/>
      <c r="G6" s="277"/>
      <c r="H6" s="277"/>
      <c r="I6" s="277"/>
    </row>
    <row r="7" spans="1:9" ht="30" x14ac:dyDescent="0.2">
      <c r="A7" s="277"/>
      <c r="B7" s="277"/>
      <c r="C7" s="277"/>
      <c r="D7" s="277"/>
      <c r="E7" s="277"/>
      <c r="F7" s="277"/>
      <c r="G7" s="277"/>
      <c r="H7" s="277"/>
      <c r="I7" s="277"/>
    </row>
    <row r="8" spans="1:9" ht="30" x14ac:dyDescent="0.2">
      <c r="A8" s="277"/>
      <c r="B8" s="277"/>
      <c r="C8" s="277"/>
      <c r="D8" s="277"/>
      <c r="E8" s="277"/>
      <c r="F8" s="277"/>
      <c r="G8" s="277"/>
      <c r="H8" s="277"/>
      <c r="I8" s="277"/>
    </row>
    <row r="9" spans="1:9" ht="34.5" x14ac:dyDescent="0.45">
      <c r="A9" s="6"/>
      <c r="B9" s="6"/>
      <c r="C9" s="6"/>
      <c r="D9" s="6"/>
      <c r="E9" s="6"/>
      <c r="F9" s="6"/>
      <c r="G9" s="6"/>
      <c r="H9" s="6"/>
      <c r="I9" s="6"/>
    </row>
    <row r="10" spans="1:9" ht="94.5" customHeight="1" x14ac:dyDescent="0.2">
      <c r="A10" s="280" t="s">
        <v>291</v>
      </c>
      <c r="B10" s="338" t="s">
        <v>369</v>
      </c>
      <c r="C10" s="338"/>
      <c r="D10" s="338"/>
      <c r="E10" s="338"/>
      <c r="F10" s="338"/>
      <c r="G10" s="338"/>
      <c r="H10" s="338"/>
      <c r="I10" s="338"/>
    </row>
    <row r="11" spans="1:9" x14ac:dyDescent="0.2">
      <c r="A11" s="7"/>
      <c r="B11" s="7"/>
      <c r="C11" s="7"/>
      <c r="D11" s="7"/>
      <c r="E11" s="7"/>
      <c r="F11" s="7"/>
      <c r="G11" s="7"/>
      <c r="H11" s="7"/>
      <c r="I11" s="5"/>
    </row>
    <row r="12" spans="1:9" ht="66" customHeight="1" x14ac:dyDescent="0.2">
      <c r="A12" s="280" t="s">
        <v>362</v>
      </c>
      <c r="B12" s="338" t="s">
        <v>370</v>
      </c>
      <c r="C12" s="338"/>
      <c r="D12" s="338"/>
      <c r="E12" s="338"/>
      <c r="F12" s="338"/>
      <c r="G12" s="338"/>
      <c r="H12" s="338"/>
      <c r="I12" s="338"/>
    </row>
    <row r="13" spans="1:9" x14ac:dyDescent="0.2">
      <c r="A13" s="291"/>
      <c r="B13" s="291"/>
      <c r="C13" s="291"/>
      <c r="D13" s="291"/>
      <c r="E13" s="291"/>
      <c r="F13" s="291"/>
      <c r="G13" s="291"/>
      <c r="H13" s="291"/>
      <c r="I13" s="5"/>
    </row>
    <row r="14" spans="1:9" ht="75.75" customHeight="1" x14ac:dyDescent="0.2">
      <c r="A14" s="280" t="s">
        <v>4</v>
      </c>
      <c r="B14" s="338" t="s">
        <v>368</v>
      </c>
      <c r="C14" s="338"/>
      <c r="D14" s="338"/>
      <c r="E14" s="338"/>
      <c r="F14" s="338"/>
      <c r="G14" s="338"/>
      <c r="H14" s="338"/>
      <c r="I14" s="338"/>
    </row>
    <row r="15" spans="1:9" ht="15" x14ac:dyDescent="0.2">
      <c r="A15" s="12"/>
      <c r="B15" s="7"/>
      <c r="C15" s="7"/>
      <c r="D15" s="7"/>
      <c r="E15" s="7"/>
      <c r="F15" s="7"/>
      <c r="G15" s="7"/>
      <c r="H15" s="7"/>
      <c r="I15" s="7"/>
    </row>
    <row r="16" spans="1:9" ht="31.5" customHeight="1" x14ac:dyDescent="0.2">
      <c r="A16" s="280" t="s">
        <v>363</v>
      </c>
      <c r="B16" s="338" t="s">
        <v>23</v>
      </c>
      <c r="C16" s="338"/>
      <c r="D16" s="338"/>
      <c r="E16" s="338"/>
      <c r="F16" s="338"/>
      <c r="G16" s="338"/>
      <c r="H16" s="338"/>
      <c r="I16" s="338"/>
    </row>
    <row r="17" spans="1:9" ht="15" customHeight="1" x14ac:dyDescent="0.2">
      <c r="A17" s="292"/>
      <c r="B17" s="361"/>
      <c r="C17" s="361"/>
      <c r="D17" s="361"/>
      <c r="E17" s="361"/>
      <c r="F17" s="361"/>
      <c r="G17" s="361"/>
      <c r="H17" s="361"/>
      <c r="I17" s="361"/>
    </row>
    <row r="18" spans="1:9" ht="33" customHeight="1" x14ac:dyDescent="0.2">
      <c r="A18" s="280" t="s">
        <v>364</v>
      </c>
      <c r="B18" s="338" t="s">
        <v>365</v>
      </c>
      <c r="C18" s="338"/>
      <c r="D18" s="338"/>
      <c r="E18" s="338"/>
      <c r="F18" s="338"/>
      <c r="G18" s="338"/>
      <c r="H18" s="338"/>
      <c r="I18" s="338"/>
    </row>
    <row r="19" spans="1:9" ht="15" customHeight="1" x14ac:dyDescent="0.2">
      <c r="A19" s="1"/>
      <c r="B19" s="2"/>
      <c r="C19" s="3"/>
      <c r="D19" s="1"/>
      <c r="E19" s="4"/>
      <c r="F19" s="1"/>
      <c r="G19" s="5"/>
      <c r="H19" s="5"/>
      <c r="I19" s="5"/>
    </row>
    <row r="20" spans="1:9" ht="45" customHeight="1" x14ac:dyDescent="0.2">
      <c r="A20" s="280" t="s">
        <v>366</v>
      </c>
      <c r="B20" s="338" t="s">
        <v>371</v>
      </c>
      <c r="C20" s="338"/>
      <c r="D20" s="338"/>
      <c r="E20" s="338"/>
      <c r="F20" s="338"/>
      <c r="G20" s="338"/>
      <c r="H20" s="338"/>
      <c r="I20" s="338"/>
    </row>
    <row r="21" spans="1:9" ht="15" x14ac:dyDescent="0.2">
      <c r="A21" s="11"/>
      <c r="B21" s="11"/>
      <c r="C21" s="11"/>
      <c r="D21" s="11"/>
      <c r="E21" s="11"/>
      <c r="F21" s="11"/>
      <c r="G21" s="11"/>
      <c r="H21" s="11"/>
      <c r="I21" s="11"/>
    </row>
  </sheetData>
  <mergeCells count="8">
    <mergeCell ref="B18:I18"/>
    <mergeCell ref="B20:I20"/>
    <mergeCell ref="A5:I5"/>
    <mergeCell ref="B10:I10"/>
    <mergeCell ref="B12:I12"/>
    <mergeCell ref="B14:I14"/>
    <mergeCell ref="B16:I16"/>
    <mergeCell ref="B17:I17"/>
  </mergeCells>
  <pageMargins left="0.7" right="0.7" top="0.75" bottom="0.75" header="0.3" footer="0.3"/>
  <pageSetup paperSize="9" scale="93" orientation="portrait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EL109"/>
  <sheetViews>
    <sheetView view="pageBreakPreview" zoomScale="130" zoomScaleNormal="100" zoomScaleSheetLayoutView="130" workbookViewId="0">
      <selection sqref="A1:J1"/>
    </sheetView>
  </sheetViews>
  <sheetFormatPr defaultRowHeight="15" x14ac:dyDescent="0.2"/>
  <cols>
    <col min="1" max="1" width="10.28515625" style="176" customWidth="1"/>
    <col min="2" max="2" width="23.42578125" style="177" customWidth="1"/>
    <col min="3" max="3" width="65.7109375" style="130" customWidth="1"/>
    <col min="4" max="4" width="10.42578125" style="144" customWidth="1"/>
    <col min="5" max="5" width="9.7109375" style="145" hidden="1" customWidth="1"/>
    <col min="6" max="6" width="12.28515625" style="146" customWidth="1"/>
    <col min="7" max="8" width="14" style="143" customWidth="1"/>
    <col min="9" max="9" width="14" style="190" hidden="1" customWidth="1"/>
    <col min="10" max="10" width="18.42578125" style="143" hidden="1" customWidth="1"/>
    <col min="11" max="11" width="18.7109375" style="126" hidden="1" customWidth="1"/>
    <col min="12" max="12" width="13.7109375" style="126" customWidth="1"/>
    <col min="13" max="13" width="30.42578125" style="126" customWidth="1"/>
    <col min="14" max="14" width="13" style="126" bestFit="1" customWidth="1"/>
    <col min="15" max="15" width="13.140625" style="126" customWidth="1"/>
    <col min="16" max="16384" width="9.140625" style="126"/>
  </cols>
  <sheetData>
    <row r="1" spans="1:13" s="125" customFormat="1" ht="44.25" customHeight="1" x14ac:dyDescent="0.2">
      <c r="A1" s="399" t="s">
        <v>287</v>
      </c>
      <c r="B1" s="400"/>
      <c r="C1" s="400"/>
      <c r="D1" s="400"/>
      <c r="E1" s="400"/>
      <c r="F1" s="400"/>
      <c r="G1" s="400"/>
      <c r="H1" s="400"/>
      <c r="I1" s="400"/>
      <c r="J1" s="400"/>
      <c r="K1" s="250"/>
    </row>
    <row r="2" spans="1:13" s="125" customFormat="1" ht="51.75" customHeight="1" x14ac:dyDescent="0.2">
      <c r="A2" s="401" t="s">
        <v>372</v>
      </c>
      <c r="B2" s="402"/>
      <c r="C2" s="402"/>
      <c r="D2" s="402"/>
      <c r="E2" s="402"/>
      <c r="F2" s="402"/>
      <c r="G2" s="402"/>
      <c r="H2" s="402"/>
      <c r="I2" s="402"/>
      <c r="J2" s="403"/>
      <c r="K2" s="251"/>
      <c r="L2" s="247"/>
    </row>
    <row r="3" spans="1:13" ht="45" customHeight="1" x14ac:dyDescent="0.2">
      <c r="A3" s="165" t="s">
        <v>194</v>
      </c>
      <c r="B3" s="179" t="s">
        <v>308</v>
      </c>
      <c r="C3" s="404" t="s">
        <v>326</v>
      </c>
      <c r="D3" s="404"/>
      <c r="E3" s="404"/>
      <c r="F3" s="404"/>
      <c r="G3" s="213" t="s">
        <v>195</v>
      </c>
      <c r="H3" s="178" t="s">
        <v>196</v>
      </c>
      <c r="I3" s="219" t="s">
        <v>197</v>
      </c>
      <c r="J3" s="220" t="s">
        <v>198</v>
      </c>
      <c r="K3" s="252"/>
      <c r="M3" s="127"/>
    </row>
    <row r="4" spans="1:13" ht="42.75" customHeight="1" x14ac:dyDescent="0.2">
      <c r="A4" s="166" t="s">
        <v>1</v>
      </c>
      <c r="B4" s="407" t="s">
        <v>327</v>
      </c>
      <c r="C4" s="408"/>
      <c r="D4" s="408"/>
      <c r="E4" s="408"/>
      <c r="F4" s="408"/>
      <c r="G4" s="408"/>
      <c r="H4" s="408"/>
      <c r="I4" s="408"/>
      <c r="J4" s="409"/>
      <c r="K4" s="253"/>
    </row>
    <row r="5" spans="1:13" s="131" customFormat="1" ht="38.25" customHeight="1" x14ac:dyDescent="0.2">
      <c r="A5" s="163" t="s">
        <v>12</v>
      </c>
      <c r="B5" s="150" t="s">
        <v>199</v>
      </c>
      <c r="C5" s="410" t="s">
        <v>9</v>
      </c>
      <c r="D5" s="410"/>
      <c r="E5" s="410"/>
      <c r="F5" s="410"/>
      <c r="G5" s="410"/>
      <c r="H5" s="410"/>
      <c r="I5" s="410"/>
      <c r="J5" s="410"/>
      <c r="K5" s="411"/>
      <c r="M5" s="126"/>
    </row>
    <row r="6" spans="1:13" s="131" customFormat="1" ht="27" customHeight="1" x14ac:dyDescent="0.2">
      <c r="A6" s="164" t="s">
        <v>2</v>
      </c>
      <c r="B6" s="197" t="s">
        <v>200</v>
      </c>
      <c r="C6" s="405" t="s">
        <v>201</v>
      </c>
      <c r="D6" s="405"/>
      <c r="E6" s="405"/>
      <c r="F6" s="405"/>
      <c r="G6" s="405"/>
      <c r="H6" s="405"/>
      <c r="I6" s="405"/>
      <c r="J6" s="405"/>
      <c r="K6" s="406"/>
      <c r="M6" s="126"/>
    </row>
    <row r="7" spans="1:13" s="131" customFormat="1" ht="51.75" customHeight="1" x14ac:dyDescent="0.2">
      <c r="A7" s="167" t="s">
        <v>202</v>
      </c>
      <c r="B7" s="175" t="s">
        <v>200</v>
      </c>
      <c r="C7" s="377" t="s">
        <v>299</v>
      </c>
      <c r="D7" s="377"/>
      <c r="E7" s="377"/>
      <c r="F7" s="377"/>
      <c r="G7" s="218" t="s">
        <v>203</v>
      </c>
      <c r="H7" s="148">
        <v>1</v>
      </c>
      <c r="I7" s="185">
        <f>H7</f>
        <v>1</v>
      </c>
      <c r="J7" s="148">
        <v>1500</v>
      </c>
      <c r="K7" s="255">
        <f t="shared" ref="K7:K8" si="0">I7*J7</f>
        <v>1500</v>
      </c>
      <c r="M7" s="126"/>
    </row>
    <row r="8" spans="1:13" s="131" customFormat="1" ht="40.5" customHeight="1" x14ac:dyDescent="0.2">
      <c r="A8" s="165" t="s">
        <v>204</v>
      </c>
      <c r="B8" s="175" t="s">
        <v>200</v>
      </c>
      <c r="C8" s="377" t="s">
        <v>375</v>
      </c>
      <c r="D8" s="377"/>
      <c r="E8" s="377"/>
      <c r="F8" s="377"/>
      <c r="G8" s="218" t="s">
        <v>203</v>
      </c>
      <c r="H8" s="148">
        <v>1</v>
      </c>
      <c r="I8" s="185">
        <f>H8</f>
        <v>1</v>
      </c>
      <c r="J8" s="148">
        <v>1500</v>
      </c>
      <c r="K8" s="255">
        <f t="shared" si="0"/>
        <v>1500</v>
      </c>
      <c r="M8" s="126"/>
    </row>
    <row r="9" spans="1:13" ht="37.5" customHeight="1" x14ac:dyDescent="0.2">
      <c r="A9" s="166" t="s">
        <v>3</v>
      </c>
      <c r="B9" s="407" t="s">
        <v>359</v>
      </c>
      <c r="C9" s="408"/>
      <c r="D9" s="408"/>
      <c r="E9" s="408"/>
      <c r="F9" s="408"/>
      <c r="G9" s="408"/>
      <c r="H9" s="408"/>
      <c r="I9" s="408"/>
      <c r="J9" s="408"/>
      <c r="K9" s="256"/>
    </row>
    <row r="10" spans="1:13" ht="34.5" customHeight="1" x14ac:dyDescent="0.2">
      <c r="A10" s="163" t="s">
        <v>13</v>
      </c>
      <c r="B10" s="174" t="s">
        <v>206</v>
      </c>
      <c r="C10" s="396" t="s">
        <v>207</v>
      </c>
      <c r="D10" s="397"/>
      <c r="E10" s="397"/>
      <c r="F10" s="397"/>
      <c r="G10" s="397"/>
      <c r="H10" s="397"/>
      <c r="I10" s="397"/>
      <c r="J10" s="397"/>
      <c r="K10" s="257"/>
    </row>
    <row r="11" spans="1:13" ht="33.75" customHeight="1" x14ac:dyDescent="0.2">
      <c r="A11" s="164" t="s">
        <v>2</v>
      </c>
      <c r="B11" s="181" t="s">
        <v>357</v>
      </c>
      <c r="C11" s="372" t="s">
        <v>238</v>
      </c>
      <c r="D11" s="373"/>
      <c r="E11" s="373"/>
      <c r="F11" s="373"/>
      <c r="G11" s="373"/>
      <c r="H11" s="373"/>
      <c r="I11" s="373"/>
      <c r="J11" s="373"/>
      <c r="K11" s="257"/>
    </row>
    <row r="12" spans="1:13" s="131" customFormat="1" ht="51" customHeight="1" x14ac:dyDescent="0.2">
      <c r="A12" s="165" t="s">
        <v>275</v>
      </c>
      <c r="B12" s="179" t="s">
        <v>288</v>
      </c>
      <c r="C12" s="378" t="s">
        <v>328</v>
      </c>
      <c r="D12" s="379"/>
      <c r="E12" s="379"/>
      <c r="F12" s="380"/>
      <c r="G12" s="132" t="s">
        <v>358</v>
      </c>
      <c r="H12" s="132">
        <v>1</v>
      </c>
      <c r="I12" s="219">
        <v>15000</v>
      </c>
      <c r="J12" s="219">
        <f>I12*H12</f>
        <v>15000</v>
      </c>
      <c r="K12" s="252"/>
      <c r="M12" s="126"/>
    </row>
    <row r="13" spans="1:13" s="131" customFormat="1" ht="87" customHeight="1" x14ac:dyDescent="0.2">
      <c r="A13" s="199"/>
      <c r="B13" s="182"/>
      <c r="C13" s="378" t="s">
        <v>376</v>
      </c>
      <c r="D13" s="379"/>
      <c r="E13" s="379"/>
      <c r="F13" s="380"/>
      <c r="G13" s="128" t="s">
        <v>2</v>
      </c>
      <c r="H13" s="128" t="s">
        <v>2</v>
      </c>
      <c r="I13" s="219"/>
      <c r="J13" s="219"/>
      <c r="K13" s="252"/>
      <c r="M13" s="126"/>
    </row>
    <row r="14" spans="1:13" s="131" customFormat="1" ht="37.5" customHeight="1" x14ac:dyDescent="0.2">
      <c r="A14" s="164" t="s">
        <v>2</v>
      </c>
      <c r="B14" s="181" t="s">
        <v>267</v>
      </c>
      <c r="C14" s="405" t="s">
        <v>269</v>
      </c>
      <c r="D14" s="405"/>
      <c r="E14" s="405"/>
      <c r="F14" s="405"/>
      <c r="G14" s="405"/>
      <c r="H14" s="405"/>
      <c r="I14" s="405"/>
      <c r="J14" s="405"/>
      <c r="K14" s="406"/>
      <c r="M14" s="126"/>
    </row>
    <row r="15" spans="1:13" s="131" customFormat="1" ht="37.5" customHeight="1" x14ac:dyDescent="0.2">
      <c r="A15" s="165" t="s">
        <v>419</v>
      </c>
      <c r="B15" s="179" t="s">
        <v>310</v>
      </c>
      <c r="C15" s="365" t="s">
        <v>309</v>
      </c>
      <c r="D15" s="365"/>
      <c r="E15" s="365"/>
      <c r="F15" s="365"/>
      <c r="G15" s="138" t="s">
        <v>211</v>
      </c>
      <c r="H15" s="132">
        <v>15</v>
      </c>
      <c r="I15" s="212"/>
      <c r="J15" s="212"/>
      <c r="K15" s="254"/>
      <c r="M15" s="126"/>
    </row>
    <row r="16" spans="1:13" s="131" customFormat="1" ht="69.95" customHeight="1" x14ac:dyDescent="0.2">
      <c r="A16" s="198"/>
      <c r="B16" s="180"/>
      <c r="C16" s="366" t="s">
        <v>377</v>
      </c>
      <c r="D16" s="367"/>
      <c r="E16" s="367"/>
      <c r="F16" s="368"/>
      <c r="G16" s="128" t="s">
        <v>2</v>
      </c>
      <c r="H16" s="128" t="s">
        <v>2</v>
      </c>
      <c r="I16" s="212"/>
      <c r="J16" s="212"/>
      <c r="K16" s="254"/>
      <c r="M16" s="126"/>
    </row>
    <row r="17" spans="1:142" s="131" customFormat="1" ht="37.5" customHeight="1" x14ac:dyDescent="0.2">
      <c r="A17" s="165" t="s">
        <v>420</v>
      </c>
      <c r="B17" s="179" t="s">
        <v>312</v>
      </c>
      <c r="C17" s="365" t="s">
        <v>311</v>
      </c>
      <c r="D17" s="365"/>
      <c r="E17" s="365"/>
      <c r="F17" s="365"/>
      <c r="G17" s="138" t="s">
        <v>211</v>
      </c>
      <c r="H17" s="132">
        <v>5</v>
      </c>
      <c r="I17" s="222"/>
      <c r="J17" s="222"/>
      <c r="K17" s="258"/>
      <c r="M17" s="126"/>
    </row>
    <row r="18" spans="1:142" s="131" customFormat="1" ht="69" customHeight="1" x14ac:dyDescent="0.2">
      <c r="A18" s="198"/>
      <c r="B18" s="180"/>
      <c r="C18" s="366" t="s">
        <v>378</v>
      </c>
      <c r="D18" s="367"/>
      <c r="E18" s="367"/>
      <c r="F18" s="368"/>
      <c r="G18" s="128" t="s">
        <v>2</v>
      </c>
      <c r="H18" s="128" t="s">
        <v>2</v>
      </c>
      <c r="I18" s="222"/>
      <c r="J18" s="222"/>
      <c r="K18" s="258"/>
      <c r="M18" s="126"/>
    </row>
    <row r="19" spans="1:142" s="131" customFormat="1" ht="39.75" customHeight="1" x14ac:dyDescent="0.2">
      <c r="A19" s="165" t="s">
        <v>421</v>
      </c>
      <c r="B19" s="179" t="s">
        <v>270</v>
      </c>
      <c r="C19" s="365" t="s">
        <v>292</v>
      </c>
      <c r="D19" s="365"/>
      <c r="E19" s="365"/>
      <c r="F19" s="365"/>
      <c r="G19" s="138" t="s">
        <v>235</v>
      </c>
      <c r="H19" s="132">
        <v>350</v>
      </c>
      <c r="I19" s="219">
        <v>3.5</v>
      </c>
      <c r="J19" s="219">
        <f>I19*H19</f>
        <v>1225</v>
      </c>
      <c r="K19" s="252"/>
      <c r="M19" s="126"/>
    </row>
    <row r="20" spans="1:142" s="131" customFormat="1" ht="60" customHeight="1" x14ac:dyDescent="0.2">
      <c r="A20" s="199"/>
      <c r="B20" s="180"/>
      <c r="C20" s="366" t="s">
        <v>329</v>
      </c>
      <c r="D20" s="367"/>
      <c r="E20" s="367"/>
      <c r="F20" s="368"/>
      <c r="G20" s="138" t="s">
        <v>2</v>
      </c>
      <c r="H20" s="132" t="s">
        <v>2</v>
      </c>
      <c r="I20" s="219"/>
      <c r="J20" s="219"/>
      <c r="K20" s="252"/>
      <c r="M20" s="126"/>
    </row>
    <row r="21" spans="1:142" ht="35.1" customHeight="1" x14ac:dyDescent="0.2">
      <c r="A21" s="164" t="s">
        <v>2</v>
      </c>
      <c r="B21" s="181" t="s">
        <v>255</v>
      </c>
      <c r="C21" s="372" t="s">
        <v>268</v>
      </c>
      <c r="D21" s="373"/>
      <c r="E21" s="373"/>
      <c r="F21" s="373"/>
      <c r="G21" s="373"/>
      <c r="H21" s="373"/>
      <c r="I21" s="373"/>
      <c r="J21" s="373"/>
      <c r="K21" s="257"/>
    </row>
    <row r="22" spans="1:142" ht="39" customHeight="1" x14ac:dyDescent="0.2">
      <c r="A22" s="165" t="s">
        <v>422</v>
      </c>
      <c r="B22" s="175" t="s">
        <v>276</v>
      </c>
      <c r="C22" s="374" t="s">
        <v>293</v>
      </c>
      <c r="D22" s="374"/>
      <c r="E22" s="374"/>
      <c r="F22" s="374"/>
      <c r="G22" s="213" t="s">
        <v>208</v>
      </c>
      <c r="H22" s="132">
        <v>5331.32</v>
      </c>
      <c r="I22" s="223">
        <v>4.5</v>
      </c>
      <c r="J22" s="224">
        <f>H22*I22</f>
        <v>23990.94</v>
      </c>
      <c r="K22" s="257"/>
    </row>
    <row r="23" spans="1:142" ht="75" customHeight="1" x14ac:dyDescent="0.2">
      <c r="A23" s="199"/>
      <c r="B23" s="182"/>
      <c r="C23" s="362" t="s">
        <v>379</v>
      </c>
      <c r="D23" s="363"/>
      <c r="E23" s="363"/>
      <c r="F23" s="364"/>
      <c r="G23" s="124" t="s">
        <v>2</v>
      </c>
      <c r="H23" s="128" t="s">
        <v>2</v>
      </c>
      <c r="I23" s="186"/>
      <c r="J23" s="133"/>
      <c r="K23" s="257"/>
    </row>
    <row r="24" spans="1:142" ht="35.25" customHeight="1" x14ac:dyDescent="0.2">
      <c r="A24" s="269" t="s">
        <v>2</v>
      </c>
      <c r="B24" s="168" t="s">
        <v>209</v>
      </c>
      <c r="C24" s="375" t="s">
        <v>271</v>
      </c>
      <c r="D24" s="375"/>
      <c r="E24" s="375"/>
      <c r="F24" s="375"/>
      <c r="G24" s="375"/>
      <c r="H24" s="375"/>
      <c r="I24" s="375"/>
      <c r="J24" s="375"/>
      <c r="K24" s="376"/>
    </row>
    <row r="25" spans="1:142" ht="25.5" customHeight="1" x14ac:dyDescent="0.2">
      <c r="A25" s="165" t="s">
        <v>423</v>
      </c>
      <c r="B25" s="175" t="s">
        <v>272</v>
      </c>
      <c r="C25" s="374" t="s">
        <v>273</v>
      </c>
      <c r="D25" s="374"/>
      <c r="E25" s="374"/>
      <c r="F25" s="374"/>
      <c r="G25" s="213" t="s">
        <v>208</v>
      </c>
      <c r="H25" s="147">
        <f>120*2</f>
        <v>240</v>
      </c>
      <c r="I25" s="226">
        <v>11</v>
      </c>
      <c r="J25" s="225">
        <f>I25*H25</f>
        <v>2640</v>
      </c>
      <c r="K25" s="259">
        <f>I25*J25</f>
        <v>29040</v>
      </c>
    </row>
    <row r="26" spans="1:142" ht="29.25" customHeight="1" x14ac:dyDescent="0.2">
      <c r="A26" s="198"/>
      <c r="B26" s="180"/>
      <c r="C26" s="362" t="s">
        <v>417</v>
      </c>
      <c r="D26" s="363"/>
      <c r="E26" s="363"/>
      <c r="F26" s="364"/>
      <c r="G26" s="124" t="s">
        <v>2</v>
      </c>
      <c r="H26" s="124" t="s">
        <v>2</v>
      </c>
      <c r="I26" s="226"/>
      <c r="J26" s="225"/>
      <c r="K26" s="259"/>
    </row>
    <row r="27" spans="1:142" ht="31.5" customHeight="1" x14ac:dyDescent="0.2">
      <c r="A27" s="165" t="s">
        <v>424</v>
      </c>
      <c r="B27" s="175" t="s">
        <v>295</v>
      </c>
      <c r="C27" s="369" t="s">
        <v>296</v>
      </c>
      <c r="D27" s="370"/>
      <c r="E27" s="370"/>
      <c r="F27" s="371"/>
      <c r="G27" s="213" t="s">
        <v>208</v>
      </c>
      <c r="H27" s="147">
        <f>28*16</f>
        <v>448</v>
      </c>
      <c r="I27" s="226"/>
      <c r="J27" s="225"/>
      <c r="K27" s="259"/>
    </row>
    <row r="28" spans="1:142" ht="42.75" customHeight="1" x14ac:dyDescent="0.2">
      <c r="A28" s="198"/>
      <c r="B28" s="182"/>
      <c r="C28" s="362" t="s">
        <v>380</v>
      </c>
      <c r="D28" s="363"/>
      <c r="E28" s="363"/>
      <c r="F28" s="364"/>
      <c r="G28" s="124" t="s">
        <v>2</v>
      </c>
      <c r="H28" s="124" t="s">
        <v>2</v>
      </c>
      <c r="I28" s="226"/>
      <c r="J28" s="225"/>
      <c r="K28" s="259"/>
    </row>
    <row r="29" spans="1:142" ht="37.5" customHeight="1" x14ac:dyDescent="0.2">
      <c r="A29" s="165" t="s">
        <v>425</v>
      </c>
      <c r="B29" s="209" t="s">
        <v>330</v>
      </c>
      <c r="C29" s="369" t="s">
        <v>434</v>
      </c>
      <c r="D29" s="370"/>
      <c r="E29" s="370"/>
      <c r="F29" s="371"/>
      <c r="G29" s="213" t="s">
        <v>210</v>
      </c>
      <c r="H29" s="147">
        <v>98</v>
      </c>
      <c r="I29" s="226"/>
      <c r="J29" s="225"/>
      <c r="K29" s="259"/>
    </row>
    <row r="30" spans="1:142" ht="60.75" customHeight="1" x14ac:dyDescent="0.2">
      <c r="A30" s="198"/>
      <c r="B30" s="182"/>
      <c r="C30" s="362" t="s">
        <v>381</v>
      </c>
      <c r="D30" s="363"/>
      <c r="E30" s="363"/>
      <c r="F30" s="364"/>
      <c r="G30" s="124" t="s">
        <v>2</v>
      </c>
      <c r="H30" s="124" t="s">
        <v>2</v>
      </c>
      <c r="I30" s="226"/>
      <c r="J30" s="225"/>
      <c r="K30" s="259"/>
    </row>
    <row r="31" spans="1:142" s="135" customFormat="1" ht="32.25" customHeight="1" x14ac:dyDescent="0.2">
      <c r="A31" s="163" t="s">
        <v>14</v>
      </c>
      <c r="B31" s="174" t="s">
        <v>213</v>
      </c>
      <c r="C31" s="396" t="s">
        <v>214</v>
      </c>
      <c r="D31" s="397"/>
      <c r="E31" s="397"/>
      <c r="F31" s="397"/>
      <c r="G31" s="397"/>
      <c r="H31" s="397"/>
      <c r="I31" s="397"/>
      <c r="J31" s="398"/>
      <c r="K31" s="260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4"/>
      <c r="DG31" s="134"/>
      <c r="DH31" s="134"/>
      <c r="DI31" s="134"/>
      <c r="DJ31" s="134"/>
      <c r="DK31" s="134"/>
      <c r="DL31" s="134"/>
      <c r="DM31" s="134"/>
      <c r="DN31" s="134"/>
      <c r="DO31" s="134"/>
      <c r="DP31" s="134"/>
      <c r="DQ31" s="134"/>
      <c r="DR31" s="134"/>
      <c r="DS31" s="134"/>
      <c r="DT31" s="134"/>
      <c r="DU31" s="134"/>
      <c r="DV31" s="134"/>
      <c r="DW31" s="134"/>
      <c r="DX31" s="134"/>
      <c r="DY31" s="134"/>
      <c r="DZ31" s="134"/>
      <c r="EA31" s="134"/>
      <c r="EB31" s="134"/>
      <c r="EC31" s="134"/>
      <c r="ED31" s="134"/>
      <c r="EE31" s="134"/>
      <c r="EF31" s="134"/>
      <c r="EG31" s="134"/>
      <c r="EH31" s="134"/>
      <c r="EI31" s="134"/>
      <c r="EJ31" s="134"/>
      <c r="EK31" s="134"/>
      <c r="EL31" s="134"/>
    </row>
    <row r="32" spans="1:142" s="135" customFormat="1" ht="35.1" customHeight="1" x14ac:dyDescent="0.2">
      <c r="A32" s="164" t="s">
        <v>2</v>
      </c>
      <c r="B32" s="197" t="s">
        <v>256</v>
      </c>
      <c r="C32" s="405" t="s">
        <v>239</v>
      </c>
      <c r="D32" s="405"/>
      <c r="E32" s="405"/>
      <c r="F32" s="405"/>
      <c r="G32" s="405"/>
      <c r="H32" s="405"/>
      <c r="I32" s="405"/>
      <c r="J32" s="405"/>
      <c r="K32" s="260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4"/>
      <c r="DQ32" s="134"/>
      <c r="DR32" s="134"/>
      <c r="DS32" s="134"/>
      <c r="DT32" s="134"/>
      <c r="DU32" s="134"/>
      <c r="DV32" s="134"/>
      <c r="DW32" s="134"/>
      <c r="DX32" s="134"/>
      <c r="DY32" s="134"/>
      <c r="DZ32" s="134"/>
      <c r="EA32" s="134"/>
      <c r="EB32" s="134"/>
      <c r="EC32" s="134"/>
      <c r="ED32" s="134"/>
      <c r="EE32" s="134"/>
      <c r="EF32" s="134"/>
      <c r="EG32" s="134"/>
      <c r="EH32" s="134"/>
      <c r="EI32" s="134"/>
      <c r="EJ32" s="134"/>
      <c r="EK32" s="134"/>
      <c r="EL32" s="134"/>
    </row>
    <row r="33" spans="1:142" s="135" customFormat="1" ht="24.95" customHeight="1" x14ac:dyDescent="0.2">
      <c r="A33" s="165" t="s">
        <v>277</v>
      </c>
      <c r="B33" s="175" t="s">
        <v>313</v>
      </c>
      <c r="C33" s="413" t="s">
        <v>289</v>
      </c>
      <c r="D33" s="413"/>
      <c r="E33" s="413"/>
      <c r="F33" s="413"/>
      <c r="G33" s="213" t="s">
        <v>212</v>
      </c>
      <c r="H33" s="147">
        <f>998*2.3</f>
        <v>2295.4</v>
      </c>
      <c r="I33" s="227">
        <v>16.75</v>
      </c>
      <c r="J33" s="136">
        <f>I33*H33</f>
        <v>38447.949999999997</v>
      </c>
      <c r="K33" s="261"/>
      <c r="L33" s="126"/>
      <c r="M33" s="126">
        <f>1.2*H33</f>
        <v>2754.48</v>
      </c>
      <c r="N33" s="126">
        <f>M33*0.8</f>
        <v>2203.5839999999998</v>
      </c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  <c r="DA33" s="134"/>
      <c r="DB33" s="134"/>
      <c r="DC33" s="134"/>
      <c r="DD33" s="134"/>
      <c r="DE33" s="134"/>
      <c r="DF33" s="134"/>
      <c r="DG33" s="134"/>
      <c r="DH33" s="134"/>
      <c r="DI33" s="134"/>
      <c r="DJ33" s="134"/>
      <c r="DK33" s="134"/>
      <c r="DL33" s="134"/>
      <c r="DM33" s="134"/>
      <c r="DN33" s="134"/>
      <c r="DO33" s="134"/>
      <c r="DP33" s="134"/>
      <c r="DQ33" s="134"/>
      <c r="DR33" s="134"/>
      <c r="DS33" s="134"/>
      <c r="DT33" s="134"/>
      <c r="DU33" s="134"/>
      <c r="DV33" s="134"/>
      <c r="DW33" s="134"/>
      <c r="DX33" s="134"/>
      <c r="DY33" s="134"/>
      <c r="DZ33" s="134"/>
      <c r="EA33" s="134"/>
      <c r="EB33" s="134"/>
      <c r="EC33" s="134"/>
      <c r="ED33" s="134"/>
      <c r="EE33" s="134"/>
      <c r="EF33" s="134"/>
      <c r="EG33" s="134"/>
      <c r="EH33" s="134"/>
      <c r="EI33" s="134"/>
      <c r="EJ33" s="134"/>
      <c r="EK33" s="134"/>
      <c r="EL33" s="134"/>
    </row>
    <row r="34" spans="1:142" s="135" customFormat="1" ht="51" customHeight="1" x14ac:dyDescent="0.2">
      <c r="A34" s="165"/>
      <c r="B34" s="179"/>
      <c r="C34" s="362" t="s">
        <v>382</v>
      </c>
      <c r="D34" s="363"/>
      <c r="E34" s="363"/>
      <c r="F34" s="364"/>
      <c r="G34" s="124" t="s">
        <v>2</v>
      </c>
      <c r="H34" s="124" t="s">
        <v>2</v>
      </c>
      <c r="I34" s="227"/>
      <c r="J34" s="136" t="e">
        <f t="shared" ref="J34:J37" si="1">I34*H34</f>
        <v>#VALUE!</v>
      </c>
      <c r="K34" s="260"/>
      <c r="L34" s="126"/>
      <c r="M34" s="236" t="s">
        <v>331</v>
      </c>
      <c r="N34" s="126">
        <v>1916.16</v>
      </c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  <c r="DA34" s="134"/>
      <c r="DB34" s="134"/>
      <c r="DC34" s="134"/>
      <c r="DD34" s="134"/>
      <c r="DE34" s="134"/>
      <c r="DF34" s="134"/>
      <c r="DG34" s="134"/>
      <c r="DH34" s="134"/>
      <c r="DI34" s="134"/>
      <c r="DJ34" s="134"/>
      <c r="DK34" s="134"/>
      <c r="DL34" s="134"/>
      <c r="DM34" s="134"/>
      <c r="DN34" s="134"/>
      <c r="DO34" s="134"/>
      <c r="DP34" s="134"/>
      <c r="DQ34" s="134"/>
      <c r="DR34" s="134"/>
      <c r="DS34" s="134"/>
      <c r="DT34" s="134"/>
      <c r="DU34" s="134"/>
      <c r="DV34" s="134"/>
      <c r="DW34" s="134"/>
      <c r="DX34" s="134"/>
      <c r="DY34" s="134"/>
      <c r="DZ34" s="134"/>
      <c r="EA34" s="134"/>
      <c r="EB34" s="134"/>
      <c r="EC34" s="134"/>
      <c r="ED34" s="134"/>
      <c r="EE34" s="134"/>
      <c r="EF34" s="134"/>
      <c r="EG34" s="134"/>
      <c r="EH34" s="134"/>
      <c r="EI34" s="134"/>
      <c r="EJ34" s="134"/>
      <c r="EK34" s="134"/>
      <c r="EL34" s="134"/>
    </row>
    <row r="35" spans="1:142" s="135" customFormat="1" ht="24.95" customHeight="1" x14ac:dyDescent="0.2">
      <c r="A35" s="165" t="s">
        <v>266</v>
      </c>
      <c r="B35" s="175" t="s">
        <v>314</v>
      </c>
      <c r="C35" s="413" t="s">
        <v>306</v>
      </c>
      <c r="D35" s="413"/>
      <c r="E35" s="413"/>
      <c r="F35" s="413"/>
      <c r="G35" s="213" t="s">
        <v>212</v>
      </c>
      <c r="H35" s="147">
        <v>483.23</v>
      </c>
      <c r="I35" s="227"/>
      <c r="J35" s="136"/>
      <c r="K35" s="260"/>
      <c r="L35" s="126"/>
      <c r="M35" s="236" t="s">
        <v>332</v>
      </c>
      <c r="N35" s="236">
        <v>1646.9</v>
      </c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</row>
    <row r="36" spans="1:142" s="135" customFormat="1" ht="51" customHeight="1" x14ac:dyDescent="0.2">
      <c r="A36" s="198"/>
      <c r="B36" s="180"/>
      <c r="C36" s="362" t="s">
        <v>383</v>
      </c>
      <c r="D36" s="363"/>
      <c r="E36" s="363"/>
      <c r="F36" s="363"/>
      <c r="G36" s="124" t="s">
        <v>2</v>
      </c>
      <c r="H36" s="124" t="s">
        <v>2</v>
      </c>
      <c r="I36" s="227"/>
      <c r="J36" s="136"/>
      <c r="K36" s="260"/>
      <c r="L36" s="126"/>
      <c r="M36" s="126"/>
      <c r="N36" s="237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  <c r="DA36" s="134"/>
      <c r="DB36" s="134"/>
      <c r="DC36" s="134"/>
      <c r="DD36" s="134"/>
      <c r="DE36" s="134"/>
      <c r="DF36" s="134"/>
      <c r="DG36" s="134"/>
      <c r="DH36" s="134"/>
      <c r="DI36" s="134"/>
      <c r="DJ36" s="134"/>
      <c r="DK36" s="134"/>
      <c r="DL36" s="134"/>
      <c r="DM36" s="134"/>
      <c r="DN36" s="134"/>
      <c r="DO36" s="134"/>
      <c r="DP36" s="134"/>
      <c r="DQ36" s="134"/>
      <c r="DR36" s="134"/>
      <c r="DS36" s="134"/>
      <c r="DT36" s="134"/>
      <c r="DU36" s="134"/>
      <c r="DV36" s="134"/>
      <c r="DW36" s="134"/>
      <c r="DX36" s="134"/>
      <c r="DY36" s="134"/>
      <c r="DZ36" s="134"/>
      <c r="EA36" s="134"/>
      <c r="EB36" s="134"/>
      <c r="EC36" s="134"/>
      <c r="ED36" s="134"/>
      <c r="EE36" s="134"/>
      <c r="EF36" s="134"/>
      <c r="EG36" s="134"/>
      <c r="EH36" s="134"/>
      <c r="EI36" s="134"/>
      <c r="EJ36" s="134"/>
      <c r="EK36" s="134"/>
      <c r="EL36" s="134"/>
    </row>
    <row r="37" spans="1:142" s="135" customFormat="1" ht="29.25" customHeight="1" x14ac:dyDescent="0.2">
      <c r="A37" s="165" t="s">
        <v>352</v>
      </c>
      <c r="B37" s="175" t="s">
        <v>315</v>
      </c>
      <c r="C37" s="413" t="s">
        <v>274</v>
      </c>
      <c r="D37" s="413"/>
      <c r="E37" s="413"/>
      <c r="F37" s="413"/>
      <c r="G37" s="213" t="s">
        <v>212</v>
      </c>
      <c r="H37" s="147">
        <f>H33</f>
        <v>2295.4</v>
      </c>
      <c r="I37" s="227">
        <v>18.600000000000001</v>
      </c>
      <c r="J37" s="136">
        <f t="shared" si="1"/>
        <v>42694.44</v>
      </c>
      <c r="K37" s="260"/>
      <c r="L37" s="126"/>
      <c r="M37" s="237">
        <f>N35-H37</f>
        <v>-648.5</v>
      </c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  <c r="DA37" s="134"/>
      <c r="DB37" s="134"/>
      <c r="DC37" s="134"/>
      <c r="DD37" s="134"/>
      <c r="DE37" s="134"/>
      <c r="DF37" s="134"/>
      <c r="DG37" s="134"/>
      <c r="DH37" s="134"/>
      <c r="DI37" s="134"/>
      <c r="DJ37" s="134"/>
      <c r="DK37" s="134"/>
      <c r="DL37" s="134"/>
      <c r="DM37" s="134"/>
      <c r="DN37" s="134"/>
      <c r="DO37" s="134"/>
      <c r="DP37" s="134"/>
      <c r="DQ37" s="134"/>
      <c r="DR37" s="134"/>
      <c r="DS37" s="134"/>
      <c r="DT37" s="134"/>
      <c r="DU37" s="134"/>
      <c r="DV37" s="134"/>
      <c r="DW37" s="134"/>
      <c r="DX37" s="134"/>
      <c r="DY37" s="134"/>
      <c r="DZ37" s="134"/>
      <c r="EA37" s="134"/>
      <c r="EB37" s="134"/>
      <c r="EC37" s="134"/>
      <c r="ED37" s="134"/>
      <c r="EE37" s="134"/>
      <c r="EF37" s="134"/>
      <c r="EG37" s="134"/>
      <c r="EH37" s="134"/>
      <c r="EI37" s="134"/>
      <c r="EJ37" s="134"/>
      <c r="EK37" s="134"/>
      <c r="EL37" s="134"/>
    </row>
    <row r="38" spans="1:142" s="135" customFormat="1" ht="32.25" customHeight="1" x14ac:dyDescent="0.2">
      <c r="A38" s="198"/>
      <c r="B38" s="182"/>
      <c r="C38" s="362" t="s">
        <v>384</v>
      </c>
      <c r="D38" s="363"/>
      <c r="E38" s="363"/>
      <c r="F38" s="363"/>
      <c r="G38" s="192" t="s">
        <v>2</v>
      </c>
      <c r="H38" s="193" t="s">
        <v>2</v>
      </c>
      <c r="I38" s="227"/>
      <c r="J38" s="136"/>
      <c r="K38" s="260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  <c r="DA38" s="134"/>
      <c r="DB38" s="134"/>
      <c r="DC38" s="134"/>
      <c r="DD38" s="134"/>
      <c r="DE38" s="134"/>
      <c r="DF38" s="134"/>
      <c r="DG38" s="134"/>
      <c r="DH38" s="134"/>
      <c r="DI38" s="134"/>
      <c r="DJ38" s="134"/>
      <c r="DK38" s="134"/>
      <c r="DL38" s="134"/>
      <c r="DM38" s="134"/>
      <c r="DN38" s="134"/>
      <c r="DO38" s="134"/>
      <c r="DP38" s="134"/>
      <c r="DQ38" s="134"/>
      <c r="DR38" s="134"/>
      <c r="DS38" s="134"/>
      <c r="DT38" s="134"/>
      <c r="DU38" s="134"/>
      <c r="DV38" s="134"/>
      <c r="DW38" s="134"/>
      <c r="DX38" s="134"/>
      <c r="DY38" s="134"/>
      <c r="DZ38" s="134"/>
      <c r="EA38" s="134"/>
      <c r="EB38" s="134"/>
      <c r="EC38" s="134"/>
      <c r="ED38" s="134"/>
      <c r="EE38" s="134"/>
      <c r="EF38" s="134"/>
      <c r="EG38" s="134"/>
      <c r="EH38" s="134"/>
      <c r="EI38" s="134"/>
      <c r="EJ38" s="134"/>
      <c r="EK38" s="134"/>
      <c r="EL38" s="134"/>
    </row>
    <row r="39" spans="1:142" s="135" customFormat="1" ht="29.25" customHeight="1" x14ac:dyDescent="0.2">
      <c r="A39" s="165" t="s">
        <v>426</v>
      </c>
      <c r="B39" s="175" t="s">
        <v>316</v>
      </c>
      <c r="C39" s="413" t="s">
        <v>307</v>
      </c>
      <c r="D39" s="413"/>
      <c r="E39" s="413"/>
      <c r="F39" s="413"/>
      <c r="G39" s="213" t="s">
        <v>212</v>
      </c>
      <c r="H39" s="147">
        <f>998*1.6</f>
        <v>1596.8</v>
      </c>
      <c r="I39" s="227">
        <v>18.600000000000001</v>
      </c>
      <c r="J39" s="136">
        <f t="shared" ref="J39" si="2">I39*H39</f>
        <v>29700.48</v>
      </c>
      <c r="K39" s="260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6"/>
      <c r="AM39" s="126"/>
      <c r="AN39" s="126"/>
      <c r="AO39" s="126"/>
      <c r="AP39" s="126"/>
      <c r="AQ39" s="126"/>
      <c r="AR39" s="126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  <c r="DA39" s="134"/>
      <c r="DB39" s="134"/>
      <c r="DC39" s="134"/>
      <c r="DD39" s="134"/>
      <c r="DE39" s="134"/>
      <c r="DF39" s="134"/>
      <c r="DG39" s="134"/>
      <c r="DH39" s="134"/>
      <c r="DI39" s="134"/>
      <c r="DJ39" s="134"/>
      <c r="DK39" s="134"/>
      <c r="DL39" s="134"/>
      <c r="DM39" s="134"/>
      <c r="DN39" s="134"/>
      <c r="DO39" s="134"/>
      <c r="DP39" s="134"/>
      <c r="DQ39" s="134"/>
      <c r="DR39" s="134"/>
      <c r="DS39" s="134"/>
      <c r="DT39" s="134"/>
      <c r="DU39" s="134"/>
      <c r="DV39" s="134"/>
      <c r="DW39" s="134"/>
      <c r="DX39" s="134"/>
      <c r="DY39" s="134"/>
      <c r="DZ39" s="134"/>
      <c r="EA39" s="134"/>
      <c r="EB39" s="134"/>
      <c r="EC39" s="134"/>
      <c r="ED39" s="134"/>
      <c r="EE39" s="134"/>
      <c r="EF39" s="134"/>
      <c r="EG39" s="134"/>
      <c r="EH39" s="134"/>
      <c r="EI39" s="134"/>
      <c r="EJ39" s="134"/>
      <c r="EK39" s="134"/>
      <c r="EL39" s="134"/>
    </row>
    <row r="40" spans="1:142" s="135" customFormat="1" ht="32.25" customHeight="1" x14ac:dyDescent="0.2">
      <c r="A40" s="199"/>
      <c r="B40" s="180"/>
      <c r="C40" s="362" t="s">
        <v>385</v>
      </c>
      <c r="D40" s="363"/>
      <c r="E40" s="363"/>
      <c r="F40" s="363"/>
      <c r="G40" s="192" t="s">
        <v>2</v>
      </c>
      <c r="H40" s="193" t="s">
        <v>2</v>
      </c>
      <c r="I40" s="227"/>
      <c r="J40" s="136"/>
      <c r="K40" s="260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  <c r="DT40" s="134"/>
      <c r="DU40" s="134"/>
      <c r="DV40" s="134"/>
      <c r="DW40" s="134"/>
      <c r="DX40" s="134"/>
      <c r="DY40" s="134"/>
      <c r="DZ40" s="134"/>
      <c r="EA40" s="134"/>
      <c r="EB40" s="134"/>
      <c r="EC40" s="134"/>
      <c r="ED40" s="134"/>
      <c r="EE40" s="134"/>
      <c r="EF40" s="134"/>
      <c r="EG40" s="134"/>
      <c r="EH40" s="134"/>
      <c r="EI40" s="134"/>
      <c r="EJ40" s="134"/>
      <c r="EK40" s="134"/>
      <c r="EL40" s="134"/>
    </row>
    <row r="41" spans="1:142" s="135" customFormat="1" ht="32.25" customHeight="1" x14ac:dyDescent="0.2">
      <c r="A41" s="294" t="s">
        <v>10</v>
      </c>
      <c r="B41" s="150" t="s">
        <v>408</v>
      </c>
      <c r="C41" s="426" t="s">
        <v>409</v>
      </c>
      <c r="D41" s="426"/>
      <c r="E41" s="426"/>
      <c r="F41" s="426"/>
      <c r="G41" s="426"/>
      <c r="H41" s="426"/>
      <c r="I41" s="426"/>
      <c r="J41" s="427"/>
      <c r="K41" s="260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4"/>
      <c r="EB41" s="134"/>
      <c r="EC41" s="134"/>
      <c r="ED41" s="134"/>
      <c r="EE41" s="134"/>
      <c r="EF41" s="134"/>
      <c r="EG41" s="134"/>
      <c r="EH41" s="134"/>
      <c r="EI41" s="134"/>
      <c r="EJ41" s="134"/>
      <c r="EK41" s="134"/>
      <c r="EL41" s="134"/>
    </row>
    <row r="42" spans="1:142" s="135" customFormat="1" ht="32.25" customHeight="1" x14ac:dyDescent="0.2">
      <c r="A42" s="195" t="s">
        <v>2</v>
      </c>
      <c r="B42" s="197" t="s">
        <v>410</v>
      </c>
      <c r="C42" s="372" t="s">
        <v>413</v>
      </c>
      <c r="D42" s="373"/>
      <c r="E42" s="373"/>
      <c r="F42" s="373"/>
      <c r="G42" s="373"/>
      <c r="H42" s="386"/>
      <c r="I42" s="307"/>
      <c r="J42" s="308"/>
      <c r="K42" s="308"/>
      <c r="L42" s="308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  <c r="BT42" s="134"/>
      <c r="BU42" s="134"/>
      <c r="BV42" s="134"/>
      <c r="BW42" s="134"/>
      <c r="BX42" s="134"/>
      <c r="BY42" s="134"/>
      <c r="BZ42" s="134"/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  <c r="DA42" s="134"/>
      <c r="DB42" s="134"/>
      <c r="DC42" s="134"/>
      <c r="DD42" s="134"/>
      <c r="DE42" s="134"/>
      <c r="DF42" s="134"/>
      <c r="DG42" s="134"/>
      <c r="DH42" s="134"/>
      <c r="DI42" s="134"/>
      <c r="DJ42" s="134"/>
      <c r="DK42" s="134"/>
      <c r="DL42" s="134"/>
      <c r="DM42" s="134"/>
      <c r="DN42" s="134"/>
      <c r="DO42" s="134"/>
      <c r="DP42" s="134"/>
      <c r="DQ42" s="134"/>
      <c r="DR42" s="134"/>
      <c r="DS42" s="134"/>
      <c r="DT42" s="134"/>
      <c r="DU42" s="134"/>
      <c r="DV42" s="134"/>
      <c r="DW42" s="134"/>
      <c r="DX42" s="134"/>
      <c r="DY42" s="134"/>
      <c r="DZ42" s="134"/>
      <c r="EA42" s="134"/>
      <c r="EB42" s="134"/>
      <c r="EC42" s="134"/>
      <c r="ED42" s="134"/>
      <c r="EE42" s="134"/>
      <c r="EF42" s="134"/>
      <c r="EG42" s="134"/>
      <c r="EH42" s="134"/>
      <c r="EI42" s="134"/>
      <c r="EJ42" s="134"/>
      <c r="EK42" s="134"/>
      <c r="EL42" s="134"/>
    </row>
    <row r="43" spans="1:142" s="135" customFormat="1" ht="32.25" customHeight="1" x14ac:dyDescent="0.2">
      <c r="A43" s="165" t="s">
        <v>278</v>
      </c>
      <c r="B43" s="175" t="s">
        <v>411</v>
      </c>
      <c r="C43" s="369" t="s">
        <v>436</v>
      </c>
      <c r="D43" s="370"/>
      <c r="E43" s="370"/>
      <c r="F43" s="371"/>
      <c r="G43" s="157" t="s">
        <v>210</v>
      </c>
      <c r="H43" s="218">
        <v>24</v>
      </c>
      <c r="I43" s="159" t="s">
        <v>2</v>
      </c>
      <c r="J43" s="159">
        <v>12</v>
      </c>
      <c r="K43" s="300"/>
      <c r="L43" s="301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</row>
    <row r="44" spans="1:142" s="135" customFormat="1" ht="45.75" customHeight="1" x14ac:dyDescent="0.2">
      <c r="A44" s="278"/>
      <c r="B44" s="302"/>
      <c r="C44" s="442" t="s">
        <v>437</v>
      </c>
      <c r="D44" s="443"/>
      <c r="E44" s="443"/>
      <c r="F44" s="444"/>
      <c r="G44" s="192" t="s">
        <v>2</v>
      </c>
      <c r="H44" s="193" t="s">
        <v>2</v>
      </c>
      <c r="I44" s="193">
        <v>17</v>
      </c>
      <c r="J44" s="193" t="s">
        <v>2</v>
      </c>
      <c r="K44" s="300"/>
      <c r="L44" s="301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</row>
    <row r="45" spans="1:142" s="135" customFormat="1" ht="45.75" customHeight="1" x14ac:dyDescent="0.2">
      <c r="A45" s="165" t="s">
        <v>427</v>
      </c>
      <c r="B45" s="304" t="s">
        <v>415</v>
      </c>
      <c r="C45" s="369" t="s">
        <v>414</v>
      </c>
      <c r="D45" s="370"/>
      <c r="E45" s="370"/>
      <c r="F45" s="371"/>
      <c r="G45" s="213" t="s">
        <v>211</v>
      </c>
      <c r="H45" s="218">
        <v>8</v>
      </c>
      <c r="I45" s="299"/>
      <c r="J45" s="299"/>
      <c r="K45" s="300"/>
      <c r="L45" s="301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6"/>
      <c r="AM45" s="126"/>
      <c r="AN45" s="126"/>
      <c r="AO45" s="126"/>
      <c r="AP45" s="126"/>
      <c r="AQ45" s="126"/>
      <c r="AR45" s="126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</row>
    <row r="46" spans="1:142" s="135" customFormat="1" ht="74.25" customHeight="1" x14ac:dyDescent="0.2">
      <c r="A46" s="303"/>
      <c r="B46" s="302"/>
      <c r="C46" s="442" t="s">
        <v>416</v>
      </c>
      <c r="D46" s="443"/>
      <c r="E46" s="443"/>
      <c r="F46" s="444"/>
      <c r="G46" s="305"/>
      <c r="H46" s="306"/>
      <c r="I46" s="299"/>
      <c r="J46" s="299"/>
      <c r="K46" s="300"/>
      <c r="L46" s="301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</row>
    <row r="47" spans="1:142" s="137" customFormat="1" ht="42.75" customHeight="1" x14ac:dyDescent="0.2">
      <c r="A47" s="163" t="s">
        <v>11</v>
      </c>
      <c r="B47" s="174" t="s">
        <v>217</v>
      </c>
      <c r="C47" s="396" t="s">
        <v>294</v>
      </c>
      <c r="D47" s="397"/>
      <c r="E47" s="397"/>
      <c r="F47" s="397"/>
      <c r="G47" s="397"/>
      <c r="H47" s="397"/>
      <c r="I47" s="397"/>
      <c r="J47" s="397"/>
      <c r="K47" s="257"/>
      <c r="L47" s="248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</row>
    <row r="48" spans="1:142" s="137" customFormat="1" ht="30" customHeight="1" x14ac:dyDescent="0.2">
      <c r="A48" s="164" t="s">
        <v>2</v>
      </c>
      <c r="B48" s="197" t="s">
        <v>356</v>
      </c>
      <c r="C48" s="372" t="s">
        <v>218</v>
      </c>
      <c r="D48" s="373"/>
      <c r="E48" s="373"/>
      <c r="F48" s="373"/>
      <c r="G48" s="373"/>
      <c r="H48" s="373"/>
      <c r="I48" s="373"/>
      <c r="J48" s="373"/>
      <c r="K48" s="257"/>
      <c r="L48" s="248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</row>
    <row r="49" spans="1:44" s="131" customFormat="1" ht="41.25" customHeight="1" x14ac:dyDescent="0.2">
      <c r="A49" s="169" t="s">
        <v>279</v>
      </c>
      <c r="B49" s="173" t="s">
        <v>317</v>
      </c>
      <c r="C49" s="387" t="s">
        <v>386</v>
      </c>
      <c r="D49" s="388"/>
      <c r="E49" s="388"/>
      <c r="F49" s="389"/>
      <c r="G49" s="157" t="s">
        <v>208</v>
      </c>
      <c r="H49" s="159">
        <f>998*1.65+28*20</f>
        <v>2206.6999999999998</v>
      </c>
      <c r="I49" s="227">
        <v>12.9</v>
      </c>
      <c r="J49" s="136">
        <f>I49*H49</f>
        <v>28466.43</v>
      </c>
      <c r="K49" s="261"/>
      <c r="L49" s="137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</row>
    <row r="50" spans="1:44" s="131" customFormat="1" ht="52.5" customHeight="1" x14ac:dyDescent="0.2">
      <c r="A50" s="170"/>
      <c r="B50" s="183"/>
      <c r="C50" s="362" t="s">
        <v>387</v>
      </c>
      <c r="D50" s="363"/>
      <c r="E50" s="363"/>
      <c r="F50" s="363"/>
      <c r="G50" s="192" t="s">
        <v>2</v>
      </c>
      <c r="H50" s="193" t="s">
        <v>2</v>
      </c>
      <c r="I50" s="187"/>
      <c r="J50" s="136"/>
      <c r="K50" s="262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</row>
    <row r="51" spans="1:44" s="158" customFormat="1" ht="30" customHeight="1" x14ac:dyDescent="0.2">
      <c r="A51" s="270" t="s">
        <v>2</v>
      </c>
      <c r="B51" s="195" t="s">
        <v>260</v>
      </c>
      <c r="C51" s="372" t="s">
        <v>261</v>
      </c>
      <c r="D51" s="373"/>
      <c r="E51" s="373"/>
      <c r="F51" s="373"/>
      <c r="G51" s="373"/>
      <c r="H51" s="373"/>
      <c r="I51" s="188"/>
      <c r="J51" s="133"/>
      <c r="K51" s="252"/>
      <c r="L51" s="140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</row>
    <row r="52" spans="1:44" s="158" customFormat="1" ht="32.25" customHeight="1" x14ac:dyDescent="0.2">
      <c r="A52" s="165" t="s">
        <v>280</v>
      </c>
      <c r="B52" s="196" t="s">
        <v>318</v>
      </c>
      <c r="C52" s="369" t="s">
        <v>262</v>
      </c>
      <c r="D52" s="370"/>
      <c r="E52" s="370"/>
      <c r="F52" s="370"/>
      <c r="G52" s="157" t="s">
        <v>208</v>
      </c>
      <c r="H52" s="159">
        <f>3870</f>
        <v>3870</v>
      </c>
      <c r="I52" s="188"/>
      <c r="J52" s="133"/>
      <c r="K52" s="252"/>
      <c r="L52" s="140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</row>
    <row r="53" spans="1:44" s="158" customFormat="1" ht="48.75" customHeight="1" x14ac:dyDescent="0.2">
      <c r="A53" s="198"/>
      <c r="B53" s="182"/>
      <c r="C53" s="417" t="s">
        <v>388</v>
      </c>
      <c r="D53" s="418"/>
      <c r="E53" s="418"/>
      <c r="F53" s="419"/>
      <c r="G53" s="214" t="s">
        <v>2</v>
      </c>
      <c r="H53" s="156" t="s">
        <v>2</v>
      </c>
      <c r="I53" s="188"/>
      <c r="J53" s="133"/>
      <c r="K53" s="252"/>
      <c r="L53" s="140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</row>
    <row r="54" spans="1:44" s="158" customFormat="1" ht="30.75" customHeight="1" x14ac:dyDescent="0.2">
      <c r="A54" s="164" t="s">
        <v>2</v>
      </c>
      <c r="B54" s="197" t="s">
        <v>263</v>
      </c>
      <c r="C54" s="405" t="s">
        <v>264</v>
      </c>
      <c r="D54" s="405"/>
      <c r="E54" s="405"/>
      <c r="F54" s="405"/>
      <c r="G54" s="405"/>
      <c r="H54" s="405"/>
      <c r="I54" s="405"/>
      <c r="J54" s="405"/>
      <c r="K54" s="40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</row>
    <row r="55" spans="1:44" s="158" customFormat="1" ht="32.25" customHeight="1" x14ac:dyDescent="0.2">
      <c r="A55" s="169" t="s">
        <v>281</v>
      </c>
      <c r="B55" s="216" t="s">
        <v>304</v>
      </c>
      <c r="C55" s="425" t="s">
        <v>389</v>
      </c>
      <c r="D55" s="425"/>
      <c r="E55" s="425"/>
      <c r="F55" s="425"/>
      <c r="G55" s="157" t="s">
        <v>208</v>
      </c>
      <c r="H55" s="159">
        <f>H52+1.5*998+26*16</f>
        <v>5783</v>
      </c>
      <c r="I55" s="226">
        <v>27.6</v>
      </c>
      <c r="J55" s="136">
        <f>I55*H55</f>
        <v>159610.79999999999</v>
      </c>
      <c r="K55" s="259">
        <f>I55*J55</f>
        <v>4405258.08</v>
      </c>
      <c r="M55" s="293">
        <f>H52+1.5*998+26</f>
        <v>5393</v>
      </c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</row>
    <row r="56" spans="1:44" s="158" customFormat="1" ht="74.25" customHeight="1" x14ac:dyDescent="0.2">
      <c r="A56" s="199"/>
      <c r="B56" s="182"/>
      <c r="C56" s="390" t="s">
        <v>390</v>
      </c>
      <c r="D56" s="391"/>
      <c r="E56" s="391"/>
      <c r="F56" s="392"/>
      <c r="G56" s="214" t="s">
        <v>2</v>
      </c>
      <c r="H56" s="156" t="s">
        <v>2</v>
      </c>
      <c r="I56" s="226"/>
      <c r="J56" s="136"/>
      <c r="K56" s="259"/>
      <c r="M56" s="237">
        <f>H55-M55</f>
        <v>390</v>
      </c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</row>
    <row r="57" spans="1:44" s="158" customFormat="1" ht="24.75" customHeight="1" x14ac:dyDescent="0.2">
      <c r="A57" s="271" t="s">
        <v>2</v>
      </c>
      <c r="B57" s="172" t="s">
        <v>265</v>
      </c>
      <c r="C57" s="405" t="s">
        <v>240</v>
      </c>
      <c r="D57" s="405"/>
      <c r="E57" s="405"/>
      <c r="F57" s="405"/>
      <c r="G57" s="405"/>
      <c r="H57" s="405"/>
      <c r="I57" s="405"/>
      <c r="J57" s="405"/>
      <c r="K57" s="40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</row>
    <row r="58" spans="1:44" s="158" customFormat="1" ht="27" customHeight="1" x14ac:dyDescent="0.2">
      <c r="A58" s="272" t="s">
        <v>282</v>
      </c>
      <c r="B58" s="184" t="s">
        <v>337</v>
      </c>
      <c r="C58" s="382" t="s">
        <v>336</v>
      </c>
      <c r="D58" s="383"/>
      <c r="E58" s="383"/>
      <c r="F58" s="383"/>
      <c r="G58" s="161" t="s">
        <v>208</v>
      </c>
      <c r="H58" s="162">
        <f>998*6</f>
        <v>5988</v>
      </c>
      <c r="I58" s="229"/>
      <c r="J58" s="230"/>
      <c r="K58" s="263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</row>
    <row r="59" spans="1:44" s="158" customFormat="1" ht="79.5" customHeight="1" x14ac:dyDescent="0.2">
      <c r="A59" s="199"/>
      <c r="B59" s="182"/>
      <c r="C59" s="390" t="s">
        <v>391</v>
      </c>
      <c r="D59" s="391"/>
      <c r="E59" s="391"/>
      <c r="F59" s="392"/>
      <c r="G59" s="191" t="s">
        <v>2</v>
      </c>
      <c r="H59" s="191" t="s">
        <v>2</v>
      </c>
      <c r="I59" s="229"/>
      <c r="J59" s="230"/>
      <c r="K59" s="263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</row>
    <row r="60" spans="1:44" s="158" customFormat="1" ht="35.1" customHeight="1" x14ac:dyDescent="0.2">
      <c r="A60" s="163" t="s">
        <v>15</v>
      </c>
      <c r="B60" s="174" t="s">
        <v>220</v>
      </c>
      <c r="C60" s="396" t="s">
        <v>221</v>
      </c>
      <c r="D60" s="397"/>
      <c r="E60" s="397"/>
      <c r="F60" s="397"/>
      <c r="G60" s="397"/>
      <c r="H60" s="397"/>
      <c r="I60" s="397"/>
      <c r="J60" s="398"/>
      <c r="K60" s="260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</row>
    <row r="61" spans="1:44" s="158" customFormat="1" ht="27" customHeight="1" x14ac:dyDescent="0.2">
      <c r="A61" s="164" t="s">
        <v>2</v>
      </c>
      <c r="B61" s="197" t="s">
        <v>319</v>
      </c>
      <c r="C61" s="372" t="s">
        <v>300</v>
      </c>
      <c r="D61" s="373"/>
      <c r="E61" s="373"/>
      <c r="F61" s="373"/>
      <c r="G61" s="373" t="s">
        <v>208</v>
      </c>
      <c r="H61" s="373"/>
      <c r="I61" s="189"/>
      <c r="J61" s="139"/>
      <c r="K61" s="264"/>
      <c r="M61" s="126">
        <f>3780*1.1</f>
        <v>4158</v>
      </c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  <c r="AL61" s="126"/>
      <c r="AM61" s="126"/>
      <c r="AN61" s="126"/>
      <c r="AO61" s="126"/>
      <c r="AP61" s="126"/>
      <c r="AQ61" s="126"/>
      <c r="AR61" s="126"/>
    </row>
    <row r="62" spans="1:44" s="158" customFormat="1" ht="18.75" customHeight="1" x14ac:dyDescent="0.2">
      <c r="A62" s="169" t="s">
        <v>283</v>
      </c>
      <c r="B62" s="196" t="s">
        <v>320</v>
      </c>
      <c r="C62" s="382" t="s">
        <v>301</v>
      </c>
      <c r="D62" s="383"/>
      <c r="E62" s="383"/>
      <c r="F62" s="383"/>
      <c r="G62" s="161" t="s">
        <v>208</v>
      </c>
      <c r="H62" s="162">
        <f>3780*1.05+28*16</f>
        <v>4417</v>
      </c>
      <c r="I62" s="189"/>
      <c r="J62" s="139"/>
      <c r="K62" s="264"/>
      <c r="M62" s="126">
        <f>28*16</f>
        <v>448</v>
      </c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  <c r="AL62" s="126"/>
      <c r="AM62" s="126"/>
      <c r="AN62" s="126"/>
      <c r="AO62" s="126"/>
      <c r="AP62" s="126"/>
      <c r="AQ62" s="126"/>
      <c r="AR62" s="126"/>
    </row>
    <row r="63" spans="1:44" s="158" customFormat="1" ht="66.75" customHeight="1" x14ac:dyDescent="0.2">
      <c r="A63" s="198"/>
      <c r="B63" s="182"/>
      <c r="C63" s="393" t="s">
        <v>392</v>
      </c>
      <c r="D63" s="414"/>
      <c r="E63" s="414"/>
      <c r="F63" s="415"/>
      <c r="G63" s="210" t="s">
        <v>2</v>
      </c>
      <c r="H63" s="180" t="s">
        <v>2</v>
      </c>
      <c r="I63" s="189"/>
      <c r="J63" s="139"/>
      <c r="K63" s="264"/>
      <c r="M63" s="126">
        <f>3780*1.05</f>
        <v>3969</v>
      </c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  <c r="AL63" s="126"/>
      <c r="AM63" s="126"/>
      <c r="AN63" s="126"/>
      <c r="AO63" s="126"/>
      <c r="AP63" s="126"/>
      <c r="AQ63" s="126"/>
      <c r="AR63" s="126"/>
    </row>
    <row r="64" spans="1:44" s="158" customFormat="1" ht="18" customHeight="1" x14ac:dyDescent="0.2">
      <c r="A64" s="169" t="s">
        <v>284</v>
      </c>
      <c r="B64" s="196" t="s">
        <v>302</v>
      </c>
      <c r="C64" s="382" t="s">
        <v>303</v>
      </c>
      <c r="D64" s="383"/>
      <c r="E64" s="383"/>
      <c r="F64" s="383"/>
      <c r="G64" s="161" t="s">
        <v>208</v>
      </c>
      <c r="H64" s="211">
        <f>3780+28*16*0.95</f>
        <v>4205.6000000000004</v>
      </c>
      <c r="I64" s="189"/>
      <c r="J64" s="139"/>
      <c r="K64" s="264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  <c r="AL64" s="126"/>
      <c r="AM64" s="126"/>
      <c r="AN64" s="126"/>
      <c r="AO64" s="126"/>
      <c r="AP64" s="126"/>
      <c r="AQ64" s="126"/>
      <c r="AR64" s="126"/>
    </row>
    <row r="65" spans="1:104" s="158" customFormat="1" ht="75" customHeight="1" x14ac:dyDescent="0.2">
      <c r="A65" s="199"/>
      <c r="B65" s="182"/>
      <c r="C65" s="393" t="s">
        <v>393</v>
      </c>
      <c r="D65" s="394"/>
      <c r="E65" s="394"/>
      <c r="F65" s="395"/>
      <c r="G65" s="210" t="s">
        <v>2</v>
      </c>
      <c r="H65" s="180" t="s">
        <v>2</v>
      </c>
      <c r="I65" s="189"/>
      <c r="J65" s="139"/>
      <c r="K65" s="264"/>
      <c r="M65" s="126">
        <f>28*16*0.95</f>
        <v>425.6</v>
      </c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  <c r="AL65" s="126"/>
      <c r="AM65" s="126"/>
      <c r="AN65" s="126"/>
      <c r="AO65" s="126"/>
      <c r="AP65" s="126"/>
      <c r="AQ65" s="126"/>
      <c r="AR65" s="126"/>
    </row>
    <row r="66" spans="1:104" s="158" customFormat="1" ht="30.75" customHeight="1" x14ac:dyDescent="0.2">
      <c r="A66" s="164" t="s">
        <v>2</v>
      </c>
      <c r="B66" s="197" t="s">
        <v>333</v>
      </c>
      <c r="C66" s="405" t="s">
        <v>334</v>
      </c>
      <c r="D66" s="405"/>
      <c r="E66" s="405"/>
      <c r="F66" s="405"/>
      <c r="G66" s="405" t="s">
        <v>232</v>
      </c>
      <c r="H66" s="405"/>
      <c r="I66" s="405"/>
      <c r="J66" s="405"/>
      <c r="K66" s="40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</row>
    <row r="67" spans="1:104" s="158" customFormat="1" ht="29.25" customHeight="1" x14ac:dyDescent="0.2">
      <c r="A67" s="272" t="s">
        <v>321</v>
      </c>
      <c r="B67" s="171" t="s">
        <v>335</v>
      </c>
      <c r="C67" s="416" t="s">
        <v>338</v>
      </c>
      <c r="D67" s="416"/>
      <c r="E67" s="416"/>
      <c r="F67" s="416"/>
      <c r="G67" s="157" t="s">
        <v>208</v>
      </c>
      <c r="H67" s="159">
        <f>998*2.9</f>
        <v>2894.2</v>
      </c>
      <c r="I67" s="221">
        <v>12.9</v>
      </c>
      <c r="J67" s="136">
        <f t="shared" ref="J67" si="3">I67*H67</f>
        <v>37335.18</v>
      </c>
      <c r="K67" s="259">
        <f>I67*J67</f>
        <v>481623.82</v>
      </c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</row>
    <row r="68" spans="1:104" s="158" customFormat="1" ht="68.25" customHeight="1" x14ac:dyDescent="0.2">
      <c r="A68" s="198"/>
      <c r="B68" s="182"/>
      <c r="C68" s="390" t="s">
        <v>394</v>
      </c>
      <c r="D68" s="391"/>
      <c r="E68" s="391"/>
      <c r="F68" s="392"/>
      <c r="G68" s="210" t="s">
        <v>2</v>
      </c>
      <c r="H68" s="180" t="s">
        <v>2</v>
      </c>
      <c r="I68" s="189"/>
      <c r="J68" s="139"/>
      <c r="K68" s="264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  <c r="AL68" s="126"/>
      <c r="AM68" s="126"/>
      <c r="AN68" s="126"/>
      <c r="AO68" s="126"/>
      <c r="AP68" s="126"/>
      <c r="AQ68" s="126"/>
      <c r="AR68" s="126"/>
    </row>
    <row r="69" spans="1:104" s="142" customFormat="1" ht="25.5" customHeight="1" x14ac:dyDescent="0.2">
      <c r="A69" s="163" t="s">
        <v>15</v>
      </c>
      <c r="B69" s="174" t="s">
        <v>223</v>
      </c>
      <c r="C69" s="396" t="s">
        <v>224</v>
      </c>
      <c r="D69" s="397"/>
      <c r="E69" s="397"/>
      <c r="F69" s="397"/>
      <c r="G69" s="397"/>
      <c r="H69" s="397"/>
      <c r="I69" s="397"/>
      <c r="J69" s="398"/>
      <c r="K69" s="265"/>
      <c r="L69" s="158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  <c r="BI69" s="141"/>
      <c r="BJ69" s="141"/>
      <c r="BK69" s="141"/>
      <c r="BL69" s="141"/>
      <c r="BM69" s="141"/>
      <c r="BN69" s="141"/>
      <c r="BO69" s="141"/>
      <c r="BP69" s="141"/>
      <c r="BQ69" s="141"/>
      <c r="BR69" s="141"/>
      <c r="BS69" s="141"/>
      <c r="BT69" s="141"/>
      <c r="BU69" s="141"/>
      <c r="BV69" s="141"/>
      <c r="BW69" s="141"/>
      <c r="BX69" s="141"/>
      <c r="BY69" s="141"/>
      <c r="BZ69" s="141"/>
      <c r="CA69" s="141"/>
      <c r="CB69" s="141"/>
      <c r="CC69" s="141"/>
      <c r="CD69" s="141"/>
      <c r="CE69" s="141"/>
      <c r="CF69" s="141"/>
      <c r="CG69" s="141"/>
      <c r="CH69" s="141"/>
      <c r="CI69" s="141"/>
      <c r="CJ69" s="141"/>
      <c r="CK69" s="141"/>
      <c r="CL69" s="141"/>
      <c r="CM69" s="141"/>
      <c r="CN69" s="141"/>
      <c r="CO69" s="141"/>
      <c r="CP69" s="141"/>
      <c r="CQ69" s="141"/>
      <c r="CR69" s="141"/>
      <c r="CS69" s="141"/>
      <c r="CT69" s="141"/>
      <c r="CU69" s="141"/>
      <c r="CV69" s="141"/>
      <c r="CW69" s="141"/>
      <c r="CX69" s="141"/>
      <c r="CY69" s="141"/>
      <c r="CZ69" s="141"/>
    </row>
    <row r="70" spans="1:104" s="158" customFormat="1" ht="19.5" customHeight="1" x14ac:dyDescent="0.2">
      <c r="A70" s="164" t="s">
        <v>2</v>
      </c>
      <c r="B70" s="197" t="s">
        <v>346</v>
      </c>
      <c r="C70" s="372" t="s">
        <v>225</v>
      </c>
      <c r="D70" s="373"/>
      <c r="E70" s="373"/>
      <c r="F70" s="373"/>
      <c r="G70" s="373"/>
      <c r="H70" s="373"/>
      <c r="I70" s="373"/>
      <c r="J70" s="386"/>
      <c r="K70" s="266"/>
      <c r="M70" s="126"/>
    </row>
    <row r="71" spans="1:104" s="140" customFormat="1" ht="24.95" customHeight="1" x14ac:dyDescent="0.2">
      <c r="A71" s="169" t="s">
        <v>322</v>
      </c>
      <c r="B71" s="216" t="s">
        <v>226</v>
      </c>
      <c r="C71" s="387" t="s">
        <v>305</v>
      </c>
      <c r="D71" s="388"/>
      <c r="E71" s="388"/>
      <c r="F71" s="389"/>
      <c r="G71" s="157" t="s">
        <v>208</v>
      </c>
      <c r="H71" s="159">
        <v>4100</v>
      </c>
      <c r="I71" s="226">
        <v>6.5</v>
      </c>
      <c r="J71" s="136">
        <f t="shared" ref="J71:J74" si="4">I71*H71</f>
        <v>26650</v>
      </c>
      <c r="K71" s="259">
        <f>I71*J71</f>
        <v>173225</v>
      </c>
      <c r="L71" s="158"/>
      <c r="M71" s="126"/>
      <c r="N71" s="158"/>
    </row>
    <row r="72" spans="1:104" s="158" customFormat="1" ht="45.75" customHeight="1" x14ac:dyDescent="0.2">
      <c r="A72" s="273"/>
      <c r="B72" s="232"/>
      <c r="C72" s="362" t="s">
        <v>395</v>
      </c>
      <c r="D72" s="363"/>
      <c r="E72" s="363"/>
      <c r="F72" s="364"/>
      <c r="G72" s="214" t="s">
        <v>2</v>
      </c>
      <c r="H72" s="156" t="s">
        <v>2</v>
      </c>
      <c r="I72" s="233" t="s">
        <v>2</v>
      </c>
      <c r="J72" s="136" t="e">
        <f t="shared" si="4"/>
        <v>#VALUE!</v>
      </c>
      <c r="K72" s="259"/>
      <c r="M72" s="126"/>
    </row>
    <row r="73" spans="1:104" s="158" customFormat="1" ht="24.95" customHeight="1" x14ac:dyDescent="0.2">
      <c r="A73" s="169" t="s">
        <v>428</v>
      </c>
      <c r="B73" s="171" t="s">
        <v>258</v>
      </c>
      <c r="C73" s="384" t="s">
        <v>259</v>
      </c>
      <c r="D73" s="384"/>
      <c r="E73" s="384"/>
      <c r="F73" s="384"/>
      <c r="G73" s="157" t="s">
        <v>208</v>
      </c>
      <c r="H73" s="147">
        <f>399*1.4</f>
        <v>558.6</v>
      </c>
      <c r="I73" s="221" t="str">
        <f>H74</f>
        <v>x</v>
      </c>
      <c r="J73" s="136" t="e">
        <f t="shared" si="4"/>
        <v>#VALUE!</v>
      </c>
      <c r="K73" s="259" t="e">
        <f>I73*J73</f>
        <v>#VALUE!</v>
      </c>
      <c r="M73" s="126"/>
    </row>
    <row r="74" spans="1:104" s="158" customFormat="1" ht="66" customHeight="1" x14ac:dyDescent="0.2">
      <c r="A74" s="274"/>
      <c r="B74" s="234"/>
      <c r="C74" s="385" t="s">
        <v>396</v>
      </c>
      <c r="D74" s="385"/>
      <c r="E74" s="385"/>
      <c r="F74" s="385"/>
      <c r="G74" s="214" t="s">
        <v>2</v>
      </c>
      <c r="H74" s="156" t="s">
        <v>2</v>
      </c>
      <c r="I74" s="235" t="s">
        <v>2</v>
      </c>
      <c r="J74" s="136" t="e">
        <f t="shared" si="4"/>
        <v>#VALUE!</v>
      </c>
      <c r="K74" s="259"/>
      <c r="M74" s="126"/>
    </row>
    <row r="75" spans="1:104" s="158" customFormat="1" ht="23.25" customHeight="1" x14ac:dyDescent="0.2">
      <c r="A75" s="169" t="s">
        <v>429</v>
      </c>
      <c r="B75" s="171" t="s">
        <v>339</v>
      </c>
      <c r="C75" s="384" t="s">
        <v>340</v>
      </c>
      <c r="D75" s="384"/>
      <c r="E75" s="384"/>
      <c r="F75" s="384"/>
      <c r="G75" s="213" t="s">
        <v>210</v>
      </c>
      <c r="H75" s="147">
        <v>410</v>
      </c>
      <c r="I75" s="245"/>
      <c r="J75" s="231"/>
      <c r="K75" s="259"/>
      <c r="M75" s="126"/>
    </row>
    <row r="76" spans="1:104" s="158" customFormat="1" ht="62.25" customHeight="1" x14ac:dyDescent="0.2">
      <c r="A76" s="267"/>
      <c r="B76" s="234"/>
      <c r="C76" s="385" t="s">
        <v>397</v>
      </c>
      <c r="D76" s="385"/>
      <c r="E76" s="385"/>
      <c r="F76" s="385"/>
      <c r="G76" s="124" t="s">
        <v>2</v>
      </c>
      <c r="H76" s="124" t="s">
        <v>2</v>
      </c>
      <c r="I76" s="245"/>
      <c r="J76" s="231"/>
      <c r="K76" s="259"/>
      <c r="M76" s="126"/>
    </row>
    <row r="77" spans="1:104" s="158" customFormat="1" ht="21" customHeight="1" x14ac:dyDescent="0.2">
      <c r="A77" s="164" t="s">
        <v>2</v>
      </c>
      <c r="B77" s="197" t="s">
        <v>345</v>
      </c>
      <c r="C77" s="372" t="s">
        <v>341</v>
      </c>
      <c r="D77" s="373"/>
      <c r="E77" s="373"/>
      <c r="F77" s="373"/>
      <c r="G77" s="373"/>
      <c r="H77" s="373"/>
      <c r="I77" s="373"/>
      <c r="J77" s="386"/>
      <c r="K77" s="259"/>
      <c r="M77" s="126"/>
    </row>
    <row r="78" spans="1:104" s="158" customFormat="1" ht="21" customHeight="1" x14ac:dyDescent="0.2">
      <c r="A78" s="169" t="s">
        <v>430</v>
      </c>
      <c r="B78" s="216" t="s">
        <v>347</v>
      </c>
      <c r="C78" s="387" t="s">
        <v>398</v>
      </c>
      <c r="D78" s="388"/>
      <c r="E78" s="388"/>
      <c r="F78" s="389"/>
      <c r="G78" s="157" t="s">
        <v>210</v>
      </c>
      <c r="H78" s="159">
        <v>144</v>
      </c>
      <c r="I78" s="226">
        <v>6.5</v>
      </c>
      <c r="J78" s="136">
        <f t="shared" ref="J78:J79" si="5">I78*H78</f>
        <v>936</v>
      </c>
      <c r="K78" s="259"/>
      <c r="M78" s="126"/>
    </row>
    <row r="79" spans="1:104" s="158" customFormat="1" ht="48.75" customHeight="1" x14ac:dyDescent="0.2">
      <c r="A79" s="273"/>
      <c r="B79" s="232"/>
      <c r="C79" s="362" t="s">
        <v>435</v>
      </c>
      <c r="D79" s="363"/>
      <c r="E79" s="363"/>
      <c r="F79" s="364"/>
      <c r="G79" s="214" t="s">
        <v>2</v>
      </c>
      <c r="H79" s="156" t="s">
        <v>2</v>
      </c>
      <c r="I79" s="233" t="s">
        <v>2</v>
      </c>
      <c r="J79" s="136" t="e">
        <f t="shared" si="5"/>
        <v>#VALUE!</v>
      </c>
      <c r="K79" s="259"/>
      <c r="M79" s="126"/>
    </row>
    <row r="80" spans="1:104" s="158" customFormat="1" ht="19.5" customHeight="1" x14ac:dyDescent="0.2">
      <c r="A80" s="164" t="s">
        <v>2</v>
      </c>
      <c r="B80" s="197" t="s">
        <v>350</v>
      </c>
      <c r="C80" s="372" t="s">
        <v>348</v>
      </c>
      <c r="D80" s="373"/>
      <c r="E80" s="373"/>
      <c r="F80" s="373"/>
      <c r="G80" s="373"/>
      <c r="H80" s="373"/>
      <c r="I80" s="373"/>
      <c r="J80" s="386"/>
      <c r="K80" s="259"/>
      <c r="M80" s="126"/>
    </row>
    <row r="81" spans="1:21" s="158" customFormat="1" ht="17.25" customHeight="1" x14ac:dyDescent="0.2">
      <c r="A81" s="169" t="s">
        <v>431</v>
      </c>
      <c r="B81" s="216" t="s">
        <v>351</v>
      </c>
      <c r="C81" s="387" t="s">
        <v>349</v>
      </c>
      <c r="D81" s="388"/>
      <c r="E81" s="388"/>
      <c r="F81" s="389"/>
      <c r="G81" s="157" t="s">
        <v>208</v>
      </c>
      <c r="H81" s="159">
        <f>998*1</f>
        <v>998</v>
      </c>
      <c r="I81" s="226">
        <v>6.5</v>
      </c>
      <c r="J81" s="136">
        <f t="shared" ref="J81:J82" si="6">I81*H81</f>
        <v>6487</v>
      </c>
      <c r="K81" s="259"/>
      <c r="M81" s="126"/>
    </row>
    <row r="82" spans="1:21" s="158" customFormat="1" ht="54.75" customHeight="1" x14ac:dyDescent="0.2">
      <c r="A82" s="273"/>
      <c r="B82" s="232"/>
      <c r="C82" s="362" t="s">
        <v>400</v>
      </c>
      <c r="D82" s="363"/>
      <c r="E82" s="363"/>
      <c r="F82" s="364"/>
      <c r="G82" s="214" t="s">
        <v>2</v>
      </c>
      <c r="H82" s="156" t="s">
        <v>2</v>
      </c>
      <c r="I82" s="233" t="s">
        <v>2</v>
      </c>
      <c r="J82" s="136" t="e">
        <f t="shared" si="6"/>
        <v>#VALUE!</v>
      </c>
      <c r="K82" s="259"/>
      <c r="M82" s="126"/>
    </row>
    <row r="83" spans="1:21" s="140" customFormat="1" ht="31.5" customHeight="1" x14ac:dyDescent="0.2">
      <c r="A83" s="163" t="s">
        <v>16</v>
      </c>
      <c r="B83" s="174" t="s">
        <v>228</v>
      </c>
      <c r="C83" s="396" t="s">
        <v>229</v>
      </c>
      <c r="D83" s="397"/>
      <c r="E83" s="397"/>
      <c r="F83" s="397"/>
      <c r="G83" s="397"/>
      <c r="H83" s="397"/>
      <c r="I83" s="397"/>
      <c r="J83" s="397"/>
      <c r="K83" s="260"/>
      <c r="M83" s="238"/>
      <c r="N83" s="239"/>
      <c r="O83" s="428"/>
      <c r="P83" s="429"/>
      <c r="Q83" s="429"/>
      <c r="R83" s="430"/>
      <c r="S83" s="157"/>
      <c r="T83" s="159"/>
      <c r="U83" s="240"/>
    </row>
    <row r="84" spans="1:21" s="140" customFormat="1" ht="20.100000000000001" customHeight="1" x14ac:dyDescent="0.2">
      <c r="A84" s="164" t="s">
        <v>2</v>
      </c>
      <c r="B84" s="197" t="s">
        <v>230</v>
      </c>
      <c r="C84" s="372" t="s">
        <v>231</v>
      </c>
      <c r="D84" s="373"/>
      <c r="E84" s="373"/>
      <c r="F84" s="373"/>
      <c r="G84" s="373"/>
      <c r="H84" s="373"/>
      <c r="I84" s="373"/>
      <c r="J84" s="373"/>
      <c r="K84" s="412"/>
      <c r="M84" s="432"/>
      <c r="N84" s="434"/>
      <c r="O84" s="436"/>
      <c r="P84" s="437"/>
      <c r="Q84" s="437"/>
      <c r="R84" s="438"/>
      <c r="S84" s="420"/>
      <c r="T84" s="422"/>
      <c r="U84" s="424"/>
    </row>
    <row r="85" spans="1:21" s="140" customFormat="1" ht="24.95" customHeight="1" x14ac:dyDescent="0.2">
      <c r="A85" s="165" t="s">
        <v>285</v>
      </c>
      <c r="B85" s="179" t="s">
        <v>323</v>
      </c>
      <c r="C85" s="374" t="s">
        <v>342</v>
      </c>
      <c r="D85" s="374"/>
      <c r="E85" s="374"/>
      <c r="F85" s="374"/>
      <c r="G85" s="157" t="s">
        <v>211</v>
      </c>
      <c r="H85" s="159">
        <v>4</v>
      </c>
      <c r="I85" s="246">
        <v>105</v>
      </c>
      <c r="J85" s="129">
        <f>I85*H85</f>
        <v>420</v>
      </c>
      <c r="K85" s="255">
        <f>I85*J85</f>
        <v>44100</v>
      </c>
      <c r="L85" s="249"/>
      <c r="M85" s="433"/>
      <c r="N85" s="435"/>
      <c r="O85" s="241"/>
      <c r="P85" s="242"/>
      <c r="Q85" s="243"/>
      <c r="R85" s="244"/>
      <c r="S85" s="421"/>
      <c r="T85" s="423"/>
      <c r="U85" s="424"/>
    </row>
    <row r="86" spans="1:21" s="140" customFormat="1" ht="24.95" customHeight="1" x14ac:dyDescent="0.2">
      <c r="A86" s="275"/>
      <c r="B86" s="215"/>
      <c r="C86" s="381" t="s">
        <v>344</v>
      </c>
      <c r="D86" s="381"/>
      <c r="E86" s="381"/>
      <c r="F86" s="381"/>
      <c r="G86" s="214" t="s">
        <v>2</v>
      </c>
      <c r="H86" s="156" t="s">
        <v>2</v>
      </c>
      <c r="I86" s="246"/>
      <c r="J86" s="129"/>
      <c r="K86" s="255"/>
      <c r="L86" s="249"/>
      <c r="M86" s="126"/>
    </row>
    <row r="87" spans="1:21" s="140" customFormat="1" ht="24.95" customHeight="1" x14ac:dyDescent="0.2">
      <c r="A87" s="165" t="s">
        <v>418</v>
      </c>
      <c r="B87" s="179" t="s">
        <v>324</v>
      </c>
      <c r="C87" s="369" t="s">
        <v>325</v>
      </c>
      <c r="D87" s="370"/>
      <c r="E87" s="370"/>
      <c r="F87" s="371"/>
      <c r="G87" s="157" t="s">
        <v>211</v>
      </c>
      <c r="H87" s="159">
        <v>4</v>
      </c>
      <c r="I87" s="226"/>
      <c r="J87" s="136"/>
      <c r="K87" s="259"/>
      <c r="L87" s="249"/>
      <c r="M87" s="126"/>
    </row>
    <row r="88" spans="1:21" s="140" customFormat="1" ht="24.95" customHeight="1" x14ac:dyDescent="0.2">
      <c r="A88" s="275"/>
      <c r="B88" s="215"/>
      <c r="C88" s="439" t="s">
        <v>343</v>
      </c>
      <c r="D88" s="440"/>
      <c r="E88" s="440"/>
      <c r="F88" s="441"/>
      <c r="G88" s="214" t="s">
        <v>2</v>
      </c>
      <c r="H88" s="156" t="s">
        <v>2</v>
      </c>
      <c r="I88" s="235" t="s">
        <v>2</v>
      </c>
      <c r="J88" s="228"/>
      <c r="K88" s="268"/>
      <c r="L88" s="249"/>
      <c r="M88" s="126"/>
    </row>
    <row r="89" spans="1:21" ht="55.5" customHeight="1" x14ac:dyDescent="0.2">
      <c r="A89" s="294" t="s">
        <v>21</v>
      </c>
      <c r="B89" s="150" t="s">
        <v>401</v>
      </c>
      <c r="C89" s="426" t="s">
        <v>402</v>
      </c>
      <c r="D89" s="426"/>
      <c r="E89" s="426"/>
      <c r="F89" s="426"/>
      <c r="G89" s="426" t="s">
        <v>232</v>
      </c>
      <c r="H89" s="426"/>
      <c r="I89" s="426"/>
      <c r="J89" s="427"/>
      <c r="M89"/>
    </row>
    <row r="90" spans="1:21" ht="36.75" customHeight="1" x14ac:dyDescent="0.2">
      <c r="A90" s="195" t="s">
        <v>2</v>
      </c>
      <c r="B90" s="197" t="s">
        <v>403</v>
      </c>
      <c r="C90" s="405" t="s">
        <v>404</v>
      </c>
      <c r="D90" s="405"/>
      <c r="E90" s="405"/>
      <c r="F90" s="405"/>
      <c r="G90" s="405"/>
      <c r="H90" s="405"/>
      <c r="I90" s="405"/>
      <c r="J90" s="372"/>
      <c r="M90"/>
    </row>
    <row r="91" spans="1:21" ht="55.5" customHeight="1" x14ac:dyDescent="0.2">
      <c r="A91" s="165" t="s">
        <v>286</v>
      </c>
      <c r="B91" s="171" t="s">
        <v>405</v>
      </c>
      <c r="C91" s="428" t="s">
        <v>406</v>
      </c>
      <c r="D91" s="429"/>
      <c r="E91" s="429"/>
      <c r="F91" s="430"/>
      <c r="G91" s="161" t="s">
        <v>210</v>
      </c>
      <c r="H91" s="218">
        <v>70</v>
      </c>
      <c r="I91" s="162" t="s">
        <v>2</v>
      </c>
      <c r="J91" s="162">
        <v>153</v>
      </c>
      <c r="M91"/>
    </row>
    <row r="92" spans="1:21" ht="55.5" customHeight="1" x14ac:dyDescent="0.2">
      <c r="A92" s="296"/>
      <c r="B92" s="297"/>
      <c r="C92" s="431" t="s">
        <v>407</v>
      </c>
      <c r="D92" s="431"/>
      <c r="E92" s="431"/>
      <c r="F92" s="431"/>
      <c r="G92" s="295" t="s">
        <v>2</v>
      </c>
      <c r="H92" s="298" t="s">
        <v>2</v>
      </c>
      <c r="I92" s="162"/>
      <c r="J92" s="279" t="s">
        <v>2</v>
      </c>
      <c r="M92"/>
    </row>
    <row r="93" spans="1:21" x14ac:dyDescent="0.2">
      <c r="C93" s="126"/>
      <c r="D93" s="126"/>
      <c r="E93" s="126"/>
      <c r="F93" s="145"/>
      <c r="G93" s="217"/>
      <c r="M93"/>
    </row>
    <row r="94" spans="1:21" x14ac:dyDescent="0.2">
      <c r="C94" s="126"/>
      <c r="D94" s="126"/>
      <c r="E94" s="126"/>
      <c r="F94" s="145"/>
      <c r="G94" s="217"/>
      <c r="M94"/>
    </row>
    <row r="95" spans="1:21" x14ac:dyDescent="0.2">
      <c r="C95" s="293"/>
      <c r="D95" s="126"/>
      <c r="E95" s="126"/>
      <c r="F95" s="145"/>
      <c r="G95" s="217"/>
    </row>
    <row r="96" spans="1:21" x14ac:dyDescent="0.2">
      <c r="C96" s="126"/>
      <c r="D96" s="126"/>
      <c r="E96" s="126"/>
      <c r="F96" s="145"/>
      <c r="G96" s="217"/>
    </row>
    <row r="97" spans="3:7" x14ac:dyDescent="0.2">
      <c r="C97" s="126"/>
      <c r="D97" s="126"/>
      <c r="E97" s="126"/>
      <c r="F97" s="145"/>
      <c r="G97" s="217"/>
    </row>
    <row r="98" spans="3:7" x14ac:dyDescent="0.2">
      <c r="C98" s="126"/>
      <c r="D98" s="126"/>
      <c r="E98" s="126"/>
      <c r="F98" s="145"/>
      <c r="G98" s="217"/>
    </row>
    <row r="99" spans="3:7" x14ac:dyDescent="0.2">
      <c r="C99" s="126"/>
      <c r="D99" s="126"/>
      <c r="E99" s="126"/>
      <c r="F99" s="145"/>
      <c r="G99" s="217"/>
    </row>
    <row r="100" spans="3:7" x14ac:dyDescent="0.2">
      <c r="C100" s="126"/>
      <c r="D100" s="126"/>
      <c r="E100" s="126"/>
      <c r="F100" s="145"/>
      <c r="G100" s="217"/>
    </row>
    <row r="101" spans="3:7" x14ac:dyDescent="0.2">
      <c r="C101" s="126"/>
      <c r="D101" s="126"/>
      <c r="E101" s="126"/>
      <c r="F101" s="145"/>
      <c r="G101" s="217"/>
    </row>
    <row r="102" spans="3:7" x14ac:dyDescent="0.2">
      <c r="C102" s="126"/>
      <c r="D102" s="126"/>
      <c r="E102" s="126"/>
      <c r="F102" s="145"/>
      <c r="G102" s="217"/>
    </row>
    <row r="103" spans="3:7" x14ac:dyDescent="0.2">
      <c r="C103" s="126"/>
      <c r="D103" s="126"/>
      <c r="E103" s="126"/>
      <c r="F103" s="145"/>
      <c r="G103" s="217"/>
    </row>
    <row r="104" spans="3:7" x14ac:dyDescent="0.2">
      <c r="C104" s="126"/>
      <c r="D104" s="126"/>
      <c r="E104" s="126"/>
      <c r="F104" s="145"/>
      <c r="G104" s="217"/>
    </row>
    <row r="105" spans="3:7" x14ac:dyDescent="0.2">
      <c r="C105" s="126"/>
      <c r="D105" s="126"/>
      <c r="E105" s="126"/>
      <c r="F105" s="145"/>
      <c r="G105" s="217"/>
    </row>
    <row r="106" spans="3:7" x14ac:dyDescent="0.2">
      <c r="F106" s="145"/>
      <c r="G106" s="217"/>
    </row>
    <row r="107" spans="3:7" x14ac:dyDescent="0.2">
      <c r="F107" s="145"/>
      <c r="G107" s="217"/>
    </row>
    <row r="108" spans="3:7" x14ac:dyDescent="0.2">
      <c r="F108" s="145"/>
      <c r="G108" s="217"/>
    </row>
    <row r="109" spans="3:7" x14ac:dyDescent="0.2">
      <c r="F109" s="145"/>
      <c r="G109" s="217"/>
    </row>
  </sheetData>
  <mergeCells count="99">
    <mergeCell ref="C46:F46"/>
    <mergeCell ref="C42:H42"/>
    <mergeCell ref="C41:J41"/>
    <mergeCell ref="C43:F43"/>
    <mergeCell ref="C44:F44"/>
    <mergeCell ref="C89:J89"/>
    <mergeCell ref="C90:J90"/>
    <mergeCell ref="C91:F91"/>
    <mergeCell ref="C92:F92"/>
    <mergeCell ref="O83:R83"/>
    <mergeCell ref="M84:M85"/>
    <mergeCell ref="N84:N85"/>
    <mergeCell ref="O84:R84"/>
    <mergeCell ref="C88:F88"/>
    <mergeCell ref="S84:S85"/>
    <mergeCell ref="T84:T85"/>
    <mergeCell ref="U84:U85"/>
    <mergeCell ref="C29:F29"/>
    <mergeCell ref="C64:F64"/>
    <mergeCell ref="C30:F30"/>
    <mergeCell ref="C31:J31"/>
    <mergeCell ref="C32:J32"/>
    <mergeCell ref="C33:F33"/>
    <mergeCell ref="C37:F37"/>
    <mergeCell ref="C56:F56"/>
    <mergeCell ref="C54:K54"/>
    <mergeCell ref="C55:F55"/>
    <mergeCell ref="C38:F38"/>
    <mergeCell ref="C57:K57"/>
    <mergeCell ref="C60:J60"/>
    <mergeCell ref="C35:F35"/>
    <mergeCell ref="C39:F39"/>
    <mergeCell ref="C40:F40"/>
    <mergeCell ref="C63:F63"/>
    <mergeCell ref="C67:F67"/>
    <mergeCell ref="C53:F53"/>
    <mergeCell ref="C59:F59"/>
    <mergeCell ref="C47:J47"/>
    <mergeCell ref="C48:J48"/>
    <mergeCell ref="C49:F49"/>
    <mergeCell ref="C51:H51"/>
    <mergeCell ref="C61:H61"/>
    <mergeCell ref="C52:F52"/>
    <mergeCell ref="C50:F50"/>
    <mergeCell ref="C66:K66"/>
    <mergeCell ref="C45:F45"/>
    <mergeCell ref="C70:J70"/>
    <mergeCell ref="C85:F85"/>
    <mergeCell ref="C83:J83"/>
    <mergeCell ref="C84:K84"/>
    <mergeCell ref="C74:F74"/>
    <mergeCell ref="C73:F73"/>
    <mergeCell ref="C68:F68"/>
    <mergeCell ref="C65:F65"/>
    <mergeCell ref="C69:J69"/>
    <mergeCell ref="C71:F71"/>
    <mergeCell ref="A1:J1"/>
    <mergeCell ref="A2:J2"/>
    <mergeCell ref="C3:F3"/>
    <mergeCell ref="C11:J11"/>
    <mergeCell ref="C12:F12"/>
    <mergeCell ref="C14:K14"/>
    <mergeCell ref="C8:F8"/>
    <mergeCell ref="B9:J9"/>
    <mergeCell ref="C10:J10"/>
    <mergeCell ref="B4:J4"/>
    <mergeCell ref="C5:K5"/>
    <mergeCell ref="C6:K6"/>
    <mergeCell ref="C7:F7"/>
    <mergeCell ref="C13:F13"/>
    <mergeCell ref="C72:F72"/>
    <mergeCell ref="C86:F86"/>
    <mergeCell ref="C87:F87"/>
    <mergeCell ref="C36:F36"/>
    <mergeCell ref="C62:F62"/>
    <mergeCell ref="C75:F75"/>
    <mergeCell ref="C76:F76"/>
    <mergeCell ref="C77:J77"/>
    <mergeCell ref="C78:F78"/>
    <mergeCell ref="C79:F79"/>
    <mergeCell ref="C80:J80"/>
    <mergeCell ref="C81:F81"/>
    <mergeCell ref="C82:F82"/>
    <mergeCell ref="C58:F58"/>
    <mergeCell ref="C34:F34"/>
    <mergeCell ref="C23:F23"/>
    <mergeCell ref="C15:F15"/>
    <mergeCell ref="C17:F17"/>
    <mergeCell ref="C16:F16"/>
    <mergeCell ref="C18:F18"/>
    <mergeCell ref="C28:F28"/>
    <mergeCell ref="C27:F27"/>
    <mergeCell ref="C19:F19"/>
    <mergeCell ref="C21:J21"/>
    <mergeCell ref="C26:F26"/>
    <mergeCell ref="C22:F22"/>
    <mergeCell ref="C24:K24"/>
    <mergeCell ref="C25:F25"/>
    <mergeCell ref="C20:F20"/>
  </mergeCells>
  <printOptions gridLines="1"/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rowBreaks count="5" manualBreakCount="5">
    <brk id="22" max="7" man="1"/>
    <brk id="36" max="7" man="1"/>
    <brk id="50" max="7" man="1"/>
    <brk id="63" max="7" man="1"/>
    <brk id="7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57555-591F-47C1-9B19-A77F01AE531B}">
  <sheetPr>
    <tabColor rgb="FFFFFF00"/>
    <pageSetUpPr fitToPage="1"/>
  </sheetPr>
  <dimension ref="A2:O79"/>
  <sheetViews>
    <sheetView view="pageBreakPreview" topLeftCell="A4" zoomScale="85" zoomScaleNormal="100" zoomScaleSheetLayoutView="85" workbookViewId="0">
      <selection activeCell="O8" sqref="O8"/>
    </sheetView>
  </sheetViews>
  <sheetFormatPr defaultRowHeight="12.75" x14ac:dyDescent="0.2"/>
  <cols>
    <col min="1" max="1" width="6.7109375" customWidth="1"/>
    <col min="2" max="2" width="15.85546875" style="26" customWidth="1"/>
    <col min="4" max="4" width="75.5703125" customWidth="1"/>
    <col min="5" max="5" width="25.140625" customWidth="1"/>
    <col min="6" max="6" width="10.5703125" hidden="1" customWidth="1"/>
    <col min="7" max="7" width="12.85546875" hidden="1" customWidth="1"/>
    <col min="8" max="8" width="10.85546875" hidden="1" customWidth="1"/>
    <col min="9" max="9" width="16.140625" hidden="1" customWidth="1"/>
    <col min="10" max="10" width="30.42578125" hidden="1" customWidth="1"/>
    <col min="11" max="11" width="0" hidden="1" customWidth="1"/>
    <col min="12" max="12" width="15" hidden="1" customWidth="1"/>
    <col min="13" max="13" width="0" hidden="1" customWidth="1"/>
  </cols>
  <sheetData>
    <row r="2" spans="1:15" ht="13.5" thickBot="1" x14ac:dyDescent="0.25"/>
    <row r="3" spans="1:15" ht="48.75" customHeight="1" thickBot="1" x14ac:dyDescent="0.25">
      <c r="A3" s="446" t="s">
        <v>155</v>
      </c>
      <c r="B3" s="447"/>
      <c r="C3" s="447"/>
      <c r="D3" s="447"/>
      <c r="E3" s="448"/>
    </row>
    <row r="4" spans="1:15" ht="19.5" thickBot="1" x14ac:dyDescent="0.25">
      <c r="B4" s="449"/>
      <c r="C4" s="449"/>
      <c r="D4" s="449"/>
      <c r="E4" s="449"/>
    </row>
    <row r="5" spans="1:15" ht="103.5" customHeight="1" x14ac:dyDescent="0.2">
      <c r="A5" s="450" t="s">
        <v>142</v>
      </c>
      <c r="B5" s="451"/>
      <c r="C5" s="452" t="s">
        <v>372</v>
      </c>
      <c r="D5" s="452"/>
      <c r="E5" s="453"/>
    </row>
    <row r="6" spans="1:15" ht="37.5" customHeight="1" x14ac:dyDescent="0.2">
      <c r="A6" s="200" t="s">
        <v>18</v>
      </c>
      <c r="B6" s="151" t="s">
        <v>6</v>
      </c>
      <c r="C6" s="454" t="s">
        <v>7</v>
      </c>
      <c r="D6" s="454"/>
      <c r="E6" s="201" t="s">
        <v>8</v>
      </c>
    </row>
    <row r="7" spans="1:15" ht="29.25" customHeight="1" x14ac:dyDescent="0.2">
      <c r="A7" s="202" t="s">
        <v>122</v>
      </c>
      <c r="B7" s="152" t="s">
        <v>1</v>
      </c>
      <c r="C7" s="445" t="s">
        <v>9</v>
      </c>
      <c r="D7" s="445"/>
      <c r="E7" s="203" t="s">
        <v>2</v>
      </c>
    </row>
    <row r="8" spans="1:15" ht="29.25" customHeight="1" x14ac:dyDescent="0.2">
      <c r="A8" s="204">
        <v>1</v>
      </c>
      <c r="B8" s="153" t="s">
        <v>12</v>
      </c>
      <c r="C8" s="457" t="str">
        <f>C7</f>
        <v>KOSZT DOSTOSOWANIA SIĘ DO WYMAGAŃ WARUNKÓW KONTRAKTU</v>
      </c>
      <c r="D8" s="458"/>
      <c r="E8" s="205"/>
      <c r="I8" s="120" t="s">
        <v>190</v>
      </c>
      <c r="J8" s="25" t="s">
        <v>153</v>
      </c>
      <c r="L8" s="25" t="s">
        <v>154</v>
      </c>
    </row>
    <row r="9" spans="1:15" ht="22.5" customHeight="1" x14ac:dyDescent="0.2">
      <c r="A9" s="206"/>
      <c r="B9" s="154"/>
      <c r="C9" s="459" t="s">
        <v>24</v>
      </c>
      <c r="D9" s="459"/>
      <c r="E9" s="207"/>
      <c r="F9" s="97"/>
      <c r="G9" s="97"/>
      <c r="H9" s="97"/>
      <c r="I9" s="97"/>
      <c r="J9" s="97" t="e">
        <f>E8+#REF!+E23*0.015</f>
        <v>#REF!</v>
      </c>
      <c r="L9" s="102" t="e">
        <f>E23-J9</f>
        <v>#REF!</v>
      </c>
      <c r="O9" s="103"/>
    </row>
    <row r="10" spans="1:15" ht="27.75" customHeight="1" x14ac:dyDescent="0.2">
      <c r="A10" s="202" t="s">
        <v>122</v>
      </c>
      <c r="B10" s="9" t="s">
        <v>3</v>
      </c>
      <c r="C10" s="460" t="s">
        <v>359</v>
      </c>
      <c r="D10" s="461"/>
      <c r="E10" s="208" t="s">
        <v>2</v>
      </c>
    </row>
    <row r="11" spans="1:15" ht="24.75" customHeight="1" x14ac:dyDescent="0.2">
      <c r="A11" s="16">
        <v>2</v>
      </c>
      <c r="B11" s="10" t="s">
        <v>13</v>
      </c>
      <c r="C11" s="462" t="s">
        <v>245</v>
      </c>
      <c r="D11" s="462"/>
      <c r="E11" s="205"/>
    </row>
    <row r="12" spans="1:15" ht="30" customHeight="1" x14ac:dyDescent="0.2">
      <c r="A12" s="16">
        <v>3</v>
      </c>
      <c r="B12" s="10" t="s">
        <v>14</v>
      </c>
      <c r="C12" s="462" t="s">
        <v>246</v>
      </c>
      <c r="D12" s="462"/>
      <c r="E12" s="205"/>
      <c r="G12" s="118">
        <v>8520</v>
      </c>
      <c r="H12" s="118">
        <v>30</v>
      </c>
      <c r="I12" s="118">
        <f>H12*G12</f>
        <v>255600</v>
      </c>
      <c r="J12" s="119" t="s">
        <v>185</v>
      </c>
      <c r="K12" s="86"/>
    </row>
    <row r="13" spans="1:15" ht="30" customHeight="1" x14ac:dyDescent="0.2">
      <c r="A13" s="16">
        <v>4</v>
      </c>
      <c r="B13" s="10" t="s">
        <v>10</v>
      </c>
      <c r="C13" s="462" t="s">
        <v>438</v>
      </c>
      <c r="D13" s="462"/>
      <c r="E13" s="205"/>
      <c r="G13" s="118"/>
      <c r="H13" s="118"/>
      <c r="I13" s="118"/>
      <c r="J13" s="119"/>
      <c r="K13" s="86"/>
    </row>
    <row r="14" spans="1:15" ht="31.5" customHeight="1" x14ac:dyDescent="0.2">
      <c r="A14" s="16">
        <v>4</v>
      </c>
      <c r="B14" s="10" t="s">
        <v>11</v>
      </c>
      <c r="C14" s="462" t="s">
        <v>247</v>
      </c>
      <c r="D14" s="462"/>
      <c r="E14" s="205"/>
      <c r="F14" s="120" t="s">
        <v>186</v>
      </c>
      <c r="G14">
        <v>13541.6</v>
      </c>
      <c r="H14">
        <v>150</v>
      </c>
      <c r="I14" s="117">
        <f>G14*H14</f>
        <v>2031240</v>
      </c>
      <c r="J14" s="121" t="s">
        <v>187</v>
      </c>
    </row>
    <row r="15" spans="1:15" ht="24.75" customHeight="1" x14ac:dyDescent="0.2">
      <c r="A15" s="16">
        <v>5</v>
      </c>
      <c r="B15" s="10" t="s">
        <v>15</v>
      </c>
      <c r="C15" s="457" t="s">
        <v>248</v>
      </c>
      <c r="D15" s="457"/>
      <c r="E15" s="205"/>
      <c r="G15">
        <v>13541.6</v>
      </c>
      <c r="H15">
        <v>87.832999999999998</v>
      </c>
      <c r="I15" s="117">
        <f>G15*H15</f>
        <v>1189399.3500000001</v>
      </c>
      <c r="L15" s="87"/>
    </row>
    <row r="16" spans="1:15" ht="32.25" customHeight="1" x14ac:dyDescent="0.2">
      <c r="A16" s="16">
        <v>6</v>
      </c>
      <c r="B16" s="10" t="s">
        <v>16</v>
      </c>
      <c r="C16" s="457" t="s">
        <v>249</v>
      </c>
      <c r="D16" s="457"/>
      <c r="E16" s="205"/>
      <c r="J16" s="123" t="s">
        <v>189</v>
      </c>
      <c r="K16" s="86"/>
    </row>
    <row r="17" spans="1:10" ht="38.25" x14ac:dyDescent="0.2">
      <c r="A17" s="282">
        <v>7</v>
      </c>
      <c r="B17" s="283" t="s">
        <v>21</v>
      </c>
      <c r="C17" s="463" t="s">
        <v>250</v>
      </c>
      <c r="D17" s="463"/>
      <c r="E17" s="323"/>
      <c r="G17" s="122" t="s">
        <v>188</v>
      </c>
    </row>
    <row r="18" spans="1:10" ht="27" customHeight="1" thickBot="1" x14ac:dyDescent="0.25">
      <c r="A18" s="321">
        <v>8</v>
      </c>
      <c r="B18" s="283" t="s">
        <v>1</v>
      </c>
      <c r="C18" s="463" t="s">
        <v>439</v>
      </c>
      <c r="D18" s="463"/>
      <c r="E18" s="323"/>
      <c r="G18" s="122"/>
    </row>
    <row r="19" spans="1:10" ht="24" customHeight="1" thickBot="1" x14ac:dyDescent="0.25">
      <c r="A19" s="455" t="s">
        <v>25</v>
      </c>
      <c r="B19" s="456"/>
      <c r="C19" s="456"/>
      <c r="D19" s="456"/>
      <c r="E19" s="322"/>
    </row>
    <row r="20" spans="1:10" ht="30" hidden="1" customHeight="1" x14ac:dyDescent="0.2">
      <c r="A20" s="15" t="s">
        <v>2</v>
      </c>
      <c r="B20" s="9" t="s">
        <v>241</v>
      </c>
      <c r="C20" s="460" t="s">
        <v>242</v>
      </c>
      <c r="D20" s="461"/>
      <c r="E20" s="208" t="s">
        <v>2</v>
      </c>
      <c r="G20" s="120"/>
    </row>
    <row r="21" spans="1:10" ht="30" hidden="1" customHeight="1" x14ac:dyDescent="0.2">
      <c r="A21" s="16">
        <v>11</v>
      </c>
      <c r="B21" s="10" t="s">
        <v>234</v>
      </c>
      <c r="C21" s="462" t="s">
        <v>251</v>
      </c>
      <c r="D21" s="462"/>
      <c r="E21" s="205" t="e">
        <f>#REF!</f>
        <v>#REF!</v>
      </c>
      <c r="G21" s="120"/>
    </row>
    <row r="22" spans="1:10" ht="26.25" hidden="1" customHeight="1" x14ac:dyDescent="0.2">
      <c r="A22" s="465" t="s">
        <v>252</v>
      </c>
      <c r="B22" s="466"/>
      <c r="C22" s="466"/>
      <c r="D22" s="466"/>
      <c r="E22" s="281" t="e">
        <f>E21</f>
        <v>#REF!</v>
      </c>
      <c r="G22" s="120"/>
    </row>
    <row r="23" spans="1:10" ht="23.25" customHeight="1" x14ac:dyDescent="0.2">
      <c r="A23" s="467" t="s">
        <v>367</v>
      </c>
      <c r="B23" s="468"/>
      <c r="C23" s="468"/>
      <c r="D23" s="469"/>
      <c r="E23" s="284"/>
      <c r="J23" s="86"/>
    </row>
    <row r="24" spans="1:10" ht="23.25" customHeight="1" x14ac:dyDescent="0.2">
      <c r="A24" s="470" t="s">
        <v>17</v>
      </c>
      <c r="B24" s="471"/>
      <c r="C24" s="471"/>
      <c r="D24" s="472"/>
      <c r="E24" s="285"/>
    </row>
    <row r="25" spans="1:10" ht="23.25" customHeight="1" thickBot="1" x14ac:dyDescent="0.25">
      <c r="A25" s="473" t="s">
        <v>138</v>
      </c>
      <c r="B25" s="474"/>
      <c r="C25" s="474"/>
      <c r="D25" s="475"/>
      <c r="E25" s="286"/>
    </row>
    <row r="28" spans="1:10" x14ac:dyDescent="0.2">
      <c r="A28" s="464"/>
      <c r="B28" s="464"/>
      <c r="C28" s="464"/>
      <c r="D28" s="464"/>
      <c r="E28" s="464"/>
    </row>
    <row r="29" spans="1:10" x14ac:dyDescent="0.2">
      <c r="A29" s="464"/>
      <c r="B29" s="464"/>
      <c r="C29" s="464"/>
      <c r="D29" s="464"/>
      <c r="E29" s="464"/>
    </row>
    <row r="30" spans="1:10" x14ac:dyDescent="0.2">
      <c r="A30" s="464"/>
      <c r="B30" s="464"/>
      <c r="C30" s="464"/>
      <c r="D30" s="464"/>
      <c r="E30" s="464"/>
    </row>
    <row r="31" spans="1:10" x14ac:dyDescent="0.2">
      <c r="A31" s="464"/>
      <c r="B31" s="464"/>
      <c r="C31" s="464"/>
      <c r="D31" s="464"/>
      <c r="E31" s="464"/>
    </row>
    <row r="58" spans="10:10" x14ac:dyDescent="0.2">
      <c r="J58" s="88" t="s">
        <v>108</v>
      </c>
    </row>
    <row r="59" spans="10:10" x14ac:dyDescent="0.2">
      <c r="J59" s="80" t="s">
        <v>109</v>
      </c>
    </row>
    <row r="60" spans="10:10" x14ac:dyDescent="0.2">
      <c r="J60" s="78"/>
    </row>
    <row r="61" spans="10:10" x14ac:dyDescent="0.2">
      <c r="J61" s="84" t="str">
        <f>IF(A70=0,"",IF(A70=1,"jedenaście milionów ",IF(A70=2,"dwanaście milionów ",IF(A70=3,"trzynaście milionów ",IF(A70=4,"czternaście milionów ",IF(A70=5,"piętnaście milionów ",""))))))</f>
        <v/>
      </c>
    </row>
    <row r="62" spans="10:10" x14ac:dyDescent="0.2">
      <c r="J62" s="78"/>
    </row>
    <row r="63" spans="10:10" x14ac:dyDescent="0.2">
      <c r="J63" s="78"/>
    </row>
    <row r="64" spans="10:10" x14ac:dyDescent="0.2">
      <c r="J64" s="84" t="str">
        <f>IF(A73=0,"",IF(A73=1,"jedenaście tysięcy ",IF(A73=2,"dwanaście tysięcy ",IF(A73=3,"trzynaście tysięcy ",IF(A73=4,"czternaście tysięcy ",IF(A73=5,"piętnaście tysięcy ",""))))))</f>
        <v/>
      </c>
    </row>
    <row r="65" spans="1:14" x14ac:dyDescent="0.2">
      <c r="J65" s="78"/>
    </row>
    <row r="66" spans="1:14" x14ac:dyDescent="0.2">
      <c r="J66" s="78"/>
    </row>
    <row r="67" spans="1:14" x14ac:dyDescent="0.2">
      <c r="A67" s="77">
        <f>E25</f>
        <v>0</v>
      </c>
      <c r="B67" s="83"/>
      <c r="C67" s="78"/>
      <c r="D67" s="78"/>
      <c r="E67" s="78"/>
      <c r="F67" s="78"/>
      <c r="G67" s="78"/>
      <c r="H67" s="78"/>
      <c r="I67" s="78"/>
      <c r="J67" s="84" t="str">
        <f>IF(A76=0,"",IF(A76=1,"jedenaście ",IF(A76=2,"dwanaście ",IF(A76=3,"trzynaście ",IF(A76=4,"czternaście ",IF(A76=5,"piętnaście ",""))))))</f>
        <v/>
      </c>
      <c r="K67" s="88"/>
      <c r="L67" s="78"/>
      <c r="M67" s="78"/>
      <c r="N67" s="78"/>
    </row>
    <row r="68" spans="1:14" x14ac:dyDescent="0.2">
      <c r="A68" s="79"/>
      <c r="B68" s="83"/>
      <c r="C68" s="80" t="s">
        <v>109</v>
      </c>
      <c r="D68" s="81" t="s">
        <v>110</v>
      </c>
      <c r="E68" s="80" t="s">
        <v>109</v>
      </c>
      <c r="F68" s="81" t="s">
        <v>110</v>
      </c>
      <c r="G68" s="81"/>
      <c r="H68" s="81"/>
      <c r="I68" s="81"/>
      <c r="J68" s="78"/>
      <c r="K68" s="81" t="s">
        <v>110</v>
      </c>
      <c r="L68" s="88" t="s">
        <v>111</v>
      </c>
      <c r="M68" s="82" t="s">
        <v>112</v>
      </c>
      <c r="N68" s="78"/>
    </row>
    <row r="69" spans="1:14" x14ac:dyDescent="0.2">
      <c r="A69" s="78">
        <f>INT(A$67/10000000)</f>
        <v>0</v>
      </c>
      <c r="B69" s="83"/>
      <c r="C69" s="83">
        <f>IF(AND(A69&gt;=0,A69&lt;=5),1,0)</f>
        <v>1</v>
      </c>
      <c r="D69" s="83">
        <f>IF(AND(A69&gt;=6,A69&lt;=9),1,0)</f>
        <v>0</v>
      </c>
      <c r="E69" s="84" t="str">
        <f>IF(A69=0,"",IF(A69=1,IF(A70=0,"dziesięć milionów ",""),IF(A69=2,"dwadzieścia ",IF(A69=3,"trzydzieści ",IF(A69=4,"czterdzieści ",IF(A69=5,"pięćdziesiąt ",""))))))</f>
        <v/>
      </c>
      <c r="F69" s="84" t="str">
        <f>IF(A69=6,"sześćdziesiąt ",IF(A69=7,"siedemdziesiąt ",IF(A69=8,"osiemdziesiąt ",IF(A69=9,"dziewięćdziesiąt ",""))))</f>
        <v/>
      </c>
      <c r="G69" s="84"/>
      <c r="H69" s="84"/>
      <c r="I69" s="84"/>
      <c r="J69" s="78"/>
      <c r="K69" s="78"/>
      <c r="L69" s="78"/>
      <c r="M69" s="84" t="str">
        <f>IF(C69,E69&amp;L69,IF(D69,F69&amp;L69,""))</f>
        <v/>
      </c>
      <c r="N69" s="78"/>
    </row>
    <row r="70" spans="1:14" x14ac:dyDescent="0.2">
      <c r="A70" s="79">
        <f>INT(A$67/1000000)-A69*10</f>
        <v>0</v>
      </c>
      <c r="B70" s="83"/>
      <c r="C70" s="83">
        <f t="shared" ref="C70:C76" si="0">IF(AND(A70&gt;=0,A70&lt;=5),1,0)</f>
        <v>1</v>
      </c>
      <c r="D70" s="83">
        <f t="shared" ref="D70:D76" si="1">IF(AND(A70&gt;=6,A70&lt;=9),1,0)</f>
        <v>0</v>
      </c>
      <c r="E70" s="84" t="str">
        <f>IF(A70=0,IF(AND(A69&lt;&gt;0,A69&lt;&gt;1),"milionów ",""),IF(A70=1,IF(A69=0,"jeden milion ","jeden milionów "),IF(A70=2,"dwa miliony ",IF(A70=3,"trzy miliony ",IF(A70=4,"cztery miliony ",IF(A70=5,"pięć milionów ",""))))))</f>
        <v/>
      </c>
      <c r="F70" s="84" t="str">
        <f>IF(A70=6,"sześć milionów ",IF(A70=7,"siedem milionów ",IF(A70=8,"osiem milionów ",IF(A70=9,"dziewięć milionów ",""))))</f>
        <v/>
      </c>
      <c r="G70" s="84"/>
      <c r="H70" s="84"/>
      <c r="I70" s="84"/>
      <c r="J70" s="84"/>
      <c r="K70" s="84" t="str">
        <f>IF(A70=6,"szesnaście milionów ",IF(A70=7,"siedemnaście milionów ",IF(A70=8,"osiemnaście milionów ",IF(A70=9,"dziewiętnaście milionów ",""))))</f>
        <v/>
      </c>
      <c r="L70" s="78"/>
      <c r="M70" s="84" t="str">
        <f>IF(A69=1,IF(C70,J61,IF(D70,K70)),IF(C70,E70,IF(D70,F70,"")))</f>
        <v/>
      </c>
      <c r="N70" s="78"/>
    </row>
    <row r="71" spans="1:14" x14ac:dyDescent="0.2">
      <c r="A71" s="78">
        <f>INT(A$67/100000)-10*A70-100*A69</f>
        <v>0</v>
      </c>
      <c r="B71" s="83"/>
      <c r="C71" s="83">
        <f t="shared" si="0"/>
        <v>1</v>
      </c>
      <c r="D71" s="83">
        <f t="shared" si="1"/>
        <v>0</v>
      </c>
      <c r="E71" s="84" t="str">
        <f>IF(A71=0,"",IF(A71=1,"sto ",IF(A71=2,"dwieście ",IF(A71=3,"trzysta ",IF(A71=4,"czterysta ",IF(A71=5,"pięćset ",""))))))</f>
        <v/>
      </c>
      <c r="F71" s="84" t="str">
        <f>IF(A71=6,"sześćset ",IF(A71=7,"siedemset ",IF(A71=8,"osiemset ",IF(A71=9,"dziewięćset ",""))))</f>
        <v/>
      </c>
      <c r="G71" s="84"/>
      <c r="H71" s="84"/>
      <c r="I71" s="84"/>
      <c r="K71" s="78"/>
      <c r="L71" s="78"/>
      <c r="M71" s="84" t="str">
        <f>IF(C71,E71&amp;L71,IF(D71,F71&amp;L71,""))</f>
        <v/>
      </c>
      <c r="N71" s="78"/>
    </row>
    <row r="72" spans="1:14" x14ac:dyDescent="0.2">
      <c r="A72" s="78">
        <f>INT(A$67/10000)-10*A71-100*A70-1000*A69</f>
        <v>0</v>
      </c>
      <c r="B72" s="83"/>
      <c r="C72" s="83">
        <f t="shared" si="0"/>
        <v>1</v>
      </c>
      <c r="D72" s="83">
        <f t="shared" si="1"/>
        <v>0</v>
      </c>
      <c r="E72" s="84" t="str">
        <f>IF(A72=0,"",IF(A72=1,IF(A73=0,"dziesięć tysięcy ",""),IF(A72=2,"dwadzieścia ",IF(A72=3,"trzydzieści ",IF(A72=4,"czterdzieści ",IF(A72=5,"pięćdziesiąt ",""))))))</f>
        <v/>
      </c>
      <c r="F72" s="84" t="str">
        <f>IF(A72=6,"sześćdziesiąt ",IF(A72=7,"siedemdziesiąt ",IF(A72=8,"osiemdziesiąt ",IF(A72=9,"dziewięćdziesiąt ",""))))</f>
        <v/>
      </c>
      <c r="G72" s="84"/>
      <c r="H72" s="84"/>
      <c r="I72" s="84"/>
      <c r="K72" s="78"/>
      <c r="L72" s="78"/>
      <c r="M72" s="84" t="str">
        <f>IF(C72,E72&amp;L72,IF(D72,F72&amp;L72,""))</f>
        <v/>
      </c>
      <c r="N72" s="78"/>
    </row>
    <row r="73" spans="1:14" x14ac:dyDescent="0.2">
      <c r="A73" s="79">
        <f>INT(A$67/1000)-10*A72-100*A71-1000*A70-10000*A69</f>
        <v>0</v>
      </c>
      <c r="B73" s="83"/>
      <c r="C73" s="83">
        <f t="shared" si="0"/>
        <v>1</v>
      </c>
      <c r="D73" s="83">
        <f t="shared" si="1"/>
        <v>0</v>
      </c>
      <c r="E73" s="84" t="str">
        <f>IF(A73=0,IF(OR(AND(A72&lt;&gt;0,A72&lt;&gt;1),AND(A71&lt;&gt;0,A72=0)),"tysięcy ",""),IF(A73=1,IF(AND(A71=0,A72=0),"jeden tysiąc ","jeden tysięcy "),IF(A73=2,"dwa tysiące ",IF(A73=3,"trzy tysiące ",IF(A73=4,"cztery tysiące ",IF(A73=5,"pięć tysięcy ",""))))))</f>
        <v/>
      </c>
      <c r="F73" s="84" t="str">
        <f>IF(A73=6,"sześć tysięcy ",IF(A73=7,"siedem tysięcy ",IF(A73=8,"osiem tysięcy ",IF(A73=9,"dziewięć tysięcy ",""))))</f>
        <v/>
      </c>
      <c r="G73" s="84"/>
      <c r="H73" s="84"/>
      <c r="I73" s="84"/>
      <c r="K73" s="84" t="str">
        <f>IF(A73=6,"szesnaście tysięcy ",IF(A73=7,"siedemnaście tysięcy ",IF(A73=8,"osiemnaście tysięcy ",IF(A73=9,"dziewiętnaście tysięcy ",""))))</f>
        <v/>
      </c>
      <c r="L73" s="78"/>
      <c r="M73" s="84" t="str">
        <f>IF(A72=1,IF(C73,J64,IF(D73,K73)),IF(C73,E73,IF(D73,F73,"")))</f>
        <v/>
      </c>
      <c r="N73" s="78"/>
    </row>
    <row r="74" spans="1:14" x14ac:dyDescent="0.2">
      <c r="A74" s="78">
        <f>INT(A$67/100)-10*A73-100*A72-1000*A71-10000*A70-100000*A69</f>
        <v>0</v>
      </c>
      <c r="B74" s="83"/>
      <c r="C74" s="83">
        <f t="shared" si="0"/>
        <v>1</v>
      </c>
      <c r="D74" s="83">
        <f t="shared" si="1"/>
        <v>0</v>
      </c>
      <c r="E74" s="84" t="str">
        <f>IF(A74=0,"",IF(A74=1,"sto ",IF(A74=2,"dwieście ",IF(A74=3,"trzysta ",IF(A74=4,"czterysta ",IF(A74=5,"pięćset ",""))))))</f>
        <v/>
      </c>
      <c r="F74" s="84" t="str">
        <f>IF(A74=6,"sześćset ",IF(A74=7,"siedemset ",IF(A74=8,"osiemset ",IF(A74=9,"dziewięćset ",""))))</f>
        <v/>
      </c>
      <c r="G74" s="84"/>
      <c r="H74" s="84"/>
      <c r="I74" s="84"/>
      <c r="K74" s="78"/>
      <c r="L74" s="78"/>
      <c r="M74" s="84" t="str">
        <f>IF(C74,E74&amp;L74,IF(D74,F74&amp;L74,""))</f>
        <v/>
      </c>
      <c r="N74" s="78"/>
    </row>
    <row r="75" spans="1:14" x14ac:dyDescent="0.2">
      <c r="A75" s="78">
        <f>INT(A$67/10)-10*A74-100*A73-1000*A72-10000*A71-100000*A70-1000000*A69</f>
        <v>0</v>
      </c>
      <c r="B75" s="83"/>
      <c r="C75" s="83">
        <f t="shared" si="0"/>
        <v>1</v>
      </c>
      <c r="D75" s="83">
        <f t="shared" si="1"/>
        <v>0</v>
      </c>
      <c r="E75" s="84" t="str">
        <f>IF(A75=0,"",IF(A75=1,IF(A76=0,"dziesięć ",""),IF(A75=2,"dwadzieścia ",IF(A75=3,"trzydzieści ",IF(A75=4,"czterdzieści ",IF(A75=5,"pięćdziesiąt ",""))))))</f>
        <v/>
      </c>
      <c r="F75" s="84" t="str">
        <f>IF(A75=6,"sześćdziesiąt ",IF(A75=7,"siedemdziesiąt ",IF(A75=8,"osiemdziesiąt ",IF(A75=9,"dziewięćdziesiąt ",""))))</f>
        <v/>
      </c>
      <c r="G75" s="84"/>
      <c r="H75" s="84"/>
      <c r="I75" s="84"/>
      <c r="K75" s="78"/>
      <c r="L75" s="78"/>
      <c r="M75" s="84" t="str">
        <f>IF(C75,E75&amp;L75,IF(D75,F75&amp;L75,""))</f>
        <v/>
      </c>
      <c r="N75" s="78"/>
    </row>
    <row r="76" spans="1:14" x14ac:dyDescent="0.2">
      <c r="A76" s="79">
        <f>INT(A$67)-10*A75-100*A74-1000*A73-10000*A72-100000*A71-1000000*A70-10000000*A69</f>
        <v>0</v>
      </c>
      <c r="B76" s="83"/>
      <c r="C76" s="83">
        <f t="shared" si="0"/>
        <v>1</v>
      </c>
      <c r="D76" s="83">
        <f t="shared" si="1"/>
        <v>0</v>
      </c>
      <c r="E76" s="84" t="str">
        <f>IF(A76=0,"",IF(A76=1,"jeden ",IF(A76=2,"dwa ",IF(A76=3,"trzy ",IF(A76=4,"cztery ",IF(A76=5,"pięć ",""))))))</f>
        <v/>
      </c>
      <c r="F76" s="84" t="str">
        <f>IF(A76=6,"sześć ",IF(A76=7,"siedem ",IF(A76=8,"osiem ",IF(A76=9,"dziewięć ",""))))</f>
        <v/>
      </c>
      <c r="G76" s="84"/>
      <c r="H76" s="84"/>
      <c r="I76" s="84"/>
      <c r="K76" s="84" t="str">
        <f>IF(A76=6,"szesnaście ",IF(A76=7,"siedemnaście ",IF(A76=8,"osiemnaście ",IF(A76=9,"dziewiętnaście ",""))))</f>
        <v/>
      </c>
      <c r="L76" s="78"/>
      <c r="M76" s="84" t="str">
        <f>IF(A75=1,IF(C76,J67,IF(D76,K76)),IF(C76,E76,IF(D76,F76,"")))</f>
        <v/>
      </c>
      <c r="N76" s="78"/>
    </row>
    <row r="77" spans="1:14" x14ac:dyDescent="0.2">
      <c r="A77" s="85">
        <f>ROUND((A67-TRUNC(A67,0))*100,0)</f>
        <v>0</v>
      </c>
      <c r="B77" s="83"/>
      <c r="C77" s="78"/>
      <c r="D77" s="78"/>
      <c r="E77" s="78"/>
      <c r="F77" s="78"/>
      <c r="G77" s="78"/>
      <c r="H77" s="78"/>
      <c r="I77" s="78"/>
      <c r="K77" s="78"/>
      <c r="L77" s="78"/>
      <c r="M77" s="84" t="str">
        <f>"zł "&amp;A77&amp;"/100"</f>
        <v>zł 0/100</v>
      </c>
      <c r="N77" s="78"/>
    </row>
    <row r="78" spans="1:14" x14ac:dyDescent="0.2">
      <c r="A78" s="78"/>
      <c r="B78" s="83"/>
      <c r="C78" s="78"/>
      <c r="D78" s="78"/>
      <c r="E78" s="82" t="s">
        <v>5</v>
      </c>
      <c r="F78" s="78"/>
      <c r="G78" s="78"/>
      <c r="H78" s="78"/>
      <c r="I78" s="78"/>
      <c r="K78" s="78"/>
      <c r="L78" s="78"/>
      <c r="M78" s="78"/>
      <c r="N78" s="78"/>
    </row>
    <row r="79" spans="1:14" x14ac:dyDescent="0.2">
      <c r="A79" s="77">
        <f>TRUNC(A67,1)</f>
        <v>0</v>
      </c>
      <c r="B79" s="83"/>
      <c r="C79" s="78"/>
      <c r="D79" s="78"/>
      <c r="E79" s="84" t="str">
        <f>M69&amp;M70&amp;M71&amp;M72&amp;M73&amp;M74&amp;M75&amp;M76&amp;M77</f>
        <v>zł 0/100</v>
      </c>
      <c r="F79" s="84"/>
      <c r="G79" s="84"/>
      <c r="H79" s="84"/>
      <c r="I79" s="84"/>
      <c r="K79" s="84"/>
      <c r="L79" s="84"/>
      <c r="M79" s="84"/>
      <c r="N79" s="78"/>
    </row>
  </sheetData>
  <mergeCells count="25">
    <mergeCell ref="A28:E31"/>
    <mergeCell ref="C20:D20"/>
    <mergeCell ref="C21:D21"/>
    <mergeCell ref="A22:D22"/>
    <mergeCell ref="A23:D23"/>
    <mergeCell ref="A24:D24"/>
    <mergeCell ref="A25:D25"/>
    <mergeCell ref="A19:D19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7:D7"/>
    <mergeCell ref="A3:E3"/>
    <mergeCell ref="B4:E4"/>
    <mergeCell ref="A5:B5"/>
    <mergeCell ref="C5:E5"/>
    <mergeCell ref="C6:D6"/>
  </mergeCells>
  <pageMargins left="0.7" right="0.7" top="0.75" bottom="0.75" header="0.3" footer="0.3"/>
  <pageSetup paperSize="9" scale="67" fitToHeight="0" orientation="portrait" r:id="rId1"/>
  <colBreaks count="1" manualBreakCount="1">
    <brk id="5" max="2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DAC3-60D5-4C07-827A-E206EE6D8A96}">
  <sheetPr>
    <tabColor rgb="FF00B0F0"/>
  </sheetPr>
  <dimension ref="A1:EL119"/>
  <sheetViews>
    <sheetView tabSelected="1" view="pageBreakPreview" zoomScale="85" zoomScaleNormal="100" zoomScaleSheetLayoutView="85" workbookViewId="0">
      <selection activeCell="Q10" sqref="Q10"/>
    </sheetView>
  </sheetViews>
  <sheetFormatPr defaultRowHeight="15" x14ac:dyDescent="0.2"/>
  <cols>
    <col min="1" max="1" width="10.28515625" style="176" customWidth="1"/>
    <col min="2" max="2" width="23.42578125" style="177" customWidth="1"/>
    <col min="3" max="3" width="65.7109375" style="130" customWidth="1"/>
    <col min="4" max="4" width="10.42578125" style="144" customWidth="1"/>
    <col min="5" max="5" width="9.7109375" style="145" hidden="1" customWidth="1"/>
    <col min="6" max="6" width="12.28515625" style="146" customWidth="1"/>
    <col min="7" max="8" width="14" style="143" customWidth="1"/>
    <col min="9" max="9" width="14" style="190" customWidth="1"/>
    <col min="10" max="10" width="18.42578125" style="143" customWidth="1"/>
    <col min="11" max="11" width="14.28515625" style="126" hidden="1" customWidth="1"/>
    <col min="12" max="12" width="13.7109375" style="126" customWidth="1"/>
    <col min="13" max="13" width="30.42578125" style="126" customWidth="1"/>
    <col min="14" max="14" width="13" style="126" bestFit="1" customWidth="1"/>
    <col min="15" max="15" width="13.140625" style="126" customWidth="1"/>
    <col min="16" max="16384" width="9.140625" style="126"/>
  </cols>
  <sheetData>
    <row r="1" spans="1:13" s="125" customFormat="1" ht="44.25" customHeight="1" x14ac:dyDescent="0.2">
      <c r="A1" s="399" t="s">
        <v>290</v>
      </c>
      <c r="B1" s="400"/>
      <c r="C1" s="400"/>
      <c r="D1" s="400"/>
      <c r="E1" s="400"/>
      <c r="F1" s="400"/>
      <c r="G1" s="400"/>
      <c r="H1" s="400"/>
      <c r="I1" s="400"/>
      <c r="J1" s="400"/>
      <c r="K1" s="250"/>
    </row>
    <row r="2" spans="1:13" s="125" customFormat="1" ht="51.75" customHeight="1" x14ac:dyDescent="0.2">
      <c r="A2" s="401" t="s">
        <v>372</v>
      </c>
      <c r="B2" s="402"/>
      <c r="C2" s="402"/>
      <c r="D2" s="402"/>
      <c r="E2" s="402"/>
      <c r="F2" s="402"/>
      <c r="G2" s="402"/>
      <c r="H2" s="402"/>
      <c r="I2" s="402"/>
      <c r="J2" s="403"/>
      <c r="K2" s="251"/>
      <c r="L2" s="247"/>
    </row>
    <row r="3" spans="1:13" ht="45" customHeight="1" x14ac:dyDescent="0.2">
      <c r="A3" s="165" t="s">
        <v>194</v>
      </c>
      <c r="B3" s="179" t="s">
        <v>308</v>
      </c>
      <c r="C3" s="404" t="s">
        <v>326</v>
      </c>
      <c r="D3" s="404"/>
      <c r="E3" s="404"/>
      <c r="F3" s="404"/>
      <c r="G3" s="213" t="s">
        <v>195</v>
      </c>
      <c r="H3" s="178" t="s">
        <v>196</v>
      </c>
      <c r="I3" s="149" t="s">
        <v>197</v>
      </c>
      <c r="J3" s="309" t="s">
        <v>198</v>
      </c>
      <c r="K3" s="252"/>
      <c r="M3" s="127"/>
    </row>
    <row r="4" spans="1:13" ht="42.75" customHeight="1" x14ac:dyDescent="0.2">
      <c r="A4" s="166" t="s">
        <v>1</v>
      </c>
      <c r="B4" s="407" t="s">
        <v>327</v>
      </c>
      <c r="C4" s="408"/>
      <c r="D4" s="408"/>
      <c r="E4" s="408"/>
      <c r="F4" s="408"/>
      <c r="G4" s="408"/>
      <c r="H4" s="408"/>
      <c r="I4" s="408"/>
      <c r="J4" s="409"/>
      <c r="K4" s="253"/>
    </row>
    <row r="5" spans="1:13" s="131" customFormat="1" ht="38.25" customHeight="1" x14ac:dyDescent="0.2">
      <c r="A5" s="163" t="s">
        <v>12</v>
      </c>
      <c r="B5" s="150" t="s">
        <v>199</v>
      </c>
      <c r="C5" s="410" t="s">
        <v>9</v>
      </c>
      <c r="D5" s="410"/>
      <c r="E5" s="410"/>
      <c r="F5" s="410"/>
      <c r="G5" s="410"/>
      <c r="H5" s="410"/>
      <c r="I5" s="410"/>
      <c r="J5" s="410"/>
      <c r="K5" s="411"/>
      <c r="M5" s="126"/>
    </row>
    <row r="6" spans="1:13" s="131" customFormat="1" ht="27" customHeight="1" x14ac:dyDescent="0.2">
      <c r="A6" s="164" t="s">
        <v>2</v>
      </c>
      <c r="B6" s="197" t="s">
        <v>200</v>
      </c>
      <c r="C6" s="405" t="s">
        <v>201</v>
      </c>
      <c r="D6" s="405"/>
      <c r="E6" s="405"/>
      <c r="F6" s="405"/>
      <c r="G6" s="405"/>
      <c r="H6" s="405"/>
      <c r="I6" s="405"/>
      <c r="J6" s="405"/>
      <c r="K6" s="406"/>
      <c r="M6" s="126"/>
    </row>
    <row r="7" spans="1:13" s="131" customFormat="1" ht="51.75" customHeight="1" x14ac:dyDescent="0.2">
      <c r="A7" s="167" t="s">
        <v>202</v>
      </c>
      <c r="B7" s="175" t="s">
        <v>200</v>
      </c>
      <c r="C7" s="377" t="s">
        <v>299</v>
      </c>
      <c r="D7" s="377"/>
      <c r="E7" s="377"/>
      <c r="F7" s="377"/>
      <c r="G7" s="218" t="s">
        <v>203</v>
      </c>
      <c r="H7" s="148">
        <v>1</v>
      </c>
      <c r="I7" s="185"/>
      <c r="J7" s="148"/>
      <c r="K7" s="255">
        <f t="shared" ref="K7:K8" si="0">I7*J7</f>
        <v>0</v>
      </c>
      <c r="M7" s="126"/>
    </row>
    <row r="8" spans="1:13" s="131" customFormat="1" ht="40.5" customHeight="1" x14ac:dyDescent="0.2">
      <c r="A8" s="165" t="s">
        <v>204</v>
      </c>
      <c r="B8" s="175" t="s">
        <v>200</v>
      </c>
      <c r="C8" s="377" t="s">
        <v>375</v>
      </c>
      <c r="D8" s="377"/>
      <c r="E8" s="377"/>
      <c r="F8" s="377"/>
      <c r="G8" s="218" t="s">
        <v>203</v>
      </c>
      <c r="H8" s="148">
        <v>1</v>
      </c>
      <c r="I8" s="185"/>
      <c r="J8" s="148"/>
      <c r="K8" s="255">
        <f t="shared" si="0"/>
        <v>0</v>
      </c>
      <c r="M8" s="126"/>
    </row>
    <row r="9" spans="1:13" s="131" customFormat="1" ht="31.5" customHeight="1" x14ac:dyDescent="0.2">
      <c r="A9" s="476" t="s">
        <v>205</v>
      </c>
      <c r="B9" s="477"/>
      <c r="C9" s="477"/>
      <c r="D9" s="477"/>
      <c r="E9" s="477"/>
      <c r="F9" s="477"/>
      <c r="G9" s="477"/>
      <c r="H9" s="477"/>
      <c r="I9" s="478"/>
      <c r="J9" s="287"/>
      <c r="K9" s="320"/>
      <c r="M9" s="126"/>
    </row>
    <row r="10" spans="1:13" s="131" customFormat="1" ht="31.5" customHeight="1" x14ac:dyDescent="0.2">
      <c r="A10" s="479" t="s">
        <v>243</v>
      </c>
      <c r="B10" s="480"/>
      <c r="C10" s="480"/>
      <c r="D10" s="480"/>
      <c r="E10" s="480"/>
      <c r="F10" s="480"/>
      <c r="G10" s="480"/>
      <c r="H10" s="480"/>
      <c r="I10" s="481"/>
      <c r="J10" s="288"/>
      <c r="K10" s="320"/>
      <c r="M10" s="126"/>
    </row>
    <row r="11" spans="1:13" ht="37.5" customHeight="1" x14ac:dyDescent="0.2">
      <c r="A11" s="166" t="s">
        <v>3</v>
      </c>
      <c r="B11" s="407" t="s">
        <v>359</v>
      </c>
      <c r="C11" s="408"/>
      <c r="D11" s="408"/>
      <c r="E11" s="408"/>
      <c r="F11" s="408"/>
      <c r="G11" s="408"/>
      <c r="H11" s="408"/>
      <c r="I11" s="408"/>
      <c r="J11" s="408"/>
      <c r="K11" s="256"/>
    </row>
    <row r="12" spans="1:13" ht="34.5" customHeight="1" x14ac:dyDescent="0.2">
      <c r="A12" s="163" t="s">
        <v>13</v>
      </c>
      <c r="B12" s="174" t="s">
        <v>206</v>
      </c>
      <c r="C12" s="396" t="s">
        <v>207</v>
      </c>
      <c r="D12" s="397"/>
      <c r="E12" s="397"/>
      <c r="F12" s="397"/>
      <c r="G12" s="397"/>
      <c r="H12" s="397"/>
      <c r="I12" s="397"/>
      <c r="J12" s="397"/>
      <c r="K12" s="257"/>
    </row>
    <row r="13" spans="1:13" ht="33.75" customHeight="1" x14ac:dyDescent="0.2">
      <c r="A13" s="164" t="s">
        <v>2</v>
      </c>
      <c r="B13" s="181" t="s">
        <v>357</v>
      </c>
      <c r="C13" s="372" t="s">
        <v>238</v>
      </c>
      <c r="D13" s="373"/>
      <c r="E13" s="373"/>
      <c r="F13" s="373"/>
      <c r="G13" s="373"/>
      <c r="H13" s="373"/>
      <c r="I13" s="373"/>
      <c r="J13" s="373"/>
      <c r="K13" s="257"/>
    </row>
    <row r="14" spans="1:13" s="131" customFormat="1" ht="51" customHeight="1" x14ac:dyDescent="0.2">
      <c r="A14" s="165" t="s">
        <v>275</v>
      </c>
      <c r="B14" s="179" t="s">
        <v>288</v>
      </c>
      <c r="C14" s="378" t="s">
        <v>328</v>
      </c>
      <c r="D14" s="379"/>
      <c r="E14" s="379"/>
      <c r="F14" s="380"/>
      <c r="G14" s="132" t="s">
        <v>358</v>
      </c>
      <c r="H14" s="132">
        <v>1</v>
      </c>
      <c r="I14" s="149"/>
      <c r="J14" s="149"/>
      <c r="K14" s="252"/>
      <c r="M14" s="126"/>
    </row>
    <row r="15" spans="1:13" s="131" customFormat="1" ht="87" hidden="1" customHeight="1" x14ac:dyDescent="0.2">
      <c r="A15" s="199"/>
      <c r="B15" s="182"/>
      <c r="C15" s="378" t="s">
        <v>376</v>
      </c>
      <c r="D15" s="379"/>
      <c r="E15" s="379"/>
      <c r="F15" s="380"/>
      <c r="G15" s="128" t="s">
        <v>2</v>
      </c>
      <c r="H15" s="128" t="s">
        <v>2</v>
      </c>
      <c r="I15" s="219"/>
      <c r="J15" s="219"/>
      <c r="K15" s="252"/>
      <c r="M15" s="126"/>
    </row>
    <row r="16" spans="1:13" s="131" customFormat="1" ht="37.5" customHeight="1" x14ac:dyDescent="0.2">
      <c r="A16" s="164" t="s">
        <v>2</v>
      </c>
      <c r="B16" s="181" t="s">
        <v>267</v>
      </c>
      <c r="C16" s="405" t="s">
        <v>269</v>
      </c>
      <c r="D16" s="405"/>
      <c r="E16" s="405"/>
      <c r="F16" s="405"/>
      <c r="G16" s="405"/>
      <c r="H16" s="405"/>
      <c r="I16" s="405"/>
      <c r="J16" s="405"/>
      <c r="K16" s="406"/>
      <c r="M16" s="126"/>
    </row>
    <row r="17" spans="1:13" s="131" customFormat="1" ht="37.5" customHeight="1" x14ac:dyDescent="0.2">
      <c r="A17" s="165" t="s">
        <v>419</v>
      </c>
      <c r="B17" s="179" t="s">
        <v>310</v>
      </c>
      <c r="C17" s="365" t="s">
        <v>309</v>
      </c>
      <c r="D17" s="365"/>
      <c r="E17" s="365"/>
      <c r="F17" s="365"/>
      <c r="G17" s="138" t="s">
        <v>211</v>
      </c>
      <c r="H17" s="132">
        <v>15</v>
      </c>
      <c r="I17" s="317"/>
      <c r="J17" s="149"/>
      <c r="K17" s="254"/>
      <c r="M17" s="126"/>
    </row>
    <row r="18" spans="1:13" s="131" customFormat="1" ht="69.95" hidden="1" customHeight="1" x14ac:dyDescent="0.2">
      <c r="A18" s="198"/>
      <c r="B18" s="180"/>
      <c r="C18" s="366" t="s">
        <v>377</v>
      </c>
      <c r="D18" s="367"/>
      <c r="E18" s="367"/>
      <c r="F18" s="368"/>
      <c r="G18" s="128" t="s">
        <v>2</v>
      </c>
      <c r="H18" s="132" t="s">
        <v>2</v>
      </c>
      <c r="I18" s="317"/>
      <c r="J18" s="149"/>
      <c r="K18" s="254"/>
      <c r="M18" s="126"/>
    </row>
    <row r="19" spans="1:13" s="131" customFormat="1" ht="37.5" customHeight="1" x14ac:dyDescent="0.2">
      <c r="A19" s="165" t="s">
        <v>420</v>
      </c>
      <c r="B19" s="179" t="s">
        <v>312</v>
      </c>
      <c r="C19" s="365" t="s">
        <v>311</v>
      </c>
      <c r="D19" s="365"/>
      <c r="E19" s="365"/>
      <c r="F19" s="365"/>
      <c r="G19" s="138" t="s">
        <v>211</v>
      </c>
      <c r="H19" s="132">
        <v>5</v>
      </c>
      <c r="I19" s="317"/>
      <c r="J19" s="149"/>
      <c r="K19" s="258"/>
      <c r="M19" s="126"/>
    </row>
    <row r="20" spans="1:13" s="131" customFormat="1" ht="69" hidden="1" customHeight="1" x14ac:dyDescent="0.2">
      <c r="A20" s="198"/>
      <c r="B20" s="180"/>
      <c r="C20" s="366" t="s">
        <v>378</v>
      </c>
      <c r="D20" s="367"/>
      <c r="E20" s="367"/>
      <c r="F20" s="368"/>
      <c r="G20" s="128" t="s">
        <v>2</v>
      </c>
      <c r="H20" s="132" t="s">
        <v>2</v>
      </c>
      <c r="I20" s="317"/>
      <c r="J20" s="149"/>
      <c r="K20" s="258"/>
      <c r="M20" s="126"/>
    </row>
    <row r="21" spans="1:13" s="131" customFormat="1" ht="39.75" customHeight="1" x14ac:dyDescent="0.2">
      <c r="A21" s="165" t="s">
        <v>421</v>
      </c>
      <c r="B21" s="179" t="s">
        <v>270</v>
      </c>
      <c r="C21" s="365" t="s">
        <v>292</v>
      </c>
      <c r="D21" s="365"/>
      <c r="E21" s="365"/>
      <c r="F21" s="365"/>
      <c r="G21" s="138" t="s">
        <v>235</v>
      </c>
      <c r="H21" s="132">
        <v>350</v>
      </c>
      <c r="I21" s="149"/>
      <c r="J21" s="149"/>
      <c r="K21" s="252"/>
      <c r="M21" s="126"/>
    </row>
    <row r="22" spans="1:13" s="131" customFormat="1" ht="60" hidden="1" customHeight="1" x14ac:dyDescent="0.2">
      <c r="A22" s="199"/>
      <c r="B22" s="180"/>
      <c r="C22" s="366" t="s">
        <v>329</v>
      </c>
      <c r="D22" s="367"/>
      <c r="E22" s="367"/>
      <c r="F22" s="368"/>
      <c r="G22" s="138" t="s">
        <v>2</v>
      </c>
      <c r="H22" s="132" t="s">
        <v>2</v>
      </c>
      <c r="I22" s="219"/>
      <c r="J22" s="219"/>
      <c r="K22" s="252"/>
      <c r="M22" s="126"/>
    </row>
    <row r="23" spans="1:13" ht="35.1" customHeight="1" x14ac:dyDescent="0.2">
      <c r="A23" s="164" t="s">
        <v>2</v>
      </c>
      <c r="B23" s="181" t="s">
        <v>255</v>
      </c>
      <c r="C23" s="372" t="s">
        <v>268</v>
      </c>
      <c r="D23" s="373"/>
      <c r="E23" s="373"/>
      <c r="F23" s="373"/>
      <c r="G23" s="373"/>
      <c r="H23" s="373"/>
      <c r="I23" s="373"/>
      <c r="J23" s="373"/>
      <c r="K23" s="257"/>
    </row>
    <row r="24" spans="1:13" ht="39" customHeight="1" x14ac:dyDescent="0.2">
      <c r="A24" s="165" t="s">
        <v>422</v>
      </c>
      <c r="B24" s="175" t="s">
        <v>276</v>
      </c>
      <c r="C24" s="374" t="s">
        <v>293</v>
      </c>
      <c r="D24" s="374"/>
      <c r="E24" s="374"/>
      <c r="F24" s="374"/>
      <c r="G24" s="213" t="s">
        <v>208</v>
      </c>
      <c r="H24" s="132">
        <v>5331.32</v>
      </c>
      <c r="I24" s="318"/>
      <c r="J24" s="319"/>
      <c r="K24" s="257"/>
    </row>
    <row r="25" spans="1:13" ht="75" hidden="1" customHeight="1" x14ac:dyDescent="0.2">
      <c r="A25" s="199"/>
      <c r="B25" s="182"/>
      <c r="C25" s="362" t="s">
        <v>379</v>
      </c>
      <c r="D25" s="363"/>
      <c r="E25" s="363"/>
      <c r="F25" s="364"/>
      <c r="G25" s="124" t="s">
        <v>2</v>
      </c>
      <c r="H25" s="128" t="s">
        <v>2</v>
      </c>
      <c r="I25" s="186"/>
      <c r="J25" s="133"/>
      <c r="K25" s="257"/>
    </row>
    <row r="26" spans="1:13" ht="35.25" customHeight="1" x14ac:dyDescent="0.2">
      <c r="A26" s="269" t="s">
        <v>2</v>
      </c>
      <c r="B26" s="168" t="s">
        <v>209</v>
      </c>
      <c r="C26" s="375" t="s">
        <v>271</v>
      </c>
      <c r="D26" s="375"/>
      <c r="E26" s="375"/>
      <c r="F26" s="375"/>
      <c r="G26" s="375"/>
      <c r="H26" s="375"/>
      <c r="I26" s="375"/>
      <c r="J26" s="375"/>
      <c r="K26" s="376"/>
    </row>
    <row r="27" spans="1:13" ht="25.5" customHeight="1" x14ac:dyDescent="0.2">
      <c r="A27" s="165" t="s">
        <v>423</v>
      </c>
      <c r="B27" s="175" t="s">
        <v>272</v>
      </c>
      <c r="C27" s="374" t="s">
        <v>273</v>
      </c>
      <c r="D27" s="374"/>
      <c r="E27" s="374"/>
      <c r="F27" s="374"/>
      <c r="G27" s="213" t="s">
        <v>208</v>
      </c>
      <c r="H27" s="147">
        <f>120*2</f>
        <v>240</v>
      </c>
      <c r="I27" s="246"/>
      <c r="J27" s="147"/>
      <c r="K27" s="259">
        <f>I27*J27</f>
        <v>0</v>
      </c>
    </row>
    <row r="28" spans="1:13" ht="29.25" hidden="1" customHeight="1" x14ac:dyDescent="0.2">
      <c r="A28" s="198"/>
      <c r="B28" s="180"/>
      <c r="C28" s="362" t="s">
        <v>417</v>
      </c>
      <c r="D28" s="363"/>
      <c r="E28" s="363"/>
      <c r="F28" s="364"/>
      <c r="G28" s="124" t="s">
        <v>2</v>
      </c>
      <c r="H28" s="124" t="s">
        <v>2</v>
      </c>
      <c r="I28" s="246"/>
      <c r="J28" s="147"/>
      <c r="K28" s="259"/>
    </row>
    <row r="29" spans="1:13" ht="31.5" customHeight="1" x14ac:dyDescent="0.2">
      <c r="A29" s="165" t="s">
        <v>424</v>
      </c>
      <c r="B29" s="175" t="s">
        <v>295</v>
      </c>
      <c r="C29" s="369" t="s">
        <v>296</v>
      </c>
      <c r="D29" s="370"/>
      <c r="E29" s="370"/>
      <c r="F29" s="371"/>
      <c r="G29" s="213" t="s">
        <v>208</v>
      </c>
      <c r="H29" s="147">
        <f>28*16</f>
        <v>448</v>
      </c>
      <c r="I29" s="246"/>
      <c r="J29" s="147"/>
      <c r="K29" s="259"/>
    </row>
    <row r="30" spans="1:13" ht="42.75" hidden="1" customHeight="1" x14ac:dyDescent="0.2">
      <c r="A30" s="198"/>
      <c r="B30" s="182"/>
      <c r="C30" s="362" t="s">
        <v>380</v>
      </c>
      <c r="D30" s="363"/>
      <c r="E30" s="363"/>
      <c r="F30" s="364"/>
      <c r="G30" s="124" t="s">
        <v>2</v>
      </c>
      <c r="H30" s="124" t="s">
        <v>2</v>
      </c>
      <c r="I30" s="246"/>
      <c r="J30" s="147"/>
      <c r="K30" s="259"/>
    </row>
    <row r="31" spans="1:13" ht="37.5" customHeight="1" x14ac:dyDescent="0.2">
      <c r="A31" s="165" t="s">
        <v>425</v>
      </c>
      <c r="B31" s="209" t="s">
        <v>330</v>
      </c>
      <c r="C31" s="369" t="s">
        <v>434</v>
      </c>
      <c r="D31" s="370"/>
      <c r="E31" s="370"/>
      <c r="F31" s="371"/>
      <c r="G31" s="213" t="s">
        <v>210</v>
      </c>
      <c r="H31" s="147">
        <v>98</v>
      </c>
      <c r="I31" s="246"/>
      <c r="J31" s="147"/>
      <c r="K31" s="259"/>
    </row>
    <row r="32" spans="1:13" ht="60.75" hidden="1" customHeight="1" x14ac:dyDescent="0.2">
      <c r="A32" s="198"/>
      <c r="B32" s="182"/>
      <c r="C32" s="362" t="s">
        <v>381</v>
      </c>
      <c r="D32" s="363"/>
      <c r="E32" s="363"/>
      <c r="F32" s="364"/>
      <c r="G32" s="124" t="s">
        <v>2</v>
      </c>
      <c r="H32" s="124" t="s">
        <v>2</v>
      </c>
      <c r="I32" s="226"/>
      <c r="J32" s="225"/>
      <c r="K32" s="259"/>
    </row>
    <row r="33" spans="1:142" ht="39.75" customHeight="1" x14ac:dyDescent="0.2">
      <c r="A33" s="482" t="s">
        <v>215</v>
      </c>
      <c r="B33" s="483"/>
      <c r="C33" s="483"/>
      <c r="D33" s="483"/>
      <c r="E33" s="483"/>
      <c r="F33" s="483"/>
      <c r="G33" s="483"/>
      <c r="H33" s="483"/>
      <c r="I33" s="483"/>
      <c r="J33" s="287"/>
      <c r="K33" s="259"/>
    </row>
    <row r="34" spans="1:142" s="135" customFormat="1" ht="32.25" customHeight="1" x14ac:dyDescent="0.2">
      <c r="A34" s="163" t="s">
        <v>14</v>
      </c>
      <c r="B34" s="174" t="s">
        <v>213</v>
      </c>
      <c r="C34" s="396" t="s">
        <v>214</v>
      </c>
      <c r="D34" s="397"/>
      <c r="E34" s="397"/>
      <c r="F34" s="397"/>
      <c r="G34" s="397"/>
      <c r="H34" s="397"/>
      <c r="I34" s="397"/>
      <c r="J34" s="398"/>
      <c r="K34" s="260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  <c r="DA34" s="134"/>
      <c r="DB34" s="134"/>
      <c r="DC34" s="134"/>
      <c r="DD34" s="134"/>
      <c r="DE34" s="134"/>
      <c r="DF34" s="134"/>
      <c r="DG34" s="134"/>
      <c r="DH34" s="134"/>
      <c r="DI34" s="134"/>
      <c r="DJ34" s="134"/>
      <c r="DK34" s="134"/>
      <c r="DL34" s="134"/>
      <c r="DM34" s="134"/>
      <c r="DN34" s="134"/>
      <c r="DO34" s="134"/>
      <c r="DP34" s="134"/>
      <c r="DQ34" s="134"/>
      <c r="DR34" s="134"/>
      <c r="DS34" s="134"/>
      <c r="DT34" s="134"/>
      <c r="DU34" s="134"/>
      <c r="DV34" s="134"/>
      <c r="DW34" s="134"/>
      <c r="DX34" s="134"/>
      <c r="DY34" s="134"/>
      <c r="DZ34" s="134"/>
      <c r="EA34" s="134"/>
      <c r="EB34" s="134"/>
      <c r="EC34" s="134"/>
      <c r="ED34" s="134"/>
      <c r="EE34" s="134"/>
      <c r="EF34" s="134"/>
      <c r="EG34" s="134"/>
      <c r="EH34" s="134"/>
      <c r="EI34" s="134"/>
      <c r="EJ34" s="134"/>
      <c r="EK34" s="134"/>
      <c r="EL34" s="134"/>
    </row>
    <row r="35" spans="1:142" s="135" customFormat="1" ht="35.1" customHeight="1" x14ac:dyDescent="0.2">
      <c r="A35" s="164" t="s">
        <v>2</v>
      </c>
      <c r="B35" s="197" t="s">
        <v>256</v>
      </c>
      <c r="C35" s="405" t="s">
        <v>239</v>
      </c>
      <c r="D35" s="405"/>
      <c r="E35" s="405"/>
      <c r="F35" s="405"/>
      <c r="G35" s="405"/>
      <c r="H35" s="405"/>
      <c r="I35" s="405"/>
      <c r="J35" s="405"/>
      <c r="K35" s="260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</row>
    <row r="36" spans="1:142" s="135" customFormat="1" ht="24.95" customHeight="1" x14ac:dyDescent="0.2">
      <c r="A36" s="165" t="s">
        <v>277</v>
      </c>
      <c r="B36" s="175" t="s">
        <v>313</v>
      </c>
      <c r="C36" s="413" t="s">
        <v>289</v>
      </c>
      <c r="D36" s="413"/>
      <c r="E36" s="413"/>
      <c r="F36" s="413"/>
      <c r="G36" s="213" t="s">
        <v>212</v>
      </c>
      <c r="H36" s="147">
        <f>998*2.3</f>
        <v>2295.4</v>
      </c>
      <c r="I36" s="316"/>
      <c r="J36" s="129"/>
      <c r="K36" s="261"/>
      <c r="L36" s="126"/>
      <c r="M36" s="126">
        <f>1.2*H36</f>
        <v>2754.48</v>
      </c>
      <c r="N36" s="126">
        <f>M36*0.8</f>
        <v>2203.5839999999998</v>
      </c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  <c r="DA36" s="134"/>
      <c r="DB36" s="134"/>
      <c r="DC36" s="134"/>
      <c r="DD36" s="134"/>
      <c r="DE36" s="134"/>
      <c r="DF36" s="134"/>
      <c r="DG36" s="134"/>
      <c r="DH36" s="134"/>
      <c r="DI36" s="134"/>
      <c r="DJ36" s="134"/>
      <c r="DK36" s="134"/>
      <c r="DL36" s="134"/>
      <c r="DM36" s="134"/>
      <c r="DN36" s="134"/>
      <c r="DO36" s="134"/>
      <c r="DP36" s="134"/>
      <c r="DQ36" s="134"/>
      <c r="DR36" s="134"/>
      <c r="DS36" s="134"/>
      <c r="DT36" s="134"/>
      <c r="DU36" s="134"/>
      <c r="DV36" s="134"/>
      <c r="DW36" s="134"/>
      <c r="DX36" s="134"/>
      <c r="DY36" s="134"/>
      <c r="DZ36" s="134"/>
      <c r="EA36" s="134"/>
      <c r="EB36" s="134"/>
      <c r="EC36" s="134"/>
      <c r="ED36" s="134"/>
      <c r="EE36" s="134"/>
      <c r="EF36" s="134"/>
      <c r="EG36" s="134"/>
      <c r="EH36" s="134"/>
      <c r="EI36" s="134"/>
      <c r="EJ36" s="134"/>
      <c r="EK36" s="134"/>
      <c r="EL36" s="134"/>
    </row>
    <row r="37" spans="1:142" s="135" customFormat="1" ht="51" hidden="1" customHeight="1" x14ac:dyDescent="0.2">
      <c r="A37" s="165"/>
      <c r="B37" s="179"/>
      <c r="C37" s="362" t="s">
        <v>382</v>
      </c>
      <c r="D37" s="363"/>
      <c r="E37" s="363"/>
      <c r="F37" s="364"/>
      <c r="G37" s="124" t="s">
        <v>2</v>
      </c>
      <c r="H37" s="124" t="s">
        <v>2</v>
      </c>
      <c r="I37" s="316"/>
      <c r="J37" s="129"/>
      <c r="K37" s="260"/>
      <c r="L37" s="126"/>
      <c r="M37" s="236" t="s">
        <v>331</v>
      </c>
      <c r="N37" s="126">
        <v>1916.16</v>
      </c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  <c r="DA37" s="134"/>
      <c r="DB37" s="134"/>
      <c r="DC37" s="134"/>
      <c r="DD37" s="134"/>
      <c r="DE37" s="134"/>
      <c r="DF37" s="134"/>
      <c r="DG37" s="134"/>
      <c r="DH37" s="134"/>
      <c r="DI37" s="134"/>
      <c r="DJ37" s="134"/>
      <c r="DK37" s="134"/>
      <c r="DL37" s="134"/>
      <c r="DM37" s="134"/>
      <c r="DN37" s="134"/>
      <c r="DO37" s="134"/>
      <c r="DP37" s="134"/>
      <c r="DQ37" s="134"/>
      <c r="DR37" s="134"/>
      <c r="DS37" s="134"/>
      <c r="DT37" s="134"/>
      <c r="DU37" s="134"/>
      <c r="DV37" s="134"/>
      <c r="DW37" s="134"/>
      <c r="DX37" s="134"/>
      <c r="DY37" s="134"/>
      <c r="DZ37" s="134"/>
      <c r="EA37" s="134"/>
      <c r="EB37" s="134"/>
      <c r="EC37" s="134"/>
      <c r="ED37" s="134"/>
      <c r="EE37" s="134"/>
      <c r="EF37" s="134"/>
      <c r="EG37" s="134"/>
      <c r="EH37" s="134"/>
      <c r="EI37" s="134"/>
      <c r="EJ37" s="134"/>
      <c r="EK37" s="134"/>
      <c r="EL37" s="134"/>
    </row>
    <row r="38" spans="1:142" s="135" customFormat="1" ht="24.95" customHeight="1" x14ac:dyDescent="0.2">
      <c r="A38" s="165" t="s">
        <v>266</v>
      </c>
      <c r="B38" s="175" t="s">
        <v>314</v>
      </c>
      <c r="C38" s="413" t="s">
        <v>306</v>
      </c>
      <c r="D38" s="413"/>
      <c r="E38" s="413"/>
      <c r="F38" s="413"/>
      <c r="G38" s="213" t="s">
        <v>212</v>
      </c>
      <c r="H38" s="147">
        <v>483.23</v>
      </c>
      <c r="I38" s="316"/>
      <c r="J38" s="129"/>
      <c r="K38" s="260"/>
      <c r="L38" s="126"/>
      <c r="M38" s="236" t="s">
        <v>332</v>
      </c>
      <c r="N38" s="236">
        <v>1646.9</v>
      </c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  <c r="DA38" s="134"/>
      <c r="DB38" s="134"/>
      <c r="DC38" s="134"/>
      <c r="DD38" s="134"/>
      <c r="DE38" s="134"/>
      <c r="DF38" s="134"/>
      <c r="DG38" s="134"/>
      <c r="DH38" s="134"/>
      <c r="DI38" s="134"/>
      <c r="DJ38" s="134"/>
      <c r="DK38" s="134"/>
      <c r="DL38" s="134"/>
      <c r="DM38" s="134"/>
      <c r="DN38" s="134"/>
      <c r="DO38" s="134"/>
      <c r="DP38" s="134"/>
      <c r="DQ38" s="134"/>
      <c r="DR38" s="134"/>
      <c r="DS38" s="134"/>
      <c r="DT38" s="134"/>
      <c r="DU38" s="134"/>
      <c r="DV38" s="134"/>
      <c r="DW38" s="134"/>
      <c r="DX38" s="134"/>
      <c r="DY38" s="134"/>
      <c r="DZ38" s="134"/>
      <c r="EA38" s="134"/>
      <c r="EB38" s="134"/>
      <c r="EC38" s="134"/>
      <c r="ED38" s="134"/>
      <c r="EE38" s="134"/>
      <c r="EF38" s="134"/>
      <c r="EG38" s="134"/>
      <c r="EH38" s="134"/>
      <c r="EI38" s="134"/>
      <c r="EJ38" s="134"/>
      <c r="EK38" s="134"/>
      <c r="EL38" s="134"/>
    </row>
    <row r="39" spans="1:142" s="135" customFormat="1" ht="51" hidden="1" customHeight="1" x14ac:dyDescent="0.2">
      <c r="A39" s="198"/>
      <c r="B39" s="180"/>
      <c r="C39" s="362" t="s">
        <v>383</v>
      </c>
      <c r="D39" s="363"/>
      <c r="E39" s="363"/>
      <c r="F39" s="363"/>
      <c r="G39" s="124" t="s">
        <v>2</v>
      </c>
      <c r="H39" s="124" t="s">
        <v>2</v>
      </c>
      <c r="I39" s="316"/>
      <c r="J39" s="129"/>
      <c r="K39" s="260"/>
      <c r="L39" s="126"/>
      <c r="M39" s="126"/>
      <c r="N39" s="237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6"/>
      <c r="AM39" s="126"/>
      <c r="AN39" s="126"/>
      <c r="AO39" s="126"/>
      <c r="AP39" s="126"/>
      <c r="AQ39" s="126"/>
      <c r="AR39" s="126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  <c r="DA39" s="134"/>
      <c r="DB39" s="134"/>
      <c r="DC39" s="134"/>
      <c r="DD39" s="134"/>
      <c r="DE39" s="134"/>
      <c r="DF39" s="134"/>
      <c r="DG39" s="134"/>
      <c r="DH39" s="134"/>
      <c r="DI39" s="134"/>
      <c r="DJ39" s="134"/>
      <c r="DK39" s="134"/>
      <c r="DL39" s="134"/>
      <c r="DM39" s="134"/>
      <c r="DN39" s="134"/>
      <c r="DO39" s="134"/>
      <c r="DP39" s="134"/>
      <c r="DQ39" s="134"/>
      <c r="DR39" s="134"/>
      <c r="DS39" s="134"/>
      <c r="DT39" s="134"/>
      <c r="DU39" s="134"/>
      <c r="DV39" s="134"/>
      <c r="DW39" s="134"/>
      <c r="DX39" s="134"/>
      <c r="DY39" s="134"/>
      <c r="DZ39" s="134"/>
      <c r="EA39" s="134"/>
      <c r="EB39" s="134"/>
      <c r="EC39" s="134"/>
      <c r="ED39" s="134"/>
      <c r="EE39" s="134"/>
      <c r="EF39" s="134"/>
      <c r="EG39" s="134"/>
      <c r="EH39" s="134"/>
      <c r="EI39" s="134"/>
      <c r="EJ39" s="134"/>
      <c r="EK39" s="134"/>
      <c r="EL39" s="134"/>
    </row>
    <row r="40" spans="1:142" s="135" customFormat="1" ht="29.25" customHeight="1" x14ac:dyDescent="0.2">
      <c r="A40" s="165" t="s">
        <v>352</v>
      </c>
      <c r="B40" s="175" t="s">
        <v>315</v>
      </c>
      <c r="C40" s="413" t="s">
        <v>274</v>
      </c>
      <c r="D40" s="413"/>
      <c r="E40" s="413"/>
      <c r="F40" s="413"/>
      <c r="G40" s="213" t="s">
        <v>212</v>
      </c>
      <c r="H40" s="147">
        <f>H36</f>
        <v>2295.4</v>
      </c>
      <c r="I40" s="316"/>
      <c r="J40" s="129"/>
      <c r="K40" s="260"/>
      <c r="L40" s="126"/>
      <c r="M40" s="237">
        <f>N38-H40</f>
        <v>-648.5</v>
      </c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  <c r="DT40" s="134"/>
      <c r="DU40" s="134"/>
      <c r="DV40" s="134"/>
      <c r="DW40" s="134"/>
      <c r="DX40" s="134"/>
      <c r="DY40" s="134"/>
      <c r="DZ40" s="134"/>
      <c r="EA40" s="134"/>
      <c r="EB40" s="134"/>
      <c r="EC40" s="134"/>
      <c r="ED40" s="134"/>
      <c r="EE40" s="134"/>
      <c r="EF40" s="134"/>
      <c r="EG40" s="134"/>
      <c r="EH40" s="134"/>
      <c r="EI40" s="134"/>
      <c r="EJ40" s="134"/>
      <c r="EK40" s="134"/>
      <c r="EL40" s="134"/>
    </row>
    <row r="41" spans="1:142" s="135" customFormat="1" ht="32.25" hidden="1" customHeight="1" x14ac:dyDescent="0.2">
      <c r="A41" s="198"/>
      <c r="B41" s="182"/>
      <c r="C41" s="362" t="s">
        <v>384</v>
      </c>
      <c r="D41" s="363"/>
      <c r="E41" s="363"/>
      <c r="F41" s="363"/>
      <c r="G41" s="192" t="s">
        <v>2</v>
      </c>
      <c r="H41" s="193" t="s">
        <v>2</v>
      </c>
      <c r="I41" s="316"/>
      <c r="J41" s="129"/>
      <c r="K41" s="260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4"/>
      <c r="EB41" s="134"/>
      <c r="EC41" s="134"/>
      <c r="ED41" s="134"/>
      <c r="EE41" s="134"/>
      <c r="EF41" s="134"/>
      <c r="EG41" s="134"/>
      <c r="EH41" s="134"/>
      <c r="EI41" s="134"/>
      <c r="EJ41" s="134"/>
      <c r="EK41" s="134"/>
      <c r="EL41" s="134"/>
    </row>
    <row r="42" spans="1:142" s="135" customFormat="1" ht="29.25" customHeight="1" x14ac:dyDescent="0.2">
      <c r="A42" s="165" t="s">
        <v>426</v>
      </c>
      <c r="B42" s="175" t="s">
        <v>316</v>
      </c>
      <c r="C42" s="413" t="s">
        <v>307</v>
      </c>
      <c r="D42" s="413"/>
      <c r="E42" s="413"/>
      <c r="F42" s="413"/>
      <c r="G42" s="213" t="s">
        <v>212</v>
      </c>
      <c r="H42" s="147">
        <f>998*1.6</f>
        <v>1596.8</v>
      </c>
      <c r="I42" s="316"/>
      <c r="J42" s="129"/>
      <c r="K42" s="260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  <c r="BT42" s="134"/>
      <c r="BU42" s="134"/>
      <c r="BV42" s="134"/>
      <c r="BW42" s="134"/>
      <c r="BX42" s="134"/>
      <c r="BY42" s="134"/>
      <c r="BZ42" s="134"/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  <c r="DA42" s="134"/>
      <c r="DB42" s="134"/>
      <c r="DC42" s="134"/>
      <c r="DD42" s="134"/>
      <c r="DE42" s="134"/>
      <c r="DF42" s="134"/>
      <c r="DG42" s="134"/>
      <c r="DH42" s="134"/>
      <c r="DI42" s="134"/>
      <c r="DJ42" s="134"/>
      <c r="DK42" s="134"/>
      <c r="DL42" s="134"/>
      <c r="DM42" s="134"/>
      <c r="DN42" s="134"/>
      <c r="DO42" s="134"/>
      <c r="DP42" s="134"/>
      <c r="DQ42" s="134"/>
      <c r="DR42" s="134"/>
      <c r="DS42" s="134"/>
      <c r="DT42" s="134"/>
      <c r="DU42" s="134"/>
      <c r="DV42" s="134"/>
      <c r="DW42" s="134"/>
      <c r="DX42" s="134"/>
      <c r="DY42" s="134"/>
      <c r="DZ42" s="134"/>
      <c r="EA42" s="134"/>
      <c r="EB42" s="134"/>
      <c r="EC42" s="134"/>
      <c r="ED42" s="134"/>
      <c r="EE42" s="134"/>
      <c r="EF42" s="134"/>
      <c r="EG42" s="134"/>
      <c r="EH42" s="134"/>
      <c r="EI42" s="134"/>
      <c r="EJ42" s="134"/>
      <c r="EK42" s="134"/>
      <c r="EL42" s="134"/>
    </row>
    <row r="43" spans="1:142" s="135" customFormat="1" ht="32.25" hidden="1" customHeight="1" x14ac:dyDescent="0.2">
      <c r="A43" s="199"/>
      <c r="B43" s="180"/>
      <c r="C43" s="362" t="s">
        <v>385</v>
      </c>
      <c r="D43" s="363"/>
      <c r="E43" s="363"/>
      <c r="F43" s="363"/>
      <c r="G43" s="192" t="s">
        <v>2</v>
      </c>
      <c r="H43" s="193" t="s">
        <v>2</v>
      </c>
      <c r="I43" s="227"/>
      <c r="J43" s="136"/>
      <c r="K43" s="260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</row>
    <row r="44" spans="1:142" s="135" customFormat="1" ht="32.25" customHeight="1" x14ac:dyDescent="0.2">
      <c r="A44" s="482" t="s">
        <v>216</v>
      </c>
      <c r="B44" s="483"/>
      <c r="C44" s="483"/>
      <c r="D44" s="483"/>
      <c r="E44" s="483"/>
      <c r="F44" s="483"/>
      <c r="G44" s="483"/>
      <c r="H44" s="483"/>
      <c r="I44" s="483"/>
      <c r="J44" s="287"/>
      <c r="K44" s="260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</row>
    <row r="45" spans="1:142" s="135" customFormat="1" ht="32.25" customHeight="1" x14ac:dyDescent="0.2">
      <c r="A45" s="294" t="s">
        <v>10</v>
      </c>
      <c r="B45" s="150" t="s">
        <v>408</v>
      </c>
      <c r="C45" s="426" t="s">
        <v>409</v>
      </c>
      <c r="D45" s="426"/>
      <c r="E45" s="426"/>
      <c r="F45" s="426"/>
      <c r="G45" s="426"/>
      <c r="H45" s="426"/>
      <c r="I45" s="426"/>
      <c r="J45" s="427"/>
      <c r="K45" s="260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6"/>
      <c r="AM45" s="126"/>
      <c r="AN45" s="126"/>
      <c r="AO45" s="126"/>
      <c r="AP45" s="126"/>
      <c r="AQ45" s="126"/>
      <c r="AR45" s="126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</row>
    <row r="46" spans="1:142" s="135" customFormat="1" ht="32.25" customHeight="1" x14ac:dyDescent="0.2">
      <c r="A46" s="195" t="s">
        <v>2</v>
      </c>
      <c r="B46" s="197" t="s">
        <v>410</v>
      </c>
      <c r="C46" s="372" t="s">
        <v>413</v>
      </c>
      <c r="D46" s="373"/>
      <c r="E46" s="373"/>
      <c r="F46" s="373"/>
      <c r="G46" s="373"/>
      <c r="H46" s="386"/>
      <c r="I46" s="307"/>
      <c r="J46" s="308"/>
      <c r="K46" s="308"/>
      <c r="L46" s="308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</row>
    <row r="47" spans="1:142" s="135" customFormat="1" ht="32.25" customHeight="1" x14ac:dyDescent="0.2">
      <c r="A47" s="165" t="s">
        <v>278</v>
      </c>
      <c r="B47" s="175" t="s">
        <v>411</v>
      </c>
      <c r="C47" s="369" t="s">
        <v>436</v>
      </c>
      <c r="D47" s="370"/>
      <c r="E47" s="370"/>
      <c r="F47" s="371"/>
      <c r="G47" s="157" t="s">
        <v>210</v>
      </c>
      <c r="H47" s="218">
        <v>24</v>
      </c>
      <c r="I47" s="159"/>
      <c r="J47" s="129"/>
      <c r="K47" s="300"/>
      <c r="L47" s="301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</row>
    <row r="48" spans="1:142" s="135" customFormat="1" ht="45.75" hidden="1" customHeight="1" x14ac:dyDescent="0.2">
      <c r="A48" s="278"/>
      <c r="B48" s="302"/>
      <c r="C48" s="442" t="s">
        <v>412</v>
      </c>
      <c r="D48" s="443"/>
      <c r="E48" s="443"/>
      <c r="F48" s="444"/>
      <c r="G48" s="192" t="s">
        <v>2</v>
      </c>
      <c r="H48" s="193" t="s">
        <v>2</v>
      </c>
      <c r="I48" s="193"/>
      <c r="J48" s="193"/>
      <c r="K48" s="300"/>
      <c r="L48" s="301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</row>
    <row r="49" spans="1:142" s="135" customFormat="1" ht="32.25" customHeight="1" x14ac:dyDescent="0.2">
      <c r="A49" s="165" t="s">
        <v>427</v>
      </c>
      <c r="B49" s="304" t="s">
        <v>415</v>
      </c>
      <c r="C49" s="369" t="s">
        <v>414</v>
      </c>
      <c r="D49" s="370"/>
      <c r="E49" s="370"/>
      <c r="F49" s="371"/>
      <c r="G49" s="213" t="s">
        <v>211</v>
      </c>
      <c r="H49" s="218">
        <v>8</v>
      </c>
      <c r="I49" s="159"/>
      <c r="J49" s="129"/>
      <c r="K49" s="300"/>
      <c r="L49" s="301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</row>
    <row r="50" spans="1:142" s="135" customFormat="1" ht="74.25" hidden="1" customHeight="1" x14ac:dyDescent="0.2">
      <c r="A50" s="303"/>
      <c r="B50" s="302"/>
      <c r="C50" s="442" t="s">
        <v>416</v>
      </c>
      <c r="D50" s="443"/>
      <c r="E50" s="443"/>
      <c r="F50" s="444"/>
      <c r="G50" s="305"/>
      <c r="H50" s="306"/>
      <c r="I50" s="299"/>
      <c r="J50" s="299"/>
      <c r="K50" s="300"/>
      <c r="L50" s="301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</row>
    <row r="51" spans="1:142" s="135" customFormat="1" ht="33.75" customHeight="1" x14ac:dyDescent="0.2">
      <c r="A51" s="482" t="s">
        <v>219</v>
      </c>
      <c r="B51" s="483"/>
      <c r="C51" s="483"/>
      <c r="D51" s="483"/>
      <c r="E51" s="483"/>
      <c r="F51" s="483"/>
      <c r="G51" s="483"/>
      <c r="H51" s="483"/>
      <c r="I51" s="483"/>
      <c r="J51" s="287"/>
      <c r="K51" s="300"/>
      <c r="L51" s="301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</row>
    <row r="52" spans="1:142" s="137" customFormat="1" ht="42.75" customHeight="1" x14ac:dyDescent="0.2">
      <c r="A52" s="163" t="s">
        <v>11</v>
      </c>
      <c r="B52" s="174" t="s">
        <v>217</v>
      </c>
      <c r="C52" s="396" t="s">
        <v>294</v>
      </c>
      <c r="D52" s="397"/>
      <c r="E52" s="397"/>
      <c r="F52" s="397"/>
      <c r="G52" s="397"/>
      <c r="H52" s="397"/>
      <c r="I52" s="397"/>
      <c r="J52" s="397"/>
      <c r="K52" s="257"/>
      <c r="L52" s="248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</row>
    <row r="53" spans="1:142" s="137" customFormat="1" ht="30" customHeight="1" x14ac:dyDescent="0.2">
      <c r="A53" s="164" t="s">
        <v>2</v>
      </c>
      <c r="B53" s="197" t="s">
        <v>356</v>
      </c>
      <c r="C53" s="372" t="s">
        <v>218</v>
      </c>
      <c r="D53" s="373"/>
      <c r="E53" s="373"/>
      <c r="F53" s="373"/>
      <c r="G53" s="373"/>
      <c r="H53" s="373"/>
      <c r="I53" s="373"/>
      <c r="J53" s="373"/>
      <c r="K53" s="257"/>
      <c r="L53" s="248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</row>
    <row r="54" spans="1:142" s="131" customFormat="1" ht="41.25" customHeight="1" x14ac:dyDescent="0.2">
      <c r="A54" s="169" t="s">
        <v>279</v>
      </c>
      <c r="B54" s="173" t="s">
        <v>317</v>
      </c>
      <c r="C54" s="387" t="s">
        <v>386</v>
      </c>
      <c r="D54" s="388"/>
      <c r="E54" s="388"/>
      <c r="F54" s="389"/>
      <c r="G54" s="157" t="s">
        <v>208</v>
      </c>
      <c r="H54" s="159">
        <f>998*1.65+28*20</f>
        <v>2206.6999999999998</v>
      </c>
      <c r="I54" s="316"/>
      <c r="J54" s="129"/>
      <c r="K54" s="261"/>
      <c r="L54" s="137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</row>
    <row r="55" spans="1:142" s="131" customFormat="1" ht="52.5" hidden="1" customHeight="1" x14ac:dyDescent="0.2">
      <c r="A55" s="170"/>
      <c r="B55" s="183"/>
      <c r="C55" s="362" t="s">
        <v>387</v>
      </c>
      <c r="D55" s="363"/>
      <c r="E55" s="363"/>
      <c r="F55" s="363"/>
      <c r="G55" s="192" t="s">
        <v>2</v>
      </c>
      <c r="H55" s="193" t="s">
        <v>2</v>
      </c>
      <c r="I55" s="187"/>
      <c r="J55" s="136"/>
      <c r="K55" s="262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</row>
    <row r="56" spans="1:142" s="158" customFormat="1" ht="30" customHeight="1" x14ac:dyDescent="0.2">
      <c r="A56" s="270" t="s">
        <v>2</v>
      </c>
      <c r="B56" s="195" t="s">
        <v>260</v>
      </c>
      <c r="C56" s="372" t="s">
        <v>261</v>
      </c>
      <c r="D56" s="373"/>
      <c r="E56" s="373"/>
      <c r="F56" s="373"/>
      <c r="G56" s="373"/>
      <c r="H56" s="373"/>
      <c r="I56" s="310"/>
      <c r="J56" s="315"/>
      <c r="K56" s="252"/>
      <c r="L56" s="140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</row>
    <row r="57" spans="1:142" s="158" customFormat="1" ht="32.25" customHeight="1" x14ac:dyDescent="0.2">
      <c r="A57" s="165" t="s">
        <v>280</v>
      </c>
      <c r="B57" s="196" t="s">
        <v>318</v>
      </c>
      <c r="C57" s="369" t="s">
        <v>262</v>
      </c>
      <c r="D57" s="370"/>
      <c r="E57" s="370"/>
      <c r="F57" s="370"/>
      <c r="G57" s="157" t="s">
        <v>208</v>
      </c>
      <c r="H57" s="159">
        <f>3870</f>
        <v>3870</v>
      </c>
      <c r="I57" s="316"/>
      <c r="J57" s="129"/>
      <c r="K57" s="252"/>
      <c r="L57" s="140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</row>
    <row r="58" spans="1:142" s="158" customFormat="1" ht="48.75" hidden="1" customHeight="1" x14ac:dyDescent="0.2">
      <c r="A58" s="198"/>
      <c r="B58" s="182"/>
      <c r="C58" s="417" t="s">
        <v>388</v>
      </c>
      <c r="D58" s="418"/>
      <c r="E58" s="418"/>
      <c r="F58" s="419"/>
      <c r="G58" s="214" t="s">
        <v>2</v>
      </c>
      <c r="H58" s="156" t="s">
        <v>2</v>
      </c>
      <c r="I58" s="188"/>
      <c r="J58" s="133"/>
      <c r="K58" s="252"/>
      <c r="L58" s="140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</row>
    <row r="59" spans="1:142" s="158" customFormat="1" ht="30.75" customHeight="1" x14ac:dyDescent="0.2">
      <c r="A59" s="164" t="s">
        <v>2</v>
      </c>
      <c r="B59" s="197" t="s">
        <v>263</v>
      </c>
      <c r="C59" s="405" t="s">
        <v>264</v>
      </c>
      <c r="D59" s="405"/>
      <c r="E59" s="405"/>
      <c r="F59" s="405"/>
      <c r="G59" s="405"/>
      <c r="H59" s="405"/>
      <c r="I59" s="405"/>
      <c r="J59" s="405"/>
      <c r="K59" s="40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</row>
    <row r="60" spans="1:142" s="158" customFormat="1" ht="32.25" customHeight="1" x14ac:dyDescent="0.2">
      <c r="A60" s="169" t="s">
        <v>281</v>
      </c>
      <c r="B60" s="216" t="s">
        <v>304</v>
      </c>
      <c r="C60" s="425" t="s">
        <v>389</v>
      </c>
      <c r="D60" s="425"/>
      <c r="E60" s="425"/>
      <c r="F60" s="425"/>
      <c r="G60" s="157" t="s">
        <v>208</v>
      </c>
      <c r="H60" s="159">
        <f>H57+1.5*998+26*16</f>
        <v>5783</v>
      </c>
      <c r="I60" s="246"/>
      <c r="J60" s="129"/>
      <c r="K60" s="259">
        <f>I60*J60</f>
        <v>0</v>
      </c>
      <c r="M60" s="293">
        <f>H57+1.5*998+26</f>
        <v>5393</v>
      </c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</row>
    <row r="61" spans="1:142" s="158" customFormat="1" ht="74.25" hidden="1" customHeight="1" x14ac:dyDescent="0.2">
      <c r="A61" s="199"/>
      <c r="B61" s="182"/>
      <c r="C61" s="390" t="s">
        <v>390</v>
      </c>
      <c r="D61" s="391"/>
      <c r="E61" s="391"/>
      <c r="F61" s="392"/>
      <c r="G61" s="214" t="s">
        <v>2</v>
      </c>
      <c r="H61" s="156" t="s">
        <v>2</v>
      </c>
      <c r="I61" s="226"/>
      <c r="J61" s="136"/>
      <c r="K61" s="259"/>
      <c r="M61" s="237">
        <f>H60-M60</f>
        <v>390</v>
      </c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  <c r="AL61" s="126"/>
      <c r="AM61" s="126"/>
      <c r="AN61" s="126"/>
      <c r="AO61" s="126"/>
      <c r="AP61" s="126"/>
      <c r="AQ61" s="126"/>
      <c r="AR61" s="126"/>
    </row>
    <row r="62" spans="1:142" s="158" customFormat="1" ht="24.75" customHeight="1" x14ac:dyDescent="0.2">
      <c r="A62" s="271" t="s">
        <v>2</v>
      </c>
      <c r="B62" s="172" t="s">
        <v>265</v>
      </c>
      <c r="C62" s="405" t="s">
        <v>240</v>
      </c>
      <c r="D62" s="405"/>
      <c r="E62" s="405"/>
      <c r="F62" s="405"/>
      <c r="G62" s="405"/>
      <c r="H62" s="405"/>
      <c r="I62" s="405"/>
      <c r="J62" s="405"/>
      <c r="K62" s="40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  <c r="AL62" s="126"/>
      <c r="AM62" s="126"/>
      <c r="AN62" s="126"/>
      <c r="AO62" s="126"/>
      <c r="AP62" s="126"/>
      <c r="AQ62" s="126"/>
      <c r="AR62" s="126"/>
    </row>
    <row r="63" spans="1:142" s="158" customFormat="1" ht="27" customHeight="1" x14ac:dyDescent="0.2">
      <c r="A63" s="272" t="s">
        <v>282</v>
      </c>
      <c r="B63" s="184" t="s">
        <v>337</v>
      </c>
      <c r="C63" s="382" t="s">
        <v>336</v>
      </c>
      <c r="D63" s="383"/>
      <c r="E63" s="383"/>
      <c r="F63" s="383"/>
      <c r="G63" s="161" t="s">
        <v>208</v>
      </c>
      <c r="H63" s="162">
        <f>998*6</f>
        <v>5988</v>
      </c>
      <c r="I63" s="313"/>
      <c r="J63" s="314"/>
      <c r="K63" s="263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  <c r="AL63" s="126"/>
      <c r="AM63" s="126"/>
      <c r="AN63" s="126"/>
      <c r="AO63" s="126"/>
      <c r="AP63" s="126"/>
      <c r="AQ63" s="126"/>
      <c r="AR63" s="126"/>
    </row>
    <row r="64" spans="1:142" s="158" customFormat="1" ht="79.5" hidden="1" customHeight="1" x14ac:dyDescent="0.2">
      <c r="A64" s="199"/>
      <c r="B64" s="182"/>
      <c r="C64" s="390" t="s">
        <v>391</v>
      </c>
      <c r="D64" s="391"/>
      <c r="E64" s="391"/>
      <c r="F64" s="392"/>
      <c r="G64" s="191" t="s">
        <v>2</v>
      </c>
      <c r="H64" s="191" t="s">
        <v>2</v>
      </c>
      <c r="I64" s="229"/>
      <c r="J64" s="230"/>
      <c r="K64" s="263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  <c r="AL64" s="126"/>
      <c r="AM64" s="126"/>
      <c r="AN64" s="126"/>
      <c r="AO64" s="126"/>
      <c r="AP64" s="126"/>
      <c r="AQ64" s="126"/>
      <c r="AR64" s="126"/>
    </row>
    <row r="65" spans="1:104" s="158" customFormat="1" ht="30.75" customHeight="1" x14ac:dyDescent="0.2">
      <c r="A65" s="482" t="s">
        <v>222</v>
      </c>
      <c r="B65" s="483"/>
      <c r="C65" s="483"/>
      <c r="D65" s="483"/>
      <c r="E65" s="483"/>
      <c r="F65" s="483"/>
      <c r="G65" s="483"/>
      <c r="H65" s="483"/>
      <c r="I65" s="483"/>
      <c r="J65" s="287"/>
      <c r="K65" s="263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  <c r="AL65" s="126"/>
      <c r="AM65" s="126"/>
      <c r="AN65" s="126"/>
      <c r="AO65" s="126"/>
      <c r="AP65" s="126"/>
      <c r="AQ65" s="126"/>
      <c r="AR65" s="126"/>
    </row>
    <row r="66" spans="1:104" s="158" customFormat="1" ht="30.75" customHeight="1" x14ac:dyDescent="0.2">
      <c r="A66" s="163" t="s">
        <v>15</v>
      </c>
      <c r="B66" s="174" t="s">
        <v>220</v>
      </c>
      <c r="C66" s="396" t="s">
        <v>221</v>
      </c>
      <c r="D66" s="397"/>
      <c r="E66" s="397"/>
      <c r="F66" s="397"/>
      <c r="G66" s="397"/>
      <c r="H66" s="397"/>
      <c r="I66" s="397"/>
      <c r="J66" s="398"/>
      <c r="K66" s="260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</row>
    <row r="67" spans="1:104" s="158" customFormat="1" ht="27" customHeight="1" x14ac:dyDescent="0.2">
      <c r="A67" s="164" t="s">
        <v>2</v>
      </c>
      <c r="B67" s="197" t="s">
        <v>319</v>
      </c>
      <c r="C67" s="372" t="s">
        <v>300</v>
      </c>
      <c r="D67" s="373"/>
      <c r="E67" s="373"/>
      <c r="F67" s="373"/>
      <c r="G67" s="373" t="s">
        <v>208</v>
      </c>
      <c r="H67" s="373"/>
      <c r="I67" s="310"/>
      <c r="J67" s="311"/>
      <c r="K67" s="264"/>
      <c r="M67" s="126">
        <f>3780*1.1</f>
        <v>4158</v>
      </c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</row>
    <row r="68" spans="1:104" s="158" customFormat="1" ht="18.75" customHeight="1" x14ac:dyDescent="0.2">
      <c r="A68" s="169" t="s">
        <v>283</v>
      </c>
      <c r="B68" s="196" t="s">
        <v>320</v>
      </c>
      <c r="C68" s="382" t="s">
        <v>301</v>
      </c>
      <c r="D68" s="383"/>
      <c r="E68" s="383"/>
      <c r="F68" s="383"/>
      <c r="G68" s="161" t="s">
        <v>208</v>
      </c>
      <c r="H68" s="162">
        <f>3780*1.05+28*16</f>
        <v>4417</v>
      </c>
      <c r="I68" s="312"/>
      <c r="J68" s="129"/>
      <c r="K68" s="264"/>
      <c r="M68" s="126">
        <f>28*16</f>
        <v>448</v>
      </c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  <c r="AL68" s="126"/>
      <c r="AM68" s="126"/>
      <c r="AN68" s="126"/>
      <c r="AO68" s="126"/>
      <c r="AP68" s="126"/>
      <c r="AQ68" s="126"/>
      <c r="AR68" s="126"/>
    </row>
    <row r="69" spans="1:104" s="158" customFormat="1" ht="66.75" hidden="1" customHeight="1" x14ac:dyDescent="0.2">
      <c r="A69" s="198"/>
      <c r="B69" s="182"/>
      <c r="C69" s="393" t="s">
        <v>392</v>
      </c>
      <c r="D69" s="414"/>
      <c r="E69" s="414"/>
      <c r="F69" s="415"/>
      <c r="G69" s="210" t="s">
        <v>2</v>
      </c>
      <c r="H69" s="180" t="s">
        <v>2</v>
      </c>
      <c r="I69" s="312"/>
      <c r="J69" s="139"/>
      <c r="K69" s="264"/>
      <c r="M69" s="126">
        <f>3780*1.05</f>
        <v>3969</v>
      </c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</row>
    <row r="70" spans="1:104" s="158" customFormat="1" ht="18" customHeight="1" x14ac:dyDescent="0.2">
      <c r="A70" s="169" t="s">
        <v>284</v>
      </c>
      <c r="B70" s="196" t="s">
        <v>302</v>
      </c>
      <c r="C70" s="382" t="s">
        <v>303</v>
      </c>
      <c r="D70" s="383"/>
      <c r="E70" s="383"/>
      <c r="F70" s="383"/>
      <c r="G70" s="161" t="s">
        <v>208</v>
      </c>
      <c r="H70" s="211">
        <f>3780+28*16*0.95</f>
        <v>4205.6000000000004</v>
      </c>
      <c r="I70" s="312"/>
      <c r="J70" s="129"/>
      <c r="K70" s="264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</row>
    <row r="71" spans="1:104" s="158" customFormat="1" ht="75" hidden="1" customHeight="1" x14ac:dyDescent="0.2">
      <c r="A71" s="199"/>
      <c r="B71" s="182"/>
      <c r="C71" s="393" t="s">
        <v>393</v>
      </c>
      <c r="D71" s="394"/>
      <c r="E71" s="394"/>
      <c r="F71" s="395"/>
      <c r="G71" s="210" t="s">
        <v>2</v>
      </c>
      <c r="H71" s="180" t="s">
        <v>2</v>
      </c>
      <c r="I71" s="189"/>
      <c r="J71" s="139"/>
      <c r="K71" s="264"/>
      <c r="M71" s="126">
        <f>28*16*0.95</f>
        <v>425.6</v>
      </c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</row>
    <row r="72" spans="1:104" s="158" customFormat="1" ht="30.75" customHeight="1" x14ac:dyDescent="0.2">
      <c r="A72" s="164" t="s">
        <v>2</v>
      </c>
      <c r="B72" s="197" t="s">
        <v>333</v>
      </c>
      <c r="C72" s="405" t="s">
        <v>334</v>
      </c>
      <c r="D72" s="405"/>
      <c r="E72" s="405"/>
      <c r="F72" s="405"/>
      <c r="G72" s="405" t="s">
        <v>232</v>
      </c>
      <c r="H72" s="405"/>
      <c r="I72" s="405"/>
      <c r="J72" s="405"/>
      <c r="K72" s="40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</row>
    <row r="73" spans="1:104" s="158" customFormat="1" ht="29.25" customHeight="1" x14ac:dyDescent="0.2">
      <c r="A73" s="272" t="s">
        <v>321</v>
      </c>
      <c r="B73" s="171" t="s">
        <v>335</v>
      </c>
      <c r="C73" s="416" t="s">
        <v>338</v>
      </c>
      <c r="D73" s="416"/>
      <c r="E73" s="416"/>
      <c r="F73" s="416"/>
      <c r="G73" s="157" t="s">
        <v>208</v>
      </c>
      <c r="H73" s="159">
        <f>998*2.9</f>
        <v>2894.2</v>
      </c>
      <c r="I73" s="185"/>
      <c r="J73" s="129"/>
      <c r="K73" s="259">
        <f>I73*J73</f>
        <v>0</v>
      </c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  <c r="AL73" s="126"/>
      <c r="AM73" s="126"/>
      <c r="AN73" s="126"/>
      <c r="AO73" s="126"/>
      <c r="AP73" s="126"/>
      <c r="AQ73" s="126"/>
      <c r="AR73" s="126"/>
    </row>
    <row r="74" spans="1:104" s="158" customFormat="1" ht="68.25" hidden="1" customHeight="1" x14ac:dyDescent="0.2">
      <c r="A74" s="198"/>
      <c r="B74" s="182"/>
      <c r="C74" s="390" t="s">
        <v>394</v>
      </c>
      <c r="D74" s="391"/>
      <c r="E74" s="391"/>
      <c r="F74" s="392"/>
      <c r="G74" s="210" t="s">
        <v>2</v>
      </c>
      <c r="H74" s="180" t="s">
        <v>2</v>
      </c>
      <c r="I74" s="189"/>
      <c r="J74" s="139"/>
      <c r="K74" s="264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  <c r="AL74" s="126"/>
      <c r="AM74" s="126"/>
      <c r="AN74" s="126"/>
      <c r="AO74" s="126"/>
      <c r="AP74" s="126"/>
      <c r="AQ74" s="126"/>
      <c r="AR74" s="126"/>
    </row>
    <row r="75" spans="1:104" s="158" customFormat="1" ht="27" customHeight="1" x14ac:dyDescent="0.2">
      <c r="A75" s="482" t="s">
        <v>227</v>
      </c>
      <c r="B75" s="483"/>
      <c r="C75" s="483"/>
      <c r="D75" s="483"/>
      <c r="E75" s="483"/>
      <c r="F75" s="483"/>
      <c r="G75" s="483"/>
      <c r="H75" s="483"/>
      <c r="I75" s="483"/>
      <c r="J75" s="287"/>
      <c r="K75" s="264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</row>
    <row r="76" spans="1:104" s="142" customFormat="1" ht="25.5" customHeight="1" x14ac:dyDescent="0.2">
      <c r="A76" s="163" t="s">
        <v>16</v>
      </c>
      <c r="B76" s="174" t="s">
        <v>223</v>
      </c>
      <c r="C76" s="396" t="s">
        <v>224</v>
      </c>
      <c r="D76" s="397"/>
      <c r="E76" s="397"/>
      <c r="F76" s="397"/>
      <c r="G76" s="397"/>
      <c r="H76" s="397"/>
      <c r="I76" s="397"/>
      <c r="J76" s="398"/>
      <c r="K76" s="265"/>
      <c r="L76" s="158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  <c r="BI76" s="141"/>
      <c r="BJ76" s="141"/>
      <c r="BK76" s="141"/>
      <c r="BL76" s="141"/>
      <c r="BM76" s="141"/>
      <c r="BN76" s="141"/>
      <c r="BO76" s="141"/>
      <c r="BP76" s="141"/>
      <c r="BQ76" s="141"/>
      <c r="BR76" s="141"/>
      <c r="BS76" s="141"/>
      <c r="BT76" s="141"/>
      <c r="BU76" s="141"/>
      <c r="BV76" s="141"/>
      <c r="BW76" s="141"/>
      <c r="BX76" s="141"/>
      <c r="BY76" s="141"/>
      <c r="BZ76" s="141"/>
      <c r="CA76" s="141"/>
      <c r="CB76" s="141"/>
      <c r="CC76" s="141"/>
      <c r="CD76" s="141"/>
      <c r="CE76" s="141"/>
      <c r="CF76" s="141"/>
      <c r="CG76" s="141"/>
      <c r="CH76" s="141"/>
      <c r="CI76" s="141"/>
      <c r="CJ76" s="141"/>
      <c r="CK76" s="141"/>
      <c r="CL76" s="141"/>
      <c r="CM76" s="141"/>
      <c r="CN76" s="141"/>
      <c r="CO76" s="141"/>
      <c r="CP76" s="141"/>
      <c r="CQ76" s="141"/>
      <c r="CR76" s="141"/>
      <c r="CS76" s="141"/>
      <c r="CT76" s="141"/>
      <c r="CU76" s="141"/>
      <c r="CV76" s="141"/>
      <c r="CW76" s="141"/>
      <c r="CX76" s="141"/>
      <c r="CY76" s="141"/>
      <c r="CZ76" s="141"/>
    </row>
    <row r="77" spans="1:104" s="158" customFormat="1" ht="19.5" customHeight="1" x14ac:dyDescent="0.2">
      <c r="A77" s="164" t="s">
        <v>2</v>
      </c>
      <c r="B77" s="197" t="s">
        <v>346</v>
      </c>
      <c r="C77" s="372" t="s">
        <v>225</v>
      </c>
      <c r="D77" s="373"/>
      <c r="E77" s="373"/>
      <c r="F77" s="373"/>
      <c r="G77" s="373"/>
      <c r="H77" s="373"/>
      <c r="I77" s="373"/>
      <c r="J77" s="386"/>
      <c r="K77" s="266"/>
      <c r="M77" s="126"/>
    </row>
    <row r="78" spans="1:104" s="140" customFormat="1" ht="24.95" customHeight="1" x14ac:dyDescent="0.2">
      <c r="A78" s="169" t="s">
        <v>322</v>
      </c>
      <c r="B78" s="216" t="s">
        <v>226</v>
      </c>
      <c r="C78" s="387" t="s">
        <v>305</v>
      </c>
      <c r="D78" s="388"/>
      <c r="E78" s="388"/>
      <c r="F78" s="389"/>
      <c r="G78" s="157" t="s">
        <v>208</v>
      </c>
      <c r="H78" s="159">
        <v>4100</v>
      </c>
      <c r="I78" s="246"/>
      <c r="J78" s="129"/>
      <c r="K78" s="259">
        <f>I78*J78</f>
        <v>0</v>
      </c>
      <c r="L78" s="158"/>
      <c r="M78" s="126"/>
      <c r="N78" s="158"/>
    </row>
    <row r="79" spans="1:104" s="158" customFormat="1" ht="45.75" hidden="1" customHeight="1" x14ac:dyDescent="0.2">
      <c r="A79" s="273"/>
      <c r="B79" s="232"/>
      <c r="C79" s="362" t="s">
        <v>395</v>
      </c>
      <c r="D79" s="363"/>
      <c r="E79" s="363"/>
      <c r="F79" s="364"/>
      <c r="G79" s="214" t="s">
        <v>2</v>
      </c>
      <c r="H79" s="156" t="s">
        <v>2</v>
      </c>
      <c r="I79" s="246"/>
      <c r="J79" s="129"/>
      <c r="K79" s="259"/>
      <c r="M79" s="126"/>
    </row>
    <row r="80" spans="1:104" s="158" customFormat="1" ht="24.95" customHeight="1" x14ac:dyDescent="0.2">
      <c r="A80" s="169" t="s">
        <v>428</v>
      </c>
      <c r="B80" s="171" t="s">
        <v>258</v>
      </c>
      <c r="C80" s="384" t="s">
        <v>259</v>
      </c>
      <c r="D80" s="384"/>
      <c r="E80" s="384"/>
      <c r="F80" s="384"/>
      <c r="G80" s="157" t="s">
        <v>208</v>
      </c>
      <c r="H80" s="147">
        <f>399*1.4</f>
        <v>558.6</v>
      </c>
      <c r="I80" s="246"/>
      <c r="J80" s="129"/>
      <c r="K80" s="259">
        <f>I80*J80</f>
        <v>0</v>
      </c>
      <c r="M80" s="126"/>
    </row>
    <row r="81" spans="1:21" s="158" customFormat="1" ht="66" hidden="1" customHeight="1" x14ac:dyDescent="0.2">
      <c r="A81" s="274"/>
      <c r="B81" s="234"/>
      <c r="C81" s="385" t="s">
        <v>396</v>
      </c>
      <c r="D81" s="385"/>
      <c r="E81" s="385"/>
      <c r="F81" s="385"/>
      <c r="G81" s="214" t="s">
        <v>2</v>
      </c>
      <c r="H81" s="156" t="s">
        <v>2</v>
      </c>
      <c r="I81" s="246"/>
      <c r="J81" s="129"/>
      <c r="K81" s="259"/>
      <c r="M81" s="126"/>
    </row>
    <row r="82" spans="1:21" s="158" customFormat="1" ht="23.25" customHeight="1" x14ac:dyDescent="0.2">
      <c r="A82" s="169" t="s">
        <v>429</v>
      </c>
      <c r="B82" s="171" t="s">
        <v>339</v>
      </c>
      <c r="C82" s="384" t="s">
        <v>340</v>
      </c>
      <c r="D82" s="384"/>
      <c r="E82" s="384"/>
      <c r="F82" s="384"/>
      <c r="G82" s="213" t="s">
        <v>210</v>
      </c>
      <c r="H82" s="147">
        <v>410</v>
      </c>
      <c r="I82" s="246"/>
      <c r="J82" s="129"/>
      <c r="K82" s="259"/>
      <c r="M82" s="126"/>
    </row>
    <row r="83" spans="1:21" s="158" customFormat="1" ht="62.25" hidden="1" customHeight="1" x14ac:dyDescent="0.2">
      <c r="A83" s="267"/>
      <c r="B83" s="234"/>
      <c r="C83" s="385" t="s">
        <v>397</v>
      </c>
      <c r="D83" s="385"/>
      <c r="E83" s="385"/>
      <c r="F83" s="385"/>
      <c r="G83" s="124" t="s">
        <v>2</v>
      </c>
      <c r="H83" s="124" t="s">
        <v>2</v>
      </c>
      <c r="I83" s="245"/>
      <c r="J83" s="129" t="e">
        <f t="shared" ref="J83:J86" si="1">I83*H83</f>
        <v>#VALUE!</v>
      </c>
      <c r="K83" s="259"/>
      <c r="M83" s="126"/>
    </row>
    <row r="84" spans="1:21" s="158" customFormat="1" ht="21" customHeight="1" x14ac:dyDescent="0.2">
      <c r="A84" s="164" t="s">
        <v>2</v>
      </c>
      <c r="B84" s="197" t="s">
        <v>345</v>
      </c>
      <c r="C84" s="372" t="s">
        <v>341</v>
      </c>
      <c r="D84" s="373"/>
      <c r="E84" s="373"/>
      <c r="F84" s="373"/>
      <c r="G84" s="373"/>
      <c r="H84" s="373"/>
      <c r="I84" s="373"/>
      <c r="J84" s="386"/>
      <c r="K84" s="259"/>
      <c r="M84" s="126"/>
    </row>
    <row r="85" spans="1:21" s="158" customFormat="1" ht="21" customHeight="1" x14ac:dyDescent="0.2">
      <c r="A85" s="169" t="s">
        <v>430</v>
      </c>
      <c r="B85" s="216" t="s">
        <v>347</v>
      </c>
      <c r="C85" s="387" t="s">
        <v>398</v>
      </c>
      <c r="D85" s="388"/>
      <c r="E85" s="388"/>
      <c r="F85" s="389"/>
      <c r="G85" s="157" t="s">
        <v>210</v>
      </c>
      <c r="H85" s="159">
        <v>144</v>
      </c>
      <c r="I85" s="246"/>
      <c r="J85" s="129"/>
      <c r="K85" s="259"/>
      <c r="M85" s="126"/>
    </row>
    <row r="86" spans="1:21" s="158" customFormat="1" ht="48.75" hidden="1" customHeight="1" x14ac:dyDescent="0.2">
      <c r="A86" s="273"/>
      <c r="B86" s="232"/>
      <c r="C86" s="362" t="s">
        <v>399</v>
      </c>
      <c r="D86" s="363"/>
      <c r="E86" s="363"/>
      <c r="F86" s="364"/>
      <c r="G86" s="214" t="s">
        <v>2</v>
      </c>
      <c r="H86" s="156" t="s">
        <v>2</v>
      </c>
      <c r="I86" s="233" t="s">
        <v>2</v>
      </c>
      <c r="J86" s="136" t="e">
        <f t="shared" si="1"/>
        <v>#VALUE!</v>
      </c>
      <c r="K86" s="259"/>
      <c r="M86" s="126"/>
    </row>
    <row r="87" spans="1:21" s="158" customFormat="1" ht="19.5" customHeight="1" x14ac:dyDescent="0.2">
      <c r="A87" s="164" t="s">
        <v>2</v>
      </c>
      <c r="B87" s="197" t="s">
        <v>350</v>
      </c>
      <c r="C87" s="372" t="s">
        <v>348</v>
      </c>
      <c r="D87" s="373"/>
      <c r="E87" s="373"/>
      <c r="F87" s="373"/>
      <c r="G87" s="373"/>
      <c r="H87" s="373"/>
      <c r="I87" s="373"/>
      <c r="J87" s="386"/>
      <c r="K87" s="259"/>
      <c r="M87" s="126"/>
    </row>
    <row r="88" spans="1:21" s="158" customFormat="1" ht="17.25" customHeight="1" x14ac:dyDescent="0.2">
      <c r="A88" s="169" t="s">
        <v>431</v>
      </c>
      <c r="B88" s="216" t="s">
        <v>351</v>
      </c>
      <c r="C88" s="387" t="s">
        <v>349</v>
      </c>
      <c r="D88" s="388"/>
      <c r="E88" s="388"/>
      <c r="F88" s="389"/>
      <c r="G88" s="157" t="s">
        <v>208</v>
      </c>
      <c r="H88" s="159">
        <f>998*1</f>
        <v>998</v>
      </c>
      <c r="I88" s="246"/>
      <c r="J88" s="129"/>
      <c r="K88" s="259"/>
      <c r="M88" s="126"/>
    </row>
    <row r="89" spans="1:21" s="158" customFormat="1" ht="54.75" hidden="1" customHeight="1" x14ac:dyDescent="0.2">
      <c r="A89" s="273"/>
      <c r="B89" s="232"/>
      <c r="C89" s="362" t="s">
        <v>400</v>
      </c>
      <c r="D89" s="363"/>
      <c r="E89" s="363"/>
      <c r="F89" s="364"/>
      <c r="G89" s="214" t="s">
        <v>2</v>
      </c>
      <c r="H89" s="156" t="s">
        <v>2</v>
      </c>
      <c r="I89" s="233" t="s">
        <v>2</v>
      </c>
      <c r="J89" s="136" t="e">
        <f t="shared" ref="J89" si="2">I89*H89</f>
        <v>#VALUE!</v>
      </c>
      <c r="K89" s="259"/>
      <c r="M89" s="126"/>
    </row>
    <row r="90" spans="1:21" s="158" customFormat="1" ht="22.5" customHeight="1" x14ac:dyDescent="0.2">
      <c r="A90" s="482" t="s">
        <v>233</v>
      </c>
      <c r="B90" s="483"/>
      <c r="C90" s="483"/>
      <c r="D90" s="483"/>
      <c r="E90" s="483"/>
      <c r="F90" s="483"/>
      <c r="G90" s="483"/>
      <c r="H90" s="483"/>
      <c r="I90" s="483"/>
      <c r="J90" s="287"/>
      <c r="K90" s="259"/>
      <c r="M90" s="126"/>
    </row>
    <row r="91" spans="1:21" s="140" customFormat="1" ht="25.5" customHeight="1" x14ac:dyDescent="0.2">
      <c r="A91" s="163" t="s">
        <v>21</v>
      </c>
      <c r="B91" s="174" t="s">
        <v>228</v>
      </c>
      <c r="C91" s="396" t="s">
        <v>229</v>
      </c>
      <c r="D91" s="397"/>
      <c r="E91" s="397"/>
      <c r="F91" s="397"/>
      <c r="G91" s="397"/>
      <c r="H91" s="397"/>
      <c r="I91" s="397"/>
      <c r="J91" s="397"/>
      <c r="K91" s="260"/>
      <c r="M91" s="238"/>
      <c r="N91" s="239"/>
      <c r="O91" s="428"/>
      <c r="P91" s="429"/>
      <c r="Q91" s="429"/>
      <c r="R91" s="430"/>
      <c r="S91" s="157"/>
      <c r="T91" s="159"/>
      <c r="U91" s="240"/>
    </row>
    <row r="92" spans="1:21" s="140" customFormat="1" ht="20.100000000000001" customHeight="1" x14ac:dyDescent="0.2">
      <c r="A92" s="164" t="s">
        <v>2</v>
      </c>
      <c r="B92" s="197" t="s">
        <v>230</v>
      </c>
      <c r="C92" s="372" t="s">
        <v>231</v>
      </c>
      <c r="D92" s="373"/>
      <c r="E92" s="373"/>
      <c r="F92" s="373"/>
      <c r="G92" s="373"/>
      <c r="H92" s="373"/>
      <c r="I92" s="373"/>
      <c r="J92" s="373"/>
      <c r="K92" s="412"/>
      <c r="M92" s="432"/>
      <c r="N92" s="434"/>
      <c r="O92" s="436"/>
      <c r="P92" s="437"/>
      <c r="Q92" s="437"/>
      <c r="R92" s="438"/>
      <c r="S92" s="420"/>
      <c r="T92" s="422"/>
      <c r="U92" s="424"/>
    </row>
    <row r="93" spans="1:21" s="140" customFormat="1" ht="24.95" customHeight="1" x14ac:dyDescent="0.2">
      <c r="A93" s="165" t="s">
        <v>285</v>
      </c>
      <c r="B93" s="179" t="s">
        <v>323</v>
      </c>
      <c r="C93" s="374" t="s">
        <v>342</v>
      </c>
      <c r="D93" s="374"/>
      <c r="E93" s="374"/>
      <c r="F93" s="374"/>
      <c r="G93" s="157" t="s">
        <v>211</v>
      </c>
      <c r="H93" s="159">
        <v>4</v>
      </c>
      <c r="I93" s="246"/>
      <c r="J93" s="129"/>
      <c r="K93" s="255">
        <f>I93*J93</f>
        <v>0</v>
      </c>
      <c r="L93" s="249"/>
      <c r="M93" s="433"/>
      <c r="N93" s="435"/>
      <c r="O93" s="241"/>
      <c r="P93" s="242"/>
      <c r="Q93" s="243"/>
      <c r="R93" s="244"/>
      <c r="S93" s="421"/>
      <c r="T93" s="423"/>
      <c r="U93" s="424"/>
    </row>
    <row r="94" spans="1:21" s="140" customFormat="1" ht="24.95" hidden="1" customHeight="1" x14ac:dyDescent="0.2">
      <c r="A94" s="275"/>
      <c r="B94" s="215"/>
      <c r="C94" s="381" t="s">
        <v>344</v>
      </c>
      <c r="D94" s="381"/>
      <c r="E94" s="381"/>
      <c r="F94" s="381"/>
      <c r="G94" s="214" t="s">
        <v>2</v>
      </c>
      <c r="H94" s="156" t="s">
        <v>2</v>
      </c>
      <c r="I94" s="246"/>
      <c r="J94" s="129"/>
      <c r="K94" s="255"/>
      <c r="L94" s="249"/>
      <c r="M94" s="126"/>
    </row>
    <row r="95" spans="1:21" s="140" customFormat="1" ht="24.95" customHeight="1" x14ac:dyDescent="0.2">
      <c r="A95" s="165" t="s">
        <v>418</v>
      </c>
      <c r="B95" s="179" t="s">
        <v>324</v>
      </c>
      <c r="C95" s="369" t="s">
        <v>325</v>
      </c>
      <c r="D95" s="370"/>
      <c r="E95" s="370"/>
      <c r="F95" s="371"/>
      <c r="G95" s="157" t="s">
        <v>211</v>
      </c>
      <c r="H95" s="159">
        <v>4</v>
      </c>
      <c r="I95" s="246"/>
      <c r="J95" s="129"/>
      <c r="K95" s="259"/>
      <c r="L95" s="249"/>
      <c r="M95" s="126"/>
    </row>
    <row r="96" spans="1:21" s="140" customFormat="1" ht="24.95" hidden="1" customHeight="1" x14ac:dyDescent="0.2">
      <c r="A96" s="275"/>
      <c r="B96" s="215"/>
      <c r="C96" s="439" t="s">
        <v>343</v>
      </c>
      <c r="D96" s="440"/>
      <c r="E96" s="440"/>
      <c r="F96" s="441"/>
      <c r="G96" s="214" t="s">
        <v>2</v>
      </c>
      <c r="H96" s="156" t="s">
        <v>2</v>
      </c>
      <c r="I96" s="235" t="s">
        <v>2</v>
      </c>
      <c r="J96" s="228"/>
      <c r="K96" s="268"/>
      <c r="L96" s="249"/>
      <c r="M96" s="126"/>
    </row>
    <row r="97" spans="1:13" s="140" customFormat="1" ht="24.95" customHeight="1" x14ac:dyDescent="0.2">
      <c r="A97" s="482" t="s">
        <v>432</v>
      </c>
      <c r="B97" s="483"/>
      <c r="C97" s="483"/>
      <c r="D97" s="483"/>
      <c r="E97" s="483"/>
      <c r="F97" s="483"/>
      <c r="G97" s="483"/>
      <c r="H97" s="483"/>
      <c r="I97" s="483"/>
      <c r="J97" s="287"/>
      <c r="K97" s="276"/>
      <c r="L97" s="249"/>
      <c r="M97" s="126"/>
    </row>
    <row r="98" spans="1:13" ht="39.75" customHeight="1" x14ac:dyDescent="0.2">
      <c r="A98" s="294" t="s">
        <v>1</v>
      </c>
      <c r="B98" s="150" t="s">
        <v>401</v>
      </c>
      <c r="C98" s="426" t="s">
        <v>402</v>
      </c>
      <c r="D98" s="426"/>
      <c r="E98" s="426"/>
      <c r="F98" s="426"/>
      <c r="G98" s="426" t="s">
        <v>232</v>
      </c>
      <c r="H98" s="426"/>
      <c r="I98" s="426"/>
      <c r="J98" s="427"/>
      <c r="M98"/>
    </row>
    <row r="99" spans="1:13" ht="36.75" customHeight="1" x14ac:dyDescent="0.2">
      <c r="A99" s="195" t="s">
        <v>2</v>
      </c>
      <c r="B99" s="197" t="s">
        <v>403</v>
      </c>
      <c r="C99" s="405" t="s">
        <v>404</v>
      </c>
      <c r="D99" s="405"/>
      <c r="E99" s="405"/>
      <c r="F99" s="405"/>
      <c r="G99" s="405"/>
      <c r="H99" s="405"/>
      <c r="I99" s="405"/>
      <c r="J99" s="372"/>
      <c r="M99"/>
    </row>
    <row r="100" spans="1:13" ht="45" customHeight="1" x14ac:dyDescent="0.2">
      <c r="A100" s="165" t="s">
        <v>286</v>
      </c>
      <c r="B100" s="171" t="s">
        <v>405</v>
      </c>
      <c r="C100" s="428" t="s">
        <v>406</v>
      </c>
      <c r="D100" s="429"/>
      <c r="E100" s="429"/>
      <c r="F100" s="430"/>
      <c r="G100" s="161" t="s">
        <v>210</v>
      </c>
      <c r="H100" s="218">
        <v>70</v>
      </c>
      <c r="I100" s="162"/>
      <c r="J100" s="162"/>
      <c r="M100"/>
    </row>
    <row r="101" spans="1:13" ht="55.5" hidden="1" customHeight="1" x14ac:dyDescent="0.2">
      <c r="A101" s="296"/>
      <c r="B101" s="297"/>
      <c r="C101" s="431" t="s">
        <v>407</v>
      </c>
      <c r="D101" s="431"/>
      <c r="E101" s="431"/>
      <c r="F101" s="431"/>
      <c r="G101" s="295" t="s">
        <v>2</v>
      </c>
      <c r="H101" s="298" t="s">
        <v>2</v>
      </c>
      <c r="I101" s="162"/>
      <c r="J101" s="279" t="s">
        <v>2</v>
      </c>
      <c r="M101"/>
    </row>
    <row r="102" spans="1:13" ht="27" customHeight="1" x14ac:dyDescent="0.2">
      <c r="A102" s="482" t="s">
        <v>433</v>
      </c>
      <c r="B102" s="483"/>
      <c r="C102" s="483"/>
      <c r="D102" s="483"/>
      <c r="E102" s="483"/>
      <c r="F102" s="483"/>
      <c r="G102" s="483"/>
      <c r="H102" s="483"/>
      <c r="I102" s="483"/>
      <c r="J102" s="287"/>
      <c r="M102"/>
    </row>
    <row r="103" spans="1:13" ht="24" customHeight="1" x14ac:dyDescent="0.2">
      <c r="A103" s="479" t="s">
        <v>244</v>
      </c>
      <c r="B103" s="480"/>
      <c r="C103" s="480"/>
      <c r="D103" s="480"/>
      <c r="E103" s="480"/>
      <c r="F103" s="480"/>
      <c r="G103" s="480"/>
      <c r="H103" s="480"/>
      <c r="I103" s="481"/>
      <c r="J103" s="288"/>
      <c r="M103"/>
    </row>
    <row r="104" spans="1:13" ht="24.75" customHeight="1" x14ac:dyDescent="0.2">
      <c r="A104" s="484" t="s">
        <v>360</v>
      </c>
      <c r="B104" s="485"/>
      <c r="C104" s="485"/>
      <c r="D104" s="485"/>
      <c r="E104" s="485"/>
      <c r="F104" s="485"/>
      <c r="G104" s="485"/>
      <c r="H104" s="485"/>
      <c r="I104" s="485"/>
      <c r="J104" s="289"/>
      <c r="M104"/>
    </row>
    <row r="105" spans="1:13" ht="24" customHeight="1" x14ac:dyDescent="0.2">
      <c r="A105" s="484" t="s">
        <v>236</v>
      </c>
      <c r="B105" s="485"/>
      <c r="C105" s="485"/>
      <c r="D105" s="485"/>
      <c r="E105" s="485"/>
      <c r="F105" s="485"/>
      <c r="G105" s="485"/>
      <c r="H105" s="485"/>
      <c r="I105" s="485"/>
      <c r="J105" s="289"/>
    </row>
    <row r="106" spans="1:13" ht="30.75" customHeight="1" thickBot="1" x14ac:dyDescent="0.25">
      <c r="A106" s="486" t="s">
        <v>237</v>
      </c>
      <c r="B106" s="487"/>
      <c r="C106" s="487"/>
      <c r="D106" s="487"/>
      <c r="E106" s="487"/>
      <c r="F106" s="487"/>
      <c r="G106" s="487"/>
      <c r="H106" s="487"/>
      <c r="I106" s="487"/>
      <c r="J106" s="290"/>
    </row>
    <row r="107" spans="1:13" x14ac:dyDescent="0.2">
      <c r="C107" s="126"/>
      <c r="D107" s="126"/>
      <c r="E107" s="126"/>
      <c r="F107" s="145"/>
      <c r="G107" s="217"/>
    </row>
    <row r="108" spans="1:13" x14ac:dyDescent="0.2">
      <c r="C108" s="126"/>
      <c r="D108" s="126"/>
      <c r="E108" s="126"/>
      <c r="F108" s="145"/>
      <c r="G108" s="217"/>
    </row>
    <row r="109" spans="1:13" x14ac:dyDescent="0.2">
      <c r="C109" s="126"/>
      <c r="D109" s="126"/>
      <c r="E109" s="126"/>
      <c r="F109" s="145"/>
      <c r="G109" s="217"/>
    </row>
    <row r="110" spans="1:13" x14ac:dyDescent="0.2">
      <c r="C110" s="126"/>
      <c r="D110" s="126"/>
      <c r="E110" s="126"/>
      <c r="F110" s="145"/>
      <c r="G110" s="217"/>
    </row>
    <row r="111" spans="1:13" x14ac:dyDescent="0.2">
      <c r="C111" s="126"/>
      <c r="D111" s="126"/>
      <c r="E111" s="126"/>
      <c r="F111" s="145"/>
      <c r="G111" s="217"/>
    </row>
    <row r="112" spans="1:13" x14ac:dyDescent="0.2">
      <c r="C112" s="126"/>
      <c r="D112" s="126"/>
      <c r="E112" s="126"/>
      <c r="F112" s="145"/>
      <c r="G112" s="217"/>
    </row>
    <row r="113" spans="3:7" x14ac:dyDescent="0.2">
      <c r="C113" s="126"/>
      <c r="D113" s="126"/>
      <c r="E113" s="126"/>
      <c r="F113" s="145"/>
      <c r="G113" s="217"/>
    </row>
    <row r="114" spans="3:7" x14ac:dyDescent="0.2">
      <c r="C114" s="126"/>
      <c r="D114" s="126"/>
      <c r="E114" s="126"/>
      <c r="F114" s="145"/>
      <c r="G114" s="217"/>
    </row>
    <row r="115" spans="3:7" x14ac:dyDescent="0.2">
      <c r="C115" s="126"/>
      <c r="D115" s="126"/>
      <c r="E115" s="126"/>
      <c r="F115" s="145"/>
      <c r="G115" s="217"/>
    </row>
    <row r="116" spans="3:7" x14ac:dyDescent="0.2">
      <c r="F116" s="145"/>
      <c r="G116" s="217"/>
    </row>
    <row r="117" spans="3:7" x14ac:dyDescent="0.2">
      <c r="F117" s="145"/>
      <c r="G117" s="217"/>
    </row>
    <row r="118" spans="3:7" x14ac:dyDescent="0.2">
      <c r="F118" s="145"/>
      <c r="G118" s="217"/>
    </row>
    <row r="119" spans="3:7" x14ac:dyDescent="0.2">
      <c r="F119" s="145"/>
      <c r="G119" s="217"/>
    </row>
  </sheetData>
  <mergeCells count="113">
    <mergeCell ref="A102:I102"/>
    <mergeCell ref="A103:I103"/>
    <mergeCell ref="A104:I104"/>
    <mergeCell ref="A105:I105"/>
    <mergeCell ref="A106:I106"/>
    <mergeCell ref="C96:F96"/>
    <mergeCell ref="A97:I97"/>
    <mergeCell ref="C98:J98"/>
    <mergeCell ref="C99:J99"/>
    <mergeCell ref="C100:F100"/>
    <mergeCell ref="C101:F101"/>
    <mergeCell ref="S92:S93"/>
    <mergeCell ref="T92:T93"/>
    <mergeCell ref="U92:U93"/>
    <mergeCell ref="C93:F93"/>
    <mergeCell ref="C94:F94"/>
    <mergeCell ref="C95:F95"/>
    <mergeCell ref="C91:J91"/>
    <mergeCell ref="O91:R91"/>
    <mergeCell ref="C92:K92"/>
    <mergeCell ref="M92:M93"/>
    <mergeCell ref="N92:N93"/>
    <mergeCell ref="O92:R92"/>
    <mergeCell ref="C85:F85"/>
    <mergeCell ref="C86:F86"/>
    <mergeCell ref="C87:J87"/>
    <mergeCell ref="C88:F88"/>
    <mergeCell ref="C89:F89"/>
    <mergeCell ref="A90:I90"/>
    <mergeCell ref="C79:F79"/>
    <mergeCell ref="C80:F80"/>
    <mergeCell ref="C81:F81"/>
    <mergeCell ref="C82:F82"/>
    <mergeCell ref="C83:F83"/>
    <mergeCell ref="C84:J84"/>
    <mergeCell ref="C73:F73"/>
    <mergeCell ref="C74:F74"/>
    <mergeCell ref="A75:I75"/>
    <mergeCell ref="C76:J76"/>
    <mergeCell ref="C77:J77"/>
    <mergeCell ref="C78:F78"/>
    <mergeCell ref="C67:H67"/>
    <mergeCell ref="C68:F68"/>
    <mergeCell ref="C69:F69"/>
    <mergeCell ref="C70:F70"/>
    <mergeCell ref="C71:F71"/>
    <mergeCell ref="C72:K72"/>
    <mergeCell ref="C61:F61"/>
    <mergeCell ref="C62:K62"/>
    <mergeCell ref="C63:F63"/>
    <mergeCell ref="C64:F64"/>
    <mergeCell ref="A65:I65"/>
    <mergeCell ref="C66:J66"/>
    <mergeCell ref="C55:F55"/>
    <mergeCell ref="C56:H56"/>
    <mergeCell ref="C57:F57"/>
    <mergeCell ref="C58:F58"/>
    <mergeCell ref="C59:K59"/>
    <mergeCell ref="C60:F60"/>
    <mergeCell ref="C49:F49"/>
    <mergeCell ref="C50:F50"/>
    <mergeCell ref="A51:I51"/>
    <mergeCell ref="C52:J52"/>
    <mergeCell ref="C53:J53"/>
    <mergeCell ref="C54:F54"/>
    <mergeCell ref="C43:F43"/>
    <mergeCell ref="A44:I44"/>
    <mergeCell ref="C45:J45"/>
    <mergeCell ref="C46:H46"/>
    <mergeCell ref="C47:F47"/>
    <mergeCell ref="C48:F48"/>
    <mergeCell ref="C37:F37"/>
    <mergeCell ref="C38:F38"/>
    <mergeCell ref="C39:F39"/>
    <mergeCell ref="C40:F40"/>
    <mergeCell ref="C41:F41"/>
    <mergeCell ref="C42:F42"/>
    <mergeCell ref="C31:F31"/>
    <mergeCell ref="C32:F32"/>
    <mergeCell ref="A33:I33"/>
    <mergeCell ref="C34:J34"/>
    <mergeCell ref="C35:J35"/>
    <mergeCell ref="C36:F36"/>
    <mergeCell ref="C25:F25"/>
    <mergeCell ref="C26:K26"/>
    <mergeCell ref="C27:F27"/>
    <mergeCell ref="C28:F28"/>
    <mergeCell ref="C29:F29"/>
    <mergeCell ref="C30:F30"/>
    <mergeCell ref="C19:F19"/>
    <mergeCell ref="C20:F20"/>
    <mergeCell ref="C21:F21"/>
    <mergeCell ref="C22:F22"/>
    <mergeCell ref="C23:J23"/>
    <mergeCell ref="C24:F24"/>
    <mergeCell ref="C16:K16"/>
    <mergeCell ref="C17:F17"/>
    <mergeCell ref="C18:F18"/>
    <mergeCell ref="C7:F7"/>
    <mergeCell ref="C8:F8"/>
    <mergeCell ref="A9:I9"/>
    <mergeCell ref="A10:I10"/>
    <mergeCell ref="B11:J11"/>
    <mergeCell ref="C12:J12"/>
    <mergeCell ref="A1:J1"/>
    <mergeCell ref="A2:J2"/>
    <mergeCell ref="C3:F3"/>
    <mergeCell ref="B4:J4"/>
    <mergeCell ref="C5:K5"/>
    <mergeCell ref="C6:K6"/>
    <mergeCell ref="C13:J13"/>
    <mergeCell ref="C14:F14"/>
    <mergeCell ref="C15:F15"/>
  </mergeCells>
  <printOptions gridLines="1"/>
  <pageMargins left="1.1023622047244095" right="0.31496062992125984" top="0.74803149606299213" bottom="0.74803149606299213" header="0.31496062992125984" footer="0.31496062992125984"/>
  <pageSetup paperSize="9" scale="46" fitToHeight="3" orientation="portrait" r:id="rId1"/>
  <rowBreaks count="2" manualBreakCount="2">
    <brk id="65" max="9" man="1"/>
    <brk id="106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K78"/>
  <sheetViews>
    <sheetView workbookViewId="0"/>
  </sheetViews>
  <sheetFormatPr defaultRowHeight="12.75" x14ac:dyDescent="0.2"/>
  <cols>
    <col min="1" max="1" width="19.5703125" customWidth="1"/>
    <col min="4" max="4" width="16.85546875" customWidth="1"/>
    <col min="8" max="8" width="11.140625" customWidth="1"/>
    <col min="9" max="9" width="23.140625" customWidth="1"/>
  </cols>
  <sheetData>
    <row r="1" spans="1:9" x14ac:dyDescent="0.2">
      <c r="A1" s="1"/>
      <c r="B1" s="2"/>
      <c r="C1" s="3"/>
      <c r="D1" s="1"/>
      <c r="E1" s="4"/>
      <c r="F1" s="1"/>
      <c r="G1" s="5"/>
      <c r="H1" s="5"/>
      <c r="I1" s="5"/>
    </row>
    <row r="2" spans="1:9" x14ac:dyDescent="0.2">
      <c r="A2" s="1"/>
      <c r="B2" s="2"/>
      <c r="C2" s="3"/>
      <c r="D2" s="1"/>
      <c r="E2" s="4"/>
      <c r="F2" s="1"/>
      <c r="G2" s="5"/>
      <c r="H2" s="5"/>
      <c r="I2" s="5"/>
    </row>
    <row r="3" spans="1:9" ht="30" x14ac:dyDescent="0.2">
      <c r="A3" s="360" t="s">
        <v>135</v>
      </c>
      <c r="B3" s="360"/>
      <c r="C3" s="360"/>
      <c r="D3" s="360"/>
      <c r="E3" s="360"/>
      <c r="F3" s="360"/>
      <c r="G3" s="360"/>
      <c r="H3" s="360"/>
      <c r="I3" s="360"/>
    </row>
    <row r="4" spans="1:9" ht="96" customHeight="1" x14ac:dyDescent="0.45">
      <c r="A4" s="6"/>
      <c r="B4" s="6"/>
      <c r="C4" s="6"/>
      <c r="D4" s="6"/>
      <c r="E4" s="6"/>
      <c r="F4" s="6"/>
      <c r="G4" s="6"/>
      <c r="H4" s="6"/>
      <c r="I4" s="6"/>
    </row>
    <row r="5" spans="1:9" ht="64.5" customHeight="1" x14ac:dyDescent="0.2">
      <c r="A5" s="11" t="s">
        <v>143</v>
      </c>
      <c r="B5" s="495" t="str">
        <f>'5.2. Brzeziny - Dół Płn.'!C5</f>
        <v xml:space="preserve">
Droga gminna nr 107718 R Brzeziny – Dół Północny
km od 0+000 do km 4+927
</v>
      </c>
      <c r="C5" s="495"/>
      <c r="D5" s="495"/>
      <c r="E5" s="495"/>
      <c r="F5" s="495"/>
      <c r="G5" s="495"/>
      <c r="H5" s="495"/>
      <c r="I5" s="495"/>
    </row>
    <row r="6" spans="1:9" ht="20.25" customHeight="1" x14ac:dyDescent="0.2">
      <c r="A6" s="7"/>
      <c r="B6" s="7"/>
      <c r="C6" s="7"/>
      <c r="D6" s="7"/>
      <c r="E6" s="7"/>
      <c r="F6" s="7"/>
      <c r="G6" s="7"/>
      <c r="H6" s="7"/>
      <c r="I6" s="5"/>
    </row>
    <row r="7" spans="1:9" ht="60.75" customHeight="1" x14ac:dyDescent="0.2">
      <c r="A7" s="11" t="s">
        <v>144</v>
      </c>
      <c r="B7" s="494" t="s">
        <v>134</v>
      </c>
      <c r="C7" s="494"/>
      <c r="D7" s="494"/>
      <c r="E7" s="494"/>
      <c r="F7" s="494"/>
      <c r="G7" s="494"/>
      <c r="H7" s="494"/>
      <c r="I7" s="494"/>
    </row>
    <row r="8" spans="1:9" ht="21" customHeight="1" x14ac:dyDescent="0.2">
      <c r="A8" s="7"/>
      <c r="B8" s="7"/>
      <c r="C8" s="7"/>
      <c r="D8" s="7"/>
      <c r="E8" s="7"/>
      <c r="F8" s="7"/>
      <c r="G8" s="7"/>
      <c r="H8" s="7"/>
      <c r="I8" s="5"/>
    </row>
    <row r="9" spans="1:9" ht="47.25" customHeight="1" x14ac:dyDescent="0.2">
      <c r="A9" s="11" t="s">
        <v>4</v>
      </c>
      <c r="B9" s="494" t="s">
        <v>137</v>
      </c>
      <c r="C9" s="494"/>
      <c r="D9" s="494"/>
      <c r="E9" s="494"/>
      <c r="F9" s="494"/>
      <c r="G9" s="494"/>
      <c r="H9" s="494"/>
      <c r="I9" s="494"/>
    </row>
    <row r="10" spans="1:9" ht="20.25" customHeight="1" x14ac:dyDescent="0.2">
      <c r="A10" s="12"/>
      <c r="B10" s="7"/>
      <c r="C10" s="7"/>
      <c r="D10" s="7"/>
      <c r="E10" s="7"/>
      <c r="F10" s="7"/>
      <c r="G10" s="7"/>
      <c r="H10" s="7"/>
      <c r="I10" s="7"/>
    </row>
    <row r="11" spans="1:9" ht="38.25" customHeight="1" x14ac:dyDescent="0.2">
      <c r="A11" s="11" t="s">
        <v>114</v>
      </c>
      <c r="B11" s="494" t="s">
        <v>23</v>
      </c>
      <c r="C11" s="494"/>
      <c r="D11" s="494"/>
      <c r="E11" s="494"/>
      <c r="F11" s="494"/>
      <c r="G11" s="494"/>
      <c r="H11" s="494"/>
      <c r="I11" s="494"/>
    </row>
    <row r="12" spans="1:9" ht="20.25" x14ac:dyDescent="0.2">
      <c r="A12" s="8"/>
      <c r="B12" s="492"/>
      <c r="C12" s="492"/>
      <c r="D12" s="492"/>
      <c r="E12" s="492"/>
      <c r="F12" s="492"/>
      <c r="G12" s="492"/>
      <c r="H12" s="492"/>
      <c r="I12" s="492"/>
    </row>
    <row r="13" spans="1:9" ht="49.5" customHeight="1" x14ac:dyDescent="0.2">
      <c r="A13" s="11" t="s">
        <v>115</v>
      </c>
      <c r="B13" s="494" t="s">
        <v>113</v>
      </c>
      <c r="C13" s="494"/>
      <c r="D13" s="494"/>
      <c r="E13" s="494"/>
      <c r="F13" s="494"/>
      <c r="G13" s="494"/>
      <c r="H13" s="494"/>
      <c r="I13" s="494"/>
    </row>
    <row r="14" spans="1:9" x14ac:dyDescent="0.2">
      <c r="A14" s="1"/>
      <c r="B14" s="2"/>
      <c r="C14" s="3"/>
      <c r="D14" s="1"/>
      <c r="E14" s="4"/>
      <c r="F14" s="1"/>
      <c r="G14" s="5"/>
      <c r="H14" s="5"/>
      <c r="I14" s="5"/>
    </row>
    <row r="15" spans="1:9" ht="56.25" customHeight="1" x14ac:dyDescent="0.2">
      <c r="A15" s="11" t="s">
        <v>116</v>
      </c>
      <c r="B15" s="338" t="s">
        <v>145</v>
      </c>
      <c r="C15" s="338"/>
      <c r="D15" s="338"/>
      <c r="E15" s="338"/>
      <c r="F15" s="338"/>
      <c r="G15" s="338"/>
      <c r="H15" s="338"/>
      <c r="I15" s="338"/>
    </row>
    <row r="16" spans="1:9" ht="36" hidden="1" customHeight="1" x14ac:dyDescent="0.2">
      <c r="A16" s="496" t="s">
        <v>119</v>
      </c>
      <c r="B16" s="338" t="s">
        <v>120</v>
      </c>
      <c r="C16" s="338"/>
      <c r="D16" s="338"/>
      <c r="E16" s="338"/>
      <c r="F16" s="338"/>
      <c r="G16" s="338"/>
      <c r="H16" s="338"/>
      <c r="I16" s="338"/>
    </row>
    <row r="17" spans="1:9" ht="36.75" hidden="1" customHeight="1" x14ac:dyDescent="0.2">
      <c r="A17" s="496"/>
      <c r="B17" s="338" t="s">
        <v>19</v>
      </c>
      <c r="C17" s="338"/>
      <c r="D17" s="338"/>
      <c r="E17" s="338"/>
      <c r="F17" s="338"/>
      <c r="G17" s="338"/>
      <c r="H17" s="338"/>
      <c r="I17" s="338"/>
    </row>
    <row r="18" spans="1:9" ht="35.25" hidden="1" customHeight="1" x14ac:dyDescent="0.2">
      <c r="A18" s="496"/>
      <c r="B18" s="338" t="s">
        <v>20</v>
      </c>
      <c r="C18" s="338"/>
      <c r="D18" s="338"/>
      <c r="E18" s="338"/>
      <c r="F18" s="338"/>
      <c r="G18" s="338"/>
      <c r="H18" s="338"/>
      <c r="I18" s="338"/>
    </row>
    <row r="19" spans="1:9" ht="29.25" customHeight="1" x14ac:dyDescent="0.2">
      <c r="A19" s="490" t="s">
        <v>139</v>
      </c>
      <c r="B19" s="490"/>
      <c r="C19" s="490"/>
      <c r="D19" s="490"/>
      <c r="E19" s="491">
        <f>A66</f>
        <v>1475000</v>
      </c>
      <c r="F19" s="491"/>
      <c r="G19" s="491"/>
      <c r="H19" s="491"/>
      <c r="I19" s="491"/>
    </row>
    <row r="20" spans="1:9" ht="19.5" customHeight="1" x14ac:dyDescent="0.2">
      <c r="A20" s="89" t="s">
        <v>5</v>
      </c>
      <c r="B20" s="489" t="str">
        <f>E78</f>
        <v>jeden milion czterysta siedemdziesiąt pięć tysięcy zł 0/100</v>
      </c>
      <c r="C20" s="489"/>
      <c r="D20" s="489"/>
      <c r="E20" s="489"/>
      <c r="F20" s="489"/>
      <c r="G20" s="489"/>
      <c r="H20" s="489"/>
      <c r="I20" s="489"/>
    </row>
    <row r="21" spans="1:9" x14ac:dyDescent="0.2">
      <c r="A21" s="1"/>
      <c r="B21" s="2"/>
      <c r="C21" s="3"/>
      <c r="D21" s="1"/>
      <c r="E21" s="4"/>
      <c r="F21" s="1"/>
      <c r="G21" s="5"/>
      <c r="H21" s="5"/>
      <c r="I21" s="5"/>
    </row>
    <row r="22" spans="1:9" ht="18.75" x14ac:dyDescent="0.2">
      <c r="A22" s="490" t="s">
        <v>140</v>
      </c>
      <c r="B22" s="490"/>
      <c r="C22" s="490"/>
      <c r="D22" s="490">
        <f>[4]KI2!E26</f>
        <v>0</v>
      </c>
      <c r="E22" s="491">
        <f>'5.2. Brzeziny - Dół Płn.'!E28</f>
        <v>1814250</v>
      </c>
      <c r="F22" s="491"/>
      <c r="G22" s="491"/>
      <c r="H22" s="491"/>
      <c r="I22" s="491"/>
    </row>
    <row r="23" spans="1:9" x14ac:dyDescent="0.2">
      <c r="A23" s="1"/>
      <c r="B23" s="2"/>
      <c r="C23" s="3"/>
      <c r="D23" s="1"/>
      <c r="E23" s="4"/>
      <c r="F23" s="1"/>
      <c r="G23" s="5"/>
      <c r="H23" s="5"/>
      <c r="I23" s="5"/>
    </row>
    <row r="24" spans="1:9" ht="21" customHeight="1" x14ac:dyDescent="0.2">
      <c r="A24" s="89" t="s">
        <v>5</v>
      </c>
      <c r="B24" s="489" t="str">
        <f>'5.2. Brzeziny - Dół Płn.'!E82</f>
        <v>jeden milion osiemset czternaście tysięcy dwieście pięćdziesiąt zł 0/100</v>
      </c>
      <c r="C24" s="489"/>
      <c r="D24" s="489"/>
      <c r="E24" s="489"/>
      <c r="F24" s="489"/>
      <c r="G24" s="489"/>
      <c r="H24" s="489"/>
      <c r="I24" s="489"/>
    </row>
    <row r="25" spans="1:9" x14ac:dyDescent="0.2">
      <c r="A25" s="1"/>
      <c r="B25" s="2"/>
      <c r="C25" s="3"/>
      <c r="D25" s="1"/>
      <c r="E25" s="4"/>
      <c r="F25" s="1"/>
      <c r="G25" s="5"/>
      <c r="H25" s="5"/>
      <c r="I25" s="5"/>
    </row>
    <row r="33" spans="2:8" x14ac:dyDescent="0.2">
      <c r="B33" t="s">
        <v>117</v>
      </c>
      <c r="H33" t="s">
        <v>117</v>
      </c>
    </row>
    <row r="34" spans="2:8" x14ac:dyDescent="0.2">
      <c r="B34" s="331" t="s">
        <v>118</v>
      </c>
      <c r="C34" s="331"/>
      <c r="H34" s="90" t="s">
        <v>4</v>
      </c>
    </row>
    <row r="53" spans="1:11" x14ac:dyDescent="0.2">
      <c r="A53" s="77">
        <f>[5]KI3!I230</f>
        <v>292152.32000000001</v>
      </c>
      <c r="B53" s="78"/>
      <c r="C53" s="78"/>
      <c r="D53" s="78"/>
      <c r="E53" s="78"/>
      <c r="F53" s="78"/>
      <c r="G53" s="488" t="s">
        <v>108</v>
      </c>
      <c r="H53" s="488"/>
      <c r="I53" s="78"/>
      <c r="J53" s="78"/>
      <c r="K53" s="78"/>
    </row>
    <row r="54" spans="1:11" x14ac:dyDescent="0.2">
      <c r="A54" s="79"/>
      <c r="B54" s="78"/>
      <c r="C54" s="80" t="s">
        <v>109</v>
      </c>
      <c r="D54" s="81" t="s">
        <v>110</v>
      </c>
      <c r="E54" s="80" t="s">
        <v>109</v>
      </c>
      <c r="F54" s="81" t="s">
        <v>110</v>
      </c>
      <c r="G54" s="80" t="s">
        <v>109</v>
      </c>
      <c r="H54" s="81" t="s">
        <v>110</v>
      </c>
      <c r="I54" s="88" t="s">
        <v>111</v>
      </c>
      <c r="J54" s="82" t="s">
        <v>112</v>
      </c>
      <c r="K54" s="78"/>
    </row>
    <row r="55" spans="1:11" x14ac:dyDescent="0.2">
      <c r="A55" s="78">
        <f>INT(A$66/10000000)</f>
        <v>0</v>
      </c>
      <c r="B55" s="78"/>
      <c r="C55" s="83">
        <f>IF(AND(A55&gt;=0,A55&lt;=5),1,0)</f>
        <v>1</v>
      </c>
      <c r="D55" s="83">
        <f>IF(AND(A55&gt;=6,A55&lt;=9),1,0)</f>
        <v>0</v>
      </c>
      <c r="E55" s="84" t="str">
        <f>IF(A55=0,"",IF(A55=1,IF(A56=0,"dziesięć milionów ",""),IF(A55=2,"dwadzieścia ",IF(A55=3,"trzydzieści ",IF(A55=4,"czterdzieści ",IF(A55=5,"pięćdziesiąt ",""))))))</f>
        <v/>
      </c>
      <c r="F55" s="84" t="str">
        <f>IF(A55=6,"sześćdziesiąt ",IF(A55=7,"siedemdziesiąt ",IF(A55=8,"osiemdziesiąt ",IF(A55=9,"dziewięćdziesiąt ",""))))</f>
        <v/>
      </c>
      <c r="G55" s="78"/>
      <c r="H55" s="78"/>
      <c r="I55" s="78"/>
      <c r="J55" s="84" t="str">
        <f>IF(C55,E55&amp;I55,IF(D55,F55&amp;I55,""))</f>
        <v/>
      </c>
      <c r="K55" s="78"/>
    </row>
    <row r="56" spans="1:11" x14ac:dyDescent="0.2">
      <c r="A56" s="79">
        <f>INT(A$66/1000000)-A55*10</f>
        <v>1</v>
      </c>
      <c r="B56" s="78"/>
      <c r="C56" s="83">
        <f t="shared" ref="C56:C62" si="0">IF(AND(A56&gt;=0,A56&lt;=5),1,0)</f>
        <v>1</v>
      </c>
      <c r="D56" s="83">
        <f t="shared" ref="D56:D62" si="1">IF(AND(A56&gt;=6,A56&lt;=9),1,0)</f>
        <v>0</v>
      </c>
      <c r="E56" s="84" t="str">
        <f>IF(A56=0,IF(AND(A55&lt;&gt;0,A55&lt;&gt;1),"milionów ",""),IF(A56=1,IF(A55=0,"jeden milion ","jeden milionów "),IF(A56=2,"dwa miliony ",IF(A56=3,"trzy miliony ",IF(A56=4,"cztery miliony ",IF(A56=5,"pięć milionów ",""))))))</f>
        <v xml:space="preserve">jeden milion </v>
      </c>
      <c r="F56" s="84" t="str">
        <f>IF(A56=6,"sześć milionów ",IF(A56=7,"siedem milionów ",IF(A56=8,"osiem milionów ",IF(A56=9,"dziewięć milionów ",""))))</f>
        <v/>
      </c>
      <c r="G56" s="84" t="str">
        <f>IF(A56=0,"",IF(A56=1,"jedenaście milionów ",IF(A56=2,"dwanaście milionów ",IF(A56=3,"trzynaście milionów ",IF(A56=4,"czternaście milionów ",IF(A56=5,"piętnaście milionów ",""))))))</f>
        <v xml:space="preserve">jedenaście milionów </v>
      </c>
      <c r="H56" s="84" t="str">
        <f>IF(A56=6,"szesnaście milionów ",IF(A56=7,"siedemnaście milionów ",IF(A56=8,"osiemnaście milionów ",IF(A56=9,"dziewiętnaście milionów ",""))))</f>
        <v/>
      </c>
      <c r="I56" s="78"/>
      <c r="J56" s="84" t="str">
        <f>IF(A55=1,IF(C56,G56,IF(D56,H56)),IF(C56,E56,IF(D56,F56,"")))</f>
        <v xml:space="preserve">jeden milion </v>
      </c>
      <c r="K56" s="78"/>
    </row>
    <row r="57" spans="1:11" x14ac:dyDescent="0.2">
      <c r="A57" s="78">
        <f>INT(A$66/100000)-10*A56-100*A55</f>
        <v>4</v>
      </c>
      <c r="B57" s="78"/>
      <c r="C57" s="83">
        <f t="shared" si="0"/>
        <v>1</v>
      </c>
      <c r="D57" s="83">
        <f t="shared" si="1"/>
        <v>0</v>
      </c>
      <c r="E57" s="84" t="str">
        <f>IF(A57=0,"",IF(A57=1,"sto ",IF(A57=2,"dwieście ",IF(A57=3,"trzysta ",IF(A57=4,"czterysta ",IF(A57=5,"pięćset ",""))))))</f>
        <v xml:space="preserve">czterysta </v>
      </c>
      <c r="F57" s="84" t="str">
        <f>IF(A57=6,"sześćset ",IF(A57=7,"siedemset ",IF(A57=8,"osiemset ",IF(A57=9,"dziewięćset ",""))))</f>
        <v/>
      </c>
      <c r="G57" s="78"/>
      <c r="H57" s="78"/>
      <c r="I57" s="78"/>
      <c r="J57" s="84" t="str">
        <f>IF(C57,E57&amp;I57,IF(D57,F57&amp;I57,""))</f>
        <v xml:space="preserve">czterysta </v>
      </c>
      <c r="K57" s="78"/>
    </row>
    <row r="58" spans="1:11" x14ac:dyDescent="0.2">
      <c r="A58" s="78">
        <f>INT(A$66/10000)-10*A57-100*A56-1000*A55</f>
        <v>7</v>
      </c>
      <c r="B58" s="78"/>
      <c r="C58" s="83">
        <f t="shared" si="0"/>
        <v>0</v>
      </c>
      <c r="D58" s="83">
        <f t="shared" si="1"/>
        <v>1</v>
      </c>
      <c r="E58" s="84" t="str">
        <f>IF(A58=0,"",IF(A58=1,IF(A59=0,"dziesięć tysięcy ",""),IF(A58=2,"dwadzieścia ",IF(A58=3,"trzydzieści ",IF(A58=4,"czterdzieści ",IF(A58=5,"pięćdziesiąt ",""))))))</f>
        <v/>
      </c>
      <c r="F58" s="84" t="str">
        <f>IF(A58=6,"sześćdziesiąt ",IF(A58=7,"siedemdziesiąt ",IF(A58=8,"osiemdziesiąt ",IF(A58=9,"dziewięćdziesiąt ",""))))</f>
        <v xml:space="preserve">siedemdziesiąt </v>
      </c>
      <c r="G58" s="78"/>
      <c r="H58" s="78"/>
      <c r="I58" s="78"/>
      <c r="J58" s="84" t="str">
        <f>IF(C58,E58&amp;I58,IF(D58,F58&amp;I58,""))</f>
        <v xml:space="preserve">siedemdziesiąt </v>
      </c>
      <c r="K58" s="78"/>
    </row>
    <row r="59" spans="1:11" x14ac:dyDescent="0.2">
      <c r="A59" s="79">
        <f>INT(A$66/1000)-10*A58-100*A57-1000*A56-10000*A55</f>
        <v>5</v>
      </c>
      <c r="B59" s="78"/>
      <c r="C59" s="83">
        <f t="shared" si="0"/>
        <v>1</v>
      </c>
      <c r="D59" s="83">
        <f t="shared" si="1"/>
        <v>0</v>
      </c>
      <c r="E59" s="84" t="str">
        <f>IF(A59=0,IF(OR(AND(A58&lt;&gt;0,A58&lt;&gt;1),AND(A57&lt;&gt;0,A58=0)),"tysięcy ",""),IF(A59=1,IF(AND(A57=0,A58=0),"jeden tysiąc ","jeden tysięcy "),IF(A59=2,"dwa tysiące ",IF(A59=3,"trzy tysiące ",IF(A59=4,"cztery tysiące ",IF(A59=5,"pięć tysięcy ",""))))))</f>
        <v xml:space="preserve">pięć tysięcy </v>
      </c>
      <c r="F59" s="84" t="str">
        <f>IF(A59=6,"sześć tysięcy ",IF(A59=7,"siedem tysięcy ",IF(A59=8,"osiem tysięcy ",IF(A59=9,"dziewięć tysięcy ",""))))</f>
        <v/>
      </c>
      <c r="G59" s="84" t="str">
        <f>IF(A59=0,"",IF(A59=1,"jedenaście tysięcy ",IF(A59=2,"dwanaście tysięcy ",IF(A59=3,"trzynaście tysięcy ",IF(A59=4,"czternaście tysięcy ",IF(A59=5,"piętnaście tysięcy ",""))))))</f>
        <v xml:space="preserve">piętnaście tysięcy </v>
      </c>
      <c r="H59" s="84" t="str">
        <f>IF(A59=6,"szesnaście tysięcy ",IF(A59=7,"siedemnaście tysięcy ",IF(A59=8,"osiemnaście tysięcy ",IF(A59=9,"dziewiętnaście tysięcy ",""))))</f>
        <v/>
      </c>
      <c r="I59" s="78"/>
      <c r="J59" s="84" t="str">
        <f>IF(A58=1,IF(C59,G59,IF(D59,H59)),IF(C59,E59,IF(D59,F59,"")))</f>
        <v xml:space="preserve">pięć tysięcy </v>
      </c>
      <c r="K59" s="78"/>
    </row>
    <row r="60" spans="1:11" x14ac:dyDescent="0.2">
      <c r="A60" s="78">
        <f>INT(A$66/100)-10*A59-100*A58-1000*A57-10000*A56-100000*A55</f>
        <v>0</v>
      </c>
      <c r="B60" s="78"/>
      <c r="C60" s="83">
        <f t="shared" si="0"/>
        <v>1</v>
      </c>
      <c r="D60" s="83">
        <f t="shared" si="1"/>
        <v>0</v>
      </c>
      <c r="E60" s="84" t="str">
        <f>IF(A60=0,"",IF(A60=1,"sto ",IF(A60=2,"dwieście ",IF(A60=3,"trzysta ",IF(A60=4,"czterysta ",IF(A60=5,"pięćset ",""))))))</f>
        <v/>
      </c>
      <c r="F60" s="84" t="str">
        <f>IF(A60=6,"sześćset ",IF(A60=7,"siedemset ",IF(A60=8,"osiemset ",IF(A60=9,"dziewięćset ",""))))</f>
        <v/>
      </c>
      <c r="G60" s="78"/>
      <c r="H60" s="78"/>
      <c r="I60" s="78"/>
      <c r="J60" s="84" t="str">
        <f>IF(C60,E60&amp;I60,IF(D60,F60&amp;I60,""))</f>
        <v/>
      </c>
      <c r="K60" s="78"/>
    </row>
    <row r="61" spans="1:11" x14ac:dyDescent="0.2">
      <c r="A61" s="78">
        <f>INT(A$66/10)-10*A60-100*A59-1000*A58-10000*A57-100000*A56-1000000*A55</f>
        <v>0</v>
      </c>
      <c r="B61" s="78"/>
      <c r="C61" s="83">
        <f t="shared" si="0"/>
        <v>1</v>
      </c>
      <c r="D61" s="83">
        <f t="shared" si="1"/>
        <v>0</v>
      </c>
      <c r="E61" s="84" t="str">
        <f>IF(A61=0,"",IF(A61=1,IF(A62=0,"dziesięć ",""),IF(A61=2,"dwadzieścia ",IF(A61=3,"trzydzieści ",IF(A61=4,"czterdzieści ",IF(A61=5,"pięćdziesiąt ",""))))))</f>
        <v/>
      </c>
      <c r="F61" s="84" t="str">
        <f>IF(A61=6,"sześćdziesiąt ",IF(A61=7,"siedemdziesiąt ",IF(A61=8,"osiemdziesiąt ",IF(A61=9,"dziewięćdziesiąt ",""))))</f>
        <v/>
      </c>
      <c r="G61" s="78"/>
      <c r="H61" s="78"/>
      <c r="I61" s="78"/>
      <c r="J61" s="84" t="str">
        <f>IF(C61,E61&amp;I61,IF(D61,F61&amp;I61,""))</f>
        <v/>
      </c>
      <c r="K61" s="78"/>
    </row>
    <row r="62" spans="1:11" x14ac:dyDescent="0.2">
      <c r="A62" s="79">
        <f>INT(A$66)-10*A61-100*A60-1000*A59-10000*A58-100000*A57-1000000*A56-10000000*A55</f>
        <v>0</v>
      </c>
      <c r="B62" s="78"/>
      <c r="C62" s="83">
        <f t="shared" si="0"/>
        <v>1</v>
      </c>
      <c r="D62" s="83">
        <f t="shared" si="1"/>
        <v>0</v>
      </c>
      <c r="E62" s="84" t="str">
        <f>IF(A62=0,"",IF(A62=1,"jeden ",IF(A62=2,"dwa ",IF(A62=3,"trzy ",IF(A62=4,"cztery ",IF(A62=5,"pięć ",""))))))</f>
        <v/>
      </c>
      <c r="F62" s="84" t="str">
        <f>IF(A62=6,"sześć ",IF(A62=7,"siedem ",IF(A62=8,"osiem ",IF(A62=9,"dziewięć ",""))))</f>
        <v/>
      </c>
      <c r="G62" s="84" t="str">
        <f>IF(A62=0,"",IF(A62=1,"jedenaście ",IF(A62=2,"dwanaście ",IF(A62=3,"trzynaście ",IF(A62=4,"czternaście ",IF(A62=5,"piętnaście ",""))))))</f>
        <v/>
      </c>
      <c r="H62" s="84" t="str">
        <f>IF(A62=6,"szesnaście ",IF(A62=7,"siedemnaście ",IF(A62=8,"osiemnaście ",IF(A62=9,"dziewiętnaście ",""))))</f>
        <v/>
      </c>
      <c r="I62" s="78"/>
      <c r="J62" s="84" t="str">
        <f>IF(A61=1,IF(C62,G62,IF(D62,H62)),IF(C62,E62,IF(D62,F62,"")))</f>
        <v/>
      </c>
      <c r="K62" s="78"/>
    </row>
    <row r="63" spans="1:11" x14ac:dyDescent="0.2">
      <c r="A63" s="85">
        <f>ROUND((A53-TRUNC(A53,0))*100,0)</f>
        <v>32</v>
      </c>
      <c r="B63" s="78"/>
      <c r="C63" s="78"/>
      <c r="D63" s="78"/>
      <c r="E63" s="78"/>
      <c r="F63" s="78"/>
      <c r="G63" s="78"/>
      <c r="H63" s="78"/>
      <c r="I63" s="78"/>
      <c r="J63" s="84" t="str">
        <f>"zł "&amp;A63&amp;"/100"</f>
        <v>zł 32/100</v>
      </c>
      <c r="K63" s="78"/>
    </row>
    <row r="64" spans="1:11" x14ac:dyDescent="0.2">
      <c r="A64" s="78"/>
      <c r="B64" s="78"/>
      <c r="C64" s="78"/>
      <c r="D64" s="78"/>
      <c r="E64" s="82" t="s">
        <v>5</v>
      </c>
      <c r="F64" s="78"/>
      <c r="G64" s="78"/>
      <c r="H64" s="78"/>
      <c r="I64" s="78"/>
      <c r="J64" s="78"/>
      <c r="K64" s="78"/>
    </row>
    <row r="65" spans="1:11" x14ac:dyDescent="0.2">
      <c r="A65" s="77">
        <f>TRUNC(A53,1)</f>
        <v>292152.3</v>
      </c>
      <c r="B65" s="78"/>
      <c r="C65" s="78"/>
      <c r="D65" s="78"/>
      <c r="E65" s="84" t="str">
        <f>J55&amp;J56&amp;J57&amp;J58&amp;J59&amp;J60&amp;J61&amp;J62&amp;J63</f>
        <v>jeden milion czterysta siedemdziesiąt pięć tysięcy zł 32/100</v>
      </c>
      <c r="F65" s="84"/>
      <c r="G65" s="84"/>
      <c r="H65" s="84"/>
      <c r="I65" s="84"/>
      <c r="J65" s="84"/>
      <c r="K65" s="78"/>
    </row>
    <row r="66" spans="1:11" x14ac:dyDescent="0.2">
      <c r="A66" s="77">
        <f>'5.2. Brzeziny - Dół Płn.'!E26</f>
        <v>1475000</v>
      </c>
      <c r="B66" s="78"/>
      <c r="C66" s="78"/>
      <c r="D66" s="78"/>
      <c r="E66" s="78"/>
      <c r="F66" s="78"/>
      <c r="G66" s="488" t="s">
        <v>108</v>
      </c>
      <c r="H66" s="488"/>
      <c r="I66" s="78"/>
      <c r="J66" s="78"/>
      <c r="K66" s="78"/>
    </row>
    <row r="67" spans="1:11" x14ac:dyDescent="0.2">
      <c r="A67" s="79"/>
      <c r="B67" s="78"/>
      <c r="C67" s="80" t="s">
        <v>109</v>
      </c>
      <c r="D67" s="81" t="s">
        <v>110</v>
      </c>
      <c r="E67" s="80" t="s">
        <v>109</v>
      </c>
      <c r="F67" s="81" t="s">
        <v>110</v>
      </c>
      <c r="G67" s="80" t="s">
        <v>109</v>
      </c>
      <c r="H67" s="81" t="s">
        <v>110</v>
      </c>
      <c r="I67" s="88" t="s">
        <v>111</v>
      </c>
      <c r="J67" s="82" t="s">
        <v>112</v>
      </c>
      <c r="K67" s="78"/>
    </row>
    <row r="68" spans="1:11" x14ac:dyDescent="0.2">
      <c r="A68" s="78">
        <f>INT(A$66/10000000)</f>
        <v>0</v>
      </c>
      <c r="B68" s="78"/>
      <c r="C68" s="83">
        <f>IF(AND(A68&gt;=0,A68&lt;=5),1,0)</f>
        <v>1</v>
      </c>
      <c r="D68" s="83">
        <f>IF(AND(A68&gt;=6,A68&lt;=9),1,0)</f>
        <v>0</v>
      </c>
      <c r="E68" s="84" t="str">
        <f>IF(A68=0,"",IF(A68=1,IF(A69=0,"dziesięć milionów ",""),IF(A68=2,"dwadzieścia ",IF(A68=3,"trzydzieści ",IF(A68=4,"czterdzieści ",IF(A68=5,"pięćdziesiąt ",""))))))</f>
        <v/>
      </c>
      <c r="F68" s="84" t="str">
        <f>IF(A68=6,"sześćdziesiąt ",IF(A68=7,"siedemdziesiąt ",IF(A68=8,"osiemdziesiąt ",IF(A68=9,"dziewięćdziesiąt ",""))))</f>
        <v/>
      </c>
      <c r="G68" s="78"/>
      <c r="H68" s="78"/>
      <c r="I68" s="78"/>
      <c r="J68" s="84" t="str">
        <f>IF(C68,E68&amp;I68,IF(D68,F68&amp;I68,""))</f>
        <v/>
      </c>
      <c r="K68" s="78"/>
    </row>
    <row r="69" spans="1:11" x14ac:dyDescent="0.2">
      <c r="A69" s="79">
        <f>INT(A$66/1000000)-A68*10</f>
        <v>1</v>
      </c>
      <c r="B69" s="78"/>
      <c r="C69" s="83">
        <f t="shared" ref="C69:C75" si="2">IF(AND(A69&gt;=0,A69&lt;=5),1,0)</f>
        <v>1</v>
      </c>
      <c r="D69" s="83">
        <f t="shared" ref="D69:D75" si="3">IF(AND(A69&gt;=6,A69&lt;=9),1,0)</f>
        <v>0</v>
      </c>
      <c r="E69" s="84" t="str">
        <f>IF(A69=0,IF(AND(A68&lt;&gt;0,A68&lt;&gt;1),"milionów ",""),IF(A69=1,IF(A68=0,"jeden milion ","jeden milionów "),IF(A69=2,"dwa miliony ",IF(A69=3,"trzy miliony ",IF(A69=4,"cztery miliony ",IF(A69=5,"pięć milionów ",""))))))</f>
        <v xml:space="preserve">jeden milion </v>
      </c>
      <c r="F69" s="84" t="str">
        <f>IF(A69=6,"sześć milionów ",IF(A69=7,"siedem milionów ",IF(A69=8,"osiem milionów ",IF(A69=9,"dziewięć milionów ",""))))</f>
        <v/>
      </c>
      <c r="G69" s="84" t="str">
        <f>IF(A69=0,"",IF(A69=1,"jedenaście milionów ",IF(A69=2,"dwanaście milionów ",IF(A69=3,"trzynaście milionów ",IF(A69=4,"czternaście milionów ",IF(A69=5,"piętnaście milionów ",""))))))</f>
        <v xml:space="preserve">jedenaście milionów </v>
      </c>
      <c r="H69" s="84" t="str">
        <f>IF(A69=6,"szesnaście milionów ",IF(A69=7,"siedemnaście milionów ",IF(A69=8,"osiemnaście milionów ",IF(A69=9,"dziewiętnaście milionów ",""))))</f>
        <v/>
      </c>
      <c r="I69" s="78"/>
      <c r="J69" s="84" t="str">
        <f>IF(A68=1,IF(C69,G69,IF(D69,H69)),IF(C69,E69,IF(D69,F69,"")))</f>
        <v xml:space="preserve">jeden milion </v>
      </c>
      <c r="K69" s="78"/>
    </row>
    <row r="70" spans="1:11" x14ac:dyDescent="0.2">
      <c r="A70" s="78">
        <f>INT(A$66/100000)-10*A69-100*A68</f>
        <v>4</v>
      </c>
      <c r="B70" s="78"/>
      <c r="C70" s="83">
        <f t="shared" si="2"/>
        <v>1</v>
      </c>
      <c r="D70" s="83">
        <f t="shared" si="3"/>
        <v>0</v>
      </c>
      <c r="E70" s="84" t="str">
        <f>IF(A70=0,"",IF(A70=1,"sto ",IF(A70=2,"dwieście ",IF(A70=3,"trzysta ",IF(A70=4,"czterysta ",IF(A70=5,"pięćset ",""))))))</f>
        <v xml:space="preserve">czterysta </v>
      </c>
      <c r="F70" s="84" t="str">
        <f>IF(A70=6,"sześćset ",IF(A70=7,"siedemset ",IF(A70=8,"osiemset ",IF(A70=9,"dziewięćset ",""))))</f>
        <v/>
      </c>
      <c r="G70" s="78"/>
      <c r="H70" s="78"/>
      <c r="I70" s="78"/>
      <c r="J70" s="84" t="str">
        <f>IF(C70,E70&amp;I70,IF(D70,F70&amp;I70,""))</f>
        <v xml:space="preserve">czterysta </v>
      </c>
      <c r="K70" s="78"/>
    </row>
    <row r="71" spans="1:11" x14ac:dyDescent="0.2">
      <c r="A71" s="78">
        <f>INT(A$66/10000)-10*A70-100*A69-1000*A68</f>
        <v>7</v>
      </c>
      <c r="B71" s="78"/>
      <c r="C71" s="83">
        <f t="shared" si="2"/>
        <v>0</v>
      </c>
      <c r="D71" s="83">
        <f t="shared" si="3"/>
        <v>1</v>
      </c>
      <c r="E71" s="84" t="str">
        <f>IF(A71=0,"",IF(A71=1,IF(A72=0,"dziesięć tysięcy ",""),IF(A71=2,"dwadzieścia ",IF(A71=3,"trzydzieści ",IF(A71=4,"czterdzieści ",IF(A71=5,"pięćdziesiąt ",""))))))</f>
        <v/>
      </c>
      <c r="F71" s="84" t="str">
        <f>IF(A71=6,"sześćdziesiąt ",IF(A71=7,"siedemdziesiąt ",IF(A71=8,"osiemdziesiąt ",IF(A71=9,"dziewięćdziesiąt ",""))))</f>
        <v xml:space="preserve">siedemdziesiąt </v>
      </c>
      <c r="G71" s="78"/>
      <c r="H71" s="78"/>
      <c r="I71" s="78"/>
      <c r="J71" s="84" t="str">
        <f>IF(C71,E71&amp;I71,IF(D71,F71&amp;I71,""))</f>
        <v xml:space="preserve">siedemdziesiąt </v>
      </c>
      <c r="K71" s="78"/>
    </row>
    <row r="72" spans="1:11" x14ac:dyDescent="0.2">
      <c r="A72" s="79">
        <f>INT(A$66/1000)-10*A71-100*A70-1000*A69-10000*A68</f>
        <v>5</v>
      </c>
      <c r="B72" s="78"/>
      <c r="C72" s="83">
        <f t="shared" si="2"/>
        <v>1</v>
      </c>
      <c r="D72" s="83">
        <f t="shared" si="3"/>
        <v>0</v>
      </c>
      <c r="E72" s="84" t="str">
        <f>IF(A72=0,IF(OR(AND(A71&lt;&gt;0,A71&lt;&gt;1),AND(A70&lt;&gt;0,A71=0)),"tysięcy ",""),IF(A72=1,IF(AND(A70=0,A71=0),"jeden tysiąc ","jeden tysięcy "),IF(A72=2,"dwa tysiące ",IF(A72=3,"trzy tysiące ",IF(A72=4,"cztery tysiące ",IF(A72=5,"pięć tysięcy ",""))))))</f>
        <v xml:space="preserve">pięć tysięcy </v>
      </c>
      <c r="F72" s="84" t="str">
        <f>IF(A72=6,"sześć tysięcy ",IF(A72=7,"siedem tysięcy ",IF(A72=8,"osiem tysięcy ",IF(A72=9,"dziewięć tysięcy ",""))))</f>
        <v/>
      </c>
      <c r="G72" s="84" t="str">
        <f>IF(A72=0,"",IF(A72=1,"jedenaście tysięcy ",IF(A72=2,"dwanaście tysięcy ",IF(A72=3,"trzynaście tysięcy ",IF(A72=4,"czternaście tysięcy ",IF(A72=5,"piętnaście tysięcy ",""))))))</f>
        <v xml:space="preserve">piętnaście tysięcy </v>
      </c>
      <c r="H72" s="84" t="str">
        <f>IF(A72=6,"szesnaście tysięcy ",IF(A72=7,"siedemnaście tysięcy ",IF(A72=8,"osiemnaście tysięcy ",IF(A72=9,"dziewiętnaście tysięcy ",""))))</f>
        <v/>
      </c>
      <c r="I72" s="78"/>
      <c r="J72" s="84" t="str">
        <f>IF(A71=1,IF(C72,G72,IF(D72,H72)),IF(C72,E72,IF(D72,F72,"")))</f>
        <v xml:space="preserve">pięć tysięcy </v>
      </c>
      <c r="K72" s="78"/>
    </row>
    <row r="73" spans="1:11" x14ac:dyDescent="0.2">
      <c r="A73" s="78">
        <f>INT(A$66/100)-10*A72-100*A71-1000*A70-10000*A69-100000*A68</f>
        <v>0</v>
      </c>
      <c r="B73" s="78"/>
      <c r="C73" s="83">
        <f t="shared" si="2"/>
        <v>1</v>
      </c>
      <c r="D73" s="83">
        <f t="shared" si="3"/>
        <v>0</v>
      </c>
      <c r="E73" s="84" t="str">
        <f>IF(A73=0,"",IF(A73=1,"sto ",IF(A73=2,"dwieście ",IF(A73=3,"trzysta ",IF(A73=4,"czterysta ",IF(A73=5,"pięćset ",""))))))</f>
        <v/>
      </c>
      <c r="F73" s="84" t="str">
        <f>IF(A73=6,"sześćset ",IF(A73=7,"siedemset ",IF(A73=8,"osiemset ",IF(A73=9,"dziewięćset ",""))))</f>
        <v/>
      </c>
      <c r="G73" s="78"/>
      <c r="H73" s="78"/>
      <c r="I73" s="78"/>
      <c r="J73" s="84" t="str">
        <f>IF(C73,E73&amp;I73,IF(D73,F73&amp;I73,""))</f>
        <v/>
      </c>
      <c r="K73" s="78"/>
    </row>
    <row r="74" spans="1:11" x14ac:dyDescent="0.2">
      <c r="A74" s="78">
        <f>INT(A$66/10)-10*A73-100*A72-1000*A71-10000*A70-100000*A69-1000000*A68</f>
        <v>0</v>
      </c>
      <c r="B74" s="78"/>
      <c r="C74" s="83">
        <f t="shared" si="2"/>
        <v>1</v>
      </c>
      <c r="D74" s="83">
        <f t="shared" si="3"/>
        <v>0</v>
      </c>
      <c r="E74" s="84" t="str">
        <f>IF(A74=0,"",IF(A74=1,IF(A75=0,"dziesięć ",""),IF(A74=2,"dwadzieścia ",IF(A74=3,"trzydzieści ",IF(A74=4,"czterdzieści ",IF(A74=5,"pięćdziesiąt ",""))))))</f>
        <v/>
      </c>
      <c r="F74" s="84" t="str">
        <f>IF(A74=6,"sześćdziesiąt ",IF(A74=7,"siedemdziesiąt ",IF(A74=8,"osiemdziesiąt ",IF(A74=9,"dziewięćdziesiąt ",""))))</f>
        <v/>
      </c>
      <c r="G74" s="78"/>
      <c r="H74" s="78"/>
      <c r="I74" s="78"/>
      <c r="J74" s="84" t="str">
        <f>IF(C74,E74&amp;I74,IF(D74,F74&amp;I74,""))</f>
        <v/>
      </c>
      <c r="K74" s="78"/>
    </row>
    <row r="75" spans="1:11" x14ac:dyDescent="0.2">
      <c r="A75" s="79">
        <f>INT(A$66)-10*A74-100*A73-1000*A72-10000*A71-100000*A70-1000000*A69-10000000*A68</f>
        <v>0</v>
      </c>
      <c r="B75" s="78"/>
      <c r="C75" s="83">
        <f t="shared" si="2"/>
        <v>1</v>
      </c>
      <c r="D75" s="83">
        <f t="shared" si="3"/>
        <v>0</v>
      </c>
      <c r="E75" s="84" t="str">
        <f>IF(A75=0,"",IF(A75=1,"jeden ",IF(A75=2,"dwa ",IF(A75=3,"trzy ",IF(A75=4,"cztery ",IF(A75=5,"pięć ",""))))))</f>
        <v/>
      </c>
      <c r="F75" s="84" t="str">
        <f>IF(A75=6,"sześć ",IF(A75=7,"siedem ",IF(A75=8,"osiem ",IF(A75=9,"dziewięć ",""))))</f>
        <v/>
      </c>
      <c r="G75" s="84" t="str">
        <f>IF(A75=0,"",IF(A75=1,"jedenaście ",IF(A75=2,"dwanaście ",IF(A75=3,"trzynaście ",IF(A75=4,"czternaście ",IF(A75=5,"piętnaście ",""))))))</f>
        <v/>
      </c>
      <c r="H75" s="84" t="str">
        <f>IF(A75=6,"szesnaście ",IF(A75=7,"siedemnaście ",IF(A75=8,"osiemnaście ",IF(A75=9,"dziewiętnaście ",""))))</f>
        <v/>
      </c>
      <c r="I75" s="78"/>
      <c r="J75" s="84" t="str">
        <f>IF(A74=1,IF(C75,G75,IF(D75,H75)),IF(C75,E75,IF(D75,F75,"")))</f>
        <v/>
      </c>
      <c r="K75" s="78"/>
    </row>
    <row r="76" spans="1:11" x14ac:dyDescent="0.2">
      <c r="A76" s="85">
        <f>ROUND((A66-TRUNC(A66,0))*100,0)</f>
        <v>0</v>
      </c>
      <c r="B76" s="78"/>
      <c r="C76" s="78"/>
      <c r="D76" s="78"/>
      <c r="E76" s="78"/>
      <c r="F76" s="78"/>
      <c r="G76" s="78"/>
      <c r="H76" s="78"/>
      <c r="I76" s="78"/>
      <c r="J76" s="84" t="str">
        <f>"zł "&amp;A76&amp;"/100"</f>
        <v>zł 0/100</v>
      </c>
      <c r="K76" s="78"/>
    </row>
    <row r="77" spans="1:11" x14ac:dyDescent="0.2">
      <c r="A77" s="78"/>
      <c r="B77" s="78"/>
      <c r="C77" s="78"/>
      <c r="D77" s="78"/>
      <c r="E77" s="82" t="s">
        <v>5</v>
      </c>
      <c r="F77" s="78"/>
      <c r="G77" s="78"/>
      <c r="H77" s="78"/>
      <c r="I77" s="78"/>
      <c r="J77" s="78"/>
      <c r="K77" s="78"/>
    </row>
    <row r="78" spans="1:11" x14ac:dyDescent="0.2">
      <c r="A78" s="77">
        <f>TRUNC(A66,1)</f>
        <v>1475000</v>
      </c>
      <c r="B78" s="78"/>
      <c r="C78" s="78"/>
      <c r="D78" s="78"/>
      <c r="E78" s="84" t="str">
        <f>J68&amp;J69&amp;J70&amp;J71&amp;J72&amp;J73&amp;J74&amp;J75&amp;J76</f>
        <v>jeden milion czterysta siedemdziesiąt pięć tysięcy zł 0/100</v>
      </c>
      <c r="F78" s="84"/>
      <c r="G78" s="84"/>
      <c r="H78" s="84"/>
      <c r="I78" s="84"/>
      <c r="J78" s="84"/>
      <c r="K78" s="78"/>
    </row>
  </sheetData>
  <mergeCells count="21">
    <mergeCell ref="B34:C34"/>
    <mergeCell ref="G53:H53"/>
    <mergeCell ref="G66:H66"/>
    <mergeCell ref="A19:D19"/>
    <mergeCell ref="E19:I19"/>
    <mergeCell ref="B20:I20"/>
    <mergeCell ref="A22:D22"/>
    <mergeCell ref="E22:I22"/>
    <mergeCell ref="B24:I24"/>
    <mergeCell ref="B13:I13"/>
    <mergeCell ref="B15:I15"/>
    <mergeCell ref="A16:A18"/>
    <mergeCell ref="B16:I16"/>
    <mergeCell ref="B17:I17"/>
    <mergeCell ref="B18:I18"/>
    <mergeCell ref="B12:I12"/>
    <mergeCell ref="A3:I3"/>
    <mergeCell ref="B5:I5"/>
    <mergeCell ref="B7:I7"/>
    <mergeCell ref="B9:I9"/>
    <mergeCell ref="B11:I11"/>
  </mergeCells>
  <pageMargins left="0.7" right="0.7" top="0.75" bottom="0.75" header="0.3" footer="0.3"/>
  <pageSetup paperSize="9" scale="6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2:K83"/>
  <sheetViews>
    <sheetView workbookViewId="0"/>
  </sheetViews>
  <sheetFormatPr defaultRowHeight="12.75" x14ac:dyDescent="0.2"/>
  <cols>
    <col min="1" max="1" width="6.7109375" customWidth="1"/>
    <col min="2" max="2" width="14" customWidth="1"/>
    <col min="4" max="4" width="106.5703125" customWidth="1"/>
    <col min="5" max="5" width="29.140625" customWidth="1"/>
    <col min="7" max="7" width="30.42578125" customWidth="1"/>
  </cols>
  <sheetData>
    <row r="2" spans="1:8" ht="13.5" thickBot="1" x14ac:dyDescent="0.25"/>
    <row r="3" spans="1:8" ht="27" customHeight="1" thickBot="1" x14ac:dyDescent="0.25">
      <c r="A3" s="499" t="s">
        <v>121</v>
      </c>
      <c r="B3" s="500"/>
      <c r="C3" s="500"/>
      <c r="D3" s="500"/>
      <c r="E3" s="501"/>
    </row>
    <row r="4" spans="1:8" ht="18.75" x14ac:dyDescent="0.2">
      <c r="B4" s="449"/>
      <c r="C4" s="449"/>
      <c r="D4" s="449"/>
      <c r="E4" s="449"/>
    </row>
    <row r="5" spans="1:8" ht="93.75" customHeight="1" thickBot="1" x14ac:dyDescent="0.25">
      <c r="A5" s="502" t="s">
        <v>142</v>
      </c>
      <c r="B5" s="502"/>
      <c r="C5" s="503" t="s">
        <v>146</v>
      </c>
      <c r="D5" s="503"/>
      <c r="E5" s="503"/>
    </row>
    <row r="6" spans="1:8" ht="37.5" customHeight="1" x14ac:dyDescent="0.2">
      <c r="A6" s="13" t="s">
        <v>18</v>
      </c>
      <c r="B6" s="14" t="s">
        <v>6</v>
      </c>
      <c r="C6" s="504" t="s">
        <v>7</v>
      </c>
      <c r="D6" s="505"/>
      <c r="E6" s="19" t="s">
        <v>8</v>
      </c>
    </row>
    <row r="7" spans="1:8" ht="37.5" customHeight="1" x14ac:dyDescent="0.2">
      <c r="A7" s="94" t="s">
        <v>122</v>
      </c>
      <c r="B7" s="95" t="s">
        <v>1</v>
      </c>
      <c r="C7" s="497" t="s">
        <v>123</v>
      </c>
      <c r="D7" s="498"/>
      <c r="E7" s="96" t="s">
        <v>122</v>
      </c>
    </row>
    <row r="8" spans="1:8" ht="138.75" customHeight="1" x14ac:dyDescent="0.2">
      <c r="A8" s="98">
        <v>1</v>
      </c>
      <c r="B8" s="99" t="s">
        <v>12</v>
      </c>
      <c r="C8" s="506" t="s">
        <v>130</v>
      </c>
      <c r="D8" s="507"/>
      <c r="E8" s="21">
        <v>102000</v>
      </c>
    </row>
    <row r="9" spans="1:8" ht="37.5" customHeight="1" x14ac:dyDescent="0.2">
      <c r="A9" s="92"/>
      <c r="B9" s="93"/>
      <c r="C9" s="508" t="s">
        <v>24</v>
      </c>
      <c r="D9" s="509"/>
      <c r="E9" s="100">
        <f>E8</f>
        <v>102000</v>
      </c>
      <c r="F9" s="97"/>
      <c r="G9" s="97"/>
    </row>
    <row r="10" spans="1:8" ht="27.75" customHeight="1" x14ac:dyDescent="0.2">
      <c r="A10" s="15" t="s">
        <v>2</v>
      </c>
      <c r="B10" s="9" t="s">
        <v>3</v>
      </c>
      <c r="C10" s="510" t="s">
        <v>22</v>
      </c>
      <c r="D10" s="511"/>
      <c r="E10" s="20" t="s">
        <v>2</v>
      </c>
    </row>
    <row r="11" spans="1:8" ht="33" customHeight="1" x14ac:dyDescent="0.2">
      <c r="A11" s="16">
        <v>2</v>
      </c>
      <c r="B11" s="10" t="s">
        <v>13</v>
      </c>
      <c r="C11" s="512" t="s">
        <v>9</v>
      </c>
      <c r="D11" s="513"/>
      <c r="E11" s="21">
        <v>10500</v>
      </c>
    </row>
    <row r="12" spans="1:8" ht="24" customHeight="1" x14ac:dyDescent="0.2">
      <c r="A12" s="514" t="s">
        <v>25</v>
      </c>
      <c r="B12" s="515"/>
      <c r="C12" s="515"/>
      <c r="D12" s="509"/>
      <c r="E12" s="23">
        <f>E11</f>
        <v>10500</v>
      </c>
    </row>
    <row r="13" spans="1:8" ht="27.75" customHeight="1" x14ac:dyDescent="0.2">
      <c r="A13" s="15" t="s">
        <v>2</v>
      </c>
      <c r="B13" s="9" t="s">
        <v>3</v>
      </c>
      <c r="C13" s="510" t="s">
        <v>124</v>
      </c>
      <c r="D13" s="511"/>
      <c r="E13" s="20" t="s">
        <v>2</v>
      </c>
    </row>
    <row r="14" spans="1:8" ht="78" customHeight="1" x14ac:dyDescent="0.2">
      <c r="A14" s="16">
        <v>3</v>
      </c>
      <c r="B14" s="10" t="s">
        <v>14</v>
      </c>
      <c r="C14" s="462" t="s">
        <v>126</v>
      </c>
      <c r="D14" s="516"/>
      <c r="E14" s="21">
        <v>25000</v>
      </c>
    </row>
    <row r="15" spans="1:8" ht="41.25" customHeight="1" x14ac:dyDescent="0.2">
      <c r="A15" s="16">
        <v>4</v>
      </c>
      <c r="B15" s="10" t="s">
        <v>10</v>
      </c>
      <c r="C15" s="516" t="s">
        <v>125</v>
      </c>
      <c r="D15" s="517"/>
      <c r="E15" s="21">
        <v>30000</v>
      </c>
      <c r="G15" s="91"/>
      <c r="H15" s="86"/>
    </row>
    <row r="16" spans="1:8" ht="114.75" customHeight="1" x14ac:dyDescent="0.2">
      <c r="A16" s="16">
        <v>5</v>
      </c>
      <c r="B16" s="10" t="s">
        <v>11</v>
      </c>
      <c r="C16" s="516" t="s">
        <v>148</v>
      </c>
      <c r="D16" s="517"/>
      <c r="E16" s="21">
        <v>76000</v>
      </c>
    </row>
    <row r="17" spans="1:10" ht="67.5" customHeight="1" x14ac:dyDescent="0.2">
      <c r="A17" s="16">
        <v>6</v>
      </c>
      <c r="B17" s="10" t="s">
        <v>15</v>
      </c>
      <c r="C17" s="516" t="s">
        <v>150</v>
      </c>
      <c r="D17" s="517"/>
      <c r="E17" s="21">
        <f>585400-25100</f>
        <v>560300</v>
      </c>
    </row>
    <row r="18" spans="1:10" ht="90" customHeight="1" x14ac:dyDescent="0.2">
      <c r="A18" s="16">
        <v>7</v>
      </c>
      <c r="B18" s="10" t="s">
        <v>16</v>
      </c>
      <c r="C18" s="457" t="s">
        <v>147</v>
      </c>
      <c r="D18" s="506"/>
      <c r="E18" s="21">
        <v>500100</v>
      </c>
      <c r="I18" s="87"/>
    </row>
    <row r="19" spans="1:10" ht="60.75" customHeight="1" x14ac:dyDescent="0.2">
      <c r="A19" s="16">
        <v>8</v>
      </c>
      <c r="B19" s="10" t="s">
        <v>21</v>
      </c>
      <c r="C19" s="523" t="s">
        <v>151</v>
      </c>
      <c r="D19" s="524"/>
      <c r="E19" s="21">
        <v>41100</v>
      </c>
      <c r="I19" s="87"/>
    </row>
    <row r="20" spans="1:10" ht="89.25" customHeight="1" x14ac:dyDescent="0.2">
      <c r="A20" s="16">
        <v>9</v>
      </c>
      <c r="B20" s="10" t="s">
        <v>1</v>
      </c>
      <c r="C20" s="457" t="s">
        <v>149</v>
      </c>
      <c r="D20" s="506"/>
      <c r="E20" s="21">
        <v>110000</v>
      </c>
      <c r="I20" s="87"/>
    </row>
    <row r="21" spans="1:10" ht="75" customHeight="1" x14ac:dyDescent="0.2">
      <c r="A21" s="16">
        <v>10</v>
      </c>
      <c r="B21" s="101" t="s">
        <v>136</v>
      </c>
      <c r="C21" s="506" t="s">
        <v>127</v>
      </c>
      <c r="D21" s="520"/>
      <c r="E21" s="21">
        <v>8000</v>
      </c>
      <c r="H21" s="86"/>
    </row>
    <row r="22" spans="1:10" ht="27" customHeight="1" x14ac:dyDescent="0.2">
      <c r="A22" s="514" t="s">
        <v>131</v>
      </c>
      <c r="B22" s="515"/>
      <c r="C22" s="515"/>
      <c r="D22" s="509"/>
      <c r="E22" s="23">
        <f>SUM(E14:E21)</f>
        <v>1350500</v>
      </c>
    </row>
    <row r="23" spans="1:10" ht="39" customHeight="1" x14ac:dyDescent="0.2">
      <c r="A23" s="17" t="s">
        <v>2</v>
      </c>
      <c r="B23" s="18" t="s">
        <v>132</v>
      </c>
      <c r="C23" s="521" t="s">
        <v>128</v>
      </c>
      <c r="D23" s="522"/>
      <c r="E23" s="22" t="s">
        <v>2</v>
      </c>
    </row>
    <row r="24" spans="1:10" ht="32.25" customHeight="1" x14ac:dyDescent="0.2">
      <c r="A24" s="16">
        <v>11</v>
      </c>
      <c r="B24" s="10" t="s">
        <v>141</v>
      </c>
      <c r="C24" s="462" t="s">
        <v>129</v>
      </c>
      <c r="D24" s="516"/>
      <c r="E24" s="21">
        <v>12000</v>
      </c>
    </row>
    <row r="25" spans="1:10" ht="25.5" customHeight="1" x14ac:dyDescent="0.2">
      <c r="A25" s="514" t="s">
        <v>133</v>
      </c>
      <c r="B25" s="515"/>
      <c r="C25" s="515"/>
      <c r="D25" s="509"/>
      <c r="E25" s="23">
        <f>E24</f>
        <v>12000</v>
      </c>
    </row>
    <row r="26" spans="1:10" ht="25.5" customHeight="1" x14ac:dyDescent="0.2">
      <c r="A26" s="514" t="s">
        <v>152</v>
      </c>
      <c r="B26" s="515"/>
      <c r="C26" s="515"/>
      <c r="D26" s="515"/>
      <c r="E26" s="23">
        <f>E25+E22+E12+E9</f>
        <v>1475000</v>
      </c>
      <c r="G26" s="86">
        <f>E26-E9</f>
        <v>1373000</v>
      </c>
      <c r="H26">
        <f>G26*0.08</f>
        <v>109840</v>
      </c>
      <c r="J26" s="25"/>
    </row>
    <row r="27" spans="1:10" ht="23.25" customHeight="1" x14ac:dyDescent="0.2">
      <c r="A27" s="514" t="s">
        <v>17</v>
      </c>
      <c r="B27" s="515"/>
      <c r="C27" s="515"/>
      <c r="D27" s="515"/>
      <c r="E27" s="23">
        <f>E26*0.23</f>
        <v>339250</v>
      </c>
    </row>
    <row r="28" spans="1:10" ht="23.25" customHeight="1" thickBot="1" x14ac:dyDescent="0.25">
      <c r="A28" s="518" t="s">
        <v>138</v>
      </c>
      <c r="B28" s="519"/>
      <c r="C28" s="519"/>
      <c r="D28" s="519"/>
      <c r="E28" s="24">
        <f>E26+E27</f>
        <v>1814250</v>
      </c>
    </row>
    <row r="29" spans="1:10" ht="23.25" customHeight="1" x14ac:dyDescent="0.2"/>
    <row r="62" spans="7:7" x14ac:dyDescent="0.2">
      <c r="G62" s="88" t="s">
        <v>108</v>
      </c>
    </row>
    <row r="63" spans="7:7" x14ac:dyDescent="0.2">
      <c r="G63" s="80" t="s">
        <v>109</v>
      </c>
    </row>
    <row r="64" spans="7:7" x14ac:dyDescent="0.2">
      <c r="G64" s="78"/>
    </row>
    <row r="65" spans="1:11" x14ac:dyDescent="0.2">
      <c r="G65" s="84" t="str">
        <f>IF(A73=0,"",IF(A73=1,"jedenaście milionów ",IF(A73=2,"dwanaście milionów ",IF(A73=3,"trzynaście milionów ",IF(A73=4,"czternaście milionów ",IF(A73=5,"piętnaście milionów ",""))))))</f>
        <v xml:space="preserve">jedenaście milionów </v>
      </c>
    </row>
    <row r="66" spans="1:11" x14ac:dyDescent="0.2">
      <c r="G66" s="78"/>
    </row>
    <row r="67" spans="1:11" x14ac:dyDescent="0.2">
      <c r="G67" s="78"/>
    </row>
    <row r="68" spans="1:11" x14ac:dyDescent="0.2">
      <c r="G68" s="84" t="str">
        <f>IF(A76=0,"",IF(A76=1,"jedenaście tysięcy ",IF(A76=2,"dwanaście tysięcy ",IF(A76=3,"trzynaście tysięcy ",IF(A76=4,"czternaście tysięcy ",IF(A76=5,"piętnaście tysięcy ",""))))))</f>
        <v xml:space="preserve">czternaście tysięcy </v>
      </c>
    </row>
    <row r="69" spans="1:11" x14ac:dyDescent="0.2">
      <c r="G69" s="78"/>
    </row>
    <row r="70" spans="1:11" x14ac:dyDescent="0.2">
      <c r="A70" s="77">
        <f>E28</f>
        <v>1814250</v>
      </c>
      <c r="B70" s="78"/>
      <c r="C70" s="78"/>
      <c r="D70" s="78"/>
      <c r="E70" s="78"/>
      <c r="G70" s="78"/>
    </row>
    <row r="71" spans="1:11" x14ac:dyDescent="0.2">
      <c r="A71" s="79"/>
      <c r="B71" s="78"/>
      <c r="C71" s="80" t="s">
        <v>109</v>
      </c>
      <c r="D71" s="81" t="s">
        <v>110</v>
      </c>
      <c r="E71" s="80" t="s">
        <v>109</v>
      </c>
      <c r="F71" s="78"/>
      <c r="G71" s="84" t="str">
        <f>IF(A79=0,"",IF(A79=1,"jedenaście ",IF(A79=2,"dwanaście ",IF(A79=3,"trzynaście ",IF(A79=4,"czternaście ",IF(A79=5,"piętnaście ",""))))))</f>
        <v/>
      </c>
      <c r="H71" s="88"/>
      <c r="I71" s="78"/>
      <c r="J71" s="78"/>
      <c r="K71" s="78"/>
    </row>
    <row r="72" spans="1:11" x14ac:dyDescent="0.2">
      <c r="A72" s="78">
        <f>INT(A$70/10000000)</f>
        <v>0</v>
      </c>
      <c r="B72" s="78"/>
      <c r="C72" s="83">
        <f>IF(AND(A72&gt;=0,A72&lt;=5),1,0)</f>
        <v>1</v>
      </c>
      <c r="D72" s="83">
        <f>IF(AND(A72&gt;=6,A72&lt;=9),1,0)</f>
        <v>0</v>
      </c>
      <c r="E72" s="84" t="str">
        <f>IF(A72=0,"",IF(A72=1,IF(A73=0,"dziesięć milionów ",""),IF(A72=2,"dwadzieścia ",IF(A72=3,"trzydzieści ",IF(A72=4,"czterdzieści ",IF(A72=5,"pięćdziesiąt ",""))))))</f>
        <v/>
      </c>
      <c r="F72" s="81" t="s">
        <v>110</v>
      </c>
      <c r="G72" s="78"/>
      <c r="H72" s="81" t="s">
        <v>110</v>
      </c>
      <c r="I72" s="88" t="s">
        <v>111</v>
      </c>
      <c r="J72" s="82" t="s">
        <v>112</v>
      </c>
      <c r="K72" s="78"/>
    </row>
    <row r="73" spans="1:11" x14ac:dyDescent="0.2">
      <c r="A73" s="79">
        <f>INT(A$70/1000000)-A72*10</f>
        <v>1</v>
      </c>
      <c r="B73" s="78"/>
      <c r="C73" s="83">
        <f t="shared" ref="C73:C79" si="0">IF(AND(A73&gt;=0,A73&lt;=5),1,0)</f>
        <v>1</v>
      </c>
      <c r="D73" s="83">
        <f t="shared" ref="D73:D79" si="1">IF(AND(A73&gt;=6,A73&lt;=9),1,0)</f>
        <v>0</v>
      </c>
      <c r="E73" s="84" t="str">
        <f>IF(A73=0,IF(AND(A72&lt;&gt;0,A72&lt;&gt;1),"milionów ",""),IF(A73=1,IF(A72=0,"jeden milion ","jeden milionów "),IF(A73=2,"dwa miliony ",IF(A73=3,"trzy miliony ",IF(A73=4,"cztery miliony ",IF(A73=5,"pięć milionów ",""))))))</f>
        <v xml:space="preserve">jeden milion </v>
      </c>
      <c r="F73" s="84" t="str">
        <f>IF(A72=6,"sześćdziesiąt ",IF(A72=7,"siedemdziesiąt ",IF(A72=8,"osiemdziesiąt ",IF(A72=9,"dziewięćdziesiąt ",""))))</f>
        <v/>
      </c>
      <c r="G73" s="78"/>
      <c r="H73" s="78"/>
      <c r="I73" s="78"/>
      <c r="J73" s="84" t="str">
        <f>IF(C72,E72&amp;I73,IF(D72,F73&amp;I73,""))</f>
        <v/>
      </c>
      <c r="K73" s="78"/>
    </row>
    <row r="74" spans="1:11" x14ac:dyDescent="0.2">
      <c r="A74" s="78">
        <f>INT(A$70/100000)-10*A73-100*A72</f>
        <v>8</v>
      </c>
      <c r="B74" s="78"/>
      <c r="C74" s="83">
        <f t="shared" si="0"/>
        <v>0</v>
      </c>
      <c r="D74" s="83">
        <f t="shared" si="1"/>
        <v>1</v>
      </c>
      <c r="E74" s="84" t="str">
        <f>IF(A74=0,"",IF(A74=1,"sto ",IF(A74=2,"dwieście ",IF(A74=3,"trzysta ",IF(A74=4,"czterysta ",IF(A74=5,"pięćset ",""))))))</f>
        <v/>
      </c>
      <c r="F74" s="84" t="str">
        <f>IF(A73=6,"sześć milionów ",IF(A73=7,"siedem milionów ",IF(A73=8,"osiem milionów ",IF(A73=9,"dziewięć milionów ",""))))</f>
        <v/>
      </c>
      <c r="G74" s="84"/>
      <c r="H74" s="84" t="str">
        <f>IF(A73=6,"szesnaście milionów ",IF(A73=7,"siedemnaście milionów ",IF(A73=8,"osiemnaście milionów ",IF(A73=9,"dziewiętnaście milionów ",""))))</f>
        <v/>
      </c>
      <c r="I74" s="78"/>
      <c r="J74" s="84" t="str">
        <f>IF(A72=1,IF(C73,G65,IF(D73,H74)),IF(C73,E73,IF(D73,F74,"")))</f>
        <v xml:space="preserve">jeden milion </v>
      </c>
      <c r="K74" s="78"/>
    </row>
    <row r="75" spans="1:11" x14ac:dyDescent="0.2">
      <c r="A75" s="78">
        <f>INT(A$70/10000)-10*A74-100*A73-1000*A72</f>
        <v>1</v>
      </c>
      <c r="B75" s="78"/>
      <c r="C75" s="83">
        <f t="shared" si="0"/>
        <v>1</v>
      </c>
      <c r="D75" s="83">
        <f t="shared" si="1"/>
        <v>0</v>
      </c>
      <c r="E75" s="84" t="str">
        <f>IF(A75=0,"",IF(A75=1,IF(A76=0,"dziesięć tysięcy ",""),IF(A75=2,"dwadzieścia ",IF(A75=3,"trzydzieści ",IF(A75=4,"czterdzieści ",IF(A75=5,"pięćdziesiąt ",""))))))</f>
        <v/>
      </c>
      <c r="F75" s="84" t="str">
        <f>IF(A74=6,"sześćset ",IF(A74=7,"siedemset ",IF(A74=8,"osiemset ",IF(A74=9,"dziewięćset ",""))))</f>
        <v xml:space="preserve">osiemset </v>
      </c>
      <c r="H75" s="78"/>
      <c r="I75" s="78"/>
      <c r="J75" s="84" t="str">
        <f>IF(C74,E74&amp;I75,IF(D74,F75&amp;I75,""))</f>
        <v xml:space="preserve">osiemset </v>
      </c>
      <c r="K75" s="78"/>
    </row>
    <row r="76" spans="1:11" x14ac:dyDescent="0.2">
      <c r="A76" s="79">
        <f>INT(A$70/1000)-10*A75-100*A74-1000*A73-10000*A72</f>
        <v>4</v>
      </c>
      <c r="B76" s="78"/>
      <c r="C76" s="83">
        <f t="shared" si="0"/>
        <v>1</v>
      </c>
      <c r="D76" s="83">
        <f t="shared" si="1"/>
        <v>0</v>
      </c>
      <c r="E76" s="84" t="str">
        <f>IF(A76=0,IF(OR(AND(A75&lt;&gt;0,A75&lt;&gt;1),AND(A74&lt;&gt;0,A75=0)),"tysięcy ",""),IF(A76=1,IF(AND(A74=0,A75=0),"jeden tysiąc ","jeden tysięcy "),IF(A76=2,"dwa tysiące ",IF(A76=3,"trzy tysiące ",IF(A76=4,"cztery tysiące ",IF(A76=5,"pięć tysięcy ",""))))))</f>
        <v xml:space="preserve">cztery tysiące </v>
      </c>
      <c r="F76" s="84" t="str">
        <f>IF(A75=6,"sześćdziesiąt ",IF(A75=7,"siedemdziesiąt ",IF(A75=8,"osiemdziesiąt ",IF(A75=9,"dziewięćdziesiąt ",""))))</f>
        <v/>
      </c>
      <c r="H76" s="78"/>
      <c r="I76" s="78"/>
      <c r="J76" s="84" t="str">
        <f>IF(C75,E75&amp;I76,IF(D75,F76&amp;I76,""))</f>
        <v/>
      </c>
      <c r="K76" s="78"/>
    </row>
    <row r="77" spans="1:11" x14ac:dyDescent="0.2">
      <c r="A77" s="78">
        <f>INT(A$70/100)-10*A76-100*A75-1000*A74-10000*A73-100000*A72</f>
        <v>2</v>
      </c>
      <c r="B77" s="78"/>
      <c r="C77" s="83">
        <f t="shared" si="0"/>
        <v>1</v>
      </c>
      <c r="D77" s="83">
        <f t="shared" si="1"/>
        <v>0</v>
      </c>
      <c r="E77" s="84" t="str">
        <f>IF(A77=0,"",IF(A77=1,"sto ",IF(A77=2,"dwieście ",IF(A77=3,"trzysta ",IF(A77=4,"czterysta ",IF(A77=5,"pięćset ",""))))))</f>
        <v xml:space="preserve">dwieście </v>
      </c>
      <c r="F77" s="84" t="str">
        <f>IF(A76=6,"sześć tysięcy ",IF(A76=7,"siedem tysięcy ",IF(A76=8,"osiem tysięcy ",IF(A76=9,"dziewięć tysięcy ",""))))</f>
        <v/>
      </c>
      <c r="H77" s="84" t="str">
        <f>IF(A76=6,"szesnaście tysięcy ",IF(A76=7,"siedemnaście tysięcy ",IF(A76=8,"osiemnaście tysięcy ",IF(A76=9,"dziewiętnaście tysięcy ",""))))</f>
        <v/>
      </c>
      <c r="I77" s="78"/>
      <c r="J77" s="84" t="str">
        <f>IF(A75=1,IF(C76,G68,IF(D76,H77)),IF(C76,E76,IF(D76,F77,"")))</f>
        <v xml:space="preserve">czternaście tysięcy </v>
      </c>
      <c r="K77" s="78"/>
    </row>
    <row r="78" spans="1:11" x14ac:dyDescent="0.2">
      <c r="A78" s="78">
        <f>INT(A$70/10)-10*A77-100*A76-1000*A75-10000*A74-100000*A73-1000000*A72</f>
        <v>5</v>
      </c>
      <c r="B78" s="78"/>
      <c r="C78" s="83">
        <f t="shared" si="0"/>
        <v>1</v>
      </c>
      <c r="D78" s="83">
        <f t="shared" si="1"/>
        <v>0</v>
      </c>
      <c r="E78" s="84" t="str">
        <f>IF(A78=0,"",IF(A78=1,IF(A79=0,"dziesięć ",""),IF(A78=2,"dwadzieścia ",IF(A78=3,"trzydzieści ",IF(A78=4,"czterdzieści ",IF(A78=5,"pięćdziesiąt ",""))))))</f>
        <v xml:space="preserve">pięćdziesiąt </v>
      </c>
      <c r="F78" s="84" t="str">
        <f>IF(A77=6,"sześćset ",IF(A77=7,"siedemset ",IF(A77=8,"osiemset ",IF(A77=9,"dziewięćset ",""))))</f>
        <v/>
      </c>
      <c r="H78" s="78"/>
      <c r="I78" s="78"/>
      <c r="J78" s="84" t="str">
        <f>IF(C77,E77&amp;I78,IF(D77,F78&amp;I78,""))</f>
        <v xml:space="preserve">dwieście </v>
      </c>
      <c r="K78" s="78"/>
    </row>
    <row r="79" spans="1:11" x14ac:dyDescent="0.2">
      <c r="A79" s="79">
        <f>INT(A$70)-10*A78-100*A77-1000*A76-10000*A75-100000*A74-1000000*A73-10000000*A72</f>
        <v>0</v>
      </c>
      <c r="B79" s="78"/>
      <c r="C79" s="83">
        <f t="shared" si="0"/>
        <v>1</v>
      </c>
      <c r="D79" s="83">
        <f t="shared" si="1"/>
        <v>0</v>
      </c>
      <c r="E79" s="84" t="str">
        <f>IF(A79=0,"",IF(A79=1,"jeden ",IF(A79=2,"dwa ",IF(A79=3,"trzy ",IF(A79=4,"cztery ",IF(A79=5,"pięć ",""))))))</f>
        <v/>
      </c>
      <c r="F79" s="84" t="str">
        <f>IF(A78=6,"sześćdziesiąt ",IF(A78=7,"siedemdziesiąt ",IF(A78=8,"osiemdziesiąt ",IF(A78=9,"dziewięćdziesiąt ",""))))</f>
        <v/>
      </c>
      <c r="H79" s="78"/>
      <c r="I79" s="78"/>
      <c r="J79" s="84" t="str">
        <f>IF(C78,E78&amp;I79,IF(D78,F79&amp;I79,""))</f>
        <v xml:space="preserve">pięćdziesiąt </v>
      </c>
      <c r="K79" s="78"/>
    </row>
    <row r="80" spans="1:11" x14ac:dyDescent="0.2">
      <c r="A80" s="85">
        <f>ROUND((A70-TRUNC(A70,0))*100,0)</f>
        <v>0</v>
      </c>
      <c r="B80" s="78"/>
      <c r="C80" s="78"/>
      <c r="D80" s="78"/>
      <c r="E80" s="78"/>
      <c r="F80" s="84" t="str">
        <f>IF(A79=6,"sześć ",IF(A79=7,"siedem ",IF(A79=8,"osiem ",IF(A79=9,"dziewięć ",""))))</f>
        <v/>
      </c>
      <c r="H80" s="84" t="str">
        <f>IF(A79=6,"szesnaście ",IF(A79=7,"siedemnaście ",IF(A79=8,"osiemnaście ",IF(A79=9,"dziewiętnaście ",""))))</f>
        <v/>
      </c>
      <c r="I80" s="78"/>
      <c r="J80" s="84" t="str">
        <f>IF(A78=1,IF(C79,G71,IF(D79,H80)),IF(C79,E79,IF(D79,F80,"")))</f>
        <v/>
      </c>
      <c r="K80" s="78"/>
    </row>
    <row r="81" spans="1:11" x14ac:dyDescent="0.2">
      <c r="A81" s="78"/>
      <c r="B81" s="78"/>
      <c r="C81" s="78"/>
      <c r="D81" s="78"/>
      <c r="E81" s="82" t="s">
        <v>5</v>
      </c>
      <c r="F81" s="78"/>
      <c r="H81" s="78"/>
      <c r="I81" s="78"/>
      <c r="J81" s="84" t="str">
        <f>"zł "&amp;A80&amp;"/100"</f>
        <v>zł 0/100</v>
      </c>
      <c r="K81" s="78"/>
    </row>
    <row r="82" spans="1:11" x14ac:dyDescent="0.2">
      <c r="A82" s="77">
        <f>TRUNC(A70,1)</f>
        <v>1814250</v>
      </c>
      <c r="B82" s="78"/>
      <c r="C82" s="78"/>
      <c r="D82" s="78"/>
      <c r="E82" s="84" t="str">
        <f>J73&amp;J74&amp;J75&amp;J76&amp;J77&amp;J78&amp;J79&amp;J80&amp;J81</f>
        <v>jeden milion osiemset czternaście tysięcy dwieście pięćdziesiąt zł 0/100</v>
      </c>
      <c r="F82" s="78"/>
      <c r="H82" s="78"/>
      <c r="I82" s="78"/>
      <c r="J82" s="78"/>
      <c r="K82" s="78"/>
    </row>
    <row r="83" spans="1:11" x14ac:dyDescent="0.2">
      <c r="F83" s="84"/>
      <c r="H83" s="84"/>
      <c r="I83" s="84"/>
      <c r="J83" s="84"/>
      <c r="K83" s="78"/>
    </row>
  </sheetData>
  <mergeCells count="27">
    <mergeCell ref="C18:D18"/>
    <mergeCell ref="A26:D26"/>
    <mergeCell ref="A27:D27"/>
    <mergeCell ref="A28:D28"/>
    <mergeCell ref="C20:D20"/>
    <mergeCell ref="C21:D21"/>
    <mergeCell ref="A22:D22"/>
    <mergeCell ref="C23:D23"/>
    <mergeCell ref="C24:D24"/>
    <mergeCell ref="A25:D25"/>
    <mergeCell ref="C19:D19"/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A12:D12"/>
    <mergeCell ref="C7:D7"/>
    <mergeCell ref="A3:E3"/>
    <mergeCell ref="B4:E4"/>
    <mergeCell ref="A5:B5"/>
    <mergeCell ref="C5:E5"/>
    <mergeCell ref="C6:D6"/>
  </mergeCells>
  <pageMargins left="0.7" right="0.7" top="0.75" bottom="0.75" header="0.3" footer="0.3"/>
  <pageSetup paperSize="9" scale="4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I62"/>
  <sheetViews>
    <sheetView workbookViewId="0"/>
  </sheetViews>
  <sheetFormatPr defaultRowHeight="12.75" x14ac:dyDescent="0.2"/>
  <cols>
    <col min="4" max="4" width="9.5703125" customWidth="1"/>
    <col min="5" max="5" width="13.42578125" customWidth="1"/>
    <col min="6" max="6" width="12.28515625" customWidth="1"/>
    <col min="8" max="9" width="10.140625" customWidth="1"/>
  </cols>
  <sheetData>
    <row r="1" spans="1:9" x14ac:dyDescent="0.2">
      <c r="E1" s="540" t="s">
        <v>26</v>
      </c>
      <c r="F1" s="540"/>
    </row>
    <row r="2" spans="1:9" ht="9" customHeight="1" x14ac:dyDescent="0.2">
      <c r="E2" s="541"/>
      <c r="F2" s="541"/>
    </row>
    <row r="3" spans="1:9" ht="25.5" customHeight="1" x14ac:dyDescent="0.2">
      <c r="A3" s="542" t="s">
        <v>27</v>
      </c>
      <c r="B3" s="542"/>
      <c r="C3" s="542"/>
      <c r="D3" s="542"/>
      <c r="E3" s="542"/>
      <c r="F3" s="542"/>
      <c r="G3" s="27"/>
      <c r="H3" s="27"/>
      <c r="I3" s="27"/>
    </row>
    <row r="4" spans="1:9" ht="24" customHeight="1" x14ac:dyDescent="0.2">
      <c r="A4" s="543" t="s">
        <v>96</v>
      </c>
      <c r="B4" s="543"/>
      <c r="C4" s="543"/>
      <c r="D4" s="543"/>
      <c r="E4" s="543"/>
      <c r="F4" s="543"/>
      <c r="G4" s="28"/>
      <c r="H4" s="28"/>
      <c r="I4" s="28"/>
    </row>
    <row r="5" spans="1:9" ht="61.5" customHeight="1" x14ac:dyDescent="0.2">
      <c r="A5" s="543"/>
      <c r="B5" s="543"/>
      <c r="C5" s="543"/>
      <c r="D5" s="543"/>
      <c r="E5" s="543"/>
      <c r="F5" s="543"/>
      <c r="G5" s="28"/>
      <c r="H5" s="28"/>
      <c r="I5" s="28"/>
    </row>
    <row r="6" spans="1:9" ht="18" customHeight="1" x14ac:dyDescent="0.2">
      <c r="A6" s="544" t="s">
        <v>28</v>
      </c>
      <c r="B6" s="545"/>
      <c r="C6" s="545"/>
      <c r="D6" s="545"/>
      <c r="E6" s="545"/>
      <c r="F6" s="546"/>
      <c r="G6" s="28"/>
      <c r="H6" s="28"/>
      <c r="I6" s="28"/>
    </row>
    <row r="7" spans="1:9" ht="12.75" customHeight="1" x14ac:dyDescent="0.2">
      <c r="A7" s="547" t="s">
        <v>29</v>
      </c>
      <c r="B7" s="547" t="s">
        <v>30</v>
      </c>
      <c r="C7" s="547" t="s">
        <v>31</v>
      </c>
      <c r="D7" s="549" t="s">
        <v>32</v>
      </c>
      <c r="E7" s="549"/>
      <c r="F7" s="549"/>
    </row>
    <row r="8" spans="1:9" ht="12.75" customHeight="1" x14ac:dyDescent="0.2">
      <c r="A8" s="548"/>
      <c r="B8" s="548"/>
      <c r="C8" s="547"/>
      <c r="D8" s="547" t="s">
        <v>33</v>
      </c>
      <c r="E8" s="547" t="s">
        <v>34</v>
      </c>
      <c r="F8" s="547" t="s">
        <v>35</v>
      </c>
    </row>
    <row r="9" spans="1:9" ht="6" customHeight="1" x14ac:dyDescent="0.2">
      <c r="A9" s="548"/>
      <c r="B9" s="548"/>
      <c r="C9" s="547"/>
      <c r="D9" s="547"/>
      <c r="E9" s="547"/>
      <c r="F9" s="547"/>
    </row>
    <row r="10" spans="1:9" ht="4.5" customHeight="1" x14ac:dyDescent="0.2">
      <c r="A10" s="548"/>
      <c r="B10" s="548"/>
      <c r="C10" s="547"/>
      <c r="D10" s="547"/>
      <c r="E10" s="547"/>
      <c r="F10" s="547"/>
    </row>
    <row r="11" spans="1:9" x14ac:dyDescent="0.2">
      <c r="A11" s="534">
        <v>13</v>
      </c>
      <c r="B11" s="550">
        <v>780</v>
      </c>
      <c r="C11" s="30" t="s">
        <v>2</v>
      </c>
      <c r="D11" s="539">
        <v>2</v>
      </c>
      <c r="E11" s="31" t="s">
        <v>2</v>
      </c>
      <c r="F11" s="31" t="s">
        <v>2</v>
      </c>
      <c r="H11" s="553"/>
    </row>
    <row r="12" spans="1:9" x14ac:dyDescent="0.2">
      <c r="A12" s="534"/>
      <c r="B12" s="550"/>
      <c r="C12" s="536">
        <f>B13-B11</f>
        <v>2.4</v>
      </c>
      <c r="D12" s="539"/>
      <c r="E12" s="539">
        <f>SUM(0.5*D11,0.5*D13)</f>
        <v>1</v>
      </c>
      <c r="F12" s="539">
        <f>PRODUCT(C12,E12)</f>
        <v>2.4</v>
      </c>
      <c r="H12" s="553"/>
    </row>
    <row r="13" spans="1:9" x14ac:dyDescent="0.2">
      <c r="A13" s="534"/>
      <c r="B13" s="550">
        <v>782.4</v>
      </c>
      <c r="C13" s="536"/>
      <c r="D13" s="539">
        <v>0</v>
      </c>
      <c r="E13" s="539"/>
      <c r="F13" s="539"/>
      <c r="H13" s="553"/>
    </row>
    <row r="14" spans="1:9" x14ac:dyDescent="0.2">
      <c r="A14" s="534"/>
      <c r="B14" s="550"/>
      <c r="C14" s="536">
        <f>B15-B13</f>
        <v>28.9</v>
      </c>
      <c r="D14" s="539"/>
      <c r="E14" s="539">
        <f>SUM(0.5*D13,0.5*D15)</f>
        <v>1.33</v>
      </c>
      <c r="F14" s="539">
        <f>PRODUCT(C14,E14)</f>
        <v>38.44</v>
      </c>
      <c r="H14" s="553"/>
    </row>
    <row r="15" spans="1:9" x14ac:dyDescent="0.2">
      <c r="A15" s="534"/>
      <c r="B15" s="550">
        <v>811.3</v>
      </c>
      <c r="C15" s="536"/>
      <c r="D15" s="539">
        <v>2.65</v>
      </c>
      <c r="E15" s="539"/>
      <c r="F15" s="539"/>
      <c r="H15" s="553"/>
    </row>
    <row r="16" spans="1:9" x14ac:dyDescent="0.2">
      <c r="A16" s="534"/>
      <c r="B16" s="550"/>
      <c r="C16" s="536">
        <f>B17-B15</f>
        <v>18.7</v>
      </c>
      <c r="D16" s="539"/>
      <c r="E16" s="539">
        <f>SUM(0.5*D15,0.5*D17)</f>
        <v>2.7</v>
      </c>
      <c r="F16" s="539">
        <f>PRODUCT(C16,E16)</f>
        <v>50.49</v>
      </c>
      <c r="H16" s="553"/>
    </row>
    <row r="17" spans="1:8" x14ac:dyDescent="0.2">
      <c r="A17" s="534"/>
      <c r="B17" s="550">
        <v>830</v>
      </c>
      <c r="C17" s="536"/>
      <c r="D17" s="539">
        <v>2.75</v>
      </c>
      <c r="E17" s="539"/>
      <c r="F17" s="539"/>
      <c r="H17" s="553"/>
    </row>
    <row r="18" spans="1:8" x14ac:dyDescent="0.2">
      <c r="A18" s="534"/>
      <c r="B18" s="550"/>
      <c r="C18" s="536">
        <f>B19-B17</f>
        <v>31.6</v>
      </c>
      <c r="D18" s="539"/>
      <c r="E18" s="539">
        <f>SUM(0.5*D17,0.5*D19)</f>
        <v>2.93</v>
      </c>
      <c r="F18" s="539">
        <f>PRODUCT(C18,E18)</f>
        <v>92.59</v>
      </c>
      <c r="H18" s="553"/>
    </row>
    <row r="19" spans="1:8" x14ac:dyDescent="0.2">
      <c r="A19" s="534"/>
      <c r="B19" s="550">
        <v>861.6</v>
      </c>
      <c r="C19" s="536"/>
      <c r="D19" s="539">
        <v>3.1</v>
      </c>
      <c r="E19" s="539"/>
      <c r="F19" s="539"/>
      <c r="H19" s="553"/>
    </row>
    <row r="20" spans="1:8" x14ac:dyDescent="0.2">
      <c r="A20" s="534"/>
      <c r="B20" s="550"/>
      <c r="C20" s="536">
        <f>B21-B19</f>
        <v>18.399999999999999</v>
      </c>
      <c r="D20" s="539"/>
      <c r="E20" s="539">
        <f>SUM(0.5*D19,0.5*D21)</f>
        <v>3</v>
      </c>
      <c r="F20" s="539">
        <f>PRODUCT(C20,E20)</f>
        <v>55.2</v>
      </c>
      <c r="H20" s="553"/>
    </row>
    <row r="21" spans="1:8" x14ac:dyDescent="0.2">
      <c r="A21" s="534"/>
      <c r="B21" s="550">
        <v>880</v>
      </c>
      <c r="C21" s="536"/>
      <c r="D21" s="539">
        <v>2.9</v>
      </c>
      <c r="E21" s="539"/>
      <c r="F21" s="539"/>
      <c r="H21" s="553"/>
    </row>
    <row r="22" spans="1:8" x14ac:dyDescent="0.2">
      <c r="A22" s="534"/>
      <c r="B22" s="550"/>
      <c r="C22" s="536">
        <f>B23-B21</f>
        <v>23.7</v>
      </c>
      <c r="D22" s="539"/>
      <c r="E22" s="539">
        <f>SUM(0.5*D21,0.5*D23)</f>
        <v>1.45</v>
      </c>
      <c r="F22" s="539">
        <f>PRODUCT(C22,E22)</f>
        <v>34.369999999999997</v>
      </c>
      <c r="H22" s="553"/>
    </row>
    <row r="23" spans="1:8" x14ac:dyDescent="0.2">
      <c r="A23" s="534"/>
      <c r="B23" s="550">
        <v>903.7</v>
      </c>
      <c r="C23" s="536"/>
      <c r="D23" s="539">
        <v>0</v>
      </c>
      <c r="E23" s="539"/>
      <c r="F23" s="539"/>
      <c r="H23" s="553"/>
    </row>
    <row r="24" spans="1:8" x14ac:dyDescent="0.2">
      <c r="A24" s="534"/>
      <c r="B24" s="550"/>
      <c r="C24" s="536">
        <f>B25-B23</f>
        <v>34.299999999999997</v>
      </c>
      <c r="D24" s="539"/>
      <c r="E24" s="539">
        <f>SUM(0.5*D23,0.5*D25)</f>
        <v>1.63</v>
      </c>
      <c r="F24" s="539">
        <f>PRODUCT(C24,E24)</f>
        <v>55.91</v>
      </c>
      <c r="H24" s="553"/>
    </row>
    <row r="25" spans="1:8" x14ac:dyDescent="0.2">
      <c r="A25" s="534"/>
      <c r="B25" s="550">
        <v>938</v>
      </c>
      <c r="C25" s="536"/>
      <c r="D25" s="539">
        <v>3.25</v>
      </c>
      <c r="E25" s="539"/>
      <c r="F25" s="539"/>
      <c r="H25" s="553"/>
    </row>
    <row r="26" spans="1:8" ht="13.5" customHeight="1" x14ac:dyDescent="0.2">
      <c r="A26" s="534"/>
      <c r="B26" s="550"/>
      <c r="C26" s="30" t="s">
        <v>2</v>
      </c>
      <c r="D26" s="538"/>
      <c r="E26" s="57" t="s">
        <v>2</v>
      </c>
      <c r="F26" s="57" t="s">
        <v>2</v>
      </c>
      <c r="H26" s="553"/>
    </row>
    <row r="27" spans="1:8" ht="13.5" customHeight="1" x14ac:dyDescent="0.2">
      <c r="A27" s="61"/>
      <c r="B27" s="62"/>
      <c r="C27" s="63"/>
      <c r="D27" s="529" t="s">
        <v>37</v>
      </c>
      <c r="E27" s="529"/>
      <c r="F27" s="530">
        <f>F12+F14+F16+F18+F20+F22+F24</f>
        <v>329.4</v>
      </c>
      <c r="H27" s="43"/>
    </row>
    <row r="28" spans="1:8" ht="13.5" customHeight="1" x14ac:dyDescent="0.2">
      <c r="A28" s="64"/>
      <c r="B28" s="43"/>
      <c r="C28" s="65"/>
      <c r="D28" s="529"/>
      <c r="E28" s="529"/>
      <c r="F28" s="530"/>
      <c r="H28" s="43"/>
    </row>
    <row r="29" spans="1:8" ht="13.5" customHeight="1" x14ac:dyDescent="0.2">
      <c r="A29" s="64"/>
      <c r="B29" s="43"/>
      <c r="C29" s="65"/>
      <c r="D29" s="529" t="s">
        <v>38</v>
      </c>
      <c r="E29" s="529"/>
      <c r="F29" s="530">
        <f>-(I48+I49+I50)</f>
        <v>-56.03</v>
      </c>
      <c r="H29" s="43"/>
    </row>
    <row r="30" spans="1:8" ht="13.5" customHeight="1" x14ac:dyDescent="0.2">
      <c r="A30" s="64"/>
      <c r="B30" s="43"/>
      <c r="C30" s="65"/>
      <c r="D30" s="529"/>
      <c r="E30" s="529"/>
      <c r="F30" s="530"/>
      <c r="H30" s="43"/>
    </row>
    <row r="31" spans="1:8" ht="13.5" customHeight="1" x14ac:dyDescent="0.2">
      <c r="A31" s="64"/>
      <c r="B31" s="43"/>
      <c r="C31" s="65"/>
      <c r="D31" s="529" t="s">
        <v>97</v>
      </c>
      <c r="E31" s="529"/>
      <c r="F31" s="530">
        <f>F27+F29</f>
        <v>273.37</v>
      </c>
    </row>
    <row r="32" spans="1:8" ht="13.5" customHeight="1" x14ac:dyDescent="0.2">
      <c r="A32" s="64"/>
      <c r="B32" s="43"/>
      <c r="C32" s="65"/>
      <c r="D32" s="529"/>
      <c r="E32" s="529"/>
      <c r="F32" s="530"/>
    </row>
    <row r="33" spans="1:9" ht="13.5" customHeight="1" x14ac:dyDescent="0.2">
      <c r="A33" s="64"/>
      <c r="B33" s="43"/>
      <c r="C33" s="65"/>
      <c r="D33" s="67"/>
      <c r="E33" s="67"/>
      <c r="F33" s="68"/>
    </row>
    <row r="34" spans="1:9" ht="13.5" customHeight="1" x14ac:dyDescent="0.2">
      <c r="A34" s="531" t="s">
        <v>36</v>
      </c>
      <c r="B34" s="532"/>
      <c r="C34" s="532"/>
      <c r="D34" s="532"/>
      <c r="E34" s="532"/>
      <c r="F34" s="533"/>
    </row>
    <row r="35" spans="1:9" ht="13.5" customHeight="1" x14ac:dyDescent="0.2">
      <c r="A35" s="547" t="s">
        <v>29</v>
      </c>
      <c r="B35" s="547" t="s">
        <v>30</v>
      </c>
      <c r="C35" s="547" t="s">
        <v>31</v>
      </c>
      <c r="D35" s="549" t="s">
        <v>32</v>
      </c>
      <c r="E35" s="549"/>
      <c r="F35" s="549"/>
    </row>
    <row r="36" spans="1:9" ht="11.25" customHeight="1" x14ac:dyDescent="0.2">
      <c r="A36" s="548"/>
      <c r="B36" s="548"/>
      <c r="C36" s="547"/>
      <c r="D36" s="547" t="s">
        <v>33</v>
      </c>
      <c r="E36" s="547" t="s">
        <v>34</v>
      </c>
      <c r="F36" s="547" t="s">
        <v>35</v>
      </c>
    </row>
    <row r="37" spans="1:9" ht="6.75" customHeight="1" x14ac:dyDescent="0.2">
      <c r="A37" s="548"/>
      <c r="B37" s="548"/>
      <c r="C37" s="547"/>
      <c r="D37" s="547"/>
      <c r="E37" s="547"/>
      <c r="F37" s="547"/>
    </row>
    <row r="38" spans="1:9" ht="13.5" customHeight="1" x14ac:dyDescent="0.2">
      <c r="A38" s="548"/>
      <c r="B38" s="548"/>
      <c r="C38" s="547"/>
      <c r="D38" s="547"/>
      <c r="E38" s="547"/>
      <c r="F38" s="547"/>
    </row>
    <row r="39" spans="1:9" ht="13.5" customHeight="1" x14ac:dyDescent="0.2">
      <c r="A39" s="534">
        <v>0</v>
      </c>
      <c r="B39" s="535">
        <v>12</v>
      </c>
      <c r="C39" s="32" t="s">
        <v>2</v>
      </c>
      <c r="D39" s="537">
        <v>3.25</v>
      </c>
      <c r="E39" s="33" t="s">
        <v>2</v>
      </c>
      <c r="F39" s="33" t="s">
        <v>2</v>
      </c>
    </row>
    <row r="40" spans="1:9" ht="13.5" customHeight="1" x14ac:dyDescent="0.2">
      <c r="A40" s="534"/>
      <c r="B40" s="536"/>
      <c r="C40" s="536">
        <f>B41-B39</f>
        <v>5.7</v>
      </c>
      <c r="D40" s="538"/>
      <c r="E40" s="539">
        <f>SUM(0.5*D39,0.5*D41)</f>
        <v>3.4</v>
      </c>
      <c r="F40" s="539">
        <f>PRODUCT(C40,E40)</f>
        <v>19.38</v>
      </c>
    </row>
    <row r="41" spans="1:9" ht="13.5" customHeight="1" x14ac:dyDescent="0.2">
      <c r="A41" s="534"/>
      <c r="B41" s="536">
        <v>17.7</v>
      </c>
      <c r="C41" s="536"/>
      <c r="D41" s="539">
        <v>3.55</v>
      </c>
      <c r="E41" s="539"/>
      <c r="F41" s="539"/>
    </row>
    <row r="42" spans="1:9" ht="13.5" customHeight="1" x14ac:dyDescent="0.2">
      <c r="A42" s="534"/>
      <c r="B42" s="536"/>
      <c r="C42" s="551">
        <f>B43-B41</f>
        <v>17.3</v>
      </c>
      <c r="D42" s="538"/>
      <c r="E42" s="539">
        <f>SUM(0.5*D41,0.5*D43)</f>
        <v>3.53</v>
      </c>
      <c r="F42" s="539">
        <f>PRODUCT(C42,E42)</f>
        <v>61.07</v>
      </c>
    </row>
    <row r="43" spans="1:9" ht="13.5" customHeight="1" x14ac:dyDescent="0.2">
      <c r="A43" s="534"/>
      <c r="B43" s="536">
        <v>35</v>
      </c>
      <c r="C43" s="552"/>
      <c r="D43" s="539">
        <v>3.5</v>
      </c>
      <c r="E43" s="539"/>
      <c r="F43" s="539"/>
    </row>
    <row r="44" spans="1:9" ht="13.5" customHeight="1" x14ac:dyDescent="0.2">
      <c r="A44" s="534"/>
      <c r="B44" s="536"/>
      <c r="C44" s="551">
        <f>B45-B43</f>
        <v>17</v>
      </c>
      <c r="D44" s="538"/>
      <c r="E44" s="539">
        <f>SUM(0.5*D43,0.5*D45)</f>
        <v>3.49</v>
      </c>
      <c r="F44" s="539">
        <f>PRODUCT(C44,E44)</f>
        <v>59.33</v>
      </c>
    </row>
    <row r="45" spans="1:9" ht="13.5" customHeight="1" x14ac:dyDescent="0.2">
      <c r="A45" s="534"/>
      <c r="B45" s="536">
        <v>52</v>
      </c>
      <c r="C45" s="552"/>
      <c r="D45" s="539">
        <v>3.48</v>
      </c>
      <c r="E45" s="539"/>
      <c r="F45" s="539"/>
    </row>
    <row r="46" spans="1:9" ht="14.25" customHeight="1" x14ac:dyDescent="0.2">
      <c r="A46" s="534"/>
      <c r="B46" s="536"/>
      <c r="C46" s="30" t="s">
        <v>2</v>
      </c>
      <c r="D46" s="538"/>
      <c r="E46" s="57" t="s">
        <v>2</v>
      </c>
      <c r="F46" s="57" t="s">
        <v>2</v>
      </c>
    </row>
    <row r="47" spans="1:9" ht="13.5" customHeight="1" x14ac:dyDescent="0.2">
      <c r="D47" s="529" t="s">
        <v>37</v>
      </c>
      <c r="E47" s="529"/>
      <c r="F47" s="530">
        <f>F40+F42+F44</f>
        <v>139.78</v>
      </c>
    </row>
    <row r="48" spans="1:9" x14ac:dyDescent="0.2">
      <c r="D48" s="529"/>
      <c r="E48" s="529"/>
      <c r="F48" s="530"/>
      <c r="H48" t="s">
        <v>39</v>
      </c>
      <c r="I48">
        <v>14.012</v>
      </c>
    </row>
    <row r="49" spans="1:9" x14ac:dyDescent="0.2">
      <c r="D49" s="529" t="s">
        <v>38</v>
      </c>
      <c r="E49" s="529"/>
      <c r="F49" s="530">
        <f>-(I51+I52)</f>
        <v>-42.86</v>
      </c>
      <c r="H49" t="s">
        <v>40</v>
      </c>
      <c r="I49">
        <v>12.76</v>
      </c>
    </row>
    <row r="50" spans="1:9" x14ac:dyDescent="0.2">
      <c r="C50" s="35"/>
      <c r="D50" s="529"/>
      <c r="E50" s="529"/>
      <c r="F50" s="530"/>
      <c r="H50" t="s">
        <v>41</v>
      </c>
      <c r="I50">
        <v>29.26</v>
      </c>
    </row>
    <row r="51" spans="1:9" x14ac:dyDescent="0.2">
      <c r="D51" s="529" t="s">
        <v>98</v>
      </c>
      <c r="E51" s="529"/>
      <c r="F51" s="530">
        <f>F47+F49</f>
        <v>96.92</v>
      </c>
      <c r="H51" t="s">
        <v>42</v>
      </c>
      <c r="I51" s="36">
        <v>24.3</v>
      </c>
    </row>
    <row r="52" spans="1:9" x14ac:dyDescent="0.2">
      <c r="C52" s="26"/>
      <c r="D52" s="529"/>
      <c r="E52" s="529"/>
      <c r="F52" s="530"/>
      <c r="H52" t="s">
        <v>43</v>
      </c>
      <c r="I52">
        <v>18.559999999999999</v>
      </c>
    </row>
    <row r="53" spans="1:9" ht="22.5" customHeight="1" x14ac:dyDescent="0.2"/>
    <row r="54" spans="1:9" ht="27.75" customHeight="1" x14ac:dyDescent="0.2">
      <c r="A54" s="525" t="s">
        <v>101</v>
      </c>
      <c r="B54" s="525"/>
      <c r="C54" s="525"/>
      <c r="D54" s="525"/>
      <c r="E54" s="37">
        <f>'5. Humusowanie'!E57/0.1</f>
        <v>79.900000000000006</v>
      </c>
      <c r="F54" s="38" t="s">
        <v>44</v>
      </c>
      <c r="G54" s="36">
        <f>F51+F31</f>
        <v>370.29</v>
      </c>
      <c r="H54">
        <f>G54*0.15</f>
        <v>55.543500000000002</v>
      </c>
    </row>
    <row r="55" spans="1:9" ht="27.75" customHeight="1" x14ac:dyDescent="0.2">
      <c r="A55" s="525" t="s">
        <v>100</v>
      </c>
      <c r="B55" s="525"/>
      <c r="C55" s="525"/>
      <c r="D55" s="525"/>
      <c r="E55" s="37">
        <f>'5. Humusowanie'!E59/0.1</f>
        <v>23.5</v>
      </c>
      <c r="F55" s="38" t="s">
        <v>44</v>
      </c>
      <c r="G55" s="36"/>
    </row>
    <row r="56" spans="1:9" ht="30" customHeight="1" x14ac:dyDescent="0.2">
      <c r="A56" s="525" t="s">
        <v>103</v>
      </c>
      <c r="B56" s="525"/>
      <c r="C56" s="525"/>
      <c r="D56" s="525"/>
      <c r="E56" s="37">
        <f>F31-'5. Humusowanie'!F31</f>
        <v>193.44</v>
      </c>
      <c r="F56" s="38" t="s">
        <v>44</v>
      </c>
      <c r="H56" s="36">
        <f>F51+F31</f>
        <v>370.29</v>
      </c>
    </row>
    <row r="57" spans="1:9" ht="12.75" customHeight="1" x14ac:dyDescent="0.2">
      <c r="A57" s="525" t="s">
        <v>104</v>
      </c>
      <c r="B57" s="525"/>
      <c r="C57" s="525"/>
      <c r="D57" s="525"/>
      <c r="E57" s="526">
        <f>F51-'5. Humusowanie'!F52</f>
        <v>73.430000000000007</v>
      </c>
      <c r="F57" s="528" t="s">
        <v>44</v>
      </c>
    </row>
    <row r="58" spans="1:9" x14ac:dyDescent="0.2">
      <c r="A58" s="525"/>
      <c r="B58" s="525"/>
      <c r="C58" s="525"/>
      <c r="D58" s="525"/>
      <c r="E58" s="527"/>
      <c r="F58" s="528"/>
    </row>
    <row r="62" spans="1:9" x14ac:dyDescent="0.2">
      <c r="F62" s="36"/>
    </row>
  </sheetData>
  <mergeCells count="101">
    <mergeCell ref="H23:H24"/>
    <mergeCell ref="H25:H26"/>
    <mergeCell ref="H11:H12"/>
    <mergeCell ref="H13:H14"/>
    <mergeCell ref="H15:H16"/>
    <mergeCell ref="H17:H18"/>
    <mergeCell ref="H19:H20"/>
    <mergeCell ref="H21:H22"/>
    <mergeCell ref="A54:D54"/>
    <mergeCell ref="C42:C43"/>
    <mergeCell ref="E42:E43"/>
    <mergeCell ref="A35:A38"/>
    <mergeCell ref="B35:B38"/>
    <mergeCell ref="C35:C38"/>
    <mergeCell ref="D35:F35"/>
    <mergeCell ref="D36:D38"/>
    <mergeCell ref="E36:E38"/>
    <mergeCell ref="F36:F38"/>
    <mergeCell ref="E22:E23"/>
    <mergeCell ref="F22:F23"/>
    <mergeCell ref="B23:B24"/>
    <mergeCell ref="D23:D24"/>
    <mergeCell ref="C24:C25"/>
    <mergeCell ref="E24:E25"/>
    <mergeCell ref="B19:B20"/>
    <mergeCell ref="D19:D20"/>
    <mergeCell ref="C20:C21"/>
    <mergeCell ref="E20:E21"/>
    <mergeCell ref="F20:F21"/>
    <mergeCell ref="B21:B22"/>
    <mergeCell ref="D21:D22"/>
    <mergeCell ref="C22:C23"/>
    <mergeCell ref="A56:D56"/>
    <mergeCell ref="D47:E48"/>
    <mergeCell ref="F47:F48"/>
    <mergeCell ref="D49:E50"/>
    <mergeCell ref="F49:F50"/>
    <mergeCell ref="D51:E52"/>
    <mergeCell ref="F51:F52"/>
    <mergeCell ref="A55:D55"/>
    <mergeCell ref="F42:F43"/>
    <mergeCell ref="B43:B44"/>
    <mergeCell ref="D43:D44"/>
    <mergeCell ref="C44:C45"/>
    <mergeCell ref="E44:E45"/>
    <mergeCell ref="F44:F45"/>
    <mergeCell ref="B45:B46"/>
    <mergeCell ref="D45:D46"/>
    <mergeCell ref="A11:A26"/>
    <mergeCell ref="B11:B12"/>
    <mergeCell ref="D11:D12"/>
    <mergeCell ref="C12:C13"/>
    <mergeCell ref="E12:E13"/>
    <mergeCell ref="F12:F13"/>
    <mergeCell ref="B13:B14"/>
    <mergeCell ref="D13:D14"/>
    <mergeCell ref="C14:C15"/>
    <mergeCell ref="E14:E15"/>
    <mergeCell ref="F14:F15"/>
    <mergeCell ref="B15:B16"/>
    <mergeCell ref="D15:D16"/>
    <mergeCell ref="C16:C17"/>
    <mergeCell ref="E16:E17"/>
    <mergeCell ref="F16:F17"/>
    <mergeCell ref="B17:B18"/>
    <mergeCell ref="D17:D18"/>
    <mergeCell ref="C18:C19"/>
    <mergeCell ref="F24:F25"/>
    <mergeCell ref="B25:B26"/>
    <mergeCell ref="D25:D26"/>
    <mergeCell ref="E18:E19"/>
    <mergeCell ref="F18:F19"/>
    <mergeCell ref="E1:F2"/>
    <mergeCell ref="A3:F3"/>
    <mergeCell ref="A4:F5"/>
    <mergeCell ref="A6:F6"/>
    <mergeCell ref="A7:A10"/>
    <mergeCell ref="B7:B10"/>
    <mergeCell ref="C7:C10"/>
    <mergeCell ref="D7:F7"/>
    <mergeCell ref="D8:D10"/>
    <mergeCell ref="E8:E10"/>
    <mergeCell ref="F8:F10"/>
    <mergeCell ref="A57:D58"/>
    <mergeCell ref="E57:E58"/>
    <mergeCell ref="F57:F58"/>
    <mergeCell ref="D27:E28"/>
    <mergeCell ref="F27:F28"/>
    <mergeCell ref="D29:E30"/>
    <mergeCell ref="F29:F30"/>
    <mergeCell ref="D31:E32"/>
    <mergeCell ref="F31:F32"/>
    <mergeCell ref="A34:F34"/>
    <mergeCell ref="A39:A46"/>
    <mergeCell ref="B39:B40"/>
    <mergeCell ref="D39:D40"/>
    <mergeCell ref="C40:C41"/>
    <mergeCell ref="E40:E41"/>
    <mergeCell ref="F40:F41"/>
    <mergeCell ref="B41:B42"/>
    <mergeCell ref="D41:D42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horizontalDpi="4294967293" vertic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J H n 7 V L U v B p e l A A A A 9 w A A A B I A H A B D b 2 5 m a W c v U G F j a 2 F n Z S 5 4 b W w g o h g A K K A U A A A A A A A A A A A A A A A A A A A A A A A A A A A A h Y / N C o J A H M R f R f b u f g U h 8 n c 9 d F U Q g u g q 6 6 Z L u o q 7 t r 5 b h x 6 p V 8 g o q 1 v H m f k N z N y v N 0 j n r g 0 u a r S 6 N w l i m K J A G d l X 2 t Q J m t w p j F A q o C j l u a x V s M D G x r P V C W q c G 2 J C v P f Y b 3 A / 1 o R T y s g x z / a y U V 0 Z a m N d a a R C n 1 b 1 v 4 U E H F 5 j B M e M b j F j E c c U y O p C r s 2 X 4 M v g Z / p j w m 5 q 3 T Q q M b R h k Q F Z J Z D 3 C f E A U E s D B B Q A A g A I A C R 5 +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e f t U K I p H u A 4 A A A A R A A A A E w A c A E Z v c m 1 1 b G F z L 1 N l Y 3 R p b 2 4 x L m 0 g o h g A K K A U A A A A A A A A A A A A A A A A A A A A A A A A A A A A K 0 5 N L s n M z 1 M I h t C G 1 g B Q S w E C L Q A U A A I A C A A k e f t U t S 8 G l 6 U A A A D 3 A A A A E g A A A A A A A A A A A A A A A A A A A A A A Q 2 9 u Z m l n L 1 B h Y 2 t h Z 2 U u e G 1 s U E s B A i 0 A F A A C A A g A J H n 7 V A / K 6 a u k A A A A 6 Q A A A B M A A A A A A A A A A A A A A A A A 8 Q A A A F t D b 2 5 0 Z W 5 0 X 1 R 5 c G V z X S 5 4 b W x Q S w E C L Q A U A A I A C A A k e f t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a 5 b q E M K 3 V U m Y 4 r V 7 A w U 4 O g A A A A A C A A A A A A A Q Z g A A A A E A A C A A A A C G E s K A t R o 6 G g X 7 q y K t t Z b d r M R o N q L + t m U i F f t c k Z W c Q A A A A A A O g A A A A A I A A C A A A A D h Y t 6 T v / q l h V p D i F k R c 9 4 a D 0 T E 5 J A h K X n t h L x i U K Q g c l A A A A C T 1 N E M 6 L Q J 3 x g 6 Q M 6 j M 7 L F b E B S L n F G q 3 B t A a w I O e M V E 7 Q 0 S S o X a r d w / U e f n k x N w g N m q E H v P H S M s 6 Q l y X r f R V J j g e K M w n G Q 0 a t V + N z 2 + V N d 6 E A A A A A a h b l 4 i 7 Q Y L Z L K D Z k N l E A r A 9 y w a d t T N k K J X C e 4 / v b P A J q E M 9 2 r 5 x N D X U 1 g 5 7 Q t 9 l u 7 E w 9 G A / X / x O U D 8 O t j 2 L s l < / D a t a M a s h u p > 
</file>

<file path=customXml/itemProps1.xml><?xml version="1.0" encoding="utf-8"?>
<ds:datastoreItem xmlns:ds="http://schemas.openxmlformats.org/officeDocument/2006/customXml" ds:itemID="{2ACC13DC-ECA1-4304-80FA-B6553AAB65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16</vt:i4>
      </vt:variant>
    </vt:vector>
  </HeadingPairs>
  <TitlesOfParts>
    <vt:vector size="31" baseType="lpstr">
      <vt:lpstr>strona tyt KI</vt:lpstr>
      <vt:lpstr>ST PR</vt:lpstr>
      <vt:lpstr>PR1</vt:lpstr>
      <vt:lpstr>PR2</vt:lpstr>
      <vt:lpstr>OFERTOWY ZBIORCZA</vt:lpstr>
      <vt:lpstr>OFERTOWY SZCZEGOLOWE</vt:lpstr>
      <vt:lpstr>5.1. Brzeziny - Dół Płn.</vt:lpstr>
      <vt:lpstr>5.2. Brzeziny - Dół Płn.</vt:lpstr>
      <vt:lpstr>4.Zdjęcie humusu</vt:lpstr>
      <vt:lpstr>5. Humusowanie</vt:lpstr>
      <vt:lpstr>6.Wykopy-Nasypy</vt:lpstr>
      <vt:lpstr>7.Koryto</vt:lpstr>
      <vt:lpstr>8.odcinająca</vt:lpstr>
      <vt:lpstr>9.wiążąca</vt:lpstr>
      <vt:lpstr>10.ścieralna</vt:lpstr>
      <vt:lpstr>'10.ścieralna'!Obszar_wydruku</vt:lpstr>
      <vt:lpstr>'4.Zdjęcie humusu'!Obszar_wydruku</vt:lpstr>
      <vt:lpstr>'5. Humusowanie'!Obszar_wydruku</vt:lpstr>
      <vt:lpstr>'5.1. Brzeziny - Dół Płn.'!Obszar_wydruku</vt:lpstr>
      <vt:lpstr>'5.2. Brzeziny - Dół Płn.'!Obszar_wydruku</vt:lpstr>
      <vt:lpstr>'6.Wykopy-Nasypy'!Obszar_wydruku</vt:lpstr>
      <vt:lpstr>'7.Koryto'!Obszar_wydruku</vt:lpstr>
      <vt:lpstr>'8.odcinająca'!Obszar_wydruku</vt:lpstr>
      <vt:lpstr>'9.wiążąca'!Obszar_wydruku</vt:lpstr>
      <vt:lpstr>'OFERTOWY SZCZEGOLOWE'!Obszar_wydruku</vt:lpstr>
      <vt:lpstr>'OFERTOWY ZBIORCZA'!Obszar_wydruku</vt:lpstr>
      <vt:lpstr>'PR2'!Obszar_wydruku</vt:lpstr>
      <vt:lpstr>'ST PR'!Obszar_wydruku</vt:lpstr>
      <vt:lpstr>'strona tyt KI'!Obszar_wydruku</vt:lpstr>
      <vt:lpstr>'OFERTOWY SZCZEGOLOWE'!Print_Area</vt:lpstr>
      <vt:lpstr>'PR2'!Print_Area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RC15</dc:creator>
  <cp:lastModifiedBy>Bożena Baran</cp:lastModifiedBy>
  <cp:lastPrinted>2023-08-07T07:01:19Z</cp:lastPrinted>
  <dcterms:created xsi:type="dcterms:W3CDTF">1997-02-26T13:46:56Z</dcterms:created>
  <dcterms:modified xsi:type="dcterms:W3CDTF">2023-08-07T07:01:25Z</dcterms:modified>
</cp:coreProperties>
</file>