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szard.machon\Desktop\ZADANIA_od_28.04.2020\SIEGIENIEWICZ\Przeglady\"/>
    </mc:Choice>
  </mc:AlternateContent>
  <bookViews>
    <workbookView xWindow="0" yWindow="0" windowWidth="24000" windowHeight="9735"/>
  </bookViews>
  <sheets>
    <sheet name="Budynki do przeglądu 5 letniego" sheetId="17" r:id="rId1"/>
    <sheet name="Budynki do przeglądu 1 rocznego" sheetId="18" r:id="rId2"/>
    <sheet name="Budynki do przeglądu półroczneg" sheetId="2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xlnm._FilterDatabase" localSheetId="2" hidden="1">'Budynki do przeglądu półroczneg'!$A$1:$CN$153</definedName>
    <definedName name="_xlnm.Print_Area" localSheetId="2">'Budynki do przeglądu półroczneg'!$A$1:$CM$153</definedName>
    <definedName name="_xlnm.Print_Titles" localSheetId="2">'Budynki do przeglądu półroczneg'!$2:$7</definedName>
  </definedNames>
  <calcPr calcId="162913"/>
</workbook>
</file>

<file path=xl/calcChain.xml><?xml version="1.0" encoding="utf-8"?>
<calcChain xmlns="http://schemas.openxmlformats.org/spreadsheetml/2006/main">
  <c r="CH153" i="20" l="1"/>
  <c r="CG153" i="20"/>
  <c r="CF153" i="20"/>
  <c r="CC153" i="20"/>
  <c r="CB153" i="20"/>
  <c r="CA153" i="20"/>
  <c r="BZ153" i="20"/>
  <c r="BY153" i="20"/>
  <c r="BX153" i="20"/>
  <c r="BW153" i="20"/>
  <c r="BV153" i="20"/>
  <c r="BU153" i="20"/>
  <c r="BT153" i="20"/>
  <c r="BS153" i="20"/>
  <c r="BR153" i="20"/>
  <c r="BQ153" i="20"/>
  <c r="BP153" i="20"/>
  <c r="BO153" i="20"/>
  <c r="BN153" i="20"/>
  <c r="BM153" i="20"/>
  <c r="BL153" i="20"/>
  <c r="BK153" i="20"/>
  <c r="BJ153" i="20"/>
  <c r="BI153" i="20"/>
  <c r="BH153" i="20"/>
  <c r="BG153" i="20"/>
  <c r="BD153" i="20"/>
  <c r="BC153" i="20"/>
  <c r="BB153" i="20"/>
  <c r="CI148" i="20"/>
  <c r="CE148" i="20"/>
  <c r="CD148" i="20"/>
  <c r="BF148" i="20"/>
  <c r="BE148" i="20"/>
  <c r="CI147" i="20"/>
  <c r="CE147" i="20"/>
  <c r="CD147" i="20"/>
  <c r="BF147" i="20"/>
  <c r="BE147" i="20"/>
  <c r="CI146" i="20"/>
  <c r="CE146" i="20"/>
  <c r="CD146" i="20"/>
  <c r="BF146" i="20"/>
  <c r="BE146" i="20"/>
  <c r="CI145" i="20"/>
  <c r="CE145" i="20"/>
  <c r="CD145" i="20"/>
  <c r="BF145" i="20"/>
  <c r="BE145" i="20"/>
  <c r="BW143" i="20"/>
  <c r="BV143" i="20"/>
  <c r="BU143" i="20"/>
  <c r="BR143" i="20"/>
  <c r="BQ143" i="20"/>
  <c r="BO143" i="20"/>
  <c r="BN143" i="20"/>
  <c r="BK143" i="20"/>
  <c r="BJ143" i="20"/>
  <c r="BI143" i="20"/>
  <c r="BG143" i="20"/>
  <c r="BD143" i="20"/>
  <c r="BC143" i="20"/>
  <c r="BB143" i="20"/>
  <c r="AY143" i="20"/>
  <c r="AX143" i="20"/>
  <c r="AW143" i="20"/>
  <c r="AV143" i="20"/>
  <c r="AU143" i="20"/>
  <c r="AT143" i="20"/>
  <c r="AS143" i="20"/>
  <c r="AR143" i="20"/>
  <c r="AQ143" i="20"/>
  <c r="AP143" i="20"/>
  <c r="V143" i="20"/>
  <c r="U143" i="20"/>
  <c r="T143" i="20"/>
  <c r="S143" i="20"/>
  <c r="R143" i="20"/>
  <c r="Q143" i="20"/>
  <c r="P143" i="20"/>
  <c r="O143" i="20"/>
  <c r="N143" i="20"/>
  <c r="M143" i="20"/>
  <c r="L143" i="20"/>
  <c r="K143" i="20"/>
  <c r="J143" i="20"/>
  <c r="I143" i="20"/>
  <c r="H143" i="20"/>
  <c r="G143" i="20"/>
  <c r="F143" i="20"/>
  <c r="E143" i="20"/>
  <c r="CE138" i="20"/>
  <c r="BF138" i="20"/>
  <c r="BE138" i="20"/>
  <c r="CE137" i="20"/>
  <c r="BF137" i="20"/>
  <c r="BE137" i="20"/>
  <c r="CE136" i="20"/>
  <c r="BF136" i="20"/>
  <c r="BE136" i="20"/>
  <c r="CE135" i="20"/>
  <c r="BF135" i="20"/>
  <c r="BE135" i="20"/>
  <c r="CE134" i="20"/>
  <c r="BF134" i="20"/>
  <c r="BE134" i="20"/>
  <c r="CE133" i="20"/>
  <c r="BF133" i="20"/>
  <c r="BE133" i="20"/>
  <c r="CE132" i="20"/>
  <c r="BF132" i="20"/>
  <c r="BE132" i="20"/>
  <c r="CH131" i="20"/>
  <c r="CI131" i="20" s="1"/>
  <c r="BX131" i="20"/>
  <c r="CD131" i="20" s="1"/>
  <c r="BF131" i="20"/>
  <c r="BE131" i="20"/>
  <c r="CH130" i="20"/>
  <c r="CG130" i="20"/>
  <c r="BX130" i="20"/>
  <c r="CE130" i="20" s="1"/>
  <c r="BF130" i="20"/>
  <c r="BE130" i="20"/>
  <c r="CH129" i="20"/>
  <c r="CG129" i="20"/>
  <c r="BX129" i="20"/>
  <c r="BF129" i="20"/>
  <c r="BE129" i="20"/>
  <c r="CH128" i="20"/>
  <c r="CG128" i="20"/>
  <c r="CE128" i="20"/>
  <c r="BY128" i="20"/>
  <c r="CI128" i="20" s="1"/>
  <c r="BF128" i="20"/>
  <c r="CH127" i="20"/>
  <c r="BS127" i="20"/>
  <c r="CI127" i="20" s="1"/>
  <c r="BF127" i="20"/>
  <c r="BE127" i="20"/>
  <c r="CH126" i="20"/>
  <c r="CI126" i="20" s="1"/>
  <c r="BX126" i="20"/>
  <c r="CE126" i="20" s="1"/>
  <c r="BF126" i="20"/>
  <c r="BE126" i="20"/>
  <c r="BF125" i="20"/>
  <c r="BE125" i="20"/>
  <c r="CH124" i="20"/>
  <c r="CG124" i="20"/>
  <c r="CF124" i="20"/>
  <c r="CC124" i="20"/>
  <c r="CB124" i="20"/>
  <c r="CA124" i="20"/>
  <c r="BZ124" i="20"/>
  <c r="BX124" i="20"/>
  <c r="BT124" i="20"/>
  <c r="BE124" i="20"/>
  <c r="BX123" i="20"/>
  <c r="BP123" i="20"/>
  <c r="BP143" i="20" s="1"/>
  <c r="BM123" i="20"/>
  <c r="BM143" i="20" s="1"/>
  <c r="BL123" i="20"/>
  <c r="BL143" i="20" s="1"/>
  <c r="BF123" i="20"/>
  <c r="BE123" i="20"/>
  <c r="CH122" i="20"/>
  <c r="BT122" i="20"/>
  <c r="CI122" i="20" s="1"/>
  <c r="BF122" i="20"/>
  <c r="BE122" i="20"/>
  <c r="CH121" i="20"/>
  <c r="BT121" i="20"/>
  <c r="CI121" i="20" s="1"/>
  <c r="BF121" i="20"/>
  <c r="BE121" i="20"/>
  <c r="CH120" i="20"/>
  <c r="BX120" i="20"/>
  <c r="BT120" i="20"/>
  <c r="BF120" i="20"/>
  <c r="BE120" i="20"/>
  <c r="BH119" i="20"/>
  <c r="BH143" i="20" s="1"/>
  <c r="BF119" i="20"/>
  <c r="BE119" i="20"/>
  <c r="CH118" i="20"/>
  <c r="CG118" i="20"/>
  <c r="CF118" i="20"/>
  <c r="CC118" i="20"/>
  <c r="CB118" i="20"/>
  <c r="CA118" i="20"/>
  <c r="BZ118" i="20"/>
  <c r="BY118" i="20"/>
  <c r="BX118" i="20"/>
  <c r="BS118" i="20"/>
  <c r="BE118" i="20"/>
  <c r="CH117" i="20"/>
  <c r="CG117" i="20"/>
  <c r="CF117" i="20"/>
  <c r="CE117" i="20"/>
  <c r="CC117" i="20"/>
  <c r="CB117" i="20"/>
  <c r="CA117" i="20"/>
  <c r="CA143" i="20" s="1"/>
  <c r="BZ117" i="20"/>
  <c r="BZ143" i="20" s="1"/>
  <c r="BY117" i="20"/>
  <c r="CH116" i="20"/>
  <c r="BX116" i="20"/>
  <c r="CI116" i="20" s="1"/>
  <c r="BF116" i="20"/>
  <c r="BE116" i="20"/>
  <c r="CE115" i="20"/>
  <c r="CD115" i="20"/>
  <c r="BF115" i="20"/>
  <c r="BE115" i="20"/>
  <c r="CE114" i="20"/>
  <c r="CD114" i="20"/>
  <c r="BF114" i="20"/>
  <c r="BE114" i="20"/>
  <c r="BH112" i="20"/>
  <c r="BD112" i="20"/>
  <c r="BB112" i="20"/>
  <c r="BH110" i="20"/>
  <c r="BG110" i="20"/>
  <c r="AM110" i="20"/>
  <c r="AL110" i="20"/>
  <c r="AK110" i="20"/>
  <c r="AJ110" i="20"/>
  <c r="AI110" i="20"/>
  <c r="AH110" i="20"/>
  <c r="AG110" i="20"/>
  <c r="AF110" i="20"/>
  <c r="AE110" i="20"/>
  <c r="AD110" i="20"/>
  <c r="AC110" i="20"/>
  <c r="AB110" i="20"/>
  <c r="AA110" i="20"/>
  <c r="Z110" i="20"/>
  <c r="Y110" i="20"/>
  <c r="X110" i="20"/>
  <c r="W110" i="20"/>
  <c r="V110" i="20"/>
  <c r="U110" i="20"/>
  <c r="T110" i="20"/>
  <c r="S110" i="20"/>
  <c r="R110" i="20"/>
  <c r="Q110" i="20"/>
  <c r="P110" i="20"/>
  <c r="O110" i="20"/>
  <c r="N110" i="20"/>
  <c r="M110" i="20"/>
  <c r="L110" i="20"/>
  <c r="K110" i="20"/>
  <c r="J110" i="20"/>
  <c r="I110" i="20"/>
  <c r="H110" i="20"/>
  <c r="G110" i="20"/>
  <c r="F110" i="20"/>
  <c r="E110" i="20"/>
  <c r="BF104" i="20"/>
  <c r="BF103" i="20"/>
  <c r="CH102" i="20"/>
  <c r="BX102" i="20"/>
  <c r="CE102" i="20" s="1"/>
  <c r="BD102" i="20" s="1"/>
  <c r="BF102" i="20"/>
  <c r="BE102" i="20"/>
  <c r="CH101" i="20"/>
  <c r="BX101" i="20"/>
  <c r="BF101" i="20"/>
  <c r="BE101" i="20"/>
  <c r="CH100" i="20"/>
  <c r="BX100" i="20"/>
  <c r="CE100" i="20" s="1"/>
  <c r="BD100" i="20" s="1"/>
  <c r="BF100" i="20"/>
  <c r="BE100" i="20"/>
  <c r="CE99" i="20"/>
  <c r="CD99" i="20"/>
  <c r="BF99" i="20"/>
  <c r="BE99" i="20"/>
  <c r="CE98" i="20"/>
  <c r="CD98" i="20"/>
  <c r="BF98" i="20"/>
  <c r="BE98" i="20"/>
  <c r="CE97" i="20"/>
  <c r="CD97" i="20"/>
  <c r="BF97" i="20"/>
  <c r="BE97" i="20"/>
  <c r="CE96" i="20"/>
  <c r="CD96" i="20"/>
  <c r="BF96" i="20"/>
  <c r="BE96" i="20"/>
  <c r="CE95" i="20"/>
  <c r="CD95" i="20"/>
  <c r="BF95" i="20"/>
  <c r="BE95" i="20"/>
  <c r="CE94" i="20"/>
  <c r="CD94" i="20"/>
  <c r="BF94" i="20"/>
  <c r="BE94" i="20"/>
  <c r="CE93" i="20"/>
  <c r="CD93" i="20"/>
  <c r="BF93" i="20"/>
  <c r="BE93" i="20"/>
  <c r="CE92" i="20"/>
  <c r="CD92" i="20"/>
  <c r="BF92" i="20"/>
  <c r="BE92" i="20"/>
  <c r="CH91" i="20"/>
  <c r="CG91" i="20"/>
  <c r="CF91" i="20"/>
  <c r="BX91" i="20"/>
  <c r="BF91" i="20"/>
  <c r="BE91" i="20"/>
  <c r="CE90" i="20"/>
  <c r="CD90" i="20"/>
  <c r="BF90" i="20"/>
  <c r="BE90" i="20"/>
  <c r="CE89" i="20"/>
  <c r="CD89" i="20"/>
  <c r="BF89" i="20"/>
  <c r="BE89" i="20"/>
  <c r="CE88" i="20"/>
  <c r="CD88" i="20"/>
  <c r="BF88" i="20"/>
  <c r="BE88" i="20"/>
  <c r="CE87" i="20"/>
  <c r="CD87" i="20"/>
  <c r="BF87" i="20"/>
  <c r="BE87" i="20"/>
  <c r="CE86" i="20"/>
  <c r="CD86" i="20"/>
  <c r="BF86" i="20"/>
  <c r="BE86" i="20"/>
  <c r="CE85" i="20"/>
  <c r="CD85" i="20"/>
  <c r="BF85" i="20"/>
  <c r="BE85" i="20"/>
  <c r="CE84" i="20"/>
  <c r="CD84" i="20"/>
  <c r="BF84" i="20"/>
  <c r="BE84" i="20"/>
  <c r="CE83" i="20"/>
  <c r="CD83" i="20"/>
  <c r="BF83" i="20"/>
  <c r="BE83" i="20"/>
  <c r="CE82" i="20"/>
  <c r="CD82" i="20"/>
  <c r="BF82" i="20"/>
  <c r="BE82" i="20"/>
  <c r="CE81" i="20"/>
  <c r="CD81" i="20"/>
  <c r="BF81" i="20"/>
  <c r="BE81" i="20"/>
  <c r="CE80" i="20"/>
  <c r="CD80" i="20"/>
  <c r="BF80" i="20"/>
  <c r="BE80" i="20"/>
  <c r="CE79" i="20"/>
  <c r="CD79" i="20"/>
  <c r="BF79" i="20"/>
  <c r="BE79" i="20"/>
  <c r="CE78" i="20"/>
  <c r="CD78" i="20"/>
  <c r="BF78" i="20"/>
  <c r="BE78" i="20"/>
  <c r="CH77" i="20"/>
  <c r="CG77" i="20"/>
  <c r="BX77" i="20"/>
  <c r="CE77" i="20" s="1"/>
  <c r="BD77" i="20" s="1"/>
  <c r="BF77" i="20"/>
  <c r="BE77" i="20"/>
  <c r="BF76" i="20"/>
  <c r="BE76" i="20"/>
  <c r="CH75" i="20"/>
  <c r="CG75" i="20"/>
  <c r="CF75" i="20"/>
  <c r="CD75" i="20"/>
  <c r="BC75" i="20" s="1"/>
  <c r="BX75" i="20"/>
  <c r="CE75" i="20" s="1"/>
  <c r="BD75" i="20" s="1"/>
  <c r="BF75" i="20"/>
  <c r="BE75" i="20"/>
  <c r="BF74" i="20"/>
  <c r="BE74" i="20"/>
  <c r="CH73" i="20"/>
  <c r="BX73" i="20"/>
  <c r="CE73" i="20" s="1"/>
  <c r="BD73" i="20" s="1"/>
  <c r="BF73" i="20"/>
  <c r="BE73" i="20"/>
  <c r="CH72" i="20"/>
  <c r="BX72" i="20"/>
  <c r="CE72" i="20" s="1"/>
  <c r="BD72" i="20" s="1"/>
  <c r="BF72" i="20"/>
  <c r="BE72" i="20"/>
  <c r="CH71" i="20"/>
  <c r="BX71" i="20"/>
  <c r="BF71" i="20"/>
  <c r="BE71" i="20"/>
  <c r="CI70" i="20"/>
  <c r="CH70" i="20"/>
  <c r="BZ70" i="20"/>
  <c r="BF70" i="20" s="1"/>
  <c r="BX70" i="20"/>
  <c r="BS70" i="20"/>
  <c r="BE70" i="20"/>
  <c r="CI69" i="20"/>
  <c r="CH69" i="20"/>
  <c r="CE69" i="20"/>
  <c r="BD69" i="20" s="1"/>
  <c r="BY69" i="20"/>
  <c r="CD69" i="20" s="1"/>
  <c r="BC69" i="20" s="1"/>
  <c r="BF69" i="20"/>
  <c r="CI68" i="20"/>
  <c r="CH68" i="20"/>
  <c r="BU68" i="20"/>
  <c r="BF68" i="20"/>
  <c r="BE68" i="20"/>
  <c r="CI67" i="20"/>
  <c r="CH67" i="20"/>
  <c r="BU67" i="20"/>
  <c r="CD67" i="20" s="1"/>
  <c r="BC67" i="20" s="1"/>
  <c r="BF67" i="20"/>
  <c r="BE67" i="20"/>
  <c r="CH66" i="20"/>
  <c r="BX66" i="20"/>
  <c r="CE66" i="20" s="1"/>
  <c r="BD66" i="20" s="1"/>
  <c r="BF66" i="20"/>
  <c r="BE66" i="20"/>
  <c r="CH65" i="20"/>
  <c r="BX65" i="20"/>
  <c r="BF65" i="20"/>
  <c r="BE65" i="20"/>
  <c r="CI64" i="20"/>
  <c r="CH64" i="20"/>
  <c r="CC64" i="20"/>
  <c r="CB64" i="20"/>
  <c r="CA64" i="20"/>
  <c r="BZ64" i="20"/>
  <c r="BY64" i="20"/>
  <c r="BE64" i="20" s="1"/>
  <c r="BS64" i="20"/>
  <c r="CE64" i="20" s="1"/>
  <c r="BD64" i="20" s="1"/>
  <c r="CH63" i="20"/>
  <c r="CA63" i="20"/>
  <c r="BF63" i="20" s="1"/>
  <c r="BX63" i="20"/>
  <c r="CE63" i="20" s="1"/>
  <c r="BD63" i="20" s="1"/>
  <c r="BE63" i="20"/>
  <c r="CI62" i="20"/>
  <c r="CH62" i="20"/>
  <c r="BM62" i="20"/>
  <c r="CE62" i="20" s="1"/>
  <c r="BD62" i="20" s="1"/>
  <c r="BF62" i="20"/>
  <c r="BE62" i="20"/>
  <c r="CI61" i="20"/>
  <c r="CH61" i="20"/>
  <c r="CG61" i="20"/>
  <c r="BT61" i="20"/>
  <c r="CD61" i="20" s="1"/>
  <c r="BC61" i="20" s="1"/>
  <c r="BF61" i="20"/>
  <c r="BE61" i="20"/>
  <c r="BF60" i="20"/>
  <c r="BE60" i="20"/>
  <c r="BF59" i="20"/>
  <c r="BE59" i="20"/>
  <c r="CI58" i="20"/>
  <c r="CH58" i="20"/>
  <c r="BZ58" i="20"/>
  <c r="BF58" i="20" s="1"/>
  <c r="BX58" i="20"/>
  <c r="BT58" i="20"/>
  <c r="BS58" i="20"/>
  <c r="BE58" i="20"/>
  <c r="CI57" i="20"/>
  <c r="CH57" i="20"/>
  <c r="BT57" i="20"/>
  <c r="CE57" i="20" s="1"/>
  <c r="BD57" i="20" s="1"/>
  <c r="BF57" i="20"/>
  <c r="BE57" i="20"/>
  <c r="CI56" i="20"/>
  <c r="CH56" i="20"/>
  <c r="BT56" i="20"/>
  <c r="CD56" i="20" s="1"/>
  <c r="BC56" i="20" s="1"/>
  <c r="BF56" i="20"/>
  <c r="BE56" i="20"/>
  <c r="BF55" i="20"/>
  <c r="BE55" i="20"/>
  <c r="CI54" i="20"/>
  <c r="CH54" i="20"/>
  <c r="CG54" i="20"/>
  <c r="CF54" i="20"/>
  <c r="CC54" i="20"/>
  <c r="CB54" i="20"/>
  <c r="CA54" i="20"/>
  <c r="BF54" i="20" s="1"/>
  <c r="BT54" i="20"/>
  <c r="BS54" i="20"/>
  <c r="BM54" i="20"/>
  <c r="BE54" i="20"/>
  <c r="CI53" i="20"/>
  <c r="CH53" i="20"/>
  <c r="CG53" i="20"/>
  <c r="CC53" i="20"/>
  <c r="CB53" i="20"/>
  <c r="CA53" i="20"/>
  <c r="BZ53" i="20"/>
  <c r="BY53" i="20"/>
  <c r="BE53" i="20" s="1"/>
  <c r="BX53" i="20"/>
  <c r="BT53" i="20"/>
  <c r="BS53" i="20"/>
  <c r="BP53" i="20"/>
  <c r="BO53" i="20"/>
  <c r="BM53" i="20"/>
  <c r="BF52" i="20"/>
  <c r="BE52" i="20"/>
  <c r="BF51" i="20"/>
  <c r="BE51" i="20"/>
  <c r="BF50" i="20"/>
  <c r="BE50" i="20"/>
  <c r="CE49" i="20"/>
  <c r="BF49" i="20"/>
  <c r="BE49" i="20"/>
  <c r="CI48" i="20"/>
  <c r="CH48" i="20"/>
  <c r="CE48" i="20"/>
  <c r="BD48" i="20" s="1"/>
  <c r="BY48" i="20"/>
  <c r="CD48" i="20" s="1"/>
  <c r="BC48" i="20" s="1"/>
  <c r="BF48" i="20"/>
  <c r="CI47" i="20"/>
  <c r="CH47" i="20"/>
  <c r="CC47" i="20"/>
  <c r="CB47" i="20"/>
  <c r="CA47" i="20"/>
  <c r="BZ47" i="20"/>
  <c r="BY47" i="20"/>
  <c r="BE47" i="20" s="1"/>
  <c r="BX47" i="20"/>
  <c r="BT47" i="20"/>
  <c r="BS47" i="20"/>
  <c r="CE46" i="20"/>
  <c r="BF46" i="20"/>
  <c r="BE46" i="20"/>
  <c r="CE45" i="20"/>
  <c r="BF45" i="20"/>
  <c r="BE45" i="20"/>
  <c r="CI44" i="20"/>
  <c r="CH44" i="20"/>
  <c r="CC44" i="20"/>
  <c r="CB44" i="20"/>
  <c r="BZ44" i="20"/>
  <c r="BF44" i="20" s="1"/>
  <c r="BY44" i="20"/>
  <c r="BE44" i="20" s="1"/>
  <c r="BX44" i="20"/>
  <c r="BS44" i="20"/>
  <c r="CH43" i="20"/>
  <c r="BT43" i="20"/>
  <c r="CE43" i="20" s="1"/>
  <c r="BD43" i="20" s="1"/>
  <c r="BF43" i="20"/>
  <c r="BE43" i="20"/>
  <c r="CI42" i="20"/>
  <c r="CH42" i="20"/>
  <c r="BZ42" i="20"/>
  <c r="BF42" i="20" s="1"/>
  <c r="BX42" i="20"/>
  <c r="BS42" i="20"/>
  <c r="BE42" i="20"/>
  <c r="CE41" i="20"/>
  <c r="BP41" i="20"/>
  <c r="BL41" i="20"/>
  <c r="BF41" i="20"/>
  <c r="BE41" i="20"/>
  <c r="CI40" i="20"/>
  <c r="CH40" i="20"/>
  <c r="CG40" i="20"/>
  <c r="CF40" i="20"/>
  <c r="CC40" i="20"/>
  <c r="CB40" i="20"/>
  <c r="CA40" i="20"/>
  <c r="BZ40" i="20"/>
  <c r="BY40" i="20"/>
  <c r="BE40" i="20" s="1"/>
  <c r="BX40" i="20"/>
  <c r="BW40" i="20"/>
  <c r="BW110" i="20" s="1"/>
  <c r="BV40" i="20"/>
  <c r="BT40" i="20"/>
  <c r="BS40" i="20"/>
  <c r="CH39" i="20"/>
  <c r="BX39" i="20"/>
  <c r="CE39" i="20" s="1"/>
  <c r="BF39" i="20"/>
  <c r="BE39" i="20"/>
  <c r="CI38" i="20"/>
  <c r="CH38" i="20"/>
  <c r="CC38" i="20"/>
  <c r="CB38" i="20"/>
  <c r="BZ38" i="20"/>
  <c r="BF38" i="20" s="1"/>
  <c r="BS38" i="20"/>
  <c r="BP38" i="20"/>
  <c r="BO38" i="20"/>
  <c r="BN38" i="20"/>
  <c r="BN110" i="20" s="1"/>
  <c r="BL38" i="20"/>
  <c r="BE38" i="20"/>
  <c r="CI37" i="20"/>
  <c r="CH37" i="20"/>
  <c r="CC37" i="20"/>
  <c r="CB37" i="20"/>
  <c r="BZ37" i="20"/>
  <c r="BF37" i="20" s="1"/>
  <c r="BX37" i="20"/>
  <c r="BS37" i="20"/>
  <c r="BE37" i="20"/>
  <c r="CI36" i="20"/>
  <c r="CH36" i="20"/>
  <c r="CG36" i="20"/>
  <c r="CF36" i="20"/>
  <c r="CC36" i="20"/>
  <c r="CB36" i="20"/>
  <c r="CA36" i="20"/>
  <c r="BZ36" i="20"/>
  <c r="BY36" i="20"/>
  <c r="BE36" i="20" s="1"/>
  <c r="BX36" i="20"/>
  <c r="BS36" i="20"/>
  <c r="BR36" i="20"/>
  <c r="BQ36" i="20"/>
  <c r="BK36" i="20"/>
  <c r="BI36" i="20"/>
  <c r="CE35" i="20"/>
  <c r="CD35" i="20"/>
  <c r="BC35" i="20" s="1"/>
  <c r="BF35" i="20"/>
  <c r="BE35" i="20"/>
  <c r="CI34" i="20"/>
  <c r="CH34" i="20"/>
  <c r="BX34" i="20"/>
  <c r="BT34" i="20"/>
  <c r="BF34" i="20"/>
  <c r="BE34" i="20"/>
  <c r="CI33" i="20"/>
  <c r="CH33" i="20"/>
  <c r="BZ33" i="20"/>
  <c r="BF33" i="20" s="1"/>
  <c r="BX33" i="20"/>
  <c r="BT33" i="20"/>
  <c r="BE33" i="20"/>
  <c r="CI32" i="20"/>
  <c r="CH32" i="20"/>
  <c r="BT32" i="20"/>
  <c r="CE32" i="20" s="1"/>
  <c r="BD32" i="20" s="1"/>
  <c r="BF32" i="20"/>
  <c r="BE32" i="20"/>
  <c r="CI31" i="20"/>
  <c r="CH31" i="20"/>
  <c r="BT31" i="20"/>
  <c r="CE31" i="20" s="1"/>
  <c r="BD31" i="20" s="1"/>
  <c r="BF31" i="20"/>
  <c r="BE31" i="20"/>
  <c r="CI30" i="20"/>
  <c r="CH30" i="20"/>
  <c r="BT30" i="20"/>
  <c r="CE30" i="20" s="1"/>
  <c r="BD30" i="20" s="1"/>
  <c r="BF30" i="20"/>
  <c r="BE30" i="20"/>
  <c r="CI27" i="20"/>
  <c r="CH27" i="20"/>
  <c r="CE27" i="20"/>
  <c r="BD27" i="20" s="1"/>
  <c r="CD27" i="20"/>
  <c r="BC27" i="20" s="1"/>
  <c r="BF27" i="20"/>
  <c r="BE27" i="20"/>
  <c r="CI26" i="20"/>
  <c r="CH26" i="20"/>
  <c r="CG26" i="20"/>
  <c r="CF26" i="20"/>
  <c r="CA26" i="20"/>
  <c r="BZ26" i="20"/>
  <c r="BX26" i="20"/>
  <c r="BS26" i="20"/>
  <c r="BE26" i="20"/>
  <c r="CI25" i="20"/>
  <c r="CH25" i="20"/>
  <c r="BZ25" i="20"/>
  <c r="BF25" i="20" s="1"/>
  <c r="BX25" i="20"/>
  <c r="BT25" i="20"/>
  <c r="BS25" i="20"/>
  <c r="BE25" i="20"/>
  <c r="CE24" i="20"/>
  <c r="CD24" i="20"/>
  <c r="BF24" i="20"/>
  <c r="BE24" i="20"/>
  <c r="CI23" i="20"/>
  <c r="CH23" i="20"/>
  <c r="CG23" i="20"/>
  <c r="CC23" i="20"/>
  <c r="CB23" i="20"/>
  <c r="CA23" i="20"/>
  <c r="BZ23" i="20"/>
  <c r="BY23" i="20"/>
  <c r="BE23" i="20" s="1"/>
  <c r="BX23" i="20"/>
  <c r="BT23" i="20"/>
  <c r="BS23" i="20"/>
  <c r="BR23" i="20"/>
  <c r="BQ23" i="20"/>
  <c r="CE22" i="20"/>
  <c r="CD22" i="20"/>
  <c r="BF22" i="20"/>
  <c r="BE22" i="20"/>
  <c r="CI21" i="20"/>
  <c r="CH21" i="20"/>
  <c r="CC21" i="20"/>
  <c r="CB21" i="20"/>
  <c r="BZ21" i="20"/>
  <c r="BF21" i="20" s="1"/>
  <c r="BY21" i="20"/>
  <c r="BE21" i="20" s="1"/>
  <c r="BS21" i="20"/>
  <c r="BM21" i="20"/>
  <c r="CH20" i="20"/>
  <c r="CC20" i="20"/>
  <c r="CB20" i="20"/>
  <c r="BZ20" i="20"/>
  <c r="BF20" i="20" s="1"/>
  <c r="BY20" i="20"/>
  <c r="BE20" i="20" s="1"/>
  <c r="BX20" i="20"/>
  <c r="BS20" i="20"/>
  <c r="BP20" i="20"/>
  <c r="BM20" i="20"/>
  <c r="BL20" i="20"/>
  <c r="CH19" i="20"/>
  <c r="CC19" i="20"/>
  <c r="CB19" i="20"/>
  <c r="BZ19" i="20"/>
  <c r="BY19" i="20"/>
  <c r="BE19" i="20" s="1"/>
  <c r="BX19" i="20"/>
  <c r="BS19" i="20"/>
  <c r="BP19" i="20"/>
  <c r="BO19" i="20"/>
  <c r="BM19" i="20"/>
  <c r="BL19" i="20"/>
  <c r="BF19" i="20"/>
  <c r="CI18" i="20"/>
  <c r="CE18" i="20"/>
  <c r="CD18" i="20"/>
  <c r="CH17" i="20"/>
  <c r="CG17" i="20"/>
  <c r="CF17" i="20"/>
  <c r="CC17" i="20"/>
  <c r="CB17" i="20"/>
  <c r="CA17" i="20"/>
  <c r="BZ17" i="20"/>
  <c r="BY17" i="20"/>
  <c r="BE17" i="20" s="1"/>
  <c r="BX17" i="20"/>
  <c r="BT17" i="20"/>
  <c r="BK17" i="20"/>
  <c r="BJ17" i="20"/>
  <c r="BI17" i="20"/>
  <c r="CH16" i="20"/>
  <c r="CG16" i="20"/>
  <c r="CF16" i="20"/>
  <c r="CC16" i="20"/>
  <c r="CB16" i="20"/>
  <c r="CA16" i="20"/>
  <c r="BZ16" i="20"/>
  <c r="BY16" i="20"/>
  <c r="BE16" i="20" s="1"/>
  <c r="BX16" i="20"/>
  <c r="BS16" i="20"/>
  <c r="BK16" i="20"/>
  <c r="BJ16" i="20"/>
  <c r="BI16" i="20"/>
  <c r="CH15" i="20"/>
  <c r="CG15" i="20"/>
  <c r="CF15" i="20"/>
  <c r="CC15" i="20"/>
  <c r="CB15" i="20"/>
  <c r="CA15" i="20"/>
  <c r="BZ15" i="20"/>
  <c r="BY15" i="20"/>
  <c r="BE15" i="20" s="1"/>
  <c r="BX15" i="20"/>
  <c r="BT15" i="20"/>
  <c r="BS15" i="20"/>
  <c r="BR15" i="20"/>
  <c r="BQ15" i="20"/>
  <c r="CH14" i="20"/>
  <c r="CG14" i="20"/>
  <c r="CF14" i="20"/>
  <c r="CC14" i="20"/>
  <c r="CB14" i="20"/>
  <c r="CA14" i="20"/>
  <c r="BZ14" i="20"/>
  <c r="BY14" i="20"/>
  <c r="BE14" i="20" s="1"/>
  <c r="BX14" i="20"/>
  <c r="BV14" i="20"/>
  <c r="BT14" i="20"/>
  <c r="BS14" i="20"/>
  <c r="BR14" i="20"/>
  <c r="BQ14" i="20"/>
  <c r="CH13" i="20"/>
  <c r="CG13" i="20"/>
  <c r="CF13" i="20"/>
  <c r="CC13" i="20"/>
  <c r="CB13" i="20"/>
  <c r="CA13" i="20"/>
  <c r="BZ13" i="20"/>
  <c r="BY13" i="20"/>
  <c r="BE13" i="20" s="1"/>
  <c r="BX13" i="20"/>
  <c r="BV13" i="20"/>
  <c r="BT13" i="20"/>
  <c r="BS13" i="20"/>
  <c r="BQ13" i="20"/>
  <c r="CH12" i="20"/>
  <c r="CG12" i="20"/>
  <c r="CC12" i="20"/>
  <c r="CB12" i="20"/>
  <c r="CA12" i="20"/>
  <c r="BZ12" i="20"/>
  <c r="BY12" i="20"/>
  <c r="BE12" i="20" s="1"/>
  <c r="BX12" i="20"/>
  <c r="BS12" i="20"/>
  <c r="CH11" i="20"/>
  <c r="CG11" i="20"/>
  <c r="CF11" i="20"/>
  <c r="CC11" i="20"/>
  <c r="CB11" i="20"/>
  <c r="CA11" i="20"/>
  <c r="BZ11" i="20"/>
  <c r="BY11" i="20"/>
  <c r="BX11" i="20"/>
  <c r="BS11" i="20"/>
  <c r="BK11" i="20"/>
  <c r="BJ11" i="20"/>
  <c r="BI11" i="20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1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CH10" i="20"/>
  <c r="CG10" i="20"/>
  <c r="CF10" i="20"/>
  <c r="CC10" i="20"/>
  <c r="CB10" i="20"/>
  <c r="BX10" i="20"/>
  <c r="BS10" i="20"/>
  <c r="BJ10" i="20"/>
  <c r="BI10" i="20"/>
  <c r="BF10" i="20"/>
  <c r="BE10" i="20"/>
  <c r="CE9" i="20"/>
  <c r="CD9" i="20"/>
  <c r="CI9" i="20" s="1"/>
  <c r="BF36" i="20" l="1"/>
  <c r="BF26" i="20"/>
  <c r="CD126" i="20"/>
  <c r="CE42" i="20"/>
  <c r="BD42" i="20" s="1"/>
  <c r="BF64" i="20"/>
  <c r="CD128" i="20"/>
  <c r="CI129" i="20"/>
  <c r="BF13" i="20"/>
  <c r="BF47" i="20"/>
  <c r="CD70" i="20"/>
  <c r="BC70" i="20" s="1"/>
  <c r="CI124" i="20"/>
  <c r="BF11" i="20"/>
  <c r="BP110" i="20"/>
  <c r="CD153" i="20"/>
  <c r="CE37" i="20"/>
  <c r="BD37" i="20" s="1"/>
  <c r="CD38" i="20"/>
  <c r="BC38" i="20" s="1"/>
  <c r="CE44" i="20"/>
  <c r="BD44" i="20" s="1"/>
  <c r="BF17" i="20"/>
  <c r="BM110" i="20"/>
  <c r="CE21" i="20"/>
  <c r="BD21" i="20" s="1"/>
  <c r="BI110" i="20"/>
  <c r="BF14" i="20"/>
  <c r="CF143" i="20"/>
  <c r="CI120" i="20"/>
  <c r="CD34" i="20"/>
  <c r="BC34" i="20" s="1"/>
  <c r="BF53" i="20"/>
  <c r="CE61" i="20"/>
  <c r="BD61" i="20" s="1"/>
  <c r="CI130" i="20"/>
  <c r="BF23" i="20"/>
  <c r="CD31" i="20"/>
  <c r="BC31" i="20" s="1"/>
  <c r="CD36" i="20"/>
  <c r="BC36" i="20" s="1"/>
  <c r="BE69" i="20"/>
  <c r="BE128" i="20"/>
  <c r="CI153" i="20"/>
  <c r="BF153" i="20"/>
  <c r="BV110" i="20"/>
  <c r="CD47" i="20"/>
  <c r="BC47" i="20" s="1"/>
  <c r="CH143" i="20"/>
  <c r="CB143" i="20"/>
  <c r="CD120" i="20"/>
  <c r="BE153" i="20"/>
  <c r="CI13" i="20"/>
  <c r="CE26" i="20"/>
  <c r="BD26" i="20" s="1"/>
  <c r="CD30" i="20"/>
  <c r="BC30" i="20" s="1"/>
  <c r="CE33" i="20"/>
  <c r="BD33" i="20" s="1"/>
  <c r="CE56" i="20"/>
  <c r="BD56" i="20" s="1"/>
  <c r="CD100" i="20"/>
  <c r="BC100" i="20" s="1"/>
  <c r="CD122" i="20"/>
  <c r="BF124" i="20"/>
  <c r="CE12" i="20"/>
  <c r="BD12" i="20" s="1"/>
  <c r="BF12" i="20"/>
  <c r="CE13" i="20"/>
  <c r="BD13" i="20" s="1"/>
  <c r="CI16" i="20"/>
  <c r="BF16" i="20"/>
  <c r="BL110" i="20"/>
  <c r="CD21" i="20"/>
  <c r="BC21" i="20" s="1"/>
  <c r="CE25" i="20"/>
  <c r="BD25" i="20" s="1"/>
  <c r="CD26" i="20"/>
  <c r="BC26" i="20" s="1"/>
  <c r="CD37" i="20"/>
  <c r="BC37" i="20" s="1"/>
  <c r="CD40" i="20"/>
  <c r="BC40" i="20" s="1"/>
  <c r="BF40" i="20"/>
  <c r="CD43" i="20"/>
  <c r="BC43" i="20" s="1"/>
  <c r="CE47" i="20"/>
  <c r="BD47" i="20" s="1"/>
  <c r="CE67" i="20"/>
  <c r="BD67" i="20" s="1"/>
  <c r="CD72" i="20"/>
  <c r="BC72" i="20" s="1"/>
  <c r="CD102" i="20"/>
  <c r="BC102" i="20" s="1"/>
  <c r="CC143" i="20"/>
  <c r="CD121" i="20"/>
  <c r="CE124" i="20"/>
  <c r="CD127" i="20"/>
  <c r="CE131" i="20"/>
  <c r="CD53" i="20"/>
  <c r="BC53" i="20" s="1"/>
  <c r="CD58" i="20"/>
  <c r="BC58" i="20" s="1"/>
  <c r="CE58" i="20"/>
  <c r="BD58" i="20" s="1"/>
  <c r="CE127" i="20"/>
  <c r="BT143" i="20"/>
  <c r="BX143" i="20"/>
  <c r="BS110" i="20"/>
  <c r="CG110" i="20"/>
  <c r="CI17" i="20"/>
  <c r="CD20" i="20"/>
  <c r="BC20" i="20" s="1"/>
  <c r="CD23" i="20"/>
  <c r="BC23" i="20" s="1"/>
  <c r="CE34" i="20"/>
  <c r="BD34" i="20" s="1"/>
  <c r="CD44" i="20"/>
  <c r="BC44" i="20" s="1"/>
  <c r="BE48" i="20"/>
  <c r="CD13" i="20"/>
  <c r="BC13" i="20" s="1"/>
  <c r="BF15" i="20"/>
  <c r="BO110" i="20"/>
  <c r="CE23" i="20"/>
  <c r="BD23" i="20" s="1"/>
  <c r="CD32" i="20"/>
  <c r="BC32" i="20" s="1"/>
  <c r="CD33" i="20"/>
  <c r="BC33" i="20" s="1"/>
  <c r="CE36" i="20"/>
  <c r="BD36" i="20" s="1"/>
  <c r="CE40" i="20"/>
  <c r="BD40" i="20" s="1"/>
  <c r="CD42" i="20"/>
  <c r="BC42" i="20" s="1"/>
  <c r="CE53" i="20"/>
  <c r="BD53" i="20" s="1"/>
  <c r="CD73" i="20"/>
  <c r="BC73" i="20" s="1"/>
  <c r="BB73" i="20" s="1"/>
  <c r="BB110" i="20" s="1"/>
  <c r="CD77" i="20"/>
  <c r="BC77" i="20" s="1"/>
  <c r="BS143" i="20"/>
  <c r="BF118" i="20"/>
  <c r="CE153" i="20"/>
  <c r="A138" i="20"/>
  <c r="A140" i="20" s="1"/>
  <c r="A142" i="20" s="1"/>
  <c r="A145" i="20" s="1"/>
  <c r="A146" i="20" s="1"/>
  <c r="A147" i="20" s="1"/>
  <c r="A148" i="20" s="1"/>
  <c r="A149" i="20" s="1"/>
  <c r="A150" i="20" s="1"/>
  <c r="A151" i="20" s="1"/>
  <c r="A152" i="20" s="1"/>
  <c r="A137" i="20"/>
  <c r="A139" i="20" s="1"/>
  <c r="A141" i="20" s="1"/>
  <c r="CD10" i="20"/>
  <c r="BC10" i="20" s="1"/>
  <c r="CD16" i="20"/>
  <c r="BC16" i="20" s="1"/>
  <c r="CD17" i="20"/>
  <c r="BY110" i="20"/>
  <c r="BE11" i="20"/>
  <c r="CI12" i="20"/>
  <c r="CD12" i="20"/>
  <c r="BC12" i="20" s="1"/>
  <c r="CI15" i="20"/>
  <c r="CE15" i="20"/>
  <c r="BD15" i="20" s="1"/>
  <c r="CD15" i="20"/>
  <c r="BC15" i="20" s="1"/>
  <c r="BQ110" i="20"/>
  <c r="CD25" i="20"/>
  <c r="BC25" i="20" s="1"/>
  <c r="CI39" i="20"/>
  <c r="BD39" i="20"/>
  <c r="CI14" i="20"/>
  <c r="CC110" i="20"/>
  <c r="CH110" i="20"/>
  <c r="CI11" i="20"/>
  <c r="CE16" i="20"/>
  <c r="BD16" i="20" s="1"/>
  <c r="CE17" i="20"/>
  <c r="BD17" i="20" s="1"/>
  <c r="CD19" i="20"/>
  <c r="BC19" i="20" s="1"/>
  <c r="CE20" i="20"/>
  <c r="BD20" i="20" s="1"/>
  <c r="CE38" i="20"/>
  <c r="BD38" i="20" s="1"/>
  <c r="BX110" i="20"/>
  <c r="CE10" i="20"/>
  <c r="BD10" i="20" s="1"/>
  <c r="CI10" i="20"/>
  <c r="BK110" i="20"/>
  <c r="BZ110" i="20"/>
  <c r="CD11" i="20"/>
  <c r="BC11" i="20" s="1"/>
  <c r="CD14" i="20"/>
  <c r="BC14" i="20" s="1"/>
  <c r="CE19" i="20"/>
  <c r="BD19" i="20" s="1"/>
  <c r="CI20" i="20"/>
  <c r="BD35" i="20"/>
  <c r="CD39" i="20"/>
  <c r="BC39" i="20" s="1"/>
  <c r="CE54" i="20"/>
  <c r="BD54" i="20" s="1"/>
  <c r="CD64" i="20"/>
  <c r="BC64" i="20" s="1"/>
  <c r="CE65" i="20"/>
  <c r="BD65" i="20" s="1"/>
  <c r="CD65" i="20"/>
  <c r="BC65" i="20" s="1"/>
  <c r="CE68" i="20"/>
  <c r="BD68" i="20" s="1"/>
  <c r="CD68" i="20"/>
  <c r="BC68" i="20" s="1"/>
  <c r="CE71" i="20"/>
  <c r="BD71" i="20" s="1"/>
  <c r="CD71" i="20"/>
  <c r="BC71" i="20" s="1"/>
  <c r="CE101" i="20"/>
  <c r="BD101" i="20" s="1"/>
  <c r="CD101" i="20"/>
  <c r="BC101" i="20" s="1"/>
  <c r="BU110" i="20"/>
  <c r="CG143" i="20"/>
  <c r="CD124" i="20"/>
  <c r="CB110" i="20"/>
  <c r="CF110" i="20"/>
  <c r="CA110" i="20"/>
  <c r="CE11" i="20"/>
  <c r="BD11" i="20" s="1"/>
  <c r="CE14" i="20"/>
  <c r="BD14" i="20" s="1"/>
  <c r="CE91" i="20"/>
  <c r="BD91" i="20" s="1"/>
  <c r="CD91" i="20"/>
  <c r="BC91" i="20" s="1"/>
  <c r="CI117" i="20"/>
  <c r="BE117" i="20"/>
  <c r="BY143" i="20"/>
  <c r="CD117" i="20"/>
  <c r="CD123" i="20"/>
  <c r="CI123" i="20" s="1"/>
  <c r="CE123" i="20"/>
  <c r="BJ110" i="20"/>
  <c r="BT110" i="20"/>
  <c r="BR110" i="20"/>
  <c r="CI19" i="20"/>
  <c r="CE70" i="20"/>
  <c r="BD70" i="20" s="1"/>
  <c r="CE116" i="20"/>
  <c r="CD116" i="20"/>
  <c r="CE129" i="20"/>
  <c r="CD129" i="20"/>
  <c r="CD54" i="20"/>
  <c r="BC54" i="20" s="1"/>
  <c r="CD63" i="20"/>
  <c r="BC63" i="20" s="1"/>
  <c r="CD118" i="20"/>
  <c r="CE120" i="20"/>
  <c r="CE121" i="20"/>
  <c r="CE122" i="20"/>
  <c r="CD57" i="20"/>
  <c r="BC57" i="20" s="1"/>
  <c r="CD62" i="20"/>
  <c r="BC62" i="20" s="1"/>
  <c r="CD66" i="20"/>
  <c r="BC66" i="20" s="1"/>
  <c r="CE118" i="20"/>
  <c r="CI118" i="20"/>
  <c r="CD130" i="20"/>
  <c r="BF117" i="20"/>
  <c r="BE110" i="20" l="1"/>
  <c r="BE143" i="20"/>
  <c r="BF110" i="20"/>
  <c r="CI143" i="20"/>
  <c r="CE143" i="20"/>
  <c r="CD143" i="20"/>
  <c r="CI110" i="20"/>
  <c r="CE110" i="20"/>
  <c r="CD110" i="20"/>
  <c r="BD110" i="20"/>
  <c r="BC110" i="20"/>
  <c r="M155" i="18"/>
  <c r="L155" i="18"/>
  <c r="I155" i="18"/>
  <c r="H155" i="18"/>
  <c r="G155" i="18"/>
  <c r="K150" i="18"/>
  <c r="J150" i="18"/>
  <c r="K149" i="18"/>
  <c r="J149" i="18"/>
  <c r="K148" i="18"/>
  <c r="J148" i="18"/>
  <c r="K147" i="18"/>
  <c r="J147" i="18"/>
  <c r="L145" i="18"/>
  <c r="I145" i="18"/>
  <c r="H145" i="18"/>
  <c r="G145" i="18"/>
  <c r="K140" i="18"/>
  <c r="J140" i="18"/>
  <c r="K139" i="18"/>
  <c r="J139" i="18"/>
  <c r="K138" i="18"/>
  <c r="J138" i="18"/>
  <c r="K137" i="18"/>
  <c r="J137" i="18"/>
  <c r="K136" i="18"/>
  <c r="J136" i="18"/>
  <c r="K135" i="18"/>
  <c r="J135" i="18"/>
  <c r="K134" i="18"/>
  <c r="J134" i="18"/>
  <c r="K133" i="18"/>
  <c r="J133" i="18"/>
  <c r="K132" i="18"/>
  <c r="J132" i="18"/>
  <c r="K131" i="18"/>
  <c r="J131" i="18"/>
  <c r="K130" i="18"/>
  <c r="J130" i="18"/>
  <c r="K129" i="18"/>
  <c r="J129" i="18"/>
  <c r="K128" i="18"/>
  <c r="J128" i="18"/>
  <c r="K127" i="18"/>
  <c r="J127" i="18"/>
  <c r="K126" i="18"/>
  <c r="J126" i="18"/>
  <c r="K125" i="18"/>
  <c r="J125" i="18"/>
  <c r="K124" i="18"/>
  <c r="J124" i="18"/>
  <c r="K123" i="18"/>
  <c r="J123" i="18"/>
  <c r="K122" i="18"/>
  <c r="J122" i="18"/>
  <c r="M121" i="18"/>
  <c r="M145" i="18" s="1"/>
  <c r="K121" i="18"/>
  <c r="J121" i="18"/>
  <c r="K120" i="18"/>
  <c r="J120" i="18"/>
  <c r="K119" i="18"/>
  <c r="J119" i="18"/>
  <c r="K118" i="18"/>
  <c r="J118" i="18"/>
  <c r="K117" i="18"/>
  <c r="J117" i="18"/>
  <c r="K116" i="18"/>
  <c r="J116" i="18"/>
  <c r="M114" i="18"/>
  <c r="I114" i="18"/>
  <c r="G114" i="18"/>
  <c r="M112" i="18"/>
  <c r="L112" i="18"/>
  <c r="K106" i="18"/>
  <c r="K105" i="18"/>
  <c r="K104" i="18"/>
  <c r="J104" i="18"/>
  <c r="I104" i="18"/>
  <c r="H104" i="18"/>
  <c r="K103" i="18"/>
  <c r="J103" i="18"/>
  <c r="I103" i="18"/>
  <c r="H103" i="18"/>
  <c r="K102" i="18"/>
  <c r="J102" i="18"/>
  <c r="I102" i="18"/>
  <c r="H102" i="18"/>
  <c r="K101" i="18"/>
  <c r="J101" i="18"/>
  <c r="K100" i="18"/>
  <c r="J100" i="18"/>
  <c r="K99" i="18"/>
  <c r="J99" i="18"/>
  <c r="K98" i="18"/>
  <c r="J98" i="18"/>
  <c r="K97" i="18"/>
  <c r="J97" i="18"/>
  <c r="K96" i="18"/>
  <c r="J96" i="18"/>
  <c r="K95" i="18"/>
  <c r="J95" i="18"/>
  <c r="K94" i="18"/>
  <c r="J94" i="18"/>
  <c r="K93" i="18"/>
  <c r="J93" i="18"/>
  <c r="I93" i="18"/>
  <c r="H93" i="18"/>
  <c r="K92" i="18"/>
  <c r="J92" i="18"/>
  <c r="K91" i="18"/>
  <c r="J91" i="18"/>
  <c r="K90" i="18"/>
  <c r="J90" i="18"/>
  <c r="K89" i="18"/>
  <c r="J89" i="18"/>
  <c r="K88" i="18"/>
  <c r="J88" i="18"/>
  <c r="K87" i="18"/>
  <c r="J87" i="18"/>
  <c r="K86" i="18"/>
  <c r="J86" i="18"/>
  <c r="K85" i="18"/>
  <c r="J85" i="18"/>
  <c r="K84" i="18"/>
  <c r="J84" i="18"/>
  <c r="K83" i="18"/>
  <c r="J83" i="18"/>
  <c r="K82" i="18"/>
  <c r="J82" i="18"/>
  <c r="K81" i="18"/>
  <c r="J81" i="18"/>
  <c r="K80" i="18"/>
  <c r="J80" i="18"/>
  <c r="K79" i="18"/>
  <c r="J79" i="18"/>
  <c r="I79" i="18"/>
  <c r="H79" i="18"/>
  <c r="K78" i="18"/>
  <c r="J78" i="18"/>
  <c r="K77" i="18"/>
  <c r="J77" i="18"/>
  <c r="I77" i="18"/>
  <c r="H77" i="18"/>
  <c r="K76" i="18"/>
  <c r="J76" i="18"/>
  <c r="K75" i="18"/>
  <c r="J75" i="18"/>
  <c r="I75" i="18"/>
  <c r="H75" i="18"/>
  <c r="G75" i="18"/>
  <c r="G112" i="18" s="1"/>
  <c r="K74" i="18"/>
  <c r="J74" i="18"/>
  <c r="I74" i="18"/>
  <c r="H74" i="18"/>
  <c r="K73" i="18"/>
  <c r="J73" i="18"/>
  <c r="I73" i="18"/>
  <c r="H73" i="18"/>
  <c r="K72" i="18"/>
  <c r="J72" i="18"/>
  <c r="I72" i="18"/>
  <c r="H72" i="18"/>
  <c r="K71" i="18"/>
  <c r="J71" i="18"/>
  <c r="I71" i="18"/>
  <c r="H71" i="18"/>
  <c r="K70" i="18"/>
  <c r="J70" i="18"/>
  <c r="I70" i="18"/>
  <c r="H70" i="18"/>
  <c r="K69" i="18"/>
  <c r="J69" i="18"/>
  <c r="I69" i="18"/>
  <c r="H69" i="18"/>
  <c r="K68" i="18"/>
  <c r="J68" i="18"/>
  <c r="I68" i="18"/>
  <c r="H68" i="18"/>
  <c r="K67" i="18"/>
  <c r="J67" i="18"/>
  <c r="I67" i="18"/>
  <c r="H67" i="18"/>
  <c r="K66" i="18"/>
  <c r="J66" i="18"/>
  <c r="I66" i="18"/>
  <c r="H66" i="18"/>
  <c r="K65" i="18"/>
  <c r="J65" i="18"/>
  <c r="I65" i="18"/>
  <c r="H65" i="18"/>
  <c r="K64" i="18"/>
  <c r="J64" i="18"/>
  <c r="I64" i="18"/>
  <c r="H64" i="18"/>
  <c r="K63" i="18"/>
  <c r="J63" i="18"/>
  <c r="I63" i="18"/>
  <c r="H63" i="18"/>
  <c r="K62" i="18"/>
  <c r="J62" i="18"/>
  <c r="K61" i="18"/>
  <c r="J61" i="18"/>
  <c r="K60" i="18"/>
  <c r="J60" i="18"/>
  <c r="I60" i="18"/>
  <c r="H60" i="18"/>
  <c r="K59" i="18"/>
  <c r="J59" i="18"/>
  <c r="I59" i="18"/>
  <c r="H59" i="18"/>
  <c r="K58" i="18"/>
  <c r="J58" i="18"/>
  <c r="I58" i="18"/>
  <c r="H58" i="18"/>
  <c r="K57" i="18"/>
  <c r="J57" i="18"/>
  <c r="K56" i="18"/>
  <c r="J56" i="18"/>
  <c r="I56" i="18"/>
  <c r="H56" i="18"/>
  <c r="K55" i="18"/>
  <c r="J55" i="18"/>
  <c r="I55" i="18"/>
  <c r="H55" i="18"/>
  <c r="K54" i="18"/>
  <c r="J54" i="18"/>
  <c r="K53" i="18"/>
  <c r="J53" i="18"/>
  <c r="K52" i="18"/>
  <c r="J52" i="18"/>
  <c r="K51" i="18"/>
  <c r="J51" i="18"/>
  <c r="K50" i="18"/>
  <c r="J50" i="18"/>
  <c r="I50" i="18"/>
  <c r="H50" i="18"/>
  <c r="K49" i="18"/>
  <c r="J49" i="18"/>
  <c r="I49" i="18"/>
  <c r="H49" i="18"/>
  <c r="K48" i="18"/>
  <c r="J48" i="18"/>
  <c r="K47" i="18"/>
  <c r="J47" i="18"/>
  <c r="K46" i="18"/>
  <c r="J46" i="18"/>
  <c r="I46" i="18"/>
  <c r="H46" i="18"/>
  <c r="K45" i="18"/>
  <c r="J45" i="18"/>
  <c r="I45" i="18"/>
  <c r="H45" i="18"/>
  <c r="K44" i="18"/>
  <c r="J44" i="18"/>
  <c r="I44" i="18"/>
  <c r="H44" i="18"/>
  <c r="K43" i="18"/>
  <c r="J43" i="18"/>
  <c r="K42" i="18"/>
  <c r="J42" i="18"/>
  <c r="I42" i="18"/>
  <c r="H42" i="18"/>
  <c r="K41" i="18"/>
  <c r="J41" i="18"/>
  <c r="I41" i="18"/>
  <c r="H41" i="18"/>
  <c r="K40" i="18"/>
  <c r="J40" i="18"/>
  <c r="I40" i="18"/>
  <c r="H40" i="18"/>
  <c r="K39" i="18"/>
  <c r="J39" i="18"/>
  <c r="I39" i="18"/>
  <c r="H39" i="18"/>
  <c r="K38" i="18"/>
  <c r="J38" i="18"/>
  <c r="I38" i="18"/>
  <c r="H38" i="18"/>
  <c r="K37" i="18"/>
  <c r="J37" i="18"/>
  <c r="I37" i="18"/>
  <c r="H37" i="18"/>
  <c r="K36" i="18"/>
  <c r="J36" i="18"/>
  <c r="I36" i="18"/>
  <c r="H36" i="18"/>
  <c r="K35" i="18"/>
  <c r="J35" i="18"/>
  <c r="I35" i="18"/>
  <c r="H35" i="18"/>
  <c r="K34" i="18"/>
  <c r="J34" i="18"/>
  <c r="I34" i="18"/>
  <c r="H34" i="18"/>
  <c r="K33" i="18"/>
  <c r="J33" i="18"/>
  <c r="I33" i="18"/>
  <c r="H33" i="18"/>
  <c r="K32" i="18"/>
  <c r="J32" i="18"/>
  <c r="I32" i="18"/>
  <c r="H32" i="18"/>
  <c r="K29" i="18"/>
  <c r="J29" i="18"/>
  <c r="I29" i="18"/>
  <c r="H29" i="18"/>
  <c r="K28" i="18"/>
  <c r="J28" i="18"/>
  <c r="I28" i="18"/>
  <c r="H28" i="18"/>
  <c r="K27" i="18"/>
  <c r="J27" i="18"/>
  <c r="I27" i="18"/>
  <c r="H27" i="18"/>
  <c r="K26" i="18"/>
  <c r="J26" i="18"/>
  <c r="K25" i="18"/>
  <c r="J25" i="18"/>
  <c r="I25" i="18"/>
  <c r="H25" i="18"/>
  <c r="K24" i="18"/>
  <c r="J24" i="18"/>
  <c r="K23" i="18"/>
  <c r="J23" i="18"/>
  <c r="I23" i="18"/>
  <c r="H23" i="18"/>
  <c r="K22" i="18"/>
  <c r="J22" i="18"/>
  <c r="I22" i="18"/>
  <c r="H22" i="18"/>
  <c r="K21" i="18"/>
  <c r="J21" i="18"/>
  <c r="I21" i="18"/>
  <c r="H21" i="18"/>
  <c r="K19" i="18"/>
  <c r="J19" i="18"/>
  <c r="I19" i="18"/>
  <c r="K18" i="18"/>
  <c r="J18" i="18"/>
  <c r="I18" i="18"/>
  <c r="H18" i="18"/>
  <c r="K17" i="18"/>
  <c r="J17" i="18"/>
  <c r="I17" i="18"/>
  <c r="H17" i="18"/>
  <c r="K16" i="18"/>
  <c r="J16" i="18"/>
  <c r="I16" i="18"/>
  <c r="H16" i="18"/>
  <c r="K15" i="18"/>
  <c r="J15" i="18"/>
  <c r="I15" i="18"/>
  <c r="H15" i="18"/>
  <c r="K14" i="18"/>
  <c r="J14" i="18"/>
  <c r="I14" i="18"/>
  <c r="H14" i="18"/>
  <c r="K13" i="18"/>
  <c r="J13" i="18"/>
  <c r="I13" i="18"/>
  <c r="H13" i="18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3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K12" i="18"/>
  <c r="J12" i="18"/>
  <c r="I12" i="18"/>
  <c r="H12" i="18"/>
  <c r="M155" i="17"/>
  <c r="L155" i="17"/>
  <c r="I155" i="17"/>
  <c r="H155" i="17"/>
  <c r="G155" i="17"/>
  <c r="K150" i="17"/>
  <c r="J150" i="17"/>
  <c r="K149" i="17"/>
  <c r="J149" i="17"/>
  <c r="K148" i="17"/>
  <c r="J148" i="17"/>
  <c r="K147" i="17"/>
  <c r="J147" i="17"/>
  <c r="L145" i="17"/>
  <c r="I145" i="17"/>
  <c r="H145" i="17"/>
  <c r="G145" i="17"/>
  <c r="K140" i="17"/>
  <c r="J140" i="17"/>
  <c r="K139" i="17"/>
  <c r="J139" i="17"/>
  <c r="K138" i="17"/>
  <c r="J138" i="17"/>
  <c r="K137" i="17"/>
  <c r="J137" i="17"/>
  <c r="K136" i="17"/>
  <c r="J136" i="17"/>
  <c r="K135" i="17"/>
  <c r="J135" i="17"/>
  <c r="K134" i="17"/>
  <c r="J134" i="17"/>
  <c r="K133" i="17"/>
  <c r="J133" i="17"/>
  <c r="K132" i="17"/>
  <c r="J132" i="17"/>
  <c r="K131" i="17"/>
  <c r="J131" i="17"/>
  <c r="K130" i="17"/>
  <c r="J130" i="17"/>
  <c r="K129" i="17"/>
  <c r="J129" i="17"/>
  <c r="K128" i="17"/>
  <c r="J128" i="17"/>
  <c r="K127" i="17"/>
  <c r="J127" i="17"/>
  <c r="K126" i="17"/>
  <c r="J126" i="17"/>
  <c r="K125" i="17"/>
  <c r="J125" i="17"/>
  <c r="K124" i="17"/>
  <c r="J124" i="17"/>
  <c r="K123" i="17"/>
  <c r="J123" i="17"/>
  <c r="K122" i="17"/>
  <c r="J122" i="17"/>
  <c r="M121" i="17"/>
  <c r="M145" i="17" s="1"/>
  <c r="K121" i="17"/>
  <c r="J121" i="17"/>
  <c r="K120" i="17"/>
  <c r="J120" i="17"/>
  <c r="K119" i="17"/>
  <c r="J119" i="17"/>
  <c r="K118" i="17"/>
  <c r="J118" i="17"/>
  <c r="K117" i="17"/>
  <c r="J117" i="17"/>
  <c r="K116" i="17"/>
  <c r="J116" i="17"/>
  <c r="M114" i="17"/>
  <c r="I114" i="17"/>
  <c r="G114" i="17"/>
  <c r="M112" i="17"/>
  <c r="M156" i="17" s="1"/>
  <c r="L112" i="17"/>
  <c r="K106" i="17"/>
  <c r="K105" i="17"/>
  <c r="K104" i="17"/>
  <c r="J104" i="17"/>
  <c r="I104" i="17"/>
  <c r="H104" i="17"/>
  <c r="K103" i="17"/>
  <c r="J103" i="17"/>
  <c r="I103" i="17"/>
  <c r="H103" i="17"/>
  <c r="K102" i="17"/>
  <c r="J102" i="17"/>
  <c r="I102" i="17"/>
  <c r="H102" i="17"/>
  <c r="K101" i="17"/>
  <c r="J101" i="17"/>
  <c r="K100" i="17"/>
  <c r="J100" i="17"/>
  <c r="K99" i="17"/>
  <c r="J99" i="17"/>
  <c r="K98" i="17"/>
  <c r="J98" i="17"/>
  <c r="K97" i="17"/>
  <c r="J97" i="17"/>
  <c r="K96" i="17"/>
  <c r="J96" i="17"/>
  <c r="K95" i="17"/>
  <c r="J95" i="17"/>
  <c r="K94" i="17"/>
  <c r="J94" i="17"/>
  <c r="K93" i="17"/>
  <c r="J93" i="17"/>
  <c r="I93" i="17"/>
  <c r="H93" i="17"/>
  <c r="K92" i="17"/>
  <c r="J92" i="17"/>
  <c r="K91" i="17"/>
  <c r="J91" i="17"/>
  <c r="K90" i="17"/>
  <c r="J90" i="17"/>
  <c r="K89" i="17"/>
  <c r="J89" i="17"/>
  <c r="K88" i="17"/>
  <c r="J88" i="17"/>
  <c r="K87" i="17"/>
  <c r="J87" i="17"/>
  <c r="K86" i="17"/>
  <c r="J86" i="17"/>
  <c r="K85" i="17"/>
  <c r="J85" i="17"/>
  <c r="K84" i="17"/>
  <c r="J84" i="17"/>
  <c r="K83" i="17"/>
  <c r="J83" i="17"/>
  <c r="K82" i="17"/>
  <c r="J82" i="17"/>
  <c r="K81" i="17"/>
  <c r="J81" i="17"/>
  <c r="K80" i="17"/>
  <c r="J80" i="17"/>
  <c r="K79" i="17"/>
  <c r="J79" i="17"/>
  <c r="I79" i="17"/>
  <c r="H79" i="17"/>
  <c r="K78" i="17"/>
  <c r="J78" i="17"/>
  <c r="K77" i="17"/>
  <c r="J77" i="17"/>
  <c r="I77" i="17"/>
  <c r="H77" i="17"/>
  <c r="K76" i="17"/>
  <c r="J76" i="17"/>
  <c r="K75" i="17"/>
  <c r="J75" i="17"/>
  <c r="I75" i="17"/>
  <c r="H75" i="17"/>
  <c r="G75" i="17" s="1"/>
  <c r="G112" i="17" s="1"/>
  <c r="K74" i="17"/>
  <c r="J74" i="17"/>
  <c r="I74" i="17"/>
  <c r="H74" i="17"/>
  <c r="K73" i="17"/>
  <c r="J73" i="17"/>
  <c r="I73" i="17"/>
  <c r="H73" i="17"/>
  <c r="K72" i="17"/>
  <c r="J72" i="17"/>
  <c r="I72" i="17"/>
  <c r="H72" i="17"/>
  <c r="K71" i="17"/>
  <c r="J71" i="17"/>
  <c r="I71" i="17"/>
  <c r="H71" i="17"/>
  <c r="K70" i="17"/>
  <c r="J70" i="17"/>
  <c r="I70" i="17"/>
  <c r="H70" i="17"/>
  <c r="K69" i="17"/>
  <c r="J69" i="17"/>
  <c r="I69" i="17"/>
  <c r="H69" i="17"/>
  <c r="K68" i="17"/>
  <c r="J68" i="17"/>
  <c r="I68" i="17"/>
  <c r="H68" i="17"/>
  <c r="K67" i="17"/>
  <c r="J67" i="17"/>
  <c r="I67" i="17"/>
  <c r="H67" i="17"/>
  <c r="K66" i="17"/>
  <c r="J66" i="17"/>
  <c r="I66" i="17"/>
  <c r="H66" i="17"/>
  <c r="K65" i="17"/>
  <c r="J65" i="17"/>
  <c r="I65" i="17"/>
  <c r="H65" i="17"/>
  <c r="K64" i="17"/>
  <c r="J64" i="17"/>
  <c r="I64" i="17"/>
  <c r="H64" i="17"/>
  <c r="K63" i="17"/>
  <c r="J63" i="17"/>
  <c r="I63" i="17"/>
  <c r="H63" i="17"/>
  <c r="K62" i="17"/>
  <c r="J62" i="17"/>
  <c r="K61" i="17"/>
  <c r="J61" i="17"/>
  <c r="K60" i="17"/>
  <c r="J60" i="17"/>
  <c r="I60" i="17"/>
  <c r="H60" i="17"/>
  <c r="K59" i="17"/>
  <c r="J59" i="17"/>
  <c r="I59" i="17"/>
  <c r="H59" i="17"/>
  <c r="K58" i="17"/>
  <c r="J58" i="17"/>
  <c r="I58" i="17"/>
  <c r="H58" i="17"/>
  <c r="K57" i="17"/>
  <c r="J57" i="17"/>
  <c r="K56" i="17"/>
  <c r="J56" i="17"/>
  <c r="I56" i="17"/>
  <c r="H56" i="17"/>
  <c r="K55" i="17"/>
  <c r="J55" i="17"/>
  <c r="I55" i="17"/>
  <c r="H55" i="17"/>
  <c r="K54" i="17"/>
  <c r="J54" i="17"/>
  <c r="K53" i="17"/>
  <c r="J53" i="17"/>
  <c r="K52" i="17"/>
  <c r="J52" i="17"/>
  <c r="K51" i="17"/>
  <c r="J51" i="17"/>
  <c r="K50" i="17"/>
  <c r="J50" i="17"/>
  <c r="I50" i="17"/>
  <c r="H50" i="17"/>
  <c r="K49" i="17"/>
  <c r="J49" i="17"/>
  <c r="I49" i="17"/>
  <c r="H49" i="17"/>
  <c r="K48" i="17"/>
  <c r="J48" i="17"/>
  <c r="K47" i="17"/>
  <c r="J47" i="17"/>
  <c r="K46" i="17"/>
  <c r="J46" i="17"/>
  <c r="I46" i="17"/>
  <c r="H46" i="17"/>
  <c r="K45" i="17"/>
  <c r="J45" i="17"/>
  <c r="I45" i="17"/>
  <c r="H45" i="17"/>
  <c r="K44" i="17"/>
  <c r="J44" i="17"/>
  <c r="I44" i="17"/>
  <c r="H44" i="17"/>
  <c r="K43" i="17"/>
  <c r="J43" i="17"/>
  <c r="K42" i="17"/>
  <c r="J42" i="17"/>
  <c r="I42" i="17"/>
  <c r="H42" i="17"/>
  <c r="K41" i="17"/>
  <c r="J41" i="17"/>
  <c r="I41" i="17"/>
  <c r="H41" i="17"/>
  <c r="K40" i="17"/>
  <c r="J40" i="17"/>
  <c r="I40" i="17"/>
  <c r="H40" i="17"/>
  <c r="K39" i="17"/>
  <c r="J39" i="17"/>
  <c r="I39" i="17"/>
  <c r="H39" i="17"/>
  <c r="K38" i="17"/>
  <c r="J38" i="17"/>
  <c r="I38" i="17"/>
  <c r="H38" i="17"/>
  <c r="K37" i="17"/>
  <c r="J37" i="17"/>
  <c r="I37" i="17"/>
  <c r="H37" i="17"/>
  <c r="K36" i="17"/>
  <c r="J36" i="17"/>
  <c r="I36" i="17"/>
  <c r="H36" i="17"/>
  <c r="K35" i="17"/>
  <c r="J35" i="17"/>
  <c r="I35" i="17"/>
  <c r="H35" i="17"/>
  <c r="K34" i="17"/>
  <c r="J34" i="17"/>
  <c r="I34" i="17"/>
  <c r="H34" i="17"/>
  <c r="K33" i="17"/>
  <c r="J33" i="17"/>
  <c r="I33" i="17"/>
  <c r="H33" i="17"/>
  <c r="K32" i="17"/>
  <c r="J32" i="17"/>
  <c r="I32" i="17"/>
  <c r="H32" i="17"/>
  <c r="K29" i="17"/>
  <c r="J29" i="17"/>
  <c r="I29" i="17"/>
  <c r="H29" i="17"/>
  <c r="K28" i="17"/>
  <c r="J28" i="17"/>
  <c r="I28" i="17"/>
  <c r="H28" i="17"/>
  <c r="K27" i="17"/>
  <c r="J27" i="17"/>
  <c r="I27" i="17"/>
  <c r="H27" i="17"/>
  <c r="K26" i="17"/>
  <c r="J26" i="17"/>
  <c r="K25" i="17"/>
  <c r="J25" i="17"/>
  <c r="I25" i="17"/>
  <c r="H25" i="17"/>
  <c r="K24" i="17"/>
  <c r="J24" i="17"/>
  <c r="K23" i="17"/>
  <c r="J23" i="17"/>
  <c r="I23" i="17"/>
  <c r="H23" i="17"/>
  <c r="K22" i="17"/>
  <c r="J22" i="17"/>
  <c r="I22" i="17"/>
  <c r="H22" i="17"/>
  <c r="K21" i="17"/>
  <c r="J21" i="17"/>
  <c r="I21" i="17"/>
  <c r="H21" i="17"/>
  <c r="K19" i="17"/>
  <c r="J19" i="17"/>
  <c r="I19" i="17"/>
  <c r="K18" i="17"/>
  <c r="J18" i="17"/>
  <c r="I18" i="17"/>
  <c r="H18" i="17"/>
  <c r="K17" i="17"/>
  <c r="J17" i="17"/>
  <c r="I17" i="17"/>
  <c r="H17" i="17"/>
  <c r="K16" i="17"/>
  <c r="J16" i="17"/>
  <c r="I16" i="17"/>
  <c r="H16" i="17"/>
  <c r="K15" i="17"/>
  <c r="J15" i="17"/>
  <c r="I15" i="17"/>
  <c r="H15" i="17"/>
  <c r="K14" i="17"/>
  <c r="J14" i="17"/>
  <c r="I14" i="17"/>
  <c r="H14" i="17"/>
  <c r="K13" i="17"/>
  <c r="J13" i="17"/>
  <c r="I13" i="17"/>
  <c r="H13" i="17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3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K12" i="17"/>
  <c r="J12" i="17"/>
  <c r="I12" i="17"/>
  <c r="H12" i="17"/>
  <c r="K112" i="18" l="1"/>
  <c r="I112" i="18"/>
  <c r="J155" i="18"/>
  <c r="H112" i="18"/>
  <c r="J112" i="18"/>
  <c r="J145" i="18"/>
  <c r="K155" i="18"/>
  <c r="J155" i="17"/>
  <c r="I112" i="17"/>
  <c r="J145" i="17"/>
  <c r="K155" i="17"/>
  <c r="G156" i="17"/>
  <c r="L156" i="17"/>
  <c r="I156" i="17"/>
  <c r="A139" i="18"/>
  <c r="A141" i="18" s="1"/>
  <c r="A143" i="18" s="1"/>
  <c r="A140" i="18"/>
  <c r="A142" i="18" s="1"/>
  <c r="A144" i="18" s="1"/>
  <c r="A147" i="18" s="1"/>
  <c r="A148" i="18" s="1"/>
  <c r="A149" i="18" s="1"/>
  <c r="A150" i="18" s="1"/>
  <c r="A151" i="18" s="1"/>
  <c r="A152" i="18" s="1"/>
  <c r="A153" i="18" s="1"/>
  <c r="A154" i="18" s="1"/>
  <c r="K112" i="17"/>
  <c r="K156" i="17" s="1"/>
  <c r="H112" i="17"/>
  <c r="H156" i="17" s="1"/>
  <c r="J112" i="17"/>
  <c r="J156" i="17" s="1"/>
  <c r="A139" i="17"/>
  <c r="A141" i="17" s="1"/>
  <c r="A143" i="17" s="1"/>
  <c r="A140" i="17"/>
  <c r="A142" i="17" s="1"/>
  <c r="A144" i="17" s="1"/>
  <c r="A147" i="17" s="1"/>
  <c r="A148" i="17" s="1"/>
  <c r="A149" i="17" s="1"/>
  <c r="A150" i="17" s="1"/>
  <c r="A151" i="17" s="1"/>
  <c r="A152" i="17" s="1"/>
  <c r="A153" i="17" s="1"/>
  <c r="A154" i="17" s="1"/>
</calcChain>
</file>

<file path=xl/sharedStrings.xml><?xml version="1.0" encoding="utf-8"?>
<sst xmlns="http://schemas.openxmlformats.org/spreadsheetml/2006/main" count="1520" uniqueCount="198">
  <si>
    <t>na zakwaterowanie</t>
  </si>
  <si>
    <t>sale wykładowe</t>
  </si>
  <si>
    <t>sale ćwiczeń</t>
  </si>
  <si>
    <t>laboratoria</t>
  </si>
  <si>
    <t>pokoje wykładowców</t>
  </si>
  <si>
    <t>szkoleniowa</t>
  </si>
  <si>
    <t>biurowo- sztabowa</t>
  </si>
  <si>
    <t>magazynowa</t>
  </si>
  <si>
    <t>garażowa</t>
  </si>
  <si>
    <t>kuchnie</t>
  </si>
  <si>
    <t>stołówki</t>
  </si>
  <si>
    <t>inna użytkowa</t>
  </si>
  <si>
    <t>korytarze, hole</t>
  </si>
  <si>
    <t>Użytkowa do podatku od nieruchomości (według ustawy o podatkach i opłatach lokalnych)</t>
  </si>
  <si>
    <r>
      <t>kubatura ogrzewana (m</t>
    </r>
    <r>
      <rPr>
        <vertAlign val="superscript"/>
        <sz val="11"/>
        <color theme="1"/>
        <rFont val="Czcionka tekstu podstawowego"/>
        <charset val="238"/>
      </rPr>
      <t>3</t>
    </r>
    <r>
      <rPr>
        <sz val="11"/>
        <color theme="1"/>
        <rFont val="Czcionka tekstu podstawowego"/>
        <family val="2"/>
        <charset val="238"/>
      </rPr>
      <t>)</t>
    </r>
  </si>
  <si>
    <t>wysokość kondygnacji (m)</t>
  </si>
  <si>
    <t>mieszkalna 
(izby żołnierskie)</t>
  </si>
  <si>
    <t>służbowa 
(świetlice, pom. pracy d-cy kompanii, d-ców plut., drużyn)</t>
  </si>
  <si>
    <t>gospodarcza 
(magazyny kompanijne, szatnie, suszarni, sale czyszczenia broni, sanitariaty ogólne itp..)</t>
  </si>
  <si>
    <t>pom. pomocnicze 
(magazynki pomocy naukowych, sale konferencyjne, czytelnie, biblioteki, gabinety personelu medycznego)</t>
  </si>
  <si>
    <t>podstawowa 
(stała praca biurowa)</t>
  </si>
  <si>
    <t>pomocnicza 
(sale odpraw, magazynki podręczne, wewnętrzne archiwa itp. związane bezpośrednio ze stałą pracą biurową)</t>
  </si>
  <si>
    <r>
      <t>Powierzchnie netto (ogólna) budynku w m</t>
    </r>
    <r>
      <rPr>
        <b/>
        <vertAlign val="superscript"/>
        <sz val="11"/>
        <color theme="1"/>
        <rFont val="Czcionka tekstu podstawowego"/>
        <charset val="238"/>
      </rPr>
      <t>2</t>
    </r>
  </si>
  <si>
    <t>Przeznaczenie budynku lub budowli</t>
  </si>
  <si>
    <t>Nr obiektu</t>
  </si>
  <si>
    <t>L.p.</t>
  </si>
  <si>
    <t>Numer kompleksu</t>
  </si>
  <si>
    <t>Internat</t>
  </si>
  <si>
    <t>Koszarowy</t>
  </si>
  <si>
    <t>Poliklinika-przychodnia</t>
  </si>
  <si>
    <t>Kasyno</t>
  </si>
  <si>
    <t>Kuchnia i jadalnia (stołówka)</t>
  </si>
  <si>
    <t>Biurowo-sztabowy</t>
  </si>
  <si>
    <t>Koszarowy dla podchorążych</t>
  </si>
  <si>
    <t>Hala sportowa</t>
  </si>
  <si>
    <t>Szkoleniowy</t>
  </si>
  <si>
    <t>Inne gospodarcze</t>
  </si>
  <si>
    <t>Warsztat mechaniczny</t>
  </si>
  <si>
    <t>Magazyn</t>
  </si>
  <si>
    <t>Magazyn amunicji</t>
  </si>
  <si>
    <t>Magazyn broni</t>
  </si>
  <si>
    <t>Inne obiekty ogólno-wojskowe</t>
  </si>
  <si>
    <t>Wiata</t>
  </si>
  <si>
    <t>Inne budynki kubaturowe</t>
  </si>
  <si>
    <t>Inne magazyny ogólnego przeznaczenia</t>
  </si>
  <si>
    <t>Kotłownia</t>
  </si>
  <si>
    <t>Pralnia</t>
  </si>
  <si>
    <t>Stacja uzdatniania wody</t>
  </si>
  <si>
    <t>Basen kryty</t>
  </si>
  <si>
    <t>Inne techniczno-usługowe</t>
  </si>
  <si>
    <t>Inne obiekty terenowe</t>
  </si>
  <si>
    <t>Garaż</t>
  </si>
  <si>
    <t>Przepompownia ścieków</t>
  </si>
  <si>
    <t>Stajnia</t>
  </si>
  <si>
    <t>Inne warsztaty</t>
  </si>
  <si>
    <t>Mieszkalny</t>
  </si>
  <si>
    <t>Socjalno-szkoleniowy</t>
  </si>
  <si>
    <t>Magazyn sprzętu kwaterunkowego</t>
  </si>
  <si>
    <t>Hydrofornia</t>
  </si>
  <si>
    <t>1932-2011</t>
  </si>
  <si>
    <t>1979-2011</t>
  </si>
  <si>
    <t>1970-1972</t>
  </si>
  <si>
    <t>razem powierzchnia (m2)</t>
  </si>
  <si>
    <r>
      <t>Powierzchnia ogrzewania
(m</t>
    </r>
    <r>
      <rPr>
        <vertAlign val="superscript"/>
        <sz val="11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family val="2"/>
        <charset val="238"/>
      </rPr>
      <t>)</t>
    </r>
  </si>
  <si>
    <r>
      <rPr>
        <b/>
        <sz val="11"/>
        <color theme="1"/>
        <rFont val="Czcionka tekstu podstawowego"/>
        <charset val="238"/>
      </rPr>
      <t>Powierzchnia netto budynku (m2)</t>
    </r>
    <r>
      <rPr>
        <sz val="11"/>
        <color theme="1"/>
        <rFont val="Czcionka tekstu podstawowego"/>
        <family val="2"/>
        <charset val="238"/>
      </rPr>
      <t xml:space="preserve">
suma kol. 6÷17</t>
    </r>
  </si>
  <si>
    <r>
      <rPr>
        <b/>
        <sz val="11"/>
        <color theme="1"/>
        <rFont val="Czcionka tekstu podstawowego"/>
        <charset val="238"/>
      </rPr>
      <t>Powierzchnia użytkowa budynku (m2)</t>
    </r>
    <r>
      <rPr>
        <sz val="11"/>
        <color theme="1"/>
        <rFont val="Czcionka tekstu podstawowego"/>
        <family val="2"/>
        <charset val="238"/>
      </rPr>
      <t xml:space="preserve">
suma kol. 6÷14</t>
    </r>
  </si>
  <si>
    <r>
      <rPr>
        <b/>
        <sz val="11"/>
        <color theme="1"/>
        <rFont val="Czcionka tekstu podstawowego"/>
        <charset val="238"/>
      </rPr>
      <t>użytkowa do podatku od nieruchomości (m2)</t>
    </r>
    <r>
      <rPr>
        <sz val="11"/>
        <color theme="1"/>
        <rFont val="Czcionka tekstu podstawowego"/>
        <family val="2"/>
        <charset val="238"/>
      </rPr>
      <t xml:space="preserve">
(suma kol. 6÷16)</t>
    </r>
  </si>
  <si>
    <r>
      <t xml:space="preserve">sanitarnohigieniczna                                 </t>
    </r>
    <r>
      <rPr>
        <b/>
        <sz val="11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charset val="238"/>
      </rPr>
      <t>(umywalnie, kabiny natryskowe, ubikacje)- bez koszarowej</t>
    </r>
  </si>
  <si>
    <t>1967-2013</t>
  </si>
  <si>
    <r>
      <t>Rok budowy-</t>
    </r>
    <r>
      <rPr>
        <sz val="10"/>
        <color theme="1"/>
        <rFont val="Czcionka tekstu podstawowego"/>
        <charset val="238"/>
      </rPr>
      <t>przebudowy</t>
    </r>
  </si>
  <si>
    <t xml:space="preserve"> hydrofornia</t>
  </si>
  <si>
    <t>126A</t>
  </si>
  <si>
    <t>126B</t>
  </si>
  <si>
    <t>126C</t>
  </si>
  <si>
    <t>126D</t>
  </si>
  <si>
    <t>Schrony</t>
  </si>
  <si>
    <t xml:space="preserve">Zbiornik przeciwpożarowy </t>
  </si>
  <si>
    <t>Zbiornik MPS</t>
  </si>
  <si>
    <t>oczyszczalnia ścieków</t>
  </si>
  <si>
    <t>schron</t>
  </si>
  <si>
    <t>magazyn</t>
  </si>
  <si>
    <t>Powierzchnia netto (m2)</t>
  </si>
  <si>
    <t>Powierzchnia użytkowa (m2)</t>
  </si>
  <si>
    <t>KUBATURA zewn. (m3)</t>
  </si>
  <si>
    <t>Powierzchnia zabudowy (m2)</t>
  </si>
  <si>
    <t>Powierzchnia usługowa (m2)</t>
  </si>
  <si>
    <t>Powierzchnia dachu (m2)</t>
  </si>
  <si>
    <t>Kryta ujeżdżalnia</t>
  </si>
  <si>
    <t>1932/2013</t>
  </si>
  <si>
    <t>socjalno-szkoleniowy</t>
  </si>
  <si>
    <t>RAZEM SZKLARSKA PORĘBA "WYSOKI KAMIEŃ"</t>
  </si>
  <si>
    <t>gospodarczo-administracyjny</t>
  </si>
  <si>
    <t>KOMPLEKS 2845</t>
  </si>
  <si>
    <t>KOMPLEKS 3856</t>
  </si>
  <si>
    <t>RAZEM KOMPLEKS 2845</t>
  </si>
  <si>
    <t xml:space="preserve"> </t>
  </si>
  <si>
    <t>Powierzchnia ruchu (m2)</t>
  </si>
  <si>
    <t>Uwagi</t>
  </si>
  <si>
    <t>Lokalizacja</t>
  </si>
  <si>
    <t xml:space="preserve">Gmina </t>
  </si>
  <si>
    <t>Nr ewidencyjny działki</t>
  </si>
  <si>
    <t>Wrocław</t>
  </si>
  <si>
    <t>AM-15</t>
  </si>
  <si>
    <t>Karłowice</t>
  </si>
  <si>
    <t>2/5</t>
  </si>
  <si>
    <t>1</t>
  </si>
  <si>
    <t>Poświętne</t>
  </si>
  <si>
    <t>budowla</t>
  </si>
  <si>
    <t>BUDYNEK W PRZEBUDOWIE</t>
  </si>
  <si>
    <t>budynek</t>
  </si>
  <si>
    <t>budynek-Użyczenie z RZI</t>
  </si>
  <si>
    <t>budowla-Użyczenie z RZI</t>
  </si>
  <si>
    <t>Wisznia Mała</t>
  </si>
  <si>
    <t>Szklarska Poręba</t>
  </si>
  <si>
    <t>Raków</t>
  </si>
  <si>
    <t>1/5</t>
  </si>
  <si>
    <t>AM-1</t>
  </si>
  <si>
    <t>AM-17</t>
  </si>
  <si>
    <t>3/5</t>
  </si>
  <si>
    <t>Kryniczno</t>
  </si>
  <si>
    <t>199/14</t>
  </si>
  <si>
    <t>199/15</t>
  </si>
  <si>
    <t>RAZEM kompleks 3856</t>
  </si>
  <si>
    <t>Trafostacja</t>
  </si>
  <si>
    <t>Inne obiekty terenowe-zbiornik retencyjny</t>
  </si>
  <si>
    <t>Inne obiekty terenowe-odstojnik popłuczyn</t>
  </si>
  <si>
    <t>Inne obiekty terenowe-neutralizator ścieków</t>
  </si>
  <si>
    <t>Inne obiekty terenowe-fund.pod agreg.prąd.</t>
  </si>
  <si>
    <t>przepompownia ścieków</t>
  </si>
  <si>
    <t>Kinowo-audytoryjny</t>
  </si>
  <si>
    <t>1932/2014</t>
  </si>
  <si>
    <t>techniczno-biurowy</t>
  </si>
  <si>
    <t>1912/2014</t>
  </si>
  <si>
    <t>bydynek</t>
  </si>
  <si>
    <t>klatki schodowe, szyby wind, inne nieużytkowe</t>
  </si>
  <si>
    <t>1932/2015</t>
  </si>
  <si>
    <t>koszarowy dla podchorążych</t>
  </si>
  <si>
    <t>245/10</t>
  </si>
  <si>
    <t>Data realizacji przeglądu M-c; dzień, ilość godzin</t>
  </si>
  <si>
    <t>IX</t>
  </si>
  <si>
    <t>X</t>
  </si>
  <si>
    <t>XI</t>
  </si>
  <si>
    <t>Inne obiekty terenowe (wiata letnich odwiedzin)</t>
  </si>
  <si>
    <t>Inne obiekty terenowe (maszt flagowy)</t>
  </si>
  <si>
    <t>Przepompownia ścieków (koło b.19)</t>
  </si>
  <si>
    <t>Wiata (stadion)</t>
  </si>
  <si>
    <t>Inne obiekty terenowe (pomnik)</t>
  </si>
  <si>
    <t>Wiata (zadaszenie rampy przy b.112)</t>
  </si>
  <si>
    <t>Wiata (przyb.112-na odpady pożywnościowe)</t>
  </si>
  <si>
    <t>Wiata (przy bud.13)</t>
  </si>
  <si>
    <t>Wiata (palarnia zewn.)</t>
  </si>
  <si>
    <t>Inne obiekty terenowe (wieża spadochronowa)</t>
  </si>
  <si>
    <t>Inne techniczno-eksploatacyjne (fundament pod KSP)</t>
  </si>
  <si>
    <t>Inne techniczno-usługowe (przy kortach)</t>
  </si>
  <si>
    <t>Inne obiekty terenowe(zbiornik przy myjni)</t>
  </si>
  <si>
    <t>Inne techniczno-eksploatacyjne (przy zbiorniku k.myjni)</t>
  </si>
  <si>
    <t>Inne techniczno-eksploatacyjne(fundament pod agr.prąd.przy b.112)</t>
  </si>
  <si>
    <t>Inne techniczno-eksploatacyjne (mur ppoż.przy b.113)</t>
  </si>
  <si>
    <t>Inne techniczno-eksploatacyjne (fundament pod agr.prąd.przy b.113)</t>
  </si>
  <si>
    <t>Inne obiekty terenowe (zb.,bezodpływowy)</t>
  </si>
  <si>
    <t>Inne obiekty terenowe (zb.,bezodpływowy-hipodrom)</t>
  </si>
  <si>
    <t>Inne obiekty terenowe (trybuna)</t>
  </si>
  <si>
    <t>Inne obiekty terenowe (wiata pom.bud.12-14))</t>
  </si>
  <si>
    <t>Place</t>
  </si>
  <si>
    <t>Drogi</t>
  </si>
  <si>
    <t>Ogrodzenia</t>
  </si>
  <si>
    <t>drogi</t>
  </si>
  <si>
    <t>ogrodzenia</t>
  </si>
  <si>
    <t>terenowe obiekty szkoleniowe</t>
  </si>
  <si>
    <t>Terenowe obiekty szkoleniowe- sportowe</t>
  </si>
  <si>
    <t>Terenowe obiekty szkoleniowe</t>
  </si>
  <si>
    <t>place, drogi, ogrodzenia - część Wrocław</t>
  </si>
  <si>
    <t>place, drogi, ogrodzenia część Raków,Cienin,Kryniczno</t>
  </si>
  <si>
    <t>Terenowe ośrodki szkoleniowe- cz.Wrocław</t>
  </si>
  <si>
    <t>Terenowe ośrodki szkoleniowe- cz.Raków,Cienin</t>
  </si>
  <si>
    <t>Inne obiekty terenowe (rampa do zał. koni)</t>
  </si>
  <si>
    <t>Inne obiekty terenowe (zb.bezodpł. Przy b. 32)</t>
  </si>
  <si>
    <t>Inne budynki kubaturowe (WC)</t>
  </si>
  <si>
    <t xml:space="preserve"> SZKLARSKA PORĘBA "WYSOKI KAMIEŃ"</t>
  </si>
  <si>
    <t>35A</t>
  </si>
  <si>
    <t>35B</t>
  </si>
  <si>
    <t>inne techniczno-eksploatacyjne</t>
  </si>
  <si>
    <t>`</t>
  </si>
  <si>
    <t>budynek  w przebudowe</t>
  </si>
  <si>
    <t>RAZEM AWL</t>
  </si>
  <si>
    <t>Internat MARS</t>
  </si>
  <si>
    <t>b.n.</t>
  </si>
  <si>
    <t>AM-14</t>
  </si>
  <si>
    <t>19</t>
  </si>
  <si>
    <t>RAZEM internat MARS</t>
  </si>
  <si>
    <t>budynek - w trakcie przebudowy</t>
  </si>
  <si>
    <t>1932/2018</t>
  </si>
  <si>
    <t>1978/2019</t>
  </si>
  <si>
    <t>1967/2018</t>
  </si>
  <si>
    <t>WYKAZ OBIEKTÓW  AWL - PRZEGLĄD 5 LETNI</t>
  </si>
  <si>
    <t>budynek wyłączony z eksploatacji</t>
  </si>
  <si>
    <t>WYKAZ OBIEKTÓW  AWL PRZEGLĄD PÓŁROCZNY</t>
  </si>
  <si>
    <t>WYKAZ OBIEKTÓW  AWL - PRZEGLĄD 1 ROCZNY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</si>
</sst>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vertAlign val="superscript"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b/>
      <sz val="14"/>
      <color rgb="FF003E6C"/>
      <name val="Arial"/>
      <family val="2"/>
      <charset val="238"/>
    </font>
    <font>
      <sz val="16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8"/>
      <name val="Czcionka tekstu podstawowego"/>
      <family val="2"/>
      <charset val="238"/>
    </font>
    <font>
      <b/>
      <sz val="16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9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5" fillId="2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right" vertical="center"/>
    </xf>
    <xf numFmtId="2" fontId="8" fillId="2" borderId="14" xfId="0" applyNumberFormat="1" applyFont="1" applyFill="1" applyBorder="1" applyAlignment="1">
      <alignment horizontal="right" vertical="center"/>
    </xf>
    <xf numFmtId="2" fontId="8" fillId="2" borderId="3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3" fillId="3" borderId="1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right" vertical="center"/>
    </xf>
    <xf numFmtId="2" fontId="0" fillId="2" borderId="3" xfId="0" applyNumberFormat="1" applyFill="1" applyBorder="1" applyAlignment="1">
      <alignment horizontal="right" vertical="center"/>
    </xf>
    <xf numFmtId="2" fontId="0" fillId="2" borderId="27" xfId="0" applyNumberFormat="1" applyFill="1" applyBorder="1" applyAlignment="1">
      <alignment horizontal="right" vertical="center"/>
    </xf>
    <xf numFmtId="2" fontId="0" fillId="2" borderId="5" xfId="0" applyNumberForma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2" fontId="0" fillId="2" borderId="7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2" fontId="0" fillId="2" borderId="13" xfId="0" applyNumberFormat="1" applyFill="1" applyBorder="1" applyAlignment="1">
      <alignment horizontal="right" vertical="center"/>
    </xf>
    <xf numFmtId="2" fontId="0" fillId="2" borderId="14" xfId="0" applyNumberFormat="1" applyFill="1" applyBorder="1" applyAlignment="1">
      <alignment horizontal="right" vertical="center"/>
    </xf>
    <xf numFmtId="2" fontId="0" fillId="2" borderId="30" xfId="0" applyNumberFormat="1" applyFill="1" applyBorder="1" applyAlignment="1">
      <alignment horizontal="right" vertical="center"/>
    </xf>
    <xf numFmtId="2" fontId="5" fillId="2" borderId="13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2" fontId="5" fillId="2" borderId="7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7" xfId="0" applyNumberFormat="1" applyFont="1" applyFill="1" applyBorder="1" applyAlignment="1">
      <alignment horizontal="right" vertical="center"/>
    </xf>
    <xf numFmtId="2" fontId="8" fillId="2" borderId="5" xfId="0" applyNumberFormat="1" applyFont="1" applyFill="1" applyBorder="1" applyAlignment="1">
      <alignment horizontal="right" vertical="center"/>
    </xf>
    <xf numFmtId="2" fontId="5" fillId="2" borderId="30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vertical="center"/>
    </xf>
    <xf numFmtId="2" fontId="0" fillId="2" borderId="25" xfId="0" applyNumberFormat="1" applyFill="1" applyBorder="1" applyAlignment="1">
      <alignment horizontal="right" vertical="center"/>
    </xf>
    <xf numFmtId="2" fontId="0" fillId="2" borderId="24" xfId="0" applyNumberFormat="1" applyFill="1" applyBorder="1" applyAlignment="1">
      <alignment horizontal="right" vertical="center"/>
    </xf>
    <xf numFmtId="2" fontId="0" fillId="2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2" fontId="5" fillId="2" borderId="37" xfId="0" applyNumberFormat="1" applyFont="1" applyFill="1" applyBorder="1" applyAlignment="1">
      <alignment vertical="center"/>
    </xf>
    <xf numFmtId="2" fontId="5" fillId="2" borderId="37" xfId="0" applyNumberFormat="1" applyFont="1" applyFill="1" applyBorder="1" applyAlignment="1">
      <alignment horizontal="right" vertical="center"/>
    </xf>
    <xf numFmtId="2" fontId="5" fillId="4" borderId="3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right" vertical="center"/>
    </xf>
    <xf numFmtId="2" fontId="5" fillId="4" borderId="14" xfId="0" applyNumberFormat="1" applyFont="1" applyFill="1" applyBorder="1" applyAlignment="1">
      <alignment horizontal="right" vertical="center"/>
    </xf>
    <xf numFmtId="2" fontId="5" fillId="4" borderId="5" xfId="0" applyNumberFormat="1" applyFont="1" applyFill="1" applyBorder="1" applyAlignment="1">
      <alignment horizontal="right" vertical="center"/>
    </xf>
    <xf numFmtId="2" fontId="5" fillId="4" borderId="7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2" fontId="5" fillId="4" borderId="0" xfId="0" applyNumberFormat="1" applyFont="1" applyFill="1" applyAlignment="1">
      <alignment vertical="center"/>
    </xf>
    <xf numFmtId="2" fontId="5" fillId="2" borderId="27" xfId="0" applyNumberFormat="1" applyFont="1" applyFill="1" applyBorder="1" applyAlignment="1">
      <alignment horizontal="right" vertical="center"/>
    </xf>
    <xf numFmtId="2" fontId="5" fillId="2" borderId="24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49" fontId="3" fillId="3" borderId="16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49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35" xfId="0" applyFont="1" applyFill="1" applyBorder="1" applyAlignment="1">
      <alignment vertical="center"/>
    </xf>
    <xf numFmtId="0" fontId="12" fillId="3" borderId="44" xfId="0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3" fontId="15" fillId="2" borderId="25" xfId="0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44" xfId="0" applyNumberFormat="1" applyFont="1" applyFill="1" applyBorder="1" applyAlignment="1">
      <alignment horizontal="center" vertical="center"/>
    </xf>
    <xf numFmtId="3" fontId="15" fillId="2" borderId="35" xfId="0" applyNumberFormat="1" applyFont="1" applyFill="1" applyBorder="1" applyAlignment="1">
      <alignment horizontal="center" vertical="center"/>
    </xf>
    <xf numFmtId="3" fontId="15" fillId="2" borderId="27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3" fontId="13" fillId="2" borderId="3" xfId="0" applyNumberFormat="1" applyFont="1" applyFill="1" applyBorder="1" applyAlignment="1">
      <alignment horizontal="center" vertical="center"/>
    </xf>
    <xf numFmtId="3" fontId="13" fillId="2" borderId="44" xfId="0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center" vertical="center"/>
    </xf>
    <xf numFmtId="3" fontId="13" fillId="2" borderId="35" xfId="0" applyNumberFormat="1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3" fontId="14" fillId="2" borderId="5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47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47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14" fillId="2" borderId="14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3" fontId="14" fillId="2" borderId="44" xfId="0" applyNumberFormat="1" applyFont="1" applyFill="1" applyBorder="1" applyAlignment="1">
      <alignment horizontal="center" vertical="center"/>
    </xf>
    <xf numFmtId="3" fontId="14" fillId="2" borderId="25" xfId="0" applyNumberFormat="1" applyFont="1" applyFill="1" applyBorder="1" applyAlignment="1">
      <alignment horizontal="center" vertical="center"/>
    </xf>
    <xf numFmtId="3" fontId="14" fillId="2" borderId="35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5" fillId="2" borderId="47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3" fontId="14" fillId="4" borderId="5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14" fillId="4" borderId="47" xfId="0" applyNumberFormat="1" applyFont="1" applyFill="1" applyBorder="1" applyAlignment="1">
      <alignment horizontal="center" vertical="center"/>
    </xf>
    <xf numFmtId="3" fontId="14" fillId="4" borderId="25" xfId="0" applyNumberFormat="1" applyFont="1" applyFill="1" applyBorder="1" applyAlignment="1">
      <alignment horizontal="center" vertical="center"/>
    </xf>
    <xf numFmtId="3" fontId="14" fillId="4" borderId="4" xfId="0" applyNumberFormat="1" applyFont="1" applyFill="1" applyBorder="1" applyAlignment="1">
      <alignment horizontal="center" vertical="center"/>
    </xf>
    <xf numFmtId="3" fontId="14" fillId="4" borderId="14" xfId="0" applyNumberFormat="1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3" borderId="18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4" fontId="2" fillId="2" borderId="25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2" fontId="17" fillId="2" borderId="13" xfId="0" applyNumberFormat="1" applyFont="1" applyFill="1" applyBorder="1" applyAlignment="1">
      <alignment horizontal="right" vertical="center"/>
    </xf>
    <xf numFmtId="2" fontId="17" fillId="2" borderId="1" xfId="0" applyNumberFormat="1" applyFont="1" applyFill="1" applyBorder="1" applyAlignment="1">
      <alignment horizontal="right" vertical="center"/>
    </xf>
    <xf numFmtId="2" fontId="17" fillId="2" borderId="14" xfId="0" applyNumberFormat="1" applyFont="1" applyFill="1" applyBorder="1" applyAlignment="1">
      <alignment horizontal="right" vertical="center"/>
    </xf>
    <xf numFmtId="2" fontId="14" fillId="2" borderId="13" xfId="0" applyNumberFormat="1" applyFont="1" applyFill="1" applyBorder="1" applyAlignment="1">
      <alignment horizontal="right" vertical="center"/>
    </xf>
    <xf numFmtId="2" fontId="14" fillId="2" borderId="5" xfId="0" applyNumberFormat="1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2" fontId="14" fillId="2" borderId="7" xfId="0" applyNumberFormat="1" applyFont="1" applyFill="1" applyBorder="1" applyAlignment="1">
      <alignment horizontal="right" vertical="center"/>
    </xf>
    <xf numFmtId="2" fontId="14" fillId="2" borderId="14" xfId="0" applyNumberFormat="1" applyFont="1" applyFill="1" applyBorder="1" applyAlignment="1">
      <alignment horizontal="right" vertical="center"/>
    </xf>
    <xf numFmtId="2" fontId="14" fillId="2" borderId="30" xfId="0" applyNumberFormat="1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7" fillId="2" borderId="35" xfId="0" applyNumberFormat="1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right" vertical="center"/>
    </xf>
    <xf numFmtId="2" fontId="5" fillId="2" borderId="3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0" fillId="5" borderId="4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4" fillId="6" borderId="7" xfId="0" applyFont="1" applyFill="1" applyBorder="1" applyAlignment="1">
      <alignment horizontal="left" vertical="center"/>
    </xf>
    <xf numFmtId="0" fontId="15" fillId="6" borderId="24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5" fillId="6" borderId="2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49" fontId="14" fillId="2" borderId="7" xfId="0" applyNumberFormat="1" applyFont="1" applyFill="1" applyBorder="1" applyAlignment="1">
      <alignment horizontal="left" vertical="center"/>
    </xf>
    <xf numFmtId="49" fontId="15" fillId="2" borderId="24" xfId="0" applyNumberFormat="1" applyFont="1" applyFill="1" applyBorder="1" applyAlignment="1">
      <alignment horizontal="left" vertical="center"/>
    </xf>
    <xf numFmtId="0" fontId="14" fillId="6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5" fillId="6" borderId="7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2" fontId="15" fillId="6" borderId="7" xfId="0" applyNumberFormat="1" applyFont="1" applyFill="1" applyBorder="1" applyAlignment="1">
      <alignment horizontal="left" vertical="center"/>
    </xf>
    <xf numFmtId="2" fontId="15" fillId="2" borderId="7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2" fontId="15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2" fontId="14" fillId="6" borderId="7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3" fontId="12" fillId="3" borderId="36" xfId="0" applyNumberFormat="1" applyFont="1" applyFill="1" applyBorder="1" applyAlignment="1">
      <alignment horizontal="center" vertical="center"/>
    </xf>
    <xf numFmtId="3" fontId="12" fillId="3" borderId="45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center" vertical="center"/>
    </xf>
    <xf numFmtId="3" fontId="3" fillId="3" borderId="36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/>
    </xf>
    <xf numFmtId="2" fontId="14" fillId="2" borderId="7" xfId="0" applyNumberFormat="1" applyFont="1" applyFill="1" applyBorder="1" applyAlignment="1">
      <alignment horizontal="left" vertical="center"/>
    </xf>
    <xf numFmtId="2" fontId="15" fillId="6" borderId="7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6" borderId="24" xfId="0" applyFont="1" applyFill="1" applyBorder="1" applyAlignment="1">
      <alignment horizontal="center" vertical="center"/>
    </xf>
    <xf numFmtId="2" fontId="14" fillId="6" borderId="7" xfId="0" applyNumberFormat="1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0" fillId="5" borderId="61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/>
    </xf>
    <xf numFmtId="0" fontId="12" fillId="6" borderId="16" xfId="0" applyFont="1" applyFill="1" applyBorder="1" applyAlignment="1">
      <alignment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right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3" fontId="12" fillId="3" borderId="20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51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39" xfId="0" applyNumberFormat="1" applyFont="1" applyFill="1" applyBorder="1" applyAlignment="1">
      <alignment horizontal="center" vertical="center"/>
    </xf>
    <xf numFmtId="3" fontId="3" fillId="3" borderId="64" xfId="0" applyNumberFormat="1" applyFont="1" applyFill="1" applyBorder="1" applyAlignment="1">
      <alignment horizontal="center" vertical="center"/>
    </xf>
    <xf numFmtId="3" fontId="3" fillId="3" borderId="6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/>
    </xf>
    <xf numFmtId="0" fontId="18" fillId="2" borderId="30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2" fontId="0" fillId="2" borderId="30" xfId="0" applyNumberFormat="1" applyFill="1" applyBorder="1" applyAlignment="1">
      <alignment vertical="center"/>
    </xf>
    <xf numFmtId="2" fontId="3" fillId="3" borderId="54" xfId="0" applyNumberFormat="1" applyFont="1" applyFill="1" applyBorder="1" applyAlignment="1">
      <alignment vertical="center"/>
    </xf>
    <xf numFmtId="2" fontId="5" fillId="2" borderId="30" xfId="0" applyNumberFormat="1" applyFont="1" applyFill="1" applyBorder="1" applyAlignment="1">
      <alignment vertical="center"/>
    </xf>
    <xf numFmtId="2" fontId="5" fillId="4" borderId="30" xfId="0" applyNumberFormat="1" applyFont="1" applyFill="1" applyBorder="1" applyAlignment="1">
      <alignment vertical="center" wrapText="1"/>
    </xf>
    <xf numFmtId="2" fontId="3" fillId="3" borderId="31" xfId="0" applyNumberFormat="1" applyFont="1" applyFill="1" applyBorder="1" applyAlignment="1">
      <alignment vertical="center"/>
    </xf>
    <xf numFmtId="2" fontId="2" fillId="2" borderId="37" xfId="0" applyNumberFormat="1" applyFont="1" applyFill="1" applyBorder="1" applyAlignment="1">
      <alignment vertical="center"/>
    </xf>
    <xf numFmtId="2" fontId="2" fillId="2" borderId="30" xfId="0" applyNumberFormat="1" applyFont="1" applyFill="1" applyBorder="1" applyAlignment="1">
      <alignment vertical="center"/>
    </xf>
    <xf numFmtId="3" fontId="3" fillId="3" borderId="6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9" xfId="0" applyFill="1" applyBorder="1" applyAlignment="1">
      <alignment horizontal="center" vertical="center" textRotation="90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textRotation="90"/>
    </xf>
    <xf numFmtId="0" fontId="0" fillId="2" borderId="16" xfId="0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3" fillId="6" borderId="7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0" fillId="3" borderId="7" xfId="0" applyFill="1" applyBorder="1" applyAlignment="1">
      <alignment horizontal="left" vertical="center"/>
    </xf>
    <xf numFmtId="0" fontId="14" fillId="3" borderId="2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/>
    </xf>
    <xf numFmtId="0" fontId="14" fillId="6" borderId="1" xfId="0" applyFont="1" applyFill="1" applyBorder="1" applyAlignment="1">
      <alignment horizontal="left" vertical="center"/>
    </xf>
    <xf numFmtId="0" fontId="14" fillId="6" borderId="24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horizontal="center" vertical="center"/>
    </xf>
    <xf numFmtId="2" fontId="5" fillId="2" borderId="26" xfId="0" applyNumberFormat="1" applyFont="1" applyFill="1" applyBorder="1" applyAlignment="1">
      <alignment horizontal="right" vertical="center"/>
    </xf>
    <xf numFmtId="3" fontId="14" fillId="2" borderId="27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4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center"/>
    </xf>
    <xf numFmtId="2" fontId="22" fillId="3" borderId="54" xfId="0" applyNumberFormat="1" applyFont="1" applyFill="1" applyBorder="1" applyAlignment="1">
      <alignment vertical="center"/>
    </xf>
    <xf numFmtId="0" fontId="16" fillId="3" borderId="66" xfId="0" applyFont="1" applyFill="1" applyBorder="1" applyAlignment="1">
      <alignment vertical="center"/>
    </xf>
    <xf numFmtId="3" fontId="16" fillId="3" borderId="39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3" fontId="16" fillId="3" borderId="55" xfId="0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0" borderId="0" xfId="0" applyFont="1"/>
    <xf numFmtId="0" fontId="23" fillId="2" borderId="30" xfId="0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/>
    </xf>
    <xf numFmtId="3" fontId="14" fillId="2" borderId="24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 wrapText="1"/>
    </xf>
    <xf numFmtId="3" fontId="15" fillId="2" borderId="24" xfId="0" applyNumberFormat="1" applyFont="1" applyFill="1" applyBorder="1" applyAlignment="1">
      <alignment horizontal="center" vertical="center"/>
    </xf>
    <xf numFmtId="3" fontId="16" fillId="3" borderId="64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3" fontId="12" fillId="3" borderId="67" xfId="0" applyNumberFormat="1" applyFont="1" applyFill="1" applyBorder="1" applyAlignment="1">
      <alignment horizontal="center" vertical="center"/>
    </xf>
    <xf numFmtId="3" fontId="12" fillId="3" borderId="68" xfId="0" applyNumberFormat="1" applyFont="1" applyFill="1" applyBorder="1" applyAlignment="1">
      <alignment horizontal="center" vertical="center"/>
    </xf>
    <xf numFmtId="3" fontId="12" fillId="3" borderId="43" xfId="0" applyNumberFormat="1" applyFont="1" applyFill="1" applyBorder="1" applyAlignment="1">
      <alignment horizontal="center" vertical="center"/>
    </xf>
    <xf numFmtId="0" fontId="3" fillId="0" borderId="0" xfId="0" applyFont="1"/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right" vertical="center"/>
    </xf>
    <xf numFmtId="2" fontId="22" fillId="3" borderId="30" xfId="0" applyNumberFormat="1" applyFont="1" applyFill="1" applyBorder="1" applyAlignment="1">
      <alignment vertical="center"/>
    </xf>
    <xf numFmtId="0" fontId="16" fillId="3" borderId="47" xfId="0" applyFont="1" applyFill="1" applyBorder="1" applyAlignment="1">
      <alignment vertical="center"/>
    </xf>
    <xf numFmtId="3" fontId="16" fillId="3" borderId="5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horizontal="center" vertical="center"/>
    </xf>
    <xf numFmtId="3" fontId="22" fillId="3" borderId="5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vertical="center"/>
    </xf>
    <xf numFmtId="49" fontId="22" fillId="3" borderId="5" xfId="0" applyNumberFormat="1" applyFont="1" applyFill="1" applyBorder="1" applyAlignment="1">
      <alignment horizontal="center" vertical="center"/>
    </xf>
    <xf numFmtId="2" fontId="0" fillId="2" borderId="37" xfId="0" applyNumberFormat="1" applyFill="1" applyBorder="1" applyAlignment="1">
      <alignment horizontal="right" vertical="center"/>
    </xf>
    <xf numFmtId="2" fontId="2" fillId="2" borderId="69" xfId="0" applyNumberFormat="1" applyFont="1" applyFill="1" applyBorder="1" applyAlignment="1">
      <alignment vertical="center"/>
    </xf>
    <xf numFmtId="0" fontId="15" fillId="2" borderId="70" xfId="0" applyFont="1" applyFill="1" applyBorder="1" applyAlignment="1">
      <alignment horizontal="center" vertical="center"/>
    </xf>
    <xf numFmtId="3" fontId="14" fillId="2" borderId="46" xfId="0" applyNumberFormat="1" applyFont="1" applyFill="1" applyBorder="1" applyAlignment="1">
      <alignment horizontal="center" vertical="center"/>
    </xf>
    <xf numFmtId="3" fontId="15" fillId="2" borderId="41" xfId="0" applyNumberFormat="1" applyFont="1" applyFill="1" applyBorder="1" applyAlignment="1">
      <alignment horizontal="center" vertical="center"/>
    </xf>
    <xf numFmtId="3" fontId="15" fillId="2" borderId="46" xfId="0" applyNumberFormat="1" applyFont="1" applyFill="1" applyBorder="1" applyAlignment="1">
      <alignment horizontal="center" vertical="center"/>
    </xf>
    <xf numFmtId="3" fontId="15" fillId="2" borderId="71" xfId="0" applyNumberFormat="1" applyFont="1" applyFill="1" applyBorder="1" applyAlignment="1">
      <alignment horizontal="center" vertical="center"/>
    </xf>
    <xf numFmtId="4" fontId="2" fillId="2" borderId="46" xfId="0" applyNumberFormat="1" applyFont="1" applyFill="1" applyBorder="1" applyAlignment="1">
      <alignment horizontal="center" vertical="center"/>
    </xf>
    <xf numFmtId="4" fontId="2" fillId="2" borderId="41" xfId="0" applyNumberFormat="1" applyFont="1" applyFill="1" applyBorder="1" applyAlignment="1">
      <alignment horizontal="center" vertical="center"/>
    </xf>
    <xf numFmtId="2" fontId="0" fillId="2" borderId="72" xfId="0" applyNumberFormat="1" applyFill="1" applyBorder="1" applyAlignment="1">
      <alignment horizontal="right" vertical="center"/>
    </xf>
    <xf numFmtId="2" fontId="0" fillId="2" borderId="71" xfId="0" applyNumberFormat="1" applyFill="1" applyBorder="1" applyAlignment="1">
      <alignment horizontal="right" vertical="center"/>
    </xf>
    <xf numFmtId="2" fontId="0" fillId="2" borderId="69" xfId="0" applyNumberForma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49" fontId="2" fillId="2" borderId="7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4" fillId="6" borderId="13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vertical="center"/>
    </xf>
    <xf numFmtId="0" fontId="14" fillId="6" borderId="47" xfId="0" applyFont="1" applyFill="1" applyBorder="1" applyAlignment="1">
      <alignment horizontal="center" vertical="center"/>
    </xf>
    <xf numFmtId="3" fontId="14" fillId="6" borderId="5" xfId="0" applyNumberFormat="1" applyFont="1" applyFill="1" applyBorder="1" applyAlignment="1">
      <alignment horizontal="center" vertical="center"/>
    </xf>
    <xf numFmtId="3" fontId="14" fillId="6" borderId="3" xfId="0" applyNumberFormat="1" applyFont="1" applyFill="1" applyBorder="1" applyAlignment="1">
      <alignment horizontal="center" vertical="center"/>
    </xf>
    <xf numFmtId="3" fontId="14" fillId="6" borderId="44" xfId="0" applyNumberFormat="1" applyFont="1" applyFill="1" applyBorder="1" applyAlignment="1">
      <alignment horizontal="center" vertical="center"/>
    </xf>
    <xf numFmtId="3" fontId="14" fillId="6" borderId="25" xfId="0" applyNumberFormat="1" applyFont="1" applyFill="1" applyBorder="1" applyAlignment="1">
      <alignment horizontal="center" vertical="center"/>
    </xf>
    <xf numFmtId="3" fontId="14" fillId="6" borderId="35" xfId="0" applyNumberFormat="1" applyFont="1" applyFill="1" applyBorder="1" applyAlignment="1">
      <alignment horizontal="center" vertical="center"/>
    </xf>
    <xf numFmtId="3" fontId="14" fillId="6" borderId="7" xfId="0" applyNumberFormat="1" applyFont="1" applyFill="1" applyBorder="1" applyAlignment="1">
      <alignment horizontal="center" vertical="center"/>
    </xf>
    <xf numFmtId="2" fontId="3" fillId="3" borderId="29" xfId="0" applyNumberFormat="1" applyFont="1" applyFill="1" applyBorder="1" applyAlignment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0" fontId="0" fillId="7" borderId="30" xfId="0" applyFill="1" applyBorder="1" applyAlignment="1">
      <alignment vertical="center"/>
    </xf>
    <xf numFmtId="0" fontId="15" fillId="7" borderId="47" xfId="0" applyFont="1" applyFill="1" applyBorder="1" applyAlignment="1">
      <alignment horizontal="center" vertical="center"/>
    </xf>
    <xf numFmtId="3" fontId="15" fillId="7" borderId="5" xfId="0" applyNumberFormat="1" applyFont="1" applyFill="1" applyBorder="1" applyAlignment="1">
      <alignment horizontal="center" vertical="center"/>
    </xf>
    <xf numFmtId="3" fontId="15" fillId="7" borderId="3" xfId="0" applyNumberFormat="1" applyFont="1" applyFill="1" applyBorder="1" applyAlignment="1">
      <alignment horizontal="center" vertical="center"/>
    </xf>
    <xf numFmtId="3" fontId="15" fillId="7" borderId="44" xfId="0" applyNumberFormat="1" applyFont="1" applyFill="1" applyBorder="1" applyAlignment="1">
      <alignment horizontal="center" vertical="center"/>
    </xf>
    <xf numFmtId="3" fontId="15" fillId="7" borderId="25" xfId="0" applyNumberFormat="1" applyFont="1" applyFill="1" applyBorder="1" applyAlignment="1">
      <alignment horizontal="center" vertical="center"/>
    </xf>
    <xf numFmtId="3" fontId="15" fillId="7" borderId="35" xfId="0" applyNumberFormat="1" applyFont="1" applyFill="1" applyBorder="1" applyAlignment="1">
      <alignment horizontal="center" vertical="center"/>
    </xf>
    <xf numFmtId="3" fontId="15" fillId="7" borderId="7" xfId="0" applyNumberFormat="1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0" fontId="14" fillId="7" borderId="47" xfId="0" applyFont="1" applyFill="1" applyBorder="1" applyAlignment="1">
      <alignment horizontal="center" vertical="center"/>
    </xf>
    <xf numFmtId="3" fontId="14" fillId="7" borderId="5" xfId="0" applyNumberFormat="1" applyFont="1" applyFill="1" applyBorder="1" applyAlignment="1">
      <alignment horizontal="center" vertical="center"/>
    </xf>
    <xf numFmtId="3" fontId="14" fillId="7" borderId="1" xfId="0" applyNumberFormat="1" applyFont="1" applyFill="1" applyBorder="1" applyAlignment="1">
      <alignment horizontal="center" vertical="center"/>
    </xf>
    <xf numFmtId="3" fontId="14" fillId="7" borderId="47" xfId="0" applyNumberFormat="1" applyFont="1" applyFill="1" applyBorder="1" applyAlignment="1">
      <alignment horizontal="center" vertical="center"/>
    </xf>
    <xf numFmtId="3" fontId="14" fillId="7" borderId="25" xfId="0" applyNumberFormat="1" applyFont="1" applyFill="1" applyBorder="1" applyAlignment="1">
      <alignment horizontal="center" vertical="center"/>
    </xf>
    <xf numFmtId="3" fontId="14" fillId="7" borderId="4" xfId="0" applyNumberFormat="1" applyFont="1" applyFill="1" applyBorder="1" applyAlignment="1">
      <alignment horizontal="center" vertical="center"/>
    </xf>
    <xf numFmtId="3" fontId="14" fillId="7" borderId="7" xfId="0" applyNumberFormat="1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vertical="center" wrapText="1"/>
    </xf>
    <xf numFmtId="0" fontId="13" fillId="7" borderId="44" xfId="0" applyFont="1" applyFill="1" applyBorder="1" applyAlignment="1">
      <alignment horizontal="center" vertical="center"/>
    </xf>
    <xf numFmtId="3" fontId="13" fillId="7" borderId="25" xfId="0" applyNumberFormat="1" applyFont="1" applyFill="1" applyBorder="1" applyAlignment="1">
      <alignment horizontal="center" vertical="center"/>
    </xf>
    <xf numFmtId="3" fontId="13" fillId="7" borderId="3" xfId="0" applyNumberFormat="1" applyFont="1" applyFill="1" applyBorder="1" applyAlignment="1">
      <alignment horizontal="center" vertical="center"/>
    </xf>
    <xf numFmtId="3" fontId="13" fillId="7" borderId="44" xfId="0" applyNumberFormat="1" applyFont="1" applyFill="1" applyBorder="1" applyAlignment="1">
      <alignment horizontal="center" vertical="center"/>
    </xf>
    <xf numFmtId="3" fontId="13" fillId="7" borderId="35" xfId="0" applyNumberFormat="1" applyFont="1" applyFill="1" applyBorder="1" applyAlignment="1">
      <alignment horizontal="center" vertical="center"/>
    </xf>
    <xf numFmtId="3" fontId="13" fillId="7" borderId="24" xfId="0" applyNumberFormat="1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/>
    </xf>
    <xf numFmtId="2" fontId="2" fillId="7" borderId="37" xfId="0" applyNumberFormat="1" applyFont="1" applyFill="1" applyBorder="1" applyAlignment="1">
      <alignment vertical="center"/>
    </xf>
    <xf numFmtId="0" fontId="15" fillId="7" borderId="44" xfId="0" applyFont="1" applyFill="1" applyBorder="1" applyAlignment="1">
      <alignment horizontal="center" vertical="center"/>
    </xf>
    <xf numFmtId="3" fontId="15" fillId="7" borderId="24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 textRotation="90" wrapText="1"/>
    </xf>
    <xf numFmtId="49" fontId="0" fillId="0" borderId="23" xfId="0" applyNumberFormat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7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 textRotation="90" wrapText="1"/>
    </xf>
    <xf numFmtId="0" fontId="3" fillId="2" borderId="2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7" xfId="0" applyFont="1" applyFill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16" fillId="3" borderId="65" xfId="0" applyFont="1" applyFill="1" applyBorder="1" applyAlignment="1">
      <alignment horizontal="left" vertical="center"/>
    </xf>
    <xf numFmtId="0" fontId="16" fillId="3" borderId="60" xfId="0" applyFont="1" applyFill="1" applyBorder="1" applyAlignment="1">
      <alignment horizontal="left" vertical="center"/>
    </xf>
    <xf numFmtId="0" fontId="16" fillId="3" borderId="39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5" fillId="6" borderId="6" xfId="0" applyNumberFormat="1" applyFont="1" applyFill="1" applyBorder="1" applyAlignment="1">
      <alignment horizontal="center" vertical="center"/>
    </xf>
    <xf numFmtId="49" fontId="15" fillId="6" borderId="2" xfId="0" applyNumberFormat="1" applyFont="1" applyFill="1" applyBorder="1" applyAlignment="1">
      <alignment horizontal="center" vertical="center"/>
    </xf>
    <xf numFmtId="49" fontId="15" fillId="6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vertical="center"/>
    </xf>
    <xf numFmtId="0" fontId="24" fillId="0" borderId="43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003E6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externalLink" Target="externalLinks/externalLink63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externalLink" Target="externalLinks/externalLink67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\exel\Zestawienie-obiekt%20nr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2\Excel\Zestawienie-%20obiekt%20nr%2012%20hala%20sportow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3\exel\Zestawienie-obiekt%20nr%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4\Excel\Zestawienie%20-%20obiekt%20nr%2014%20-%20szkoleniow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6\Excel\Zestawienie-%20obiekt%20nr%2016%20warszta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0\Excel\Zestawienie%20-%20obiekt%20nr%2020%20-%20gospodarcz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1\EXEL\opis%20-%20obiekt%20nr2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SOWL\MIGRACJA\DO_MIGRACJI\Wroc&#322;aw\35\exel\Zestawienie-obiekt%203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41\exel\Zestawienie-obiekt%20nr%204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42\exel\Zestawienie-obiekt%20nr%204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43\exel\Zestawienie-obiekt%20nr%204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INWENTARYZACJA%20BUD.%202845-Wroc&#322;aw\2\exel\Zestawienie-obiekt%20nr%2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44\Excel\Zestawienie%20-%20obiekt%20nr%2044%20-%20magazyn%20amunicji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45\exel\Zestawienie-obiekt%20nr%204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04\Excel\Zestawienie-%20obiekt%20nr%20104%20biurow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05\exel\Zestawienie-obiekt%20nr%201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06\Excel\Zestawienie%20-%20obiekt%20nr%20106%20-%20szkoleniow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10\Excel\Zestawienie-%20obiekt%20nr%20110%20wiat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12\EXEL\opis%20i%20zestawienie%20-%20obiekt%20nr%20112%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14\exel\Zestawienie-obiekt%2011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15\exel\Zestawienie-%20obiekt%20nr%2011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16\EXEL\opis%20i%20zestawienie%20-%20obiekt%20nr116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3\Excel\Zestawienie%20-%20budynek%20nr%203%20-%20koszarowy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20\EXEL\opis%20i%20zestawienie%20-%20obiekt%20nr120%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26\Excel\Zestawienie%20-%20budynek%20nr%20126%20-%20SUW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28\Excel\Zestawienie-%20obiekt%20nr%20128%20base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29\Excel\Zestawienie%20-%20budynek%20nr%20129%20-%20techniczno-us&#322;ugowy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34\EXEL\opis%20i%20zestawienie%20-%20obiekt%20nr134%20%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35\EXEL\opis%20i%20zestawienie%20-%20obiekt%20nr%20135%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36\Excel\Zestawienie-%20obiekt%20nr%20136%20MPS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42\Excel\Zestawienie-%20obiekt%20nr%2014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56\Excel\Zestawienie%20-%20budynek%20nr%20156%20-%20szkoleniowy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57\Excel\Zestawienie-%20obiekt%20nr%20157%20wie&#380;a%20spadochronow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4\exe\Zestawienie-obiekt%20nr%2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84\Excel\Zestawienie-%20obiekt%20nr%20184%20myjnia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95\EXEL\opis%20i%20zestawienie%20-%20obiekt%20nr%20195%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99\Excel\Zestawienie%20-%20budowla%20nr%20199%20-%20wiata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03\Excel\Zestawienie-%20obiekt%20nr%20203%20gara&#380;e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04\Excel\Zestawienie-%20obiekt%20nr%20204%20gara&#380;e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06\EXEL\opis%20i%20zestawienie%20-%20obiekt%20nr%20206%20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07\EXEL\opis%20i%20zestawienie%20-%20obiekt%20nr%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09\exel\Zestawienie-%20obiekt%20nr%20209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12\Excel\Zestawienie%20-%20budowla%20nr%20212%20-%20wiata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13\Excel\Zestawienie-%20obiekt%20nr%20213%20trybun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6\Excel\Zestawienie-%20obiekt%20nr%206%20kasyno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15\Excel\Zestawienie%20-%20budowla%20nr%20215%20-%20wiata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17\Excel\Zestawienie%20-%20budowla%20nr%20217%20-%20wiata%20stadionowa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31\Excel\Zestawienie%20-%20budowla%20nr%20231%20-%20wiata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40\Excel\Zestawienie-%20obiekt%20nr%20240%20palarnia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41\EXEL\opis%20i%20zestawienie%20-%20obiekt%20nr%2024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242\EXEL\opis%20i%20zestawienie%20-%20obiekt%20nr%20242%20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8\Excel\Zestawienie%20-%20budynek%20nr%208%20-%20warsztat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9\Excel\Zestawienie%20-%20budynek%20nr%209%20-%20mieszkalny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10\EXEL\opis%20-%20obiekt%20nr%2010%20(Rak&#243;w)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29\EXEL\opis%20i%20zestawienie%20-%20obiekt%20nr%202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7\EXEL\opis%20-%20obiekt%20nr7%20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30\EXEL\opis%20-%20obiekt%20nr30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31\EXEL\opis%20i%20zestawienie%20-%20obiekt%20nr%2031%20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38\Excel\Zestawienie%20-%20budynek%2038%20-%20stajnia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47\Excel\Zestawienie%20-%20obiekt%20nr%2047%20-%20wiata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48\Excel\Zestawienie%20-%20budynek%20nr%2048%20-%20sanitariat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49\Excel\Zestawienie%20-%20budynek%20nr%2049%20-%20hydrofornia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50\Excel\Zestawienie%20-%20budowla%20nr%2050%20-%20wiata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51\Excel\Zestawienie%20-%20budowla%20nr%2051%20-%20wiata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Rak&#243;w\52\Excel\Zestawienie%20-%20budowla%20nr%2052%20-%20wia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8\exel\Zestawienie-obiekt%20nr%2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9\Excel\Zestawienie%20-%20budynek%20nr%209%20-%20koszarow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rota\Wroc&#322;aw\10\exel\zestawienie-obiektu%20nr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58">
          <cell r="C358">
            <v>950.46999999999991</v>
          </cell>
          <cell r="D358">
            <v>49.85</v>
          </cell>
          <cell r="M358">
            <v>64.899999999999991</v>
          </cell>
          <cell r="R358">
            <v>652.57999999999993</v>
          </cell>
          <cell r="AB358">
            <v>397.33000000000004</v>
          </cell>
          <cell r="AC358">
            <v>234.63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11">
          <cell r="G311">
            <v>69.540000000000006</v>
          </cell>
          <cell r="H311">
            <v>924.44</v>
          </cell>
          <cell r="I311">
            <v>81.88</v>
          </cell>
          <cell r="J311">
            <v>88.68</v>
          </cell>
          <cell r="M311">
            <v>72.759999999999991</v>
          </cell>
          <cell r="R311">
            <v>14.030000000000001</v>
          </cell>
          <cell r="S311">
            <v>84.56</v>
          </cell>
          <cell r="T311">
            <v>82.53</v>
          </cell>
          <cell r="W311">
            <v>920.99699999999984</v>
          </cell>
          <cell r="Y311">
            <v>279.08999999999997</v>
          </cell>
          <cell r="AD311">
            <v>1418.4200000000003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F308">
            <v>242.14</v>
          </cell>
          <cell r="G308">
            <v>719.8</v>
          </cell>
          <cell r="J308">
            <v>39.540000000000006</v>
          </cell>
          <cell r="M308">
            <v>18.61</v>
          </cell>
          <cell r="R308">
            <v>165.32</v>
          </cell>
          <cell r="S308">
            <v>3.96</v>
          </cell>
          <cell r="T308">
            <v>62.07</v>
          </cell>
          <cell r="W308">
            <v>7355.5670000000009</v>
          </cell>
          <cell r="Y308">
            <v>1165.7</v>
          </cell>
          <cell r="AD308">
            <v>1251.4399999999998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8">
          <cell r="G308">
            <v>476.4</v>
          </cell>
          <cell r="M308">
            <v>59.56</v>
          </cell>
          <cell r="S308">
            <v>1.53</v>
          </cell>
          <cell r="T308">
            <v>23.95</v>
          </cell>
          <cell r="W308">
            <v>2095.2406000000001</v>
          </cell>
          <cell r="Y308">
            <v>554.06000000000006</v>
          </cell>
          <cell r="AD308">
            <v>561.44000000000005</v>
          </cell>
          <cell r="AE308">
            <v>561.44000000000005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K308">
            <v>179.14</v>
          </cell>
          <cell r="L308">
            <v>55.160000000000004</v>
          </cell>
          <cell r="M308">
            <v>74.2</v>
          </cell>
          <cell r="N308">
            <v>551.42999999999995</v>
          </cell>
          <cell r="R308">
            <v>724.13000000000011</v>
          </cell>
          <cell r="S308">
            <v>101.63</v>
          </cell>
          <cell r="T308">
            <v>235.91000000000003</v>
          </cell>
          <cell r="U308">
            <v>45.58</v>
          </cell>
          <cell r="W308">
            <v>7230.01</v>
          </cell>
          <cell r="Y308">
            <v>1559.8000000000002</v>
          </cell>
          <cell r="AC308">
            <v>3.51</v>
          </cell>
          <cell r="AD308">
            <v>1965.42</v>
          </cell>
          <cell r="AE308">
            <v>1921.6000000000001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0.93</v>
          </cell>
          <cell r="N308">
            <v>87.14</v>
          </cell>
          <cell r="R308">
            <v>16.04</v>
          </cell>
          <cell r="T308">
            <v>15.799999999999999</v>
          </cell>
          <cell r="AD308">
            <v>119.91</v>
          </cell>
          <cell r="AE308">
            <v>119.91000000000001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9.32</v>
          </cell>
          <cell r="R308">
            <v>407.87</v>
          </cell>
          <cell r="T308">
            <v>106.29000000000002</v>
          </cell>
          <cell r="U308">
            <v>27.36</v>
          </cell>
          <cell r="AB308">
            <v>83.97999999999999</v>
          </cell>
          <cell r="AC308">
            <v>63.559999999999995</v>
          </cell>
          <cell r="AD308">
            <v>519.07000000000005</v>
          </cell>
          <cell r="AE308">
            <v>523.48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8">
          <cell r="AD308">
            <v>305.49</v>
          </cell>
          <cell r="AE308">
            <v>305.49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244">
          <cell r="N244">
            <v>97.83</v>
          </cell>
          <cell r="AD244">
            <v>97.83</v>
          </cell>
          <cell r="AE244">
            <v>97.83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98.93</v>
          </cell>
          <cell r="AD308">
            <v>98.93</v>
          </cell>
          <cell r="AE308">
            <v>98.93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98.46</v>
          </cell>
          <cell r="AD308">
            <v>98.46</v>
          </cell>
          <cell r="AE308">
            <v>98.46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/>
      <sheetData sheetId="1"/>
      <sheetData sheetId="2"/>
      <sheetData sheetId="3">
        <row r="358">
          <cell r="X358">
            <v>5843.0309999999999</v>
          </cell>
          <cell r="Z358">
            <v>1752.71</v>
          </cell>
          <cell r="AE358">
            <v>3570.9999999999995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8">
          <cell r="N308">
            <v>467.57</v>
          </cell>
          <cell r="R308">
            <v>4</v>
          </cell>
          <cell r="T308">
            <v>2.46</v>
          </cell>
          <cell r="AD308">
            <v>474.03</v>
          </cell>
          <cell r="AE308">
            <v>474.03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8">
          <cell r="N308">
            <v>465.64000000000004</v>
          </cell>
          <cell r="R308">
            <v>6.28</v>
          </cell>
          <cell r="AD308">
            <v>471.92</v>
          </cell>
          <cell r="AE308">
            <v>471.92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8">
          <cell r="C308">
            <v>1374.44</v>
          </cell>
          <cell r="E308">
            <v>30.3</v>
          </cell>
          <cell r="K308">
            <v>825.12999999999988</v>
          </cell>
          <cell r="L308">
            <v>108.28999999999999</v>
          </cell>
          <cell r="M308">
            <v>165.98000000000002</v>
          </cell>
          <cell r="R308">
            <v>334.87</v>
          </cell>
          <cell r="S308">
            <v>204.24000000000004</v>
          </cell>
          <cell r="T308">
            <v>498.57</v>
          </cell>
          <cell r="U308">
            <v>152.89999999999998</v>
          </cell>
          <cell r="W308">
            <v>7881.3159999999989</v>
          </cell>
          <cell r="Y308">
            <v>3156.9700000000003</v>
          </cell>
          <cell r="AB308">
            <v>11.72</v>
          </cell>
          <cell r="AC308">
            <v>5.0299999999999994</v>
          </cell>
          <cell r="AD308">
            <v>3692.2</v>
          </cell>
          <cell r="AE308">
            <v>3541.82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9.94</v>
          </cell>
          <cell r="R308">
            <v>121.07000000000002</v>
          </cell>
          <cell r="T308">
            <v>53.99</v>
          </cell>
          <cell r="W308">
            <v>455.39600000000002</v>
          </cell>
          <cell r="Y308">
            <v>153.85000000000002</v>
          </cell>
          <cell r="AD308">
            <v>185.00000000000003</v>
          </cell>
          <cell r="AE308">
            <v>185.00000000000003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F308">
            <v>286.89999999999998</v>
          </cell>
          <cell r="H308">
            <v>462.38</v>
          </cell>
          <cell r="I308">
            <v>149.72</v>
          </cell>
          <cell r="J308">
            <v>13.7</v>
          </cell>
          <cell r="M308">
            <v>40.47</v>
          </cell>
          <cell r="T308">
            <v>120.48999999999998</v>
          </cell>
          <cell r="W308">
            <v>3989.1999999999994</v>
          </cell>
          <cell r="Y308">
            <v>1067.4699999999998</v>
          </cell>
          <cell r="AD308">
            <v>1073.6599999999999</v>
          </cell>
          <cell r="AE308">
            <v>1073.6600000000001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U308">
            <v>1218.5899999999999</v>
          </cell>
          <cell r="AD308">
            <v>1218.5899999999999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18">
          <cell r="M318">
            <v>108.53999999999999</v>
          </cell>
          <cell r="N318">
            <v>481.8599999999999</v>
          </cell>
          <cell r="P318">
            <v>560.57000000000005</v>
          </cell>
          <cell r="Q318">
            <v>1249.82</v>
          </cell>
          <cell r="R318">
            <v>383.62</v>
          </cell>
          <cell r="S318">
            <v>247.19000000000003</v>
          </cell>
          <cell r="T318">
            <v>763.44</v>
          </cell>
          <cell r="U318">
            <v>87.28</v>
          </cell>
          <cell r="W318">
            <v>6904.6039000000001</v>
          </cell>
          <cell r="Y318">
            <v>2701.46</v>
          </cell>
          <cell r="AB318">
            <v>26.03</v>
          </cell>
          <cell r="AC318">
            <v>15.52</v>
          </cell>
          <cell r="AD318">
            <v>3874.56</v>
          </cell>
          <cell r="AE318">
            <v>3795.04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3.37</v>
          </cell>
          <cell r="R308">
            <v>21.950000000000003</v>
          </cell>
          <cell r="T308">
            <v>2.09</v>
          </cell>
          <cell r="AD308">
            <v>27.410000000000004</v>
          </cell>
          <cell r="AE308">
            <v>27.410000000000004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514.79999999999995</v>
          </cell>
          <cell r="AD308">
            <v>514.79999999999995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5.42</v>
          </cell>
          <cell r="R308">
            <v>372.20000000000005</v>
          </cell>
          <cell r="S308">
            <v>33.57</v>
          </cell>
          <cell r="T308">
            <v>72.55</v>
          </cell>
          <cell r="W308">
            <v>296.44400000000002</v>
          </cell>
          <cell r="Y308">
            <v>80.12</v>
          </cell>
          <cell r="AD308">
            <v>483.73999999999995</v>
          </cell>
          <cell r="AE308">
            <v>483.74000000000007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9">
          <cell r="C309">
            <v>1009.1600000000001</v>
          </cell>
          <cell r="D309">
            <v>415.89</v>
          </cell>
          <cell r="E309">
            <v>507.36</v>
          </cell>
          <cell r="M309">
            <v>23.89</v>
          </cell>
          <cell r="R309">
            <v>656.69</v>
          </cell>
          <cell r="S309">
            <v>20.28</v>
          </cell>
          <cell r="T309">
            <v>537.80000000000007</v>
          </cell>
          <cell r="U309">
            <v>212.14000000000001</v>
          </cell>
          <cell r="W309">
            <v>7247.1855000000005</v>
          </cell>
          <cell r="Y309">
            <v>2273.6899999999996</v>
          </cell>
          <cell r="AB309">
            <v>51.230000000000004</v>
          </cell>
          <cell r="AC309">
            <v>788.64999999999986</v>
          </cell>
          <cell r="AD309">
            <v>2988.8849999999998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58.58</v>
          </cell>
          <cell r="S308">
            <v>156.53</v>
          </cell>
          <cell r="T308">
            <v>423.32000000000005</v>
          </cell>
          <cell r="U308">
            <v>17.98</v>
          </cell>
          <cell r="W308">
            <v>7669.4782000000005</v>
          </cell>
          <cell r="Y308">
            <v>2221.9300000000003</v>
          </cell>
          <cell r="AD308">
            <v>2433.98</v>
          </cell>
          <cell r="AE308">
            <v>2415.9999999999995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S308">
            <v>98.36</v>
          </cell>
          <cell r="AD308">
            <v>98.36</v>
          </cell>
          <cell r="AE308">
            <v>98.36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27">
          <cell r="G327">
            <v>523.88</v>
          </cell>
          <cell r="I327">
            <v>241.01</v>
          </cell>
          <cell r="J327">
            <v>67.849999999999994</v>
          </cell>
          <cell r="M327">
            <v>128.28</v>
          </cell>
          <cell r="N327">
            <v>221.95</v>
          </cell>
          <cell r="R327">
            <v>452.13</v>
          </cell>
          <cell r="S327">
            <v>75.930000000000007</v>
          </cell>
          <cell r="T327">
            <v>347.85</v>
          </cell>
          <cell r="U327">
            <v>32.5</v>
          </cell>
          <cell r="W327">
            <v>6097.0549000000037</v>
          </cell>
          <cell r="Y327">
            <v>1311.43</v>
          </cell>
          <cell r="AC327">
            <v>4.28</v>
          </cell>
          <cell r="AD327">
            <v>2089.2399999999998</v>
          </cell>
          <cell r="AE327">
            <v>2058.88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G308">
            <v>42.83</v>
          </cell>
          <cell r="M308">
            <v>4</v>
          </cell>
          <cell r="N308">
            <v>5.22</v>
          </cell>
          <cell r="U308">
            <v>2.72</v>
          </cell>
          <cell r="W308">
            <v>84.303799999999995</v>
          </cell>
          <cell r="Y308">
            <v>30.75</v>
          </cell>
          <cell r="AB308">
            <v>1.4</v>
          </cell>
          <cell r="AC308">
            <v>1.1100000000000001</v>
          </cell>
          <cell r="AD308">
            <v>54.214999999999996</v>
          </cell>
          <cell r="AE308">
            <v>52.05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392.60000000000008</v>
          </cell>
          <cell r="AD308">
            <v>392.60000000000008</v>
          </cell>
          <cell r="AE308">
            <v>392.60000000000008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340.34</v>
          </cell>
          <cell r="AD308">
            <v>340.34</v>
          </cell>
          <cell r="AE308">
            <v>340.34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1.06</v>
          </cell>
          <cell r="N308">
            <v>20.23</v>
          </cell>
          <cell r="R308">
            <v>6.8000000000000007</v>
          </cell>
          <cell r="T308">
            <v>3.32</v>
          </cell>
          <cell r="AD308">
            <v>31.41</v>
          </cell>
          <cell r="AE308">
            <v>31.41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30.37</v>
          </cell>
          <cell r="AC308">
            <v>40.67</v>
          </cell>
          <cell r="AD308">
            <v>10.029599999999999</v>
          </cell>
          <cell r="AE308">
            <v>30.37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G308">
            <v>72.510000000000005</v>
          </cell>
          <cell r="AD308">
            <v>72.510000000000005</v>
          </cell>
          <cell r="AE308">
            <v>72.510000000000005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37.010000000000005</v>
          </cell>
          <cell r="U308">
            <v>57.35</v>
          </cell>
          <cell r="AD308">
            <v>94.36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59.089999999999996</v>
          </cell>
          <cell r="R308">
            <v>411.24000000000007</v>
          </cell>
          <cell r="S308">
            <v>8.9600000000000009</v>
          </cell>
          <cell r="T308">
            <v>44.49</v>
          </cell>
          <cell r="U308">
            <v>50.29</v>
          </cell>
          <cell r="W308">
            <v>1358.7529999999997</v>
          </cell>
          <cell r="Y308">
            <v>472.91</v>
          </cell>
          <cell r="AC308">
            <v>12.08</v>
          </cell>
          <cell r="AD308">
            <v>568.03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9">
          <cell r="M309">
            <v>6.6999999999999993</v>
          </cell>
          <cell r="S309">
            <v>13.62</v>
          </cell>
          <cell r="T309">
            <v>14.530000000000001</v>
          </cell>
          <cell r="U309">
            <v>13.58</v>
          </cell>
          <cell r="W309">
            <v>3378.1505999999999</v>
          </cell>
          <cell r="Y309">
            <v>603.11999999999989</v>
          </cell>
          <cell r="AD309">
            <v>667.86999999999989</v>
          </cell>
          <cell r="AE309">
            <v>654.28999999999985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95.39</v>
          </cell>
          <cell r="AD308">
            <v>95.39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43.04</v>
          </cell>
          <cell r="AD308">
            <v>43.04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O308">
            <v>963.36</v>
          </cell>
          <cell r="AD308">
            <v>963.36</v>
          </cell>
          <cell r="AE308">
            <v>963.36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O308">
            <v>959.57999999999993</v>
          </cell>
          <cell r="AD308">
            <v>959.57999999999993</v>
          </cell>
          <cell r="AE308">
            <v>959.57999999999993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S308">
            <v>15.65</v>
          </cell>
          <cell r="AD308">
            <v>15.65</v>
          </cell>
          <cell r="AE308">
            <v>15.65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3.19</v>
          </cell>
          <cell r="R308">
            <v>111.36</v>
          </cell>
          <cell r="T308">
            <v>5.81</v>
          </cell>
          <cell r="AD308">
            <v>120.36</v>
          </cell>
          <cell r="AE308">
            <v>120.36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515.5</v>
          </cell>
          <cell r="AD308">
            <v>515.5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48.78</v>
          </cell>
          <cell r="AD308">
            <v>48.78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60.74</v>
          </cell>
          <cell r="AD308">
            <v>60.74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9">
          <cell r="K309">
            <v>38.6</v>
          </cell>
          <cell r="M309">
            <v>58.25</v>
          </cell>
          <cell r="N309">
            <v>226.34</v>
          </cell>
          <cell r="P309">
            <v>76.900000000000006</v>
          </cell>
          <cell r="R309">
            <v>926.08999999999992</v>
          </cell>
          <cell r="S309">
            <v>102.30000000000001</v>
          </cell>
          <cell r="T309">
            <v>292.08</v>
          </cell>
          <cell r="U309">
            <v>205.07</v>
          </cell>
          <cell r="W309">
            <v>3508.9070000000002</v>
          </cell>
          <cell r="Y309">
            <v>1206.48</v>
          </cell>
          <cell r="AB309">
            <v>91.25</v>
          </cell>
          <cell r="AC309">
            <v>53.66</v>
          </cell>
          <cell r="AD309">
            <v>1898.82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18.93</v>
          </cell>
          <cell r="AB308">
            <v>19.420000000000002</v>
          </cell>
          <cell r="AC308">
            <v>10.130000000000001</v>
          </cell>
          <cell r="AD308">
            <v>13.864999999999998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34.369999999999997</v>
          </cell>
          <cell r="AC308">
            <v>5.99</v>
          </cell>
          <cell r="AD308">
            <v>31.374999999999996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18.93</v>
          </cell>
          <cell r="AB308">
            <v>19.420000000000002</v>
          </cell>
          <cell r="AC308">
            <v>10.130000000000001</v>
          </cell>
          <cell r="AD308">
            <v>13.864999999999998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U308">
            <v>13.49</v>
          </cell>
          <cell r="AD308">
            <v>13.49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11.1</v>
          </cell>
          <cell r="AD308">
            <v>11.1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8">
          <cell r="R308">
            <v>18.71</v>
          </cell>
          <cell r="AD308">
            <v>18.71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62.96</v>
          </cell>
          <cell r="AD308">
            <v>62.96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9">
          <cell r="E309">
            <v>43.400000000000006</v>
          </cell>
          <cell r="S309">
            <v>1.81</v>
          </cell>
          <cell r="T309">
            <v>36.18</v>
          </cell>
          <cell r="U309">
            <v>7.25</v>
          </cell>
          <cell r="W309">
            <v>498.4221</v>
          </cell>
          <cell r="Y309">
            <v>190.71</v>
          </cell>
          <cell r="AB309">
            <v>12.719999999999999</v>
          </cell>
          <cell r="AC309">
            <v>24.401999999999997</v>
          </cell>
          <cell r="AD309">
            <v>212.68900000000002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13">
          <cell r="M313">
            <v>21.05</v>
          </cell>
          <cell r="R313">
            <v>514.42999999999995</v>
          </cell>
          <cell r="S313">
            <v>21.259999999999998</v>
          </cell>
          <cell r="T313">
            <v>112.92</v>
          </cell>
          <cell r="U313">
            <v>68.010000000000005</v>
          </cell>
          <cell r="W313">
            <v>1708.3409000000004</v>
          </cell>
          <cell r="AA313">
            <v>535.4799999999999</v>
          </cell>
          <cell r="AB313">
            <v>122.39000000000001</v>
          </cell>
          <cell r="AC313">
            <v>54.089999999999989</v>
          </cell>
          <cell r="AD313">
            <v>710.60000000000014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312.51</v>
          </cell>
          <cell r="R308">
            <v>39.339999999999996</v>
          </cell>
          <cell r="AD308">
            <v>351.85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10">
          <cell r="K310">
            <v>148.57</v>
          </cell>
          <cell r="L310">
            <v>96.15</v>
          </cell>
          <cell r="M310">
            <v>44.730000000000004</v>
          </cell>
          <cell r="N310">
            <v>427.14</v>
          </cell>
          <cell r="P310">
            <v>88.17</v>
          </cell>
          <cell r="R310">
            <v>1168.1300000000001</v>
          </cell>
          <cell r="S310">
            <v>23.22</v>
          </cell>
          <cell r="T310">
            <v>136.88</v>
          </cell>
          <cell r="U310">
            <v>187.69</v>
          </cell>
          <cell r="W310">
            <v>3387.3249999999998</v>
          </cell>
          <cell r="Y310">
            <v>962.45</v>
          </cell>
          <cell r="AB310">
            <v>120.27000000000001</v>
          </cell>
          <cell r="AC310">
            <v>105.49999999999999</v>
          </cell>
          <cell r="AD310">
            <v>2267.9299999999998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519.36</v>
          </cell>
          <cell r="AD308">
            <v>519.36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308.79000000000002</v>
          </cell>
          <cell r="AD308">
            <v>308.79000000000002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N308">
            <v>501.61</v>
          </cell>
          <cell r="R308">
            <v>322.43000000000006</v>
          </cell>
          <cell r="T308">
            <v>202.68</v>
          </cell>
          <cell r="U308">
            <v>4.1399999999999997</v>
          </cell>
          <cell r="W308">
            <v>35.777999999999999</v>
          </cell>
          <cell r="Y308">
            <v>10.68</v>
          </cell>
          <cell r="AB308">
            <v>84.460000000000008</v>
          </cell>
          <cell r="AC308">
            <v>78.28</v>
          </cell>
          <cell r="AD308">
            <v>991.72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21.03</v>
          </cell>
          <cell r="AD308">
            <v>15.565000000000001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M308">
            <v>15.129999999999999</v>
          </cell>
          <cell r="AD308">
            <v>15.129999999999999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S308">
            <v>2.35</v>
          </cell>
          <cell r="AC308">
            <v>1.57</v>
          </cell>
          <cell r="AD308">
            <v>1.5649999999999999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18.940000000000001</v>
          </cell>
          <cell r="AC308">
            <v>2.46</v>
          </cell>
          <cell r="AD308">
            <v>17.71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08">
          <cell r="R308">
            <v>77.180000000000007</v>
          </cell>
          <cell r="AC308">
            <v>23.15</v>
          </cell>
          <cell r="AD308">
            <v>65.605000000000004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8">
          <cell r="R308">
            <v>495.66</v>
          </cell>
          <cell r="AD308">
            <v>495.66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>
        <row r="315">
          <cell r="K315">
            <v>952.19999999999993</v>
          </cell>
          <cell r="L315">
            <v>362.84000000000003</v>
          </cell>
          <cell r="M315">
            <v>131.18</v>
          </cell>
          <cell r="N315">
            <v>543.59</v>
          </cell>
          <cell r="R315">
            <v>588.12</v>
          </cell>
          <cell r="S315">
            <v>125.67</v>
          </cell>
          <cell r="T315">
            <v>563.05999999999995</v>
          </cell>
          <cell r="U315">
            <v>194.27</v>
          </cell>
          <cell r="W315">
            <v>7232.6770000000006</v>
          </cell>
          <cell r="Y315">
            <v>2455.8500000000004</v>
          </cell>
          <cell r="AB315">
            <v>305.15999999999997</v>
          </cell>
          <cell r="AC315">
            <v>155.57999999999998</v>
          </cell>
          <cell r="AD315">
            <v>3383.1200000000003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08">
          <cell r="C308">
            <v>1170.6000000000001</v>
          </cell>
          <cell r="D308">
            <v>600</v>
          </cell>
          <cell r="E308">
            <v>482.53999999999996</v>
          </cell>
          <cell r="M308">
            <v>14.23</v>
          </cell>
          <cell r="R308">
            <v>422.51</v>
          </cell>
          <cell r="S308">
            <v>19.8</v>
          </cell>
          <cell r="T308">
            <v>536.31000000000006</v>
          </cell>
          <cell r="U308">
            <v>108.57</v>
          </cell>
          <cell r="W308">
            <v>7971.1171999999997</v>
          </cell>
          <cell r="Y308">
            <v>2559.04</v>
          </cell>
          <cell r="AB308">
            <v>1.8199999999999998</v>
          </cell>
          <cell r="AC308">
            <v>765.11</v>
          </cell>
          <cell r="AD308">
            <v>2972.0050000000001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Zawartość opracowania"/>
      <sheetName val="Opis"/>
      <sheetName val="zestawienie"/>
    </sheetNames>
    <sheetDataSet>
      <sheetData sheetId="0" refreshError="1"/>
      <sheetData sheetId="1" refreshError="1"/>
      <sheetData sheetId="2" refreshError="1"/>
      <sheetData sheetId="3" refreshError="1">
        <row r="310">
          <cell r="C310">
            <v>1253.49</v>
          </cell>
          <cell r="D310">
            <v>291.63</v>
          </cell>
          <cell r="E310">
            <v>499.63</v>
          </cell>
          <cell r="N310">
            <v>181.62</v>
          </cell>
          <cell r="R310">
            <v>274.66999999999996</v>
          </cell>
          <cell r="S310">
            <v>16.600000000000001</v>
          </cell>
          <cell r="T310">
            <v>552.22</v>
          </cell>
          <cell r="U310">
            <v>276.09000000000003</v>
          </cell>
          <cell r="W310">
            <v>7834.8843999999999</v>
          </cell>
          <cell r="Y310">
            <v>2499</v>
          </cell>
          <cell r="AB310">
            <v>215.21</v>
          </cell>
          <cell r="AC310">
            <v>841.8</v>
          </cell>
          <cell r="AD310">
            <v>2925.0400000000004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8"/>
  <sheetViews>
    <sheetView tabSelected="1" workbookViewId="0">
      <selection activeCell="D164" sqref="D164"/>
    </sheetView>
  </sheetViews>
  <sheetFormatPr defaultRowHeight="14.25"/>
  <cols>
    <col min="4" max="4" width="32.125" customWidth="1"/>
    <col min="5" max="5" width="13.5" customWidth="1"/>
    <col min="6" max="6" width="12.125" hidden="1" customWidth="1"/>
    <col min="7" max="7" width="10.375" hidden="1" customWidth="1"/>
    <col min="8" max="13" width="0" hidden="1" customWidth="1"/>
    <col min="19" max="19" width="12.125" customWidth="1"/>
    <col min="20" max="20" width="18.25" customWidth="1"/>
  </cols>
  <sheetData>
    <row r="2" spans="1:13" ht="20.25">
      <c r="A2" s="587" t="s">
        <v>194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</row>
    <row r="3" spans="1:13" ht="15" thickBot="1"/>
    <row r="4" spans="1:13" ht="20.25" customHeight="1">
      <c r="A4" s="498" t="s">
        <v>25</v>
      </c>
      <c r="B4" s="499" t="s">
        <v>26</v>
      </c>
      <c r="C4" s="502" t="s">
        <v>24</v>
      </c>
      <c r="D4" s="505" t="s">
        <v>23</v>
      </c>
      <c r="E4" s="569" t="s">
        <v>97</v>
      </c>
      <c r="F4" s="508" t="s">
        <v>69</v>
      </c>
      <c r="G4" s="511" t="s">
        <v>83</v>
      </c>
      <c r="H4" s="514" t="s">
        <v>81</v>
      </c>
      <c r="I4" s="517" t="s">
        <v>82</v>
      </c>
      <c r="J4" s="554" t="s">
        <v>85</v>
      </c>
      <c r="K4" s="514" t="s">
        <v>96</v>
      </c>
      <c r="L4" s="557" t="s">
        <v>86</v>
      </c>
      <c r="M4" s="588" t="s">
        <v>84</v>
      </c>
    </row>
    <row r="5" spans="1:13">
      <c r="A5" s="496"/>
      <c r="B5" s="500"/>
      <c r="C5" s="503"/>
      <c r="D5" s="506"/>
      <c r="E5" s="570"/>
      <c r="F5" s="509"/>
      <c r="G5" s="512"/>
      <c r="H5" s="515"/>
      <c r="I5" s="518"/>
      <c r="J5" s="555"/>
      <c r="K5" s="515"/>
      <c r="L5" s="558"/>
      <c r="M5" s="589"/>
    </row>
    <row r="6" spans="1:13">
      <c r="A6" s="496"/>
      <c r="B6" s="500"/>
      <c r="C6" s="503"/>
      <c r="D6" s="506"/>
      <c r="E6" s="570"/>
      <c r="F6" s="509"/>
      <c r="G6" s="512"/>
      <c r="H6" s="515"/>
      <c r="I6" s="518"/>
      <c r="J6" s="555"/>
      <c r="K6" s="515"/>
      <c r="L6" s="558"/>
      <c r="M6" s="589"/>
    </row>
    <row r="7" spans="1:13">
      <c r="A7" s="496"/>
      <c r="B7" s="500"/>
      <c r="C7" s="503"/>
      <c r="D7" s="506"/>
      <c r="E7" s="570"/>
      <c r="F7" s="509"/>
      <c r="G7" s="512"/>
      <c r="H7" s="515"/>
      <c r="I7" s="518"/>
      <c r="J7" s="555"/>
      <c r="K7" s="515"/>
      <c r="L7" s="558"/>
      <c r="M7" s="589"/>
    </row>
    <row r="8" spans="1:13">
      <c r="A8" s="496"/>
      <c r="B8" s="500"/>
      <c r="C8" s="503"/>
      <c r="D8" s="506"/>
      <c r="E8" s="570"/>
      <c r="F8" s="509"/>
      <c r="G8" s="512"/>
      <c r="H8" s="515"/>
      <c r="I8" s="518"/>
      <c r="J8" s="555"/>
      <c r="K8" s="515"/>
      <c r="L8" s="558"/>
      <c r="M8" s="589"/>
    </row>
    <row r="9" spans="1:13" ht="15" thickBot="1">
      <c r="A9" s="497"/>
      <c r="B9" s="501"/>
      <c r="C9" s="504"/>
      <c r="D9" s="507"/>
      <c r="E9" s="570"/>
      <c r="F9" s="510"/>
      <c r="G9" s="513"/>
      <c r="H9" s="516"/>
      <c r="I9" s="519"/>
      <c r="J9" s="556"/>
      <c r="K9" s="516"/>
      <c r="L9" s="559"/>
      <c r="M9" s="590"/>
    </row>
    <row r="10" spans="1:13" ht="15.75">
      <c r="A10" s="79" t="s">
        <v>92</v>
      </c>
      <c r="B10" s="80"/>
      <c r="C10" s="80"/>
      <c r="D10" s="81"/>
      <c r="E10" s="271"/>
      <c r="F10" s="82"/>
      <c r="G10" s="80"/>
      <c r="H10" s="80"/>
      <c r="I10" s="82"/>
      <c r="J10" s="84"/>
      <c r="K10" s="83"/>
      <c r="L10" s="84"/>
      <c r="M10" s="84"/>
    </row>
    <row r="11" spans="1:13" ht="15" hidden="1" customHeight="1">
      <c r="A11" s="175">
        <v>1</v>
      </c>
      <c r="B11" s="340">
        <v>2845</v>
      </c>
      <c r="C11" s="176">
        <v>1</v>
      </c>
      <c r="D11" s="177" t="s">
        <v>136</v>
      </c>
      <c r="E11" s="273" t="s">
        <v>109</v>
      </c>
      <c r="F11" s="123" t="s">
        <v>135</v>
      </c>
      <c r="G11" s="107">
        <v>15431</v>
      </c>
      <c r="H11" s="341">
        <v>4548.3999999999996</v>
      </c>
      <c r="I11" s="123">
        <v>3393.8</v>
      </c>
      <c r="J11" s="134">
        <v>100.8</v>
      </c>
      <c r="K11" s="178">
        <v>915.8</v>
      </c>
      <c r="L11" s="317"/>
      <c r="M11" s="124">
        <v>1059.8</v>
      </c>
    </row>
    <row r="12" spans="1:13" ht="15" hidden="1" customHeight="1">
      <c r="A12" s="89">
        <v>2</v>
      </c>
      <c r="B12" s="90">
        <v>2845</v>
      </c>
      <c r="C12" s="90">
        <v>2</v>
      </c>
      <c r="D12" s="91" t="s">
        <v>27</v>
      </c>
      <c r="E12" s="273" t="s">
        <v>109</v>
      </c>
      <c r="F12" s="125">
        <v>1932</v>
      </c>
      <c r="G12" s="121">
        <v>14730.29</v>
      </c>
      <c r="H12" s="119">
        <f t="shared" ref="H12:I18" si="0">AH12</f>
        <v>0</v>
      </c>
      <c r="I12" s="120">
        <f t="shared" si="0"/>
        <v>0</v>
      </c>
      <c r="J12" s="121">
        <f t="shared" ref="J12:J19" si="1">AC12</f>
        <v>0</v>
      </c>
      <c r="K12" s="121">
        <f t="shared" ref="K12:K19" si="2">AD12+AE12</f>
        <v>0</v>
      </c>
      <c r="L12" s="122">
        <v>1228</v>
      </c>
      <c r="M12" s="346">
        <v>879.42</v>
      </c>
    </row>
    <row r="13" spans="1:13" ht="15" hidden="1" customHeight="1">
      <c r="A13" s="108">
        <f t="shared" ref="A13:A76" si="3">A12+1</f>
        <v>3</v>
      </c>
      <c r="B13" s="341">
        <v>2845</v>
      </c>
      <c r="C13" s="341">
        <v>3</v>
      </c>
      <c r="D13" s="106" t="s">
        <v>28</v>
      </c>
      <c r="E13" s="273" t="s">
        <v>109</v>
      </c>
      <c r="F13" s="125">
        <v>1932</v>
      </c>
      <c r="G13" s="107">
        <v>14316.06</v>
      </c>
      <c r="H13" s="119">
        <f t="shared" si="0"/>
        <v>0</v>
      </c>
      <c r="I13" s="120">
        <f t="shared" si="0"/>
        <v>0</v>
      </c>
      <c r="J13" s="121">
        <f t="shared" si="1"/>
        <v>0</v>
      </c>
      <c r="K13" s="121">
        <f t="shared" si="2"/>
        <v>0</v>
      </c>
      <c r="L13" s="122">
        <v>1267.94</v>
      </c>
      <c r="M13" s="157">
        <v>939.4</v>
      </c>
    </row>
    <row r="14" spans="1:13" ht="15" hidden="1">
      <c r="A14" s="89">
        <f t="shared" si="3"/>
        <v>4</v>
      </c>
      <c r="B14" s="90">
        <v>2845</v>
      </c>
      <c r="C14" s="90">
        <v>4</v>
      </c>
      <c r="D14" s="91" t="s">
        <v>29</v>
      </c>
      <c r="E14" s="273" t="s">
        <v>109</v>
      </c>
      <c r="F14" s="235">
        <v>1912</v>
      </c>
      <c r="G14" s="104">
        <v>2455.06</v>
      </c>
      <c r="H14" s="93">
        <f t="shared" si="0"/>
        <v>0</v>
      </c>
      <c r="I14" s="94">
        <f t="shared" si="0"/>
        <v>0</v>
      </c>
      <c r="J14" s="92">
        <f t="shared" si="1"/>
        <v>0</v>
      </c>
      <c r="K14" s="92">
        <f t="shared" si="2"/>
        <v>0</v>
      </c>
      <c r="L14" s="95">
        <v>408.62</v>
      </c>
      <c r="M14" s="345">
        <v>342.83</v>
      </c>
    </row>
    <row r="15" spans="1:13" ht="15" hidden="1">
      <c r="A15" s="89">
        <f t="shared" si="3"/>
        <v>5</v>
      </c>
      <c r="B15" s="341">
        <v>2845</v>
      </c>
      <c r="C15" s="341">
        <v>6</v>
      </c>
      <c r="D15" s="106" t="s">
        <v>30</v>
      </c>
      <c r="E15" s="273" t="s">
        <v>109</v>
      </c>
      <c r="F15" s="125">
        <v>1932</v>
      </c>
      <c r="G15" s="107">
        <v>8835.6</v>
      </c>
      <c r="H15" s="93">
        <f t="shared" si="0"/>
        <v>0</v>
      </c>
      <c r="I15" s="94">
        <f t="shared" si="0"/>
        <v>0</v>
      </c>
      <c r="J15" s="92">
        <f t="shared" si="1"/>
        <v>0</v>
      </c>
      <c r="K15" s="92">
        <f t="shared" si="2"/>
        <v>0</v>
      </c>
      <c r="L15" s="95">
        <v>872.81</v>
      </c>
      <c r="M15" s="157">
        <v>637.88</v>
      </c>
    </row>
    <row r="16" spans="1:13" ht="15" hidden="1">
      <c r="A16" s="89">
        <f t="shared" si="3"/>
        <v>6</v>
      </c>
      <c r="B16" s="90">
        <v>2845</v>
      </c>
      <c r="C16" s="90">
        <v>7</v>
      </c>
      <c r="D16" s="91" t="s">
        <v>32</v>
      </c>
      <c r="E16" s="273" t="s">
        <v>109</v>
      </c>
      <c r="F16" s="235">
        <v>1932</v>
      </c>
      <c r="G16" s="104">
        <v>10349.5</v>
      </c>
      <c r="H16" s="93">
        <f t="shared" si="0"/>
        <v>0</v>
      </c>
      <c r="I16" s="94">
        <f t="shared" si="0"/>
        <v>0</v>
      </c>
      <c r="J16" s="92">
        <f t="shared" si="1"/>
        <v>0</v>
      </c>
      <c r="K16" s="92">
        <f t="shared" si="2"/>
        <v>0</v>
      </c>
      <c r="L16" s="95">
        <v>976.46</v>
      </c>
      <c r="M16" s="345">
        <v>741.9</v>
      </c>
    </row>
    <row r="17" spans="1:13" s="343" customFormat="1" ht="18.75" customHeight="1">
      <c r="A17" s="108">
        <f t="shared" si="3"/>
        <v>7</v>
      </c>
      <c r="B17" s="342">
        <v>2845</v>
      </c>
      <c r="C17" s="342">
        <v>8</v>
      </c>
      <c r="D17" s="106" t="s">
        <v>32</v>
      </c>
      <c r="E17" s="276" t="s">
        <v>109</v>
      </c>
      <c r="F17" s="125" t="s">
        <v>191</v>
      </c>
      <c r="G17" s="107">
        <v>13065.15</v>
      </c>
      <c r="H17" s="119">
        <f t="shared" si="0"/>
        <v>0</v>
      </c>
      <c r="I17" s="120">
        <f t="shared" si="0"/>
        <v>0</v>
      </c>
      <c r="J17" s="121">
        <f t="shared" si="1"/>
        <v>0</v>
      </c>
      <c r="K17" s="121">
        <f t="shared" si="2"/>
        <v>0</v>
      </c>
      <c r="L17" s="122">
        <v>1227.52</v>
      </c>
      <c r="M17" s="157">
        <v>878.85</v>
      </c>
    </row>
    <row r="18" spans="1:13" s="343" customFormat="1" ht="15" hidden="1">
      <c r="A18" s="108">
        <f t="shared" si="3"/>
        <v>8</v>
      </c>
      <c r="B18" s="342">
        <v>2845</v>
      </c>
      <c r="C18" s="342">
        <v>9</v>
      </c>
      <c r="D18" s="106" t="s">
        <v>33</v>
      </c>
      <c r="E18" s="276" t="s">
        <v>109</v>
      </c>
      <c r="F18" s="125">
        <v>1932</v>
      </c>
      <c r="G18" s="107">
        <v>13967.58</v>
      </c>
      <c r="H18" s="119">
        <f t="shared" si="0"/>
        <v>0</v>
      </c>
      <c r="I18" s="120">
        <f t="shared" si="0"/>
        <v>0</v>
      </c>
      <c r="J18" s="121">
        <f t="shared" si="1"/>
        <v>0</v>
      </c>
      <c r="K18" s="121">
        <f t="shared" si="2"/>
        <v>0</v>
      </c>
      <c r="L18" s="122">
        <v>1254.94</v>
      </c>
      <c r="M18" s="157">
        <v>892.21</v>
      </c>
    </row>
    <row r="19" spans="1:13" s="343" customFormat="1" ht="15" hidden="1">
      <c r="A19" s="108">
        <f t="shared" si="3"/>
        <v>9</v>
      </c>
      <c r="B19" s="342">
        <v>2845</v>
      </c>
      <c r="C19" s="342">
        <v>10</v>
      </c>
      <c r="D19" s="106" t="s">
        <v>33</v>
      </c>
      <c r="E19" s="276" t="s">
        <v>109</v>
      </c>
      <c r="F19" s="125">
        <v>1932</v>
      </c>
      <c r="G19" s="107">
        <v>15094.19</v>
      </c>
      <c r="H19" s="119">
        <v>3346</v>
      </c>
      <c r="I19" s="120">
        <f>AI19</f>
        <v>0</v>
      </c>
      <c r="J19" s="121">
        <f t="shared" si="1"/>
        <v>0</v>
      </c>
      <c r="K19" s="121">
        <f t="shared" si="2"/>
        <v>0</v>
      </c>
      <c r="L19" s="122">
        <v>1227.06</v>
      </c>
      <c r="M19" s="157">
        <v>890.25</v>
      </c>
    </row>
    <row r="20" spans="1:13" s="343" customFormat="1" ht="15" hidden="1">
      <c r="A20" s="108">
        <f t="shared" si="3"/>
        <v>10</v>
      </c>
      <c r="B20" s="342">
        <v>2845</v>
      </c>
      <c r="C20" s="342">
        <v>11</v>
      </c>
      <c r="D20" s="106" t="s">
        <v>129</v>
      </c>
      <c r="E20" s="274" t="s">
        <v>109</v>
      </c>
      <c r="F20" s="125" t="s">
        <v>130</v>
      </c>
      <c r="G20" s="107">
        <v>6395</v>
      </c>
      <c r="H20" s="119">
        <v>1164</v>
      </c>
      <c r="I20" s="120">
        <v>886</v>
      </c>
      <c r="J20" s="121"/>
      <c r="K20" s="121">
        <v>256.64999999999998</v>
      </c>
      <c r="L20" s="122">
        <v>989.86</v>
      </c>
      <c r="M20" s="157">
        <v>975.33</v>
      </c>
    </row>
    <row r="21" spans="1:13" s="343" customFormat="1" ht="15" hidden="1">
      <c r="A21" s="108">
        <f t="shared" si="3"/>
        <v>11</v>
      </c>
      <c r="B21" s="342">
        <v>2845</v>
      </c>
      <c r="C21" s="342">
        <v>12</v>
      </c>
      <c r="D21" s="106" t="s">
        <v>34</v>
      </c>
      <c r="E21" s="276" t="s">
        <v>109</v>
      </c>
      <c r="F21" s="125">
        <v>1932</v>
      </c>
      <c r="G21" s="107">
        <v>9252.14</v>
      </c>
      <c r="H21" s="119">
        <f t="shared" ref="H21:I23" si="4">AH21</f>
        <v>0</v>
      </c>
      <c r="I21" s="120">
        <f t="shared" si="4"/>
        <v>0</v>
      </c>
      <c r="J21" s="121">
        <f t="shared" ref="J21:J84" si="5">AC21</f>
        <v>0</v>
      </c>
      <c r="K21" s="121">
        <f t="shared" ref="K21:K84" si="6">AD21+AE21</f>
        <v>0</v>
      </c>
      <c r="L21" s="122">
        <v>1671.52</v>
      </c>
      <c r="M21" s="157">
        <v>1579</v>
      </c>
    </row>
    <row r="22" spans="1:13" s="343" customFormat="1" ht="15" hidden="1">
      <c r="A22" s="108">
        <f t="shared" si="3"/>
        <v>12</v>
      </c>
      <c r="B22" s="342">
        <v>2845</v>
      </c>
      <c r="C22" s="342">
        <v>13</v>
      </c>
      <c r="D22" s="106" t="s">
        <v>35</v>
      </c>
      <c r="E22" s="276" t="s">
        <v>109</v>
      </c>
      <c r="F22" s="125" t="s">
        <v>59</v>
      </c>
      <c r="G22" s="107">
        <v>6692.93</v>
      </c>
      <c r="H22" s="119">
        <f t="shared" si="4"/>
        <v>0</v>
      </c>
      <c r="I22" s="120">
        <f t="shared" si="4"/>
        <v>0</v>
      </c>
      <c r="J22" s="121">
        <f t="shared" si="5"/>
        <v>0</v>
      </c>
      <c r="K22" s="121">
        <f t="shared" si="6"/>
        <v>0</v>
      </c>
      <c r="L22" s="122">
        <v>1419.8</v>
      </c>
      <c r="M22" s="157">
        <v>1397.19</v>
      </c>
    </row>
    <row r="23" spans="1:13" s="343" customFormat="1" ht="15" hidden="1">
      <c r="A23" s="108">
        <f t="shared" si="3"/>
        <v>13</v>
      </c>
      <c r="B23" s="342">
        <v>2845</v>
      </c>
      <c r="C23" s="342">
        <v>14</v>
      </c>
      <c r="D23" s="106" t="s">
        <v>35</v>
      </c>
      <c r="E23" s="276" t="s">
        <v>109</v>
      </c>
      <c r="F23" s="125">
        <v>1932</v>
      </c>
      <c r="G23" s="107">
        <v>2964.8</v>
      </c>
      <c r="H23" s="119">
        <f t="shared" si="4"/>
        <v>0</v>
      </c>
      <c r="I23" s="120">
        <f t="shared" si="4"/>
        <v>0</v>
      </c>
      <c r="J23" s="121">
        <f t="shared" si="5"/>
        <v>0</v>
      </c>
      <c r="K23" s="121">
        <f t="shared" si="6"/>
        <v>0</v>
      </c>
      <c r="L23" s="122">
        <v>675.97</v>
      </c>
      <c r="M23" s="157">
        <v>660.31</v>
      </c>
    </row>
    <row r="24" spans="1:13" s="343" customFormat="1" ht="15" hidden="1">
      <c r="A24" s="108">
        <f t="shared" si="3"/>
        <v>14</v>
      </c>
      <c r="B24" s="342">
        <v>2845</v>
      </c>
      <c r="C24" s="342">
        <v>15</v>
      </c>
      <c r="D24" s="106" t="s">
        <v>35</v>
      </c>
      <c r="E24" s="276" t="s">
        <v>109</v>
      </c>
      <c r="F24" s="125" t="s">
        <v>88</v>
      </c>
      <c r="G24" s="107">
        <v>3740</v>
      </c>
      <c r="H24" s="109">
        <v>636</v>
      </c>
      <c r="I24" s="110">
        <v>376</v>
      </c>
      <c r="J24" s="121">
        <f t="shared" si="5"/>
        <v>0</v>
      </c>
      <c r="K24" s="121">
        <f t="shared" si="6"/>
        <v>0</v>
      </c>
      <c r="L24" s="111">
        <v>843</v>
      </c>
      <c r="M24" s="157">
        <v>819</v>
      </c>
    </row>
    <row r="25" spans="1:13" s="343" customFormat="1" ht="15" hidden="1">
      <c r="A25" s="108">
        <f t="shared" si="3"/>
        <v>15</v>
      </c>
      <c r="B25" s="342">
        <v>2845</v>
      </c>
      <c r="C25" s="342">
        <v>16</v>
      </c>
      <c r="D25" s="106" t="s">
        <v>37</v>
      </c>
      <c r="E25" s="276" t="s">
        <v>109</v>
      </c>
      <c r="F25" s="125">
        <v>1932</v>
      </c>
      <c r="G25" s="107">
        <v>10389.24</v>
      </c>
      <c r="H25" s="119">
        <f>AH25</f>
        <v>0</v>
      </c>
      <c r="I25" s="120">
        <f>AI25</f>
        <v>0</v>
      </c>
      <c r="J25" s="121">
        <f t="shared" si="5"/>
        <v>0</v>
      </c>
      <c r="K25" s="121">
        <f t="shared" si="6"/>
        <v>0</v>
      </c>
      <c r="L25" s="122">
        <v>1763.82</v>
      </c>
      <c r="M25" s="157">
        <v>1706.33</v>
      </c>
    </row>
    <row r="26" spans="1:13" s="343" customFormat="1" ht="21" hidden="1" customHeight="1">
      <c r="A26" s="108">
        <f t="shared" si="3"/>
        <v>16</v>
      </c>
      <c r="B26" s="342">
        <v>2845</v>
      </c>
      <c r="C26" s="342">
        <v>19</v>
      </c>
      <c r="D26" s="106" t="s">
        <v>35</v>
      </c>
      <c r="E26" s="276" t="s">
        <v>109</v>
      </c>
      <c r="F26" s="112" t="s">
        <v>88</v>
      </c>
      <c r="G26" s="113">
        <v>10119</v>
      </c>
      <c r="H26" s="114">
        <v>2394</v>
      </c>
      <c r="I26" s="115">
        <v>1786</v>
      </c>
      <c r="J26" s="121">
        <f t="shared" si="5"/>
        <v>0</v>
      </c>
      <c r="K26" s="121">
        <f t="shared" si="6"/>
        <v>0</v>
      </c>
      <c r="L26" s="116">
        <v>1498</v>
      </c>
      <c r="M26" s="348">
        <v>1441</v>
      </c>
    </row>
    <row r="27" spans="1:13" s="343" customFormat="1" ht="26.25" hidden="1" customHeight="1">
      <c r="A27" s="108">
        <f t="shared" si="3"/>
        <v>17</v>
      </c>
      <c r="B27" s="342">
        <v>2845</v>
      </c>
      <c r="C27" s="342">
        <v>20</v>
      </c>
      <c r="D27" s="106" t="s">
        <v>36</v>
      </c>
      <c r="E27" s="344" t="s">
        <v>108</v>
      </c>
      <c r="F27" s="125">
        <v>1932</v>
      </c>
      <c r="G27" s="107">
        <v>644.17999999999995</v>
      </c>
      <c r="H27" s="119">
        <f t="shared" ref="H27:I42" si="7">AH27</f>
        <v>0</v>
      </c>
      <c r="I27" s="120">
        <f t="shared" si="7"/>
        <v>0</v>
      </c>
      <c r="J27" s="121">
        <f t="shared" si="5"/>
        <v>0</v>
      </c>
      <c r="K27" s="121">
        <f t="shared" si="6"/>
        <v>0</v>
      </c>
      <c r="L27" s="122">
        <v>157.54</v>
      </c>
      <c r="M27" s="157">
        <v>136.91</v>
      </c>
    </row>
    <row r="28" spans="1:13" s="343" customFormat="1" ht="24.75" hidden="1" customHeight="1">
      <c r="A28" s="108">
        <f t="shared" si="3"/>
        <v>18</v>
      </c>
      <c r="B28" s="342">
        <v>2845</v>
      </c>
      <c r="C28" s="342">
        <v>21</v>
      </c>
      <c r="D28" s="106" t="s">
        <v>38</v>
      </c>
      <c r="E28" s="344" t="s">
        <v>108</v>
      </c>
      <c r="F28" s="125">
        <v>1932</v>
      </c>
      <c r="G28" s="107">
        <v>2513.17</v>
      </c>
      <c r="H28" s="119">
        <f t="shared" si="7"/>
        <v>0</v>
      </c>
      <c r="I28" s="120">
        <f t="shared" si="7"/>
        <v>0</v>
      </c>
      <c r="J28" s="121">
        <f t="shared" si="5"/>
        <v>0</v>
      </c>
      <c r="K28" s="121">
        <f t="shared" si="6"/>
        <v>0</v>
      </c>
      <c r="L28" s="122">
        <v>612.23</v>
      </c>
      <c r="M28" s="157">
        <v>413.35</v>
      </c>
    </row>
    <row r="29" spans="1:13" s="343" customFormat="1" ht="15" hidden="1">
      <c r="A29" s="108">
        <f t="shared" si="3"/>
        <v>19</v>
      </c>
      <c r="B29" s="342">
        <v>2845</v>
      </c>
      <c r="C29" s="124">
        <v>35</v>
      </c>
      <c r="D29" s="106" t="s">
        <v>131</v>
      </c>
      <c r="E29" s="275" t="s">
        <v>133</v>
      </c>
      <c r="F29" s="125" t="s">
        <v>132</v>
      </c>
      <c r="G29" s="107">
        <v>2068.4699999999998</v>
      </c>
      <c r="H29" s="119">
        <f t="shared" si="7"/>
        <v>0</v>
      </c>
      <c r="I29" s="120">
        <f t="shared" si="7"/>
        <v>0</v>
      </c>
      <c r="J29" s="121">
        <f t="shared" si="5"/>
        <v>0</v>
      </c>
      <c r="K29" s="121">
        <f t="shared" si="6"/>
        <v>0</v>
      </c>
      <c r="L29" s="122">
        <v>445.9</v>
      </c>
      <c r="M29" s="157">
        <v>399.32</v>
      </c>
    </row>
    <row r="30" spans="1:13" s="343" customFormat="1" ht="15" hidden="1">
      <c r="A30" s="108">
        <f t="shared" si="3"/>
        <v>20</v>
      </c>
      <c r="B30" s="342">
        <v>2845</v>
      </c>
      <c r="C30" s="124" t="s">
        <v>179</v>
      </c>
      <c r="D30" s="106" t="s">
        <v>42</v>
      </c>
      <c r="E30" s="275"/>
      <c r="F30" s="125"/>
      <c r="G30" s="107"/>
      <c r="H30" s="119"/>
      <c r="I30" s="120"/>
      <c r="J30" s="121"/>
      <c r="K30" s="121"/>
      <c r="L30" s="122"/>
      <c r="M30" s="157"/>
    </row>
    <row r="31" spans="1:13" s="343" customFormat="1" ht="15" hidden="1">
      <c r="A31" s="108">
        <f t="shared" si="3"/>
        <v>21</v>
      </c>
      <c r="B31" s="342">
        <v>2845</v>
      </c>
      <c r="C31" s="124" t="s">
        <v>180</v>
      </c>
      <c r="D31" s="106" t="s">
        <v>181</v>
      </c>
      <c r="E31" s="275"/>
      <c r="F31" s="125"/>
      <c r="G31" s="107"/>
      <c r="H31" s="119"/>
      <c r="I31" s="120"/>
      <c r="J31" s="121"/>
      <c r="K31" s="121"/>
      <c r="L31" s="122"/>
      <c r="M31" s="157"/>
    </row>
    <row r="32" spans="1:13" s="343" customFormat="1" ht="15" hidden="1">
      <c r="A32" s="108">
        <f t="shared" si="3"/>
        <v>22</v>
      </c>
      <c r="B32" s="342">
        <v>2845</v>
      </c>
      <c r="C32" s="342">
        <v>41</v>
      </c>
      <c r="D32" s="106" t="s">
        <v>38</v>
      </c>
      <c r="E32" s="276" t="s">
        <v>109</v>
      </c>
      <c r="F32" s="125">
        <v>1964</v>
      </c>
      <c r="G32" s="107">
        <v>346.64</v>
      </c>
      <c r="H32" s="119">
        <f t="shared" si="7"/>
        <v>0</v>
      </c>
      <c r="I32" s="120">
        <f t="shared" si="7"/>
        <v>0</v>
      </c>
      <c r="J32" s="121">
        <f t="shared" si="5"/>
        <v>0</v>
      </c>
      <c r="K32" s="121">
        <f t="shared" si="6"/>
        <v>0</v>
      </c>
      <c r="L32" s="122">
        <v>117.5</v>
      </c>
      <c r="M32" s="157">
        <v>111.07</v>
      </c>
    </row>
    <row r="33" spans="1:13" s="343" customFormat="1" ht="15" hidden="1">
      <c r="A33" s="108">
        <f t="shared" si="3"/>
        <v>23</v>
      </c>
      <c r="B33" s="342">
        <v>2845</v>
      </c>
      <c r="C33" s="342">
        <v>42</v>
      </c>
      <c r="D33" s="106" t="s">
        <v>38</v>
      </c>
      <c r="E33" s="276" t="s">
        <v>109</v>
      </c>
      <c r="F33" s="125">
        <v>1965</v>
      </c>
      <c r="G33" s="107">
        <v>359.1</v>
      </c>
      <c r="H33" s="119">
        <f t="shared" si="7"/>
        <v>0</v>
      </c>
      <c r="I33" s="120">
        <f t="shared" si="7"/>
        <v>0</v>
      </c>
      <c r="J33" s="121">
        <f t="shared" si="5"/>
        <v>0</v>
      </c>
      <c r="K33" s="121">
        <f t="shared" si="6"/>
        <v>0</v>
      </c>
      <c r="L33" s="122">
        <v>118.48</v>
      </c>
      <c r="M33" s="157">
        <v>112.22</v>
      </c>
    </row>
    <row r="34" spans="1:13" s="343" customFormat="1" ht="15" hidden="1">
      <c r="A34" s="108">
        <f t="shared" si="3"/>
        <v>24</v>
      </c>
      <c r="B34" s="342">
        <v>2845</v>
      </c>
      <c r="C34" s="342">
        <v>43</v>
      </c>
      <c r="D34" s="106" t="s">
        <v>38</v>
      </c>
      <c r="E34" s="276" t="s">
        <v>109</v>
      </c>
      <c r="F34" s="125">
        <v>1965</v>
      </c>
      <c r="G34" s="107">
        <v>357.54</v>
      </c>
      <c r="H34" s="119">
        <f t="shared" si="7"/>
        <v>0</v>
      </c>
      <c r="I34" s="120">
        <f t="shared" si="7"/>
        <v>0</v>
      </c>
      <c r="J34" s="121">
        <f t="shared" si="5"/>
        <v>0</v>
      </c>
      <c r="K34" s="121">
        <f t="shared" si="6"/>
        <v>0</v>
      </c>
      <c r="L34" s="122"/>
      <c r="M34" s="157">
        <v>111.73</v>
      </c>
    </row>
    <row r="35" spans="1:13" s="343" customFormat="1" ht="15" hidden="1">
      <c r="A35" s="108">
        <f t="shared" si="3"/>
        <v>25</v>
      </c>
      <c r="B35" s="342">
        <v>2845</v>
      </c>
      <c r="C35" s="342">
        <v>44</v>
      </c>
      <c r="D35" s="106" t="s">
        <v>39</v>
      </c>
      <c r="E35" s="276" t="s">
        <v>109</v>
      </c>
      <c r="F35" s="125">
        <v>1967</v>
      </c>
      <c r="G35" s="107">
        <v>1756.98</v>
      </c>
      <c r="H35" s="119">
        <f t="shared" si="7"/>
        <v>0</v>
      </c>
      <c r="I35" s="120">
        <f t="shared" si="7"/>
        <v>0</v>
      </c>
      <c r="J35" s="121">
        <f t="shared" si="5"/>
        <v>0</v>
      </c>
      <c r="K35" s="121">
        <f t="shared" si="6"/>
        <v>0</v>
      </c>
      <c r="L35" s="122">
        <v>513.17999999999995</v>
      </c>
      <c r="M35" s="157">
        <v>514.11</v>
      </c>
    </row>
    <row r="36" spans="1:13" s="343" customFormat="1" ht="15" hidden="1">
      <c r="A36" s="108">
        <f t="shared" si="3"/>
        <v>26</v>
      </c>
      <c r="B36" s="342">
        <v>2845</v>
      </c>
      <c r="C36" s="342">
        <v>45</v>
      </c>
      <c r="D36" s="106" t="s">
        <v>40</v>
      </c>
      <c r="E36" s="276" t="s">
        <v>109</v>
      </c>
      <c r="F36" s="125">
        <v>1967</v>
      </c>
      <c r="G36" s="107">
        <v>1874.14</v>
      </c>
      <c r="H36" s="119">
        <f t="shared" si="7"/>
        <v>0</v>
      </c>
      <c r="I36" s="120">
        <f t="shared" si="7"/>
        <v>0</v>
      </c>
      <c r="J36" s="121">
        <f t="shared" si="5"/>
        <v>0</v>
      </c>
      <c r="K36" s="121">
        <f t="shared" si="6"/>
        <v>0</v>
      </c>
      <c r="L36" s="122">
        <v>512.76</v>
      </c>
      <c r="M36" s="157">
        <v>512.73</v>
      </c>
    </row>
    <row r="37" spans="1:13" s="343" customFormat="1" ht="15" hidden="1">
      <c r="A37" s="108">
        <f t="shared" si="3"/>
        <v>27</v>
      </c>
      <c r="B37" s="342">
        <v>2845</v>
      </c>
      <c r="C37" s="342">
        <v>46</v>
      </c>
      <c r="D37" s="106" t="s">
        <v>40</v>
      </c>
      <c r="E37" s="276" t="s">
        <v>109</v>
      </c>
      <c r="F37" s="125" t="s">
        <v>68</v>
      </c>
      <c r="G37" s="107">
        <v>1799</v>
      </c>
      <c r="H37" s="109">
        <f t="shared" si="7"/>
        <v>0</v>
      </c>
      <c r="I37" s="110">
        <f>AH37</f>
        <v>0</v>
      </c>
      <c r="J37" s="121">
        <f t="shared" si="5"/>
        <v>0</v>
      </c>
      <c r="K37" s="121">
        <f t="shared" si="6"/>
        <v>0</v>
      </c>
      <c r="L37" s="111"/>
      <c r="M37" s="157"/>
    </row>
    <row r="38" spans="1:13" s="343" customFormat="1" ht="15" hidden="1">
      <c r="A38" s="108">
        <f t="shared" si="3"/>
        <v>28</v>
      </c>
      <c r="B38" s="342">
        <v>2845</v>
      </c>
      <c r="C38" s="342">
        <v>104</v>
      </c>
      <c r="D38" s="106" t="s">
        <v>33</v>
      </c>
      <c r="E38" s="276" t="s">
        <v>109</v>
      </c>
      <c r="F38" s="125">
        <v>1972</v>
      </c>
      <c r="G38" s="107">
        <v>12740.37</v>
      </c>
      <c r="H38" s="119">
        <f t="shared" si="7"/>
        <v>0</v>
      </c>
      <c r="I38" s="120">
        <f>AI38</f>
        <v>0</v>
      </c>
      <c r="J38" s="121">
        <f t="shared" si="5"/>
        <v>0</v>
      </c>
      <c r="K38" s="121">
        <f t="shared" si="6"/>
        <v>0</v>
      </c>
      <c r="L38" s="111">
        <v>764.56</v>
      </c>
      <c r="M38" s="157">
        <v>768.86</v>
      </c>
    </row>
    <row r="39" spans="1:13" s="343" customFormat="1" ht="15" hidden="1">
      <c r="A39" s="108">
        <f t="shared" si="3"/>
        <v>29</v>
      </c>
      <c r="B39" s="342">
        <v>2845</v>
      </c>
      <c r="C39" s="342">
        <v>105</v>
      </c>
      <c r="D39" s="106" t="s">
        <v>41</v>
      </c>
      <c r="E39" s="276" t="s">
        <v>109</v>
      </c>
      <c r="F39" s="125">
        <v>1973</v>
      </c>
      <c r="G39" s="107">
        <v>912.27</v>
      </c>
      <c r="H39" s="119">
        <f t="shared" si="7"/>
        <v>0</v>
      </c>
      <c r="I39" s="120">
        <f>AI39</f>
        <v>0</v>
      </c>
      <c r="J39" s="121">
        <f t="shared" si="5"/>
        <v>0</v>
      </c>
      <c r="K39" s="121">
        <f t="shared" si="6"/>
        <v>0</v>
      </c>
      <c r="L39" s="122">
        <v>218.94</v>
      </c>
      <c r="M39" s="157">
        <v>235.73</v>
      </c>
    </row>
    <row r="40" spans="1:13" s="343" customFormat="1" ht="15">
      <c r="A40" s="108">
        <f t="shared" si="3"/>
        <v>30</v>
      </c>
      <c r="B40" s="342">
        <v>2845</v>
      </c>
      <c r="C40" s="342">
        <v>106</v>
      </c>
      <c r="D40" s="106" t="s">
        <v>35</v>
      </c>
      <c r="E40" s="276" t="s">
        <v>109</v>
      </c>
      <c r="F40" s="125" t="s">
        <v>192</v>
      </c>
      <c r="G40" s="107">
        <v>5501.67</v>
      </c>
      <c r="H40" s="119">
        <f t="shared" si="7"/>
        <v>0</v>
      </c>
      <c r="I40" s="120">
        <f>AI40</f>
        <v>0</v>
      </c>
      <c r="J40" s="121">
        <f t="shared" si="5"/>
        <v>0</v>
      </c>
      <c r="K40" s="121">
        <f t="shared" si="6"/>
        <v>0</v>
      </c>
      <c r="L40" s="122">
        <v>1223.25</v>
      </c>
      <c r="M40" s="157">
        <v>1207.83</v>
      </c>
    </row>
    <row r="41" spans="1:13" ht="15" hidden="1">
      <c r="A41" s="89">
        <f t="shared" si="3"/>
        <v>31</v>
      </c>
      <c r="B41" s="90">
        <v>2845</v>
      </c>
      <c r="C41" s="90">
        <v>110</v>
      </c>
      <c r="D41" s="91" t="s">
        <v>42</v>
      </c>
      <c r="E41" s="273" t="s">
        <v>109</v>
      </c>
      <c r="F41" s="235">
        <v>1980</v>
      </c>
      <c r="G41" s="104">
        <v>6450.83</v>
      </c>
      <c r="H41" s="93">
        <f t="shared" si="7"/>
        <v>0</v>
      </c>
      <c r="I41" s="94">
        <f>AI41</f>
        <v>0</v>
      </c>
      <c r="J41" s="92">
        <f t="shared" si="5"/>
        <v>0</v>
      </c>
      <c r="K41" s="92">
        <f t="shared" si="6"/>
        <v>0</v>
      </c>
      <c r="L41" s="95">
        <v>1289.01</v>
      </c>
      <c r="M41" s="105">
        <v>1267.6300000000001</v>
      </c>
    </row>
    <row r="42" spans="1:13" ht="15" hidden="1">
      <c r="A42" s="89">
        <f t="shared" si="3"/>
        <v>32</v>
      </c>
      <c r="B42" s="90">
        <v>2845</v>
      </c>
      <c r="C42" s="90">
        <v>112</v>
      </c>
      <c r="D42" s="91" t="s">
        <v>31</v>
      </c>
      <c r="E42" s="273" t="s">
        <v>109</v>
      </c>
      <c r="F42" s="235">
        <v>1981</v>
      </c>
      <c r="G42" s="104">
        <v>16979.73</v>
      </c>
      <c r="H42" s="93">
        <f t="shared" si="7"/>
        <v>0</v>
      </c>
      <c r="I42" s="94">
        <f>AI42</f>
        <v>0</v>
      </c>
      <c r="J42" s="92">
        <f t="shared" si="5"/>
        <v>0</v>
      </c>
      <c r="K42" s="92">
        <f t="shared" si="6"/>
        <v>0</v>
      </c>
      <c r="L42" s="95">
        <v>2284.85</v>
      </c>
      <c r="M42" s="105">
        <v>1950.31</v>
      </c>
    </row>
    <row r="43" spans="1:13" ht="15" hidden="1">
      <c r="A43" s="108">
        <f t="shared" si="3"/>
        <v>33</v>
      </c>
      <c r="B43" s="341">
        <v>2845</v>
      </c>
      <c r="C43" s="341">
        <v>113</v>
      </c>
      <c r="D43" s="106" t="s">
        <v>35</v>
      </c>
      <c r="E43" s="273" t="s">
        <v>109</v>
      </c>
      <c r="F43" s="125">
        <v>1981</v>
      </c>
      <c r="G43" s="107">
        <v>54500</v>
      </c>
      <c r="H43" s="109">
        <v>13154</v>
      </c>
      <c r="I43" s="110">
        <v>13154</v>
      </c>
      <c r="J43" s="121">
        <f t="shared" si="5"/>
        <v>0</v>
      </c>
      <c r="K43" s="121">
        <f t="shared" si="6"/>
        <v>0</v>
      </c>
      <c r="L43" s="111"/>
      <c r="M43" s="103"/>
    </row>
    <row r="44" spans="1:13" ht="15" hidden="1">
      <c r="A44" s="89">
        <f t="shared" si="3"/>
        <v>34</v>
      </c>
      <c r="B44" s="90">
        <v>2845</v>
      </c>
      <c r="C44" s="90">
        <v>114</v>
      </c>
      <c r="D44" s="91" t="s">
        <v>43</v>
      </c>
      <c r="E44" s="273" t="s">
        <v>109</v>
      </c>
      <c r="F44" s="235">
        <v>1979</v>
      </c>
      <c r="G44" s="104">
        <v>111.26</v>
      </c>
      <c r="H44" s="93">
        <f t="shared" ref="H44:I46" si="8">AH44</f>
        <v>0</v>
      </c>
      <c r="I44" s="94">
        <f t="shared" si="8"/>
        <v>0</v>
      </c>
      <c r="J44" s="92">
        <f t="shared" si="5"/>
        <v>0</v>
      </c>
      <c r="K44" s="92">
        <f t="shared" si="6"/>
        <v>0</v>
      </c>
      <c r="L44" s="95">
        <v>49.2</v>
      </c>
      <c r="M44" s="105">
        <v>36.56</v>
      </c>
    </row>
    <row r="45" spans="1:13" ht="35.25" hidden="1" customHeight="1">
      <c r="A45" s="89">
        <f t="shared" si="3"/>
        <v>35</v>
      </c>
      <c r="B45" s="90">
        <v>2845</v>
      </c>
      <c r="C45" s="90">
        <v>115</v>
      </c>
      <c r="D45" s="195" t="s">
        <v>44</v>
      </c>
      <c r="E45" s="273" t="s">
        <v>107</v>
      </c>
      <c r="F45" s="235">
        <v>1979</v>
      </c>
      <c r="G45" s="104">
        <v>2762.43</v>
      </c>
      <c r="H45" s="93">
        <f t="shared" si="8"/>
        <v>0</v>
      </c>
      <c r="I45" s="94">
        <f t="shared" si="8"/>
        <v>0</v>
      </c>
      <c r="J45" s="92">
        <f t="shared" si="5"/>
        <v>0</v>
      </c>
      <c r="K45" s="92">
        <f t="shared" si="6"/>
        <v>0</v>
      </c>
      <c r="L45" s="95">
        <v>635.61</v>
      </c>
      <c r="M45" s="105">
        <v>555.82000000000005</v>
      </c>
    </row>
    <row r="46" spans="1:13" ht="15" hidden="1">
      <c r="A46" s="89">
        <f t="shared" si="3"/>
        <v>36</v>
      </c>
      <c r="B46" s="90">
        <v>2845</v>
      </c>
      <c r="C46" s="90">
        <v>116</v>
      </c>
      <c r="D46" s="91" t="s">
        <v>45</v>
      </c>
      <c r="E46" s="273" t="s">
        <v>109</v>
      </c>
      <c r="F46" s="235">
        <v>1979</v>
      </c>
      <c r="G46" s="104">
        <v>2639.66</v>
      </c>
      <c r="H46" s="93">
        <f t="shared" si="8"/>
        <v>0</v>
      </c>
      <c r="I46" s="94">
        <f t="shared" si="8"/>
        <v>0</v>
      </c>
      <c r="J46" s="92">
        <f t="shared" si="5"/>
        <v>0</v>
      </c>
      <c r="K46" s="92">
        <f t="shared" si="6"/>
        <v>0</v>
      </c>
      <c r="L46" s="95">
        <v>575.66999999999996</v>
      </c>
      <c r="M46" s="105">
        <v>564.51</v>
      </c>
    </row>
    <row r="47" spans="1:13" ht="15" hidden="1">
      <c r="A47" s="108">
        <f t="shared" si="3"/>
        <v>37</v>
      </c>
      <c r="B47" s="341">
        <v>2845</v>
      </c>
      <c r="C47" s="341">
        <v>117</v>
      </c>
      <c r="D47" s="106" t="s">
        <v>128</v>
      </c>
      <c r="E47" s="276" t="s">
        <v>107</v>
      </c>
      <c r="F47" s="123">
        <v>1979</v>
      </c>
      <c r="G47" s="121">
        <v>78</v>
      </c>
      <c r="H47" s="119">
        <v>13</v>
      </c>
      <c r="I47" s="103">
        <v>13</v>
      </c>
      <c r="J47" s="121">
        <f t="shared" si="5"/>
        <v>0</v>
      </c>
      <c r="K47" s="121">
        <f t="shared" si="6"/>
        <v>0</v>
      </c>
      <c r="L47" s="109"/>
      <c r="M47" s="120"/>
    </row>
    <row r="48" spans="1:13" ht="15" hidden="1">
      <c r="A48" s="108">
        <f t="shared" si="3"/>
        <v>38</v>
      </c>
      <c r="B48" s="341">
        <v>2845</v>
      </c>
      <c r="C48" s="341">
        <v>119</v>
      </c>
      <c r="D48" s="106" t="s">
        <v>70</v>
      </c>
      <c r="E48" s="276" t="s">
        <v>107</v>
      </c>
      <c r="F48" s="125">
        <v>1979</v>
      </c>
      <c r="G48" s="107">
        <v>316</v>
      </c>
      <c r="H48" s="109">
        <v>96</v>
      </c>
      <c r="I48" s="103">
        <v>96</v>
      </c>
      <c r="J48" s="121">
        <f t="shared" si="5"/>
        <v>0</v>
      </c>
      <c r="K48" s="121">
        <f t="shared" si="6"/>
        <v>0</v>
      </c>
      <c r="L48" s="111"/>
      <c r="M48" s="103"/>
    </row>
    <row r="49" spans="1:13" ht="15" hidden="1">
      <c r="A49" s="89">
        <f t="shared" si="3"/>
        <v>39</v>
      </c>
      <c r="B49" s="90">
        <v>2845</v>
      </c>
      <c r="C49" s="90">
        <v>120</v>
      </c>
      <c r="D49" s="91" t="s">
        <v>46</v>
      </c>
      <c r="E49" s="273" t="s">
        <v>109</v>
      </c>
      <c r="F49" s="237">
        <v>1979</v>
      </c>
      <c r="G49" s="92">
        <v>14396.62</v>
      </c>
      <c r="H49" s="93">
        <f>AH49</f>
        <v>0</v>
      </c>
      <c r="I49" s="94">
        <f>AI49</f>
        <v>0</v>
      </c>
      <c r="J49" s="92">
        <f t="shared" si="5"/>
        <v>0</v>
      </c>
      <c r="K49" s="92">
        <f t="shared" si="6"/>
        <v>0</v>
      </c>
      <c r="L49" s="95">
        <v>2378.71</v>
      </c>
      <c r="M49" s="96">
        <v>2684.73</v>
      </c>
    </row>
    <row r="50" spans="1:13" ht="15" hidden="1">
      <c r="A50" s="89">
        <f t="shared" si="3"/>
        <v>40</v>
      </c>
      <c r="B50" s="90">
        <v>2845</v>
      </c>
      <c r="C50" s="90">
        <v>126</v>
      </c>
      <c r="D50" s="91" t="s">
        <v>47</v>
      </c>
      <c r="E50" s="273" t="s">
        <v>109</v>
      </c>
      <c r="F50" s="235" t="s">
        <v>60</v>
      </c>
      <c r="G50" s="104">
        <v>486.51</v>
      </c>
      <c r="H50" s="93">
        <f>AH50</f>
        <v>0</v>
      </c>
      <c r="I50" s="94">
        <f>AI50</f>
        <v>0</v>
      </c>
      <c r="J50" s="92">
        <f t="shared" si="5"/>
        <v>0</v>
      </c>
      <c r="K50" s="92">
        <f t="shared" si="6"/>
        <v>0</v>
      </c>
      <c r="L50" s="95">
        <v>115.81</v>
      </c>
      <c r="M50" s="105">
        <v>115.56</v>
      </c>
    </row>
    <row r="51" spans="1:13" ht="30" hidden="1" customHeight="1">
      <c r="A51" s="108">
        <f t="shared" si="3"/>
        <v>41</v>
      </c>
      <c r="B51" s="341">
        <v>2845</v>
      </c>
      <c r="C51" s="124" t="s">
        <v>71</v>
      </c>
      <c r="D51" s="188" t="s">
        <v>124</v>
      </c>
      <c r="E51" s="273" t="s">
        <v>107</v>
      </c>
      <c r="F51" s="125">
        <v>2011</v>
      </c>
      <c r="G51" s="107">
        <v>150</v>
      </c>
      <c r="H51" s="109">
        <v>28</v>
      </c>
      <c r="I51" s="110">
        <v>28</v>
      </c>
      <c r="J51" s="121">
        <f t="shared" si="5"/>
        <v>0</v>
      </c>
      <c r="K51" s="121">
        <f t="shared" si="6"/>
        <v>0</v>
      </c>
      <c r="L51" s="111"/>
      <c r="M51" s="103"/>
    </row>
    <row r="52" spans="1:13" ht="36" hidden="1" customHeight="1">
      <c r="A52" s="108">
        <f t="shared" si="3"/>
        <v>42</v>
      </c>
      <c r="B52" s="341">
        <v>2845</v>
      </c>
      <c r="C52" s="124" t="s">
        <v>72</v>
      </c>
      <c r="D52" s="188" t="s">
        <v>125</v>
      </c>
      <c r="E52" s="273" t="s">
        <v>107</v>
      </c>
      <c r="F52" s="125">
        <v>2011</v>
      </c>
      <c r="G52" s="107">
        <v>0</v>
      </c>
      <c r="H52" s="109">
        <v>21</v>
      </c>
      <c r="I52" s="110">
        <v>21</v>
      </c>
      <c r="J52" s="121">
        <f t="shared" si="5"/>
        <v>0</v>
      </c>
      <c r="K52" s="121">
        <f t="shared" si="6"/>
        <v>0</v>
      </c>
      <c r="L52" s="111"/>
      <c r="M52" s="103"/>
    </row>
    <row r="53" spans="1:13" ht="33.75" hidden="1" customHeight="1">
      <c r="A53" s="108">
        <f t="shared" si="3"/>
        <v>43</v>
      </c>
      <c r="B53" s="341">
        <v>2845</v>
      </c>
      <c r="C53" s="124" t="s">
        <v>73</v>
      </c>
      <c r="D53" s="188" t="s">
        <v>126</v>
      </c>
      <c r="E53" s="273" t="s">
        <v>107</v>
      </c>
      <c r="F53" s="125">
        <v>2011</v>
      </c>
      <c r="G53" s="107">
        <v>0</v>
      </c>
      <c r="H53" s="109">
        <v>1</v>
      </c>
      <c r="I53" s="110">
        <v>1</v>
      </c>
      <c r="J53" s="121">
        <f t="shared" si="5"/>
        <v>0</v>
      </c>
      <c r="K53" s="121">
        <f t="shared" si="6"/>
        <v>0</v>
      </c>
      <c r="L53" s="111"/>
      <c r="M53" s="103"/>
    </row>
    <row r="54" spans="1:13" ht="33.75" hidden="1" customHeight="1">
      <c r="A54" s="108">
        <f t="shared" si="3"/>
        <v>44</v>
      </c>
      <c r="B54" s="341">
        <v>2845</v>
      </c>
      <c r="C54" s="124" t="s">
        <v>74</v>
      </c>
      <c r="D54" s="188" t="s">
        <v>127</v>
      </c>
      <c r="E54" s="273" t="s">
        <v>107</v>
      </c>
      <c r="F54" s="125">
        <v>2011</v>
      </c>
      <c r="G54" s="107">
        <v>0</v>
      </c>
      <c r="H54" s="109">
        <v>4</v>
      </c>
      <c r="I54" s="110">
        <v>4</v>
      </c>
      <c r="J54" s="121">
        <f t="shared" si="5"/>
        <v>0</v>
      </c>
      <c r="K54" s="121">
        <f t="shared" si="6"/>
        <v>0</v>
      </c>
      <c r="L54" s="111"/>
      <c r="M54" s="103"/>
    </row>
    <row r="55" spans="1:13" ht="15" hidden="1">
      <c r="A55" s="89">
        <f t="shared" si="3"/>
        <v>45</v>
      </c>
      <c r="B55" s="90">
        <v>2845</v>
      </c>
      <c r="C55" s="90">
        <v>128</v>
      </c>
      <c r="D55" s="91" t="s">
        <v>48</v>
      </c>
      <c r="E55" s="273" t="s">
        <v>109</v>
      </c>
      <c r="F55" s="235">
        <v>1982</v>
      </c>
      <c r="G55" s="104">
        <v>14560.88</v>
      </c>
      <c r="H55" s="93">
        <f>AH55</f>
        <v>0</v>
      </c>
      <c r="I55" s="94">
        <f>AI55</f>
        <v>0</v>
      </c>
      <c r="J55" s="92">
        <f t="shared" si="5"/>
        <v>0</v>
      </c>
      <c r="K55" s="92">
        <f t="shared" si="6"/>
        <v>0</v>
      </c>
      <c r="L55" s="95">
        <v>1778.49</v>
      </c>
      <c r="M55" s="105">
        <v>1756.25</v>
      </c>
    </row>
    <row r="56" spans="1:13" ht="30" hidden="1">
      <c r="A56" s="89">
        <f t="shared" si="3"/>
        <v>46</v>
      </c>
      <c r="B56" s="90">
        <v>2845</v>
      </c>
      <c r="C56" s="90">
        <v>129</v>
      </c>
      <c r="D56" s="195" t="s">
        <v>153</v>
      </c>
      <c r="E56" s="273" t="s">
        <v>109</v>
      </c>
      <c r="F56" s="235">
        <v>1978</v>
      </c>
      <c r="G56" s="104">
        <v>254.69</v>
      </c>
      <c r="H56" s="93">
        <f>AH56</f>
        <v>0</v>
      </c>
      <c r="I56" s="94">
        <f>AI56</f>
        <v>0</v>
      </c>
      <c r="J56" s="92">
        <f t="shared" si="5"/>
        <v>0</v>
      </c>
      <c r="K56" s="92">
        <f t="shared" si="6"/>
        <v>0</v>
      </c>
      <c r="L56" s="95">
        <v>76.430000000000007</v>
      </c>
      <c r="M56" s="105">
        <v>68.91</v>
      </c>
    </row>
    <row r="57" spans="1:13" ht="15" hidden="1">
      <c r="A57" s="89">
        <f t="shared" si="3"/>
        <v>47</v>
      </c>
      <c r="B57" s="90">
        <v>2845</v>
      </c>
      <c r="C57" s="90">
        <v>130</v>
      </c>
      <c r="D57" s="91" t="s">
        <v>75</v>
      </c>
      <c r="E57" s="273" t="s">
        <v>107</v>
      </c>
      <c r="F57" s="235">
        <v>1955</v>
      </c>
      <c r="G57" s="104">
        <v>71</v>
      </c>
      <c r="H57" s="126">
        <v>25</v>
      </c>
      <c r="I57" s="127">
        <v>25</v>
      </c>
      <c r="J57" s="92">
        <f t="shared" si="5"/>
        <v>0</v>
      </c>
      <c r="K57" s="92">
        <f t="shared" si="6"/>
        <v>0</v>
      </c>
      <c r="L57" s="128"/>
      <c r="M57" s="105"/>
    </row>
    <row r="58" spans="1:13" ht="29.25" hidden="1" customHeight="1">
      <c r="A58" s="89">
        <f t="shared" si="3"/>
        <v>48</v>
      </c>
      <c r="B58" s="90">
        <v>2845</v>
      </c>
      <c r="C58" s="90">
        <v>134</v>
      </c>
      <c r="D58" s="195" t="s">
        <v>44</v>
      </c>
      <c r="E58" s="273" t="s">
        <v>109</v>
      </c>
      <c r="F58" s="235">
        <v>1971</v>
      </c>
      <c r="G58" s="104">
        <v>1194.57</v>
      </c>
      <c r="H58" s="93">
        <f t="shared" ref="H58:I60" si="9">AH58</f>
        <v>0</v>
      </c>
      <c r="I58" s="94">
        <f t="shared" si="9"/>
        <v>0</v>
      </c>
      <c r="J58" s="92">
        <f t="shared" si="5"/>
        <v>0</v>
      </c>
      <c r="K58" s="92">
        <f t="shared" si="6"/>
        <v>0</v>
      </c>
      <c r="L58" s="95">
        <v>414.47</v>
      </c>
      <c r="M58" s="105">
        <v>398.18</v>
      </c>
    </row>
    <row r="59" spans="1:13" ht="32.25" hidden="1" customHeight="1">
      <c r="A59" s="89">
        <f t="shared" si="3"/>
        <v>49</v>
      </c>
      <c r="B59" s="90">
        <v>2845</v>
      </c>
      <c r="C59" s="90">
        <v>135</v>
      </c>
      <c r="D59" s="195" t="s">
        <v>44</v>
      </c>
      <c r="E59" s="273" t="s">
        <v>109</v>
      </c>
      <c r="F59" s="235">
        <v>1981</v>
      </c>
      <c r="G59" s="104">
        <v>1319.26</v>
      </c>
      <c r="H59" s="93">
        <f t="shared" si="9"/>
        <v>0</v>
      </c>
      <c r="I59" s="94">
        <f t="shared" si="9"/>
        <v>0</v>
      </c>
      <c r="J59" s="92">
        <f t="shared" si="5"/>
        <v>0</v>
      </c>
      <c r="K59" s="92">
        <f t="shared" si="6"/>
        <v>0</v>
      </c>
      <c r="L59" s="95">
        <v>363.66</v>
      </c>
      <c r="M59" s="105">
        <v>348.09</v>
      </c>
    </row>
    <row r="60" spans="1:13" ht="15" hidden="1">
      <c r="A60" s="89">
        <f t="shared" si="3"/>
        <v>50</v>
      </c>
      <c r="B60" s="90">
        <v>2845</v>
      </c>
      <c r="C60" s="90">
        <v>136</v>
      </c>
      <c r="D60" s="91" t="s">
        <v>38</v>
      </c>
      <c r="E60" s="273" t="s">
        <v>109</v>
      </c>
      <c r="F60" s="235">
        <v>1978</v>
      </c>
      <c r="G60" s="104">
        <v>134.25</v>
      </c>
      <c r="H60" s="93">
        <f t="shared" si="9"/>
        <v>0</v>
      </c>
      <c r="I60" s="94">
        <f t="shared" si="9"/>
        <v>0</v>
      </c>
      <c r="J60" s="92">
        <f t="shared" si="5"/>
        <v>0</v>
      </c>
      <c r="K60" s="92">
        <f t="shared" si="6"/>
        <v>0</v>
      </c>
      <c r="L60" s="95">
        <v>55.58</v>
      </c>
      <c r="M60" s="105">
        <v>40.98</v>
      </c>
    </row>
    <row r="61" spans="1:13" ht="31.5" hidden="1" customHeight="1">
      <c r="A61" s="89">
        <f t="shared" si="3"/>
        <v>51</v>
      </c>
      <c r="B61" s="90">
        <v>2845</v>
      </c>
      <c r="C61" s="90">
        <v>138</v>
      </c>
      <c r="D61" s="195" t="s">
        <v>154</v>
      </c>
      <c r="E61" s="273" t="s">
        <v>107</v>
      </c>
      <c r="F61" s="235">
        <v>1968</v>
      </c>
      <c r="G61" s="104">
        <v>170</v>
      </c>
      <c r="H61" s="126">
        <v>0</v>
      </c>
      <c r="I61" s="127">
        <v>0</v>
      </c>
      <c r="J61" s="92">
        <f t="shared" si="5"/>
        <v>0</v>
      </c>
      <c r="K61" s="92">
        <f t="shared" si="6"/>
        <v>0</v>
      </c>
      <c r="L61" s="128"/>
      <c r="M61" s="105"/>
    </row>
    <row r="62" spans="1:13" ht="33" hidden="1" customHeight="1">
      <c r="A62" s="89">
        <f t="shared" si="3"/>
        <v>52</v>
      </c>
      <c r="B62" s="90">
        <v>2845</v>
      </c>
      <c r="C62" s="90">
        <v>139</v>
      </c>
      <c r="D62" s="195" t="s">
        <v>155</v>
      </c>
      <c r="E62" s="273" t="s">
        <v>107</v>
      </c>
      <c r="F62" s="235">
        <v>1968</v>
      </c>
      <c r="G62" s="104">
        <v>31</v>
      </c>
      <c r="H62" s="126">
        <v>7</v>
      </c>
      <c r="I62" s="127">
        <v>7</v>
      </c>
      <c r="J62" s="92">
        <f t="shared" si="5"/>
        <v>0</v>
      </c>
      <c r="K62" s="92">
        <f t="shared" si="6"/>
        <v>0</v>
      </c>
      <c r="L62" s="128"/>
      <c r="M62" s="105"/>
    </row>
    <row r="63" spans="1:13" ht="33" hidden="1" customHeight="1">
      <c r="A63" s="89">
        <f t="shared" si="3"/>
        <v>53</v>
      </c>
      <c r="B63" s="90">
        <v>2845</v>
      </c>
      <c r="C63" s="90">
        <v>142</v>
      </c>
      <c r="D63" s="195" t="s">
        <v>44</v>
      </c>
      <c r="E63" s="273" t="s">
        <v>109</v>
      </c>
      <c r="F63" s="235">
        <v>1962</v>
      </c>
      <c r="G63" s="104">
        <v>141.57</v>
      </c>
      <c r="H63" s="93">
        <f t="shared" ref="H63:I75" si="10">AH63</f>
        <v>0</v>
      </c>
      <c r="I63" s="94">
        <f t="shared" si="10"/>
        <v>0</v>
      </c>
      <c r="J63" s="92">
        <f t="shared" si="5"/>
        <v>0</v>
      </c>
      <c r="K63" s="92">
        <f t="shared" si="6"/>
        <v>0</v>
      </c>
      <c r="L63" s="95">
        <v>33.06</v>
      </c>
      <c r="M63" s="105">
        <v>32.979999999999997</v>
      </c>
    </row>
    <row r="64" spans="1:13" ht="15" hidden="1">
      <c r="A64" s="89">
        <f t="shared" si="3"/>
        <v>54</v>
      </c>
      <c r="B64" s="90">
        <v>2845</v>
      </c>
      <c r="C64" s="90">
        <v>156</v>
      </c>
      <c r="D64" s="91" t="s">
        <v>35</v>
      </c>
      <c r="E64" s="273" t="s">
        <v>109</v>
      </c>
      <c r="F64" s="235">
        <v>1965</v>
      </c>
      <c r="G64" s="104">
        <v>250.89</v>
      </c>
      <c r="H64" s="93">
        <f t="shared" si="10"/>
        <v>0</v>
      </c>
      <c r="I64" s="94">
        <f t="shared" si="10"/>
        <v>0</v>
      </c>
      <c r="J64" s="92">
        <f t="shared" si="5"/>
        <v>0</v>
      </c>
      <c r="K64" s="92">
        <f t="shared" si="6"/>
        <v>0</v>
      </c>
      <c r="L64" s="95">
        <v>100.55</v>
      </c>
      <c r="M64" s="105">
        <v>89.45</v>
      </c>
    </row>
    <row r="65" spans="1:13" ht="28.5" hidden="1">
      <c r="A65" s="89">
        <f t="shared" si="3"/>
        <v>55</v>
      </c>
      <c r="B65" s="90">
        <v>2845</v>
      </c>
      <c r="C65" s="90">
        <v>157</v>
      </c>
      <c r="D65" s="214" t="s">
        <v>151</v>
      </c>
      <c r="E65" s="273" t="s">
        <v>107</v>
      </c>
      <c r="F65" s="235">
        <v>1965</v>
      </c>
      <c r="G65" s="104">
        <v>399.44</v>
      </c>
      <c r="H65" s="93">
        <f t="shared" si="10"/>
        <v>0</v>
      </c>
      <c r="I65" s="94">
        <f t="shared" si="10"/>
        <v>0</v>
      </c>
      <c r="J65" s="92">
        <f t="shared" si="5"/>
        <v>0</v>
      </c>
      <c r="K65" s="92">
        <f t="shared" si="6"/>
        <v>0</v>
      </c>
      <c r="L65" s="95">
        <v>41.49</v>
      </c>
      <c r="M65" s="105">
        <v>19.5</v>
      </c>
    </row>
    <row r="66" spans="1:13" ht="15" hidden="1">
      <c r="A66" s="89">
        <f t="shared" si="3"/>
        <v>56</v>
      </c>
      <c r="B66" s="90">
        <v>2845</v>
      </c>
      <c r="C66" s="90">
        <v>184</v>
      </c>
      <c r="D66" s="91" t="s">
        <v>49</v>
      </c>
      <c r="E66" s="273" t="s">
        <v>109</v>
      </c>
      <c r="F66" s="235">
        <v>1985</v>
      </c>
      <c r="G66" s="104">
        <v>4067.6</v>
      </c>
      <c r="H66" s="93">
        <f t="shared" si="10"/>
        <v>0</v>
      </c>
      <c r="I66" s="94">
        <f t="shared" si="10"/>
        <v>0</v>
      </c>
      <c r="J66" s="92">
        <f t="shared" si="5"/>
        <v>0</v>
      </c>
      <c r="K66" s="92">
        <f t="shared" si="6"/>
        <v>0</v>
      </c>
      <c r="L66" s="95">
        <v>660.15</v>
      </c>
      <c r="M66" s="105">
        <v>656.21</v>
      </c>
    </row>
    <row r="67" spans="1:13" ht="15" hidden="1">
      <c r="A67" s="89">
        <f t="shared" si="3"/>
        <v>57</v>
      </c>
      <c r="B67" s="90">
        <v>2845</v>
      </c>
      <c r="C67" s="90">
        <v>195</v>
      </c>
      <c r="D67" s="91" t="s">
        <v>42</v>
      </c>
      <c r="E67" s="273" t="s">
        <v>107</v>
      </c>
      <c r="F67" s="235">
        <v>1986</v>
      </c>
      <c r="G67" s="104">
        <v>299.48</v>
      </c>
      <c r="H67" s="93">
        <f t="shared" si="10"/>
        <v>0</v>
      </c>
      <c r="I67" s="94">
        <f t="shared" si="10"/>
        <v>0</v>
      </c>
      <c r="J67" s="92">
        <f t="shared" si="5"/>
        <v>0</v>
      </c>
      <c r="K67" s="92">
        <f t="shared" si="6"/>
        <v>0</v>
      </c>
      <c r="L67" s="95">
        <v>107.39</v>
      </c>
      <c r="M67" s="105">
        <v>95.68</v>
      </c>
    </row>
    <row r="68" spans="1:13" ht="30" hidden="1">
      <c r="A68" s="89">
        <f t="shared" si="3"/>
        <v>58</v>
      </c>
      <c r="B68" s="90">
        <v>2845</v>
      </c>
      <c r="C68" s="90">
        <v>199</v>
      </c>
      <c r="D68" s="195" t="s">
        <v>162</v>
      </c>
      <c r="E68" s="273" t="s">
        <v>107</v>
      </c>
      <c r="F68" s="235">
        <v>1986</v>
      </c>
      <c r="G68" s="104">
        <v>191.16</v>
      </c>
      <c r="H68" s="93">
        <f t="shared" si="10"/>
        <v>0</v>
      </c>
      <c r="I68" s="94">
        <f t="shared" si="10"/>
        <v>0</v>
      </c>
      <c r="J68" s="92">
        <f t="shared" si="5"/>
        <v>0</v>
      </c>
      <c r="K68" s="92">
        <f t="shared" si="6"/>
        <v>0</v>
      </c>
      <c r="L68" s="95">
        <v>48.3</v>
      </c>
      <c r="M68" s="105">
        <v>48.89</v>
      </c>
    </row>
    <row r="69" spans="1:13" ht="15" hidden="1">
      <c r="A69" s="89">
        <f t="shared" si="3"/>
        <v>59</v>
      </c>
      <c r="B69" s="90">
        <v>2845</v>
      </c>
      <c r="C69" s="90">
        <v>203</v>
      </c>
      <c r="D69" s="91" t="s">
        <v>51</v>
      </c>
      <c r="E69" s="273" t="s">
        <v>109</v>
      </c>
      <c r="F69" s="235">
        <v>1987</v>
      </c>
      <c r="G69" s="104">
        <v>5264.83</v>
      </c>
      <c r="H69" s="93">
        <f t="shared" si="10"/>
        <v>0</v>
      </c>
      <c r="I69" s="94">
        <f t="shared" si="10"/>
        <v>0</v>
      </c>
      <c r="J69" s="92">
        <f t="shared" si="5"/>
        <v>0</v>
      </c>
      <c r="K69" s="92">
        <f t="shared" si="6"/>
        <v>0</v>
      </c>
      <c r="L69" s="95">
        <v>995.52</v>
      </c>
      <c r="M69" s="105">
        <v>991.17</v>
      </c>
    </row>
    <row r="70" spans="1:13" ht="15" hidden="1">
      <c r="A70" s="89">
        <f t="shared" si="3"/>
        <v>60</v>
      </c>
      <c r="B70" s="90">
        <v>2845</v>
      </c>
      <c r="C70" s="90">
        <v>204</v>
      </c>
      <c r="D70" s="91" t="s">
        <v>51</v>
      </c>
      <c r="E70" s="273" t="s">
        <v>109</v>
      </c>
      <c r="F70" s="235">
        <v>1987</v>
      </c>
      <c r="G70" s="104">
        <v>5264.83</v>
      </c>
      <c r="H70" s="93">
        <f t="shared" si="10"/>
        <v>0</v>
      </c>
      <c r="I70" s="94">
        <f t="shared" si="10"/>
        <v>0</v>
      </c>
      <c r="J70" s="92">
        <f t="shared" si="5"/>
        <v>0</v>
      </c>
      <c r="K70" s="92">
        <f t="shared" si="6"/>
        <v>0</v>
      </c>
      <c r="L70" s="95">
        <v>995.52</v>
      </c>
      <c r="M70" s="105">
        <v>991.17</v>
      </c>
    </row>
    <row r="71" spans="1:13" ht="15" hidden="1">
      <c r="A71" s="89">
        <f t="shared" si="3"/>
        <v>61</v>
      </c>
      <c r="B71" s="90">
        <v>2845</v>
      </c>
      <c r="C71" s="90">
        <v>206</v>
      </c>
      <c r="D71" s="91" t="s">
        <v>52</v>
      </c>
      <c r="E71" s="273" t="s">
        <v>109</v>
      </c>
      <c r="F71" s="235">
        <v>1981</v>
      </c>
      <c r="G71" s="104">
        <v>53.29</v>
      </c>
      <c r="H71" s="93">
        <f t="shared" si="10"/>
        <v>0</v>
      </c>
      <c r="I71" s="94">
        <f t="shared" si="10"/>
        <v>0</v>
      </c>
      <c r="J71" s="92">
        <f t="shared" si="5"/>
        <v>0</v>
      </c>
      <c r="K71" s="92">
        <f t="shared" si="6"/>
        <v>0</v>
      </c>
      <c r="L71" s="95">
        <v>27.53</v>
      </c>
      <c r="M71" s="105">
        <v>20.11</v>
      </c>
    </row>
    <row r="72" spans="1:13" ht="15" hidden="1">
      <c r="A72" s="89">
        <f t="shared" si="3"/>
        <v>62</v>
      </c>
      <c r="B72" s="90">
        <v>2845</v>
      </c>
      <c r="C72" s="90">
        <v>207</v>
      </c>
      <c r="D72" s="91" t="s">
        <v>49</v>
      </c>
      <c r="E72" s="273" t="s">
        <v>109</v>
      </c>
      <c r="F72" s="235">
        <v>1990</v>
      </c>
      <c r="G72" s="104">
        <v>483.79</v>
      </c>
      <c r="H72" s="93">
        <f t="shared" si="10"/>
        <v>0</v>
      </c>
      <c r="I72" s="94">
        <f t="shared" si="10"/>
        <v>0</v>
      </c>
      <c r="J72" s="92">
        <f t="shared" si="5"/>
        <v>0</v>
      </c>
      <c r="K72" s="92">
        <f t="shared" si="6"/>
        <v>0</v>
      </c>
      <c r="L72" s="95">
        <v>89.16</v>
      </c>
      <c r="M72" s="105">
        <v>94.01</v>
      </c>
    </row>
    <row r="73" spans="1:13" ht="15" hidden="1">
      <c r="A73" s="89">
        <f t="shared" si="3"/>
        <v>63</v>
      </c>
      <c r="B73" s="90">
        <v>2845</v>
      </c>
      <c r="C73" s="90">
        <v>209</v>
      </c>
      <c r="D73" s="91" t="s">
        <v>53</v>
      </c>
      <c r="E73" s="273" t="s">
        <v>107</v>
      </c>
      <c r="F73" s="235">
        <v>1995</v>
      </c>
      <c r="G73" s="104">
        <v>1706.95</v>
      </c>
      <c r="H73" s="93">
        <f t="shared" si="10"/>
        <v>0</v>
      </c>
      <c r="I73" s="94">
        <f t="shared" si="10"/>
        <v>0</v>
      </c>
      <c r="J73" s="92">
        <f t="shared" si="5"/>
        <v>0</v>
      </c>
      <c r="K73" s="92">
        <f t="shared" si="6"/>
        <v>0</v>
      </c>
      <c r="L73" s="95">
        <v>624.16999999999996</v>
      </c>
      <c r="M73" s="105">
        <v>556.66</v>
      </c>
    </row>
    <row r="74" spans="1:13" ht="15" hidden="1">
      <c r="A74" s="89">
        <f t="shared" si="3"/>
        <v>64</v>
      </c>
      <c r="B74" s="90">
        <v>2845</v>
      </c>
      <c r="C74" s="90">
        <v>212</v>
      </c>
      <c r="D74" s="91" t="s">
        <v>42</v>
      </c>
      <c r="E74" s="273" t="s">
        <v>107</v>
      </c>
      <c r="F74" s="235">
        <v>1991</v>
      </c>
      <c r="G74" s="104">
        <v>204.21</v>
      </c>
      <c r="H74" s="93">
        <f t="shared" si="10"/>
        <v>0</v>
      </c>
      <c r="I74" s="94">
        <f t="shared" si="10"/>
        <v>0</v>
      </c>
      <c r="J74" s="92">
        <f t="shared" si="5"/>
        <v>0</v>
      </c>
      <c r="K74" s="92">
        <f t="shared" si="6"/>
        <v>0</v>
      </c>
      <c r="L74" s="95">
        <v>60.12</v>
      </c>
      <c r="M74" s="105">
        <v>52.23</v>
      </c>
    </row>
    <row r="75" spans="1:13" ht="15" hidden="1">
      <c r="A75" s="89">
        <f t="shared" si="3"/>
        <v>65</v>
      </c>
      <c r="B75" s="90">
        <v>2845</v>
      </c>
      <c r="C75" s="90">
        <v>213</v>
      </c>
      <c r="D75" s="91" t="s">
        <v>161</v>
      </c>
      <c r="E75" s="273" t="s">
        <v>107</v>
      </c>
      <c r="F75" s="235">
        <v>2004</v>
      </c>
      <c r="G75" s="107">
        <f>H75*47%</f>
        <v>0</v>
      </c>
      <c r="H75" s="93">
        <f t="shared" si="10"/>
        <v>0</v>
      </c>
      <c r="I75" s="94">
        <f t="shared" si="10"/>
        <v>0</v>
      </c>
      <c r="J75" s="92">
        <f t="shared" si="5"/>
        <v>0</v>
      </c>
      <c r="K75" s="92">
        <f t="shared" si="6"/>
        <v>0</v>
      </c>
      <c r="L75" s="95">
        <v>0</v>
      </c>
      <c r="M75" s="105">
        <v>60.74</v>
      </c>
    </row>
    <row r="76" spans="1:13" ht="15" hidden="1">
      <c r="A76" s="108">
        <f t="shared" si="3"/>
        <v>66</v>
      </c>
      <c r="B76" s="341">
        <v>2845</v>
      </c>
      <c r="C76" s="341">
        <v>214</v>
      </c>
      <c r="D76" s="106" t="s">
        <v>146</v>
      </c>
      <c r="E76" s="273" t="s">
        <v>107</v>
      </c>
      <c r="F76" s="125">
        <v>1981</v>
      </c>
      <c r="G76" s="107">
        <v>10</v>
      </c>
      <c r="H76" s="109">
        <v>0</v>
      </c>
      <c r="I76" s="110">
        <v>0</v>
      </c>
      <c r="J76" s="121">
        <f t="shared" si="5"/>
        <v>0</v>
      </c>
      <c r="K76" s="121">
        <f t="shared" si="6"/>
        <v>0</v>
      </c>
      <c r="L76" s="111"/>
      <c r="M76" s="103"/>
    </row>
    <row r="77" spans="1:13" ht="30" hidden="1">
      <c r="A77" s="89">
        <f t="shared" ref="A77:A139" si="11">A76+1</f>
        <v>67</v>
      </c>
      <c r="B77" s="90">
        <v>2845</v>
      </c>
      <c r="C77" s="90">
        <v>215</v>
      </c>
      <c r="D77" s="188" t="s">
        <v>142</v>
      </c>
      <c r="E77" s="273" t="s">
        <v>107</v>
      </c>
      <c r="F77" s="235">
        <v>1994</v>
      </c>
      <c r="G77" s="104">
        <v>77.459999999999994</v>
      </c>
      <c r="H77" s="93">
        <f>AH77</f>
        <v>0</v>
      </c>
      <c r="I77" s="94">
        <f>AI77</f>
        <v>0</v>
      </c>
      <c r="J77" s="92">
        <f t="shared" si="5"/>
        <v>0</v>
      </c>
      <c r="K77" s="92">
        <f t="shared" si="6"/>
        <v>0</v>
      </c>
      <c r="L77" s="95">
        <v>29.06</v>
      </c>
      <c r="M77" s="105">
        <v>44.26</v>
      </c>
    </row>
    <row r="78" spans="1:13" ht="15" hidden="1">
      <c r="A78" s="89">
        <f t="shared" si="11"/>
        <v>68</v>
      </c>
      <c r="B78" s="90">
        <v>2845</v>
      </c>
      <c r="C78" s="90">
        <v>216</v>
      </c>
      <c r="D78" s="91" t="s">
        <v>76</v>
      </c>
      <c r="E78" s="273" t="s">
        <v>107</v>
      </c>
      <c r="F78" s="235">
        <v>1933</v>
      </c>
      <c r="G78" s="104">
        <v>20146</v>
      </c>
      <c r="H78" s="126">
        <v>13431</v>
      </c>
      <c r="I78" s="127">
        <v>13431</v>
      </c>
      <c r="J78" s="92">
        <f t="shared" si="5"/>
        <v>0</v>
      </c>
      <c r="K78" s="92">
        <f t="shared" si="6"/>
        <v>0</v>
      </c>
      <c r="L78" s="128"/>
      <c r="M78" s="105"/>
    </row>
    <row r="79" spans="1:13" ht="15" hidden="1">
      <c r="A79" s="89">
        <f t="shared" si="11"/>
        <v>69</v>
      </c>
      <c r="B79" s="90">
        <v>2845</v>
      </c>
      <c r="C79" s="90">
        <v>217</v>
      </c>
      <c r="D79" s="91" t="s">
        <v>145</v>
      </c>
      <c r="E79" s="273" t="s">
        <v>107</v>
      </c>
      <c r="F79" s="235">
        <v>1993</v>
      </c>
      <c r="G79" s="104">
        <v>121.35</v>
      </c>
      <c r="H79" s="93">
        <f>AH79</f>
        <v>0</v>
      </c>
      <c r="I79" s="94">
        <f>AI79</f>
        <v>0</v>
      </c>
      <c r="J79" s="92">
        <f t="shared" si="5"/>
        <v>0</v>
      </c>
      <c r="K79" s="92">
        <f t="shared" si="6"/>
        <v>0</v>
      </c>
      <c r="L79" s="95">
        <v>66.709999999999994</v>
      </c>
      <c r="M79" s="105">
        <v>49.73</v>
      </c>
    </row>
    <row r="80" spans="1:13" ht="15" hidden="1">
      <c r="A80" s="108">
        <f t="shared" si="11"/>
        <v>70</v>
      </c>
      <c r="B80" s="341">
        <v>2845</v>
      </c>
      <c r="C80" s="341">
        <v>218</v>
      </c>
      <c r="D80" s="106" t="s">
        <v>77</v>
      </c>
      <c r="E80" s="273" t="s">
        <v>107</v>
      </c>
      <c r="F80" s="125">
        <v>1975</v>
      </c>
      <c r="G80" s="107">
        <v>25</v>
      </c>
      <c r="H80" s="109">
        <v>0</v>
      </c>
      <c r="I80" s="110">
        <v>0</v>
      </c>
      <c r="J80" s="121">
        <f t="shared" si="5"/>
        <v>0</v>
      </c>
      <c r="K80" s="121">
        <f t="shared" si="6"/>
        <v>0</v>
      </c>
      <c r="L80" s="111"/>
      <c r="M80" s="103"/>
    </row>
    <row r="81" spans="1:13" ht="15" hidden="1">
      <c r="A81" s="108">
        <f t="shared" si="11"/>
        <v>71</v>
      </c>
      <c r="B81" s="341">
        <v>2845</v>
      </c>
      <c r="C81" s="341">
        <v>219</v>
      </c>
      <c r="D81" s="106" t="s">
        <v>77</v>
      </c>
      <c r="E81" s="273" t="s">
        <v>107</v>
      </c>
      <c r="F81" s="125">
        <v>1975</v>
      </c>
      <c r="G81" s="107">
        <v>25</v>
      </c>
      <c r="H81" s="109">
        <v>0</v>
      </c>
      <c r="I81" s="110">
        <v>0</v>
      </c>
      <c r="J81" s="121">
        <f t="shared" si="5"/>
        <v>0</v>
      </c>
      <c r="K81" s="121">
        <f t="shared" si="6"/>
        <v>0</v>
      </c>
      <c r="L81" s="111"/>
      <c r="M81" s="103"/>
    </row>
    <row r="82" spans="1:13" ht="15" hidden="1">
      <c r="A82" s="108">
        <f t="shared" si="11"/>
        <v>72</v>
      </c>
      <c r="B82" s="341">
        <v>2845</v>
      </c>
      <c r="C82" s="341">
        <v>220</v>
      </c>
      <c r="D82" s="106" t="s">
        <v>77</v>
      </c>
      <c r="E82" s="273" t="s">
        <v>107</v>
      </c>
      <c r="F82" s="125">
        <v>1975</v>
      </c>
      <c r="G82" s="107">
        <v>25</v>
      </c>
      <c r="H82" s="109">
        <v>0</v>
      </c>
      <c r="I82" s="110">
        <v>0</v>
      </c>
      <c r="J82" s="121">
        <f t="shared" si="5"/>
        <v>0</v>
      </c>
      <c r="K82" s="121">
        <f t="shared" si="6"/>
        <v>0</v>
      </c>
      <c r="L82" s="111"/>
      <c r="M82" s="103"/>
    </row>
    <row r="83" spans="1:13" ht="15" hidden="1">
      <c r="A83" s="108">
        <f t="shared" si="11"/>
        <v>73</v>
      </c>
      <c r="B83" s="341">
        <v>2845</v>
      </c>
      <c r="C83" s="341">
        <v>221</v>
      </c>
      <c r="D83" s="106" t="s">
        <v>77</v>
      </c>
      <c r="E83" s="273" t="s">
        <v>107</v>
      </c>
      <c r="F83" s="125">
        <v>1975</v>
      </c>
      <c r="G83" s="107">
        <v>25</v>
      </c>
      <c r="H83" s="109">
        <v>0</v>
      </c>
      <c r="I83" s="110">
        <v>0</v>
      </c>
      <c r="J83" s="121">
        <f t="shared" si="5"/>
        <v>0</v>
      </c>
      <c r="K83" s="121">
        <f t="shared" si="6"/>
        <v>0</v>
      </c>
      <c r="L83" s="111"/>
      <c r="M83" s="103"/>
    </row>
    <row r="84" spans="1:13" ht="15" hidden="1">
      <c r="A84" s="108">
        <f t="shared" si="11"/>
        <v>74</v>
      </c>
      <c r="B84" s="341">
        <v>2845</v>
      </c>
      <c r="C84" s="341">
        <v>222</v>
      </c>
      <c r="D84" s="106" t="s">
        <v>77</v>
      </c>
      <c r="E84" s="273" t="s">
        <v>107</v>
      </c>
      <c r="F84" s="125">
        <v>1975</v>
      </c>
      <c r="G84" s="107">
        <v>25</v>
      </c>
      <c r="H84" s="109">
        <v>0</v>
      </c>
      <c r="I84" s="110">
        <v>0</v>
      </c>
      <c r="J84" s="121">
        <f t="shared" si="5"/>
        <v>0</v>
      </c>
      <c r="K84" s="121">
        <f t="shared" si="6"/>
        <v>0</v>
      </c>
      <c r="L84" s="111"/>
      <c r="M84" s="103"/>
    </row>
    <row r="85" spans="1:13" ht="15" hidden="1">
      <c r="A85" s="108">
        <f t="shared" si="11"/>
        <v>75</v>
      </c>
      <c r="B85" s="341">
        <v>2845</v>
      </c>
      <c r="C85" s="341">
        <v>223</v>
      </c>
      <c r="D85" s="106" t="s">
        <v>77</v>
      </c>
      <c r="E85" s="273" t="s">
        <v>107</v>
      </c>
      <c r="F85" s="125">
        <v>1975</v>
      </c>
      <c r="G85" s="107">
        <v>25</v>
      </c>
      <c r="H85" s="109">
        <v>0</v>
      </c>
      <c r="I85" s="110">
        <v>0</v>
      </c>
      <c r="J85" s="121">
        <f t="shared" ref="J85:J104" si="12">AC85</f>
        <v>0</v>
      </c>
      <c r="K85" s="121">
        <f t="shared" ref="K85:K106" si="13">AD85+AE85</f>
        <v>0</v>
      </c>
      <c r="L85" s="111"/>
      <c r="M85" s="103"/>
    </row>
    <row r="86" spans="1:13" ht="15" hidden="1">
      <c r="A86" s="108">
        <f t="shared" si="11"/>
        <v>76</v>
      </c>
      <c r="B86" s="341">
        <v>2845</v>
      </c>
      <c r="C86" s="341">
        <v>224</v>
      </c>
      <c r="D86" s="106" t="s">
        <v>77</v>
      </c>
      <c r="E86" s="273" t="s">
        <v>107</v>
      </c>
      <c r="F86" s="125">
        <v>1975</v>
      </c>
      <c r="G86" s="107">
        <v>15</v>
      </c>
      <c r="H86" s="109">
        <v>0</v>
      </c>
      <c r="I86" s="110">
        <v>0</v>
      </c>
      <c r="J86" s="121">
        <f t="shared" si="12"/>
        <v>0</v>
      </c>
      <c r="K86" s="121">
        <f t="shared" si="13"/>
        <v>0</v>
      </c>
      <c r="L86" s="111"/>
      <c r="M86" s="103"/>
    </row>
    <row r="87" spans="1:13" ht="15" hidden="1">
      <c r="A87" s="108">
        <f t="shared" si="11"/>
        <v>77</v>
      </c>
      <c r="B87" s="341">
        <v>2845</v>
      </c>
      <c r="C87" s="341">
        <v>225</v>
      </c>
      <c r="D87" s="106" t="s">
        <v>77</v>
      </c>
      <c r="E87" s="273" t="s">
        <v>107</v>
      </c>
      <c r="F87" s="125">
        <v>1975</v>
      </c>
      <c r="G87" s="107">
        <v>15</v>
      </c>
      <c r="H87" s="109">
        <v>0</v>
      </c>
      <c r="I87" s="110">
        <v>0</v>
      </c>
      <c r="J87" s="121">
        <f t="shared" si="12"/>
        <v>0</v>
      </c>
      <c r="K87" s="121">
        <f t="shared" si="13"/>
        <v>0</v>
      </c>
      <c r="L87" s="111"/>
      <c r="M87" s="103"/>
    </row>
    <row r="88" spans="1:13" ht="15" hidden="1">
      <c r="A88" s="108">
        <f t="shared" si="11"/>
        <v>78</v>
      </c>
      <c r="B88" s="341">
        <v>2845</v>
      </c>
      <c r="C88" s="341">
        <v>226</v>
      </c>
      <c r="D88" s="106" t="s">
        <v>77</v>
      </c>
      <c r="E88" s="273" t="s">
        <v>107</v>
      </c>
      <c r="F88" s="125">
        <v>1975</v>
      </c>
      <c r="G88" s="107">
        <v>25</v>
      </c>
      <c r="H88" s="109">
        <v>0</v>
      </c>
      <c r="I88" s="110">
        <v>0</v>
      </c>
      <c r="J88" s="121">
        <f t="shared" si="12"/>
        <v>0</v>
      </c>
      <c r="K88" s="121">
        <f t="shared" si="13"/>
        <v>0</v>
      </c>
      <c r="L88" s="111"/>
      <c r="M88" s="103"/>
    </row>
    <row r="89" spans="1:13" ht="15" hidden="1">
      <c r="A89" s="108">
        <f t="shared" si="11"/>
        <v>79</v>
      </c>
      <c r="B89" s="341">
        <v>2845</v>
      </c>
      <c r="C89" s="341">
        <v>227</v>
      </c>
      <c r="D89" s="106" t="s">
        <v>77</v>
      </c>
      <c r="E89" s="273" t="s">
        <v>107</v>
      </c>
      <c r="F89" s="125">
        <v>1975</v>
      </c>
      <c r="G89" s="107">
        <v>25</v>
      </c>
      <c r="H89" s="109">
        <v>0</v>
      </c>
      <c r="I89" s="110">
        <v>0</v>
      </c>
      <c r="J89" s="121">
        <f t="shared" si="12"/>
        <v>0</v>
      </c>
      <c r="K89" s="121">
        <f t="shared" si="13"/>
        <v>0</v>
      </c>
      <c r="L89" s="111"/>
      <c r="M89" s="103"/>
    </row>
    <row r="90" spans="1:13" ht="15" hidden="1">
      <c r="A90" s="108">
        <f t="shared" si="11"/>
        <v>80</v>
      </c>
      <c r="B90" s="341">
        <v>2845</v>
      </c>
      <c r="C90" s="341">
        <v>228</v>
      </c>
      <c r="D90" s="106" t="s">
        <v>77</v>
      </c>
      <c r="E90" s="273" t="s">
        <v>107</v>
      </c>
      <c r="F90" s="125">
        <v>1975</v>
      </c>
      <c r="G90" s="107">
        <v>54</v>
      </c>
      <c r="H90" s="109">
        <v>0</v>
      </c>
      <c r="I90" s="110">
        <v>0</v>
      </c>
      <c r="J90" s="121">
        <f t="shared" si="12"/>
        <v>0</v>
      </c>
      <c r="K90" s="121">
        <f t="shared" si="13"/>
        <v>0</v>
      </c>
      <c r="L90" s="111"/>
      <c r="M90" s="103"/>
    </row>
    <row r="91" spans="1:13" ht="30" hidden="1">
      <c r="A91" s="108">
        <f t="shared" si="11"/>
        <v>81</v>
      </c>
      <c r="B91" s="341">
        <v>2845</v>
      </c>
      <c r="C91" s="341">
        <v>229</v>
      </c>
      <c r="D91" s="188" t="s">
        <v>159</v>
      </c>
      <c r="E91" s="273" t="s">
        <v>107</v>
      </c>
      <c r="F91" s="125">
        <v>1986</v>
      </c>
      <c r="G91" s="107">
        <v>27</v>
      </c>
      <c r="H91" s="109">
        <v>9</v>
      </c>
      <c r="I91" s="110">
        <v>9</v>
      </c>
      <c r="J91" s="121">
        <f t="shared" si="12"/>
        <v>0</v>
      </c>
      <c r="K91" s="121">
        <f t="shared" si="13"/>
        <v>0</v>
      </c>
      <c r="L91" s="111"/>
      <c r="M91" s="103"/>
    </row>
    <row r="92" spans="1:13" ht="30" hidden="1">
      <c r="A92" s="108">
        <f t="shared" si="11"/>
        <v>82</v>
      </c>
      <c r="B92" s="341">
        <v>2845</v>
      </c>
      <c r="C92" s="341">
        <v>230</v>
      </c>
      <c r="D92" s="188" t="s">
        <v>160</v>
      </c>
      <c r="E92" s="273" t="s">
        <v>107</v>
      </c>
      <c r="F92" s="125">
        <v>1997</v>
      </c>
      <c r="G92" s="107">
        <v>9</v>
      </c>
      <c r="H92" s="109">
        <v>0</v>
      </c>
      <c r="I92" s="110">
        <v>0</v>
      </c>
      <c r="J92" s="121">
        <f t="shared" si="12"/>
        <v>0</v>
      </c>
      <c r="K92" s="121">
        <f t="shared" si="13"/>
        <v>0</v>
      </c>
      <c r="L92" s="111"/>
      <c r="M92" s="103"/>
    </row>
    <row r="93" spans="1:13" ht="30" hidden="1">
      <c r="A93" s="108">
        <f t="shared" si="11"/>
        <v>83</v>
      </c>
      <c r="B93" s="341">
        <v>2845</v>
      </c>
      <c r="C93" s="341">
        <v>231</v>
      </c>
      <c r="D93" s="188" t="s">
        <v>142</v>
      </c>
      <c r="E93" s="273" t="s">
        <v>107</v>
      </c>
      <c r="F93" s="125">
        <v>1994</v>
      </c>
      <c r="G93" s="107">
        <v>77.459999999999994</v>
      </c>
      <c r="H93" s="119">
        <f>AH93</f>
        <v>0</v>
      </c>
      <c r="I93" s="120">
        <f>AI93</f>
        <v>0</v>
      </c>
      <c r="J93" s="121">
        <f t="shared" si="12"/>
        <v>0</v>
      </c>
      <c r="K93" s="121">
        <f t="shared" si="13"/>
        <v>0</v>
      </c>
      <c r="L93" s="122">
        <v>29.06</v>
      </c>
      <c r="M93" s="103">
        <v>44.26</v>
      </c>
    </row>
    <row r="94" spans="1:13" ht="45" hidden="1">
      <c r="A94" s="108">
        <f t="shared" si="11"/>
        <v>84</v>
      </c>
      <c r="B94" s="341">
        <v>2845</v>
      </c>
      <c r="C94" s="341">
        <v>232</v>
      </c>
      <c r="D94" s="188" t="s">
        <v>156</v>
      </c>
      <c r="E94" s="273" t="s">
        <v>107</v>
      </c>
      <c r="F94" s="125">
        <v>2006</v>
      </c>
      <c r="G94" s="107">
        <v>3</v>
      </c>
      <c r="H94" s="109">
        <v>3</v>
      </c>
      <c r="I94" s="110">
        <v>3</v>
      </c>
      <c r="J94" s="121">
        <f t="shared" si="12"/>
        <v>0</v>
      </c>
      <c r="K94" s="121">
        <f t="shared" si="13"/>
        <v>0</v>
      </c>
      <c r="L94" s="111"/>
      <c r="M94" s="103"/>
    </row>
    <row r="95" spans="1:13" ht="45" hidden="1">
      <c r="A95" s="108">
        <f t="shared" si="11"/>
        <v>85</v>
      </c>
      <c r="B95" s="341">
        <v>2845</v>
      </c>
      <c r="C95" s="341">
        <v>233</v>
      </c>
      <c r="D95" s="188" t="s">
        <v>158</v>
      </c>
      <c r="E95" s="273" t="s">
        <v>107</v>
      </c>
      <c r="F95" s="125">
        <v>2006</v>
      </c>
      <c r="G95" s="107">
        <v>3</v>
      </c>
      <c r="H95" s="109">
        <v>3</v>
      </c>
      <c r="I95" s="110">
        <v>3</v>
      </c>
      <c r="J95" s="121">
        <f t="shared" si="12"/>
        <v>0</v>
      </c>
      <c r="K95" s="121">
        <f t="shared" si="13"/>
        <v>0</v>
      </c>
      <c r="L95" s="111"/>
      <c r="M95" s="103"/>
    </row>
    <row r="96" spans="1:13" ht="30" hidden="1">
      <c r="A96" s="108">
        <f t="shared" si="11"/>
        <v>86</v>
      </c>
      <c r="B96" s="341">
        <v>2845</v>
      </c>
      <c r="C96" s="341">
        <v>234</v>
      </c>
      <c r="D96" s="188" t="s">
        <v>157</v>
      </c>
      <c r="E96" s="273" t="s">
        <v>107</v>
      </c>
      <c r="F96" s="125">
        <v>2006</v>
      </c>
      <c r="G96" s="107">
        <v>25</v>
      </c>
      <c r="H96" s="109">
        <v>7</v>
      </c>
      <c r="I96" s="110">
        <v>7</v>
      </c>
      <c r="J96" s="121">
        <f t="shared" si="12"/>
        <v>0</v>
      </c>
      <c r="K96" s="121">
        <f t="shared" si="13"/>
        <v>0</v>
      </c>
      <c r="L96" s="111"/>
      <c r="M96" s="103"/>
    </row>
    <row r="97" spans="1:13" ht="31.5" hidden="1" customHeight="1">
      <c r="A97" s="108">
        <f t="shared" si="11"/>
        <v>87</v>
      </c>
      <c r="B97" s="341">
        <v>2845</v>
      </c>
      <c r="C97" s="341">
        <v>235</v>
      </c>
      <c r="D97" s="188" t="s">
        <v>143</v>
      </c>
      <c r="E97" s="273" t="s">
        <v>107</v>
      </c>
      <c r="F97" s="125">
        <v>1992</v>
      </c>
      <c r="G97" s="107">
        <v>1</v>
      </c>
      <c r="H97" s="109">
        <v>0</v>
      </c>
      <c r="I97" s="110">
        <v>0</v>
      </c>
      <c r="J97" s="121">
        <f t="shared" si="12"/>
        <v>0</v>
      </c>
      <c r="K97" s="121">
        <f t="shared" si="13"/>
        <v>0</v>
      </c>
      <c r="L97" s="111"/>
      <c r="M97" s="103"/>
    </row>
    <row r="98" spans="1:13" ht="29.25" hidden="1" customHeight="1">
      <c r="A98" s="108">
        <f t="shared" si="11"/>
        <v>88</v>
      </c>
      <c r="B98" s="341">
        <v>2845</v>
      </c>
      <c r="C98" s="341">
        <v>236</v>
      </c>
      <c r="D98" s="188" t="s">
        <v>143</v>
      </c>
      <c r="E98" s="273" t="s">
        <v>107</v>
      </c>
      <c r="F98" s="125">
        <v>1992</v>
      </c>
      <c r="G98" s="107">
        <v>1</v>
      </c>
      <c r="H98" s="109">
        <v>0</v>
      </c>
      <c r="I98" s="110">
        <v>0</v>
      </c>
      <c r="J98" s="121">
        <f t="shared" si="12"/>
        <v>0</v>
      </c>
      <c r="K98" s="121">
        <f t="shared" si="13"/>
        <v>0</v>
      </c>
      <c r="L98" s="111"/>
      <c r="M98" s="103"/>
    </row>
    <row r="99" spans="1:13" ht="33" hidden="1" customHeight="1">
      <c r="A99" s="108">
        <f t="shared" si="11"/>
        <v>89</v>
      </c>
      <c r="B99" s="341">
        <v>2845</v>
      </c>
      <c r="C99" s="341">
        <v>237</v>
      </c>
      <c r="D99" s="188" t="s">
        <v>143</v>
      </c>
      <c r="E99" s="273" t="s">
        <v>107</v>
      </c>
      <c r="F99" s="125">
        <v>1992</v>
      </c>
      <c r="G99" s="107">
        <v>1</v>
      </c>
      <c r="H99" s="109">
        <v>0</v>
      </c>
      <c r="I99" s="110">
        <v>0</v>
      </c>
      <c r="J99" s="121">
        <f t="shared" si="12"/>
        <v>0</v>
      </c>
      <c r="K99" s="121">
        <f t="shared" si="13"/>
        <v>0</v>
      </c>
      <c r="L99" s="111"/>
      <c r="M99" s="103"/>
    </row>
    <row r="100" spans="1:13" ht="29.25" hidden="1" customHeight="1">
      <c r="A100" s="108">
        <f t="shared" si="11"/>
        <v>90</v>
      </c>
      <c r="B100" s="341">
        <v>2845</v>
      </c>
      <c r="C100" s="341">
        <v>238</v>
      </c>
      <c r="D100" s="188" t="s">
        <v>143</v>
      </c>
      <c r="E100" s="273" t="s">
        <v>107</v>
      </c>
      <c r="F100" s="125">
        <v>1992</v>
      </c>
      <c r="G100" s="107">
        <v>1</v>
      </c>
      <c r="H100" s="109">
        <v>0</v>
      </c>
      <c r="I100" s="110">
        <v>0</v>
      </c>
      <c r="J100" s="121">
        <f t="shared" si="12"/>
        <v>0</v>
      </c>
      <c r="K100" s="121">
        <f t="shared" si="13"/>
        <v>0</v>
      </c>
      <c r="L100" s="111"/>
      <c r="M100" s="103"/>
    </row>
    <row r="101" spans="1:13" ht="30" hidden="1">
      <c r="A101" s="108">
        <f t="shared" si="11"/>
        <v>91</v>
      </c>
      <c r="B101" s="341">
        <v>2845</v>
      </c>
      <c r="C101" s="341">
        <v>239</v>
      </c>
      <c r="D101" s="188" t="s">
        <v>152</v>
      </c>
      <c r="E101" s="273" t="s">
        <v>107</v>
      </c>
      <c r="F101" s="125">
        <v>2007</v>
      </c>
      <c r="G101" s="107">
        <v>13</v>
      </c>
      <c r="H101" s="109">
        <v>34</v>
      </c>
      <c r="I101" s="110">
        <v>34</v>
      </c>
      <c r="J101" s="121">
        <f t="shared" si="12"/>
        <v>0</v>
      </c>
      <c r="K101" s="121">
        <f t="shared" si="13"/>
        <v>0</v>
      </c>
      <c r="L101" s="111"/>
      <c r="M101" s="103"/>
    </row>
    <row r="102" spans="1:13" ht="15" hidden="1">
      <c r="A102" s="89">
        <f t="shared" si="11"/>
        <v>92</v>
      </c>
      <c r="B102" s="90">
        <v>2845</v>
      </c>
      <c r="C102" s="90">
        <v>240</v>
      </c>
      <c r="D102" s="91" t="s">
        <v>150</v>
      </c>
      <c r="E102" s="273" t="s">
        <v>107</v>
      </c>
      <c r="F102" s="235">
        <v>2011</v>
      </c>
      <c r="G102" s="104">
        <v>33.75</v>
      </c>
      <c r="H102" s="93">
        <f t="shared" ref="H102:I104" si="14">AH102</f>
        <v>0</v>
      </c>
      <c r="I102" s="94">
        <f t="shared" si="14"/>
        <v>0</v>
      </c>
      <c r="J102" s="92">
        <f t="shared" si="12"/>
        <v>0</v>
      </c>
      <c r="K102" s="92">
        <f t="shared" si="13"/>
        <v>0</v>
      </c>
      <c r="L102" s="95">
        <v>14.35</v>
      </c>
      <c r="M102" s="105">
        <v>14.28</v>
      </c>
    </row>
    <row r="103" spans="1:13" ht="15" hidden="1">
      <c r="A103" s="89">
        <f t="shared" si="11"/>
        <v>93</v>
      </c>
      <c r="B103" s="339">
        <v>2845</v>
      </c>
      <c r="C103" s="339">
        <v>241</v>
      </c>
      <c r="D103" s="129" t="s">
        <v>149</v>
      </c>
      <c r="E103" s="273" t="s">
        <v>107</v>
      </c>
      <c r="F103" s="237">
        <v>2011</v>
      </c>
      <c r="G103" s="92">
        <v>43.29</v>
      </c>
      <c r="H103" s="93">
        <f t="shared" si="14"/>
        <v>0</v>
      </c>
      <c r="I103" s="94">
        <f t="shared" si="14"/>
        <v>0</v>
      </c>
      <c r="J103" s="92">
        <f t="shared" si="12"/>
        <v>0</v>
      </c>
      <c r="K103" s="92">
        <f t="shared" si="13"/>
        <v>0</v>
      </c>
      <c r="L103" s="95">
        <v>11.53</v>
      </c>
      <c r="M103" s="96">
        <v>11.1</v>
      </c>
    </row>
    <row r="104" spans="1:13" ht="30" hidden="1">
      <c r="A104" s="89">
        <f t="shared" si="11"/>
        <v>94</v>
      </c>
      <c r="B104" s="339">
        <v>2845</v>
      </c>
      <c r="C104" s="90">
        <v>242</v>
      </c>
      <c r="D104" s="195" t="s">
        <v>147</v>
      </c>
      <c r="E104" s="273" t="s">
        <v>107</v>
      </c>
      <c r="F104" s="235">
        <v>2011</v>
      </c>
      <c r="G104" s="104">
        <v>83.45</v>
      </c>
      <c r="H104" s="93">
        <f t="shared" si="14"/>
        <v>0</v>
      </c>
      <c r="I104" s="94">
        <f t="shared" si="14"/>
        <v>0</v>
      </c>
      <c r="J104" s="92">
        <f t="shared" si="12"/>
        <v>0</v>
      </c>
      <c r="K104" s="92">
        <f t="shared" si="13"/>
        <v>0</v>
      </c>
      <c r="L104" s="95">
        <v>19.39</v>
      </c>
      <c r="M104" s="105">
        <v>18.71</v>
      </c>
    </row>
    <row r="105" spans="1:13" ht="30" hidden="1">
      <c r="A105" s="89">
        <f t="shared" si="11"/>
        <v>95</v>
      </c>
      <c r="B105" s="339">
        <v>2845</v>
      </c>
      <c r="C105" s="90">
        <v>243</v>
      </c>
      <c r="D105" s="195" t="s">
        <v>144</v>
      </c>
      <c r="E105" s="277" t="s">
        <v>107</v>
      </c>
      <c r="F105" s="235">
        <v>2013</v>
      </c>
      <c r="G105" s="104">
        <v>0</v>
      </c>
      <c r="H105" s="93">
        <v>1</v>
      </c>
      <c r="I105" s="94">
        <v>0</v>
      </c>
      <c r="J105" s="121">
        <v>1</v>
      </c>
      <c r="K105" s="92">
        <f t="shared" si="13"/>
        <v>0</v>
      </c>
      <c r="L105" s="95">
        <v>0</v>
      </c>
      <c r="M105" s="105">
        <v>1</v>
      </c>
    </row>
    <row r="106" spans="1:13" ht="30" hidden="1">
      <c r="A106" s="89">
        <f t="shared" si="11"/>
        <v>96</v>
      </c>
      <c r="B106" s="90">
        <v>2845</v>
      </c>
      <c r="C106" s="90">
        <v>244</v>
      </c>
      <c r="D106" s="195" t="s">
        <v>148</v>
      </c>
      <c r="E106" s="277" t="s">
        <v>107</v>
      </c>
      <c r="F106" s="235">
        <v>2014</v>
      </c>
      <c r="G106" s="104">
        <v>57</v>
      </c>
      <c r="H106" s="93">
        <v>24</v>
      </c>
      <c r="I106" s="94">
        <v>24</v>
      </c>
      <c r="J106" s="121">
        <v>0</v>
      </c>
      <c r="K106" s="92">
        <f t="shared" si="13"/>
        <v>0</v>
      </c>
      <c r="L106" s="122">
        <v>24</v>
      </c>
      <c r="M106" s="105">
        <v>24</v>
      </c>
    </row>
    <row r="107" spans="1:13" ht="15" hidden="1">
      <c r="A107" s="89">
        <f t="shared" si="11"/>
        <v>97</v>
      </c>
      <c r="B107" s="90">
        <v>2845</v>
      </c>
      <c r="C107" s="90"/>
      <c r="D107" s="195" t="s">
        <v>163</v>
      </c>
      <c r="E107" s="277"/>
      <c r="F107" s="235"/>
      <c r="G107" s="104"/>
      <c r="H107" s="93"/>
      <c r="I107" s="94"/>
      <c r="J107" s="121"/>
      <c r="K107" s="92"/>
      <c r="L107" s="122"/>
      <c r="M107" s="105"/>
    </row>
    <row r="108" spans="1:13" ht="15" hidden="1">
      <c r="A108" s="89">
        <f t="shared" si="11"/>
        <v>98</v>
      </c>
      <c r="B108" s="90">
        <v>2845</v>
      </c>
      <c r="C108" s="90"/>
      <c r="D108" s="195" t="s">
        <v>164</v>
      </c>
      <c r="E108" s="277"/>
      <c r="F108" s="235"/>
      <c r="G108" s="104"/>
      <c r="H108" s="93"/>
      <c r="I108" s="94"/>
      <c r="J108" s="121"/>
      <c r="K108" s="92"/>
      <c r="L108" s="122"/>
      <c r="M108" s="105"/>
    </row>
    <row r="109" spans="1:13" ht="15" hidden="1">
      <c r="A109" s="89">
        <f t="shared" si="11"/>
        <v>99</v>
      </c>
      <c r="B109" s="90">
        <v>2845</v>
      </c>
      <c r="C109" s="90"/>
      <c r="D109" s="195" t="s">
        <v>165</v>
      </c>
      <c r="E109" s="277"/>
      <c r="F109" s="235"/>
      <c r="G109" s="104"/>
      <c r="H109" s="93"/>
      <c r="I109" s="94"/>
      <c r="J109" s="121"/>
      <c r="K109" s="92"/>
      <c r="L109" s="122"/>
      <c r="M109" s="105"/>
    </row>
    <row r="110" spans="1:13" ht="30.75" hidden="1" customHeight="1">
      <c r="A110" s="89">
        <f t="shared" si="11"/>
        <v>100</v>
      </c>
      <c r="B110" s="90">
        <v>2845</v>
      </c>
      <c r="C110" s="90"/>
      <c r="D110" s="195" t="s">
        <v>169</v>
      </c>
      <c r="E110" s="277"/>
      <c r="F110" s="235"/>
      <c r="G110" s="104"/>
      <c r="H110" s="93"/>
      <c r="I110" s="94"/>
      <c r="J110" s="121"/>
      <c r="K110" s="92"/>
      <c r="L110" s="122"/>
      <c r="M110" s="105"/>
    </row>
    <row r="111" spans="1:13" ht="27" hidden="1" customHeight="1">
      <c r="A111" s="89">
        <f t="shared" si="11"/>
        <v>101</v>
      </c>
      <c r="B111" s="90">
        <v>2845</v>
      </c>
      <c r="C111" s="90"/>
      <c r="D111" s="195" t="s">
        <v>170</v>
      </c>
      <c r="E111" s="277"/>
      <c r="F111" s="235"/>
      <c r="G111" s="104"/>
      <c r="H111" s="93"/>
      <c r="I111" s="94"/>
      <c r="J111" s="121"/>
      <c r="K111" s="92"/>
      <c r="L111" s="122"/>
      <c r="M111" s="105"/>
    </row>
    <row r="112" spans="1:13" ht="15.75" hidden="1">
      <c r="A112" s="563" t="s">
        <v>94</v>
      </c>
      <c r="B112" s="564"/>
      <c r="C112" s="564"/>
      <c r="D112" s="565"/>
      <c r="E112" s="333"/>
      <c r="F112" s="334"/>
      <c r="G112" s="335">
        <f t="shared" ref="G112:M112" si="15">SUM(G11:G111)</f>
        <v>344623.56</v>
      </c>
      <c r="H112" s="336">
        <f t="shared" si="15"/>
        <v>38949.4</v>
      </c>
      <c r="I112" s="336">
        <f t="shared" si="15"/>
        <v>33301.800000000003</v>
      </c>
      <c r="J112" s="336">
        <f t="shared" si="15"/>
        <v>101.8</v>
      </c>
      <c r="K112" s="336">
        <f t="shared" si="15"/>
        <v>1172.4499999999998</v>
      </c>
      <c r="L112" s="335">
        <f t="shared" si="15"/>
        <v>36004.209999999992</v>
      </c>
      <c r="M112" s="337">
        <f t="shared" si="15"/>
        <v>34068.23000000001</v>
      </c>
    </row>
    <row r="113" spans="1:13" ht="15" hidden="1">
      <c r="A113" s="91">
        <f>A111+1</f>
        <v>102</v>
      </c>
      <c r="B113" s="91"/>
      <c r="C113" s="91" t="s">
        <v>186</v>
      </c>
      <c r="D113" s="91" t="s">
        <v>185</v>
      </c>
      <c r="E113" s="51" t="s">
        <v>109</v>
      </c>
      <c r="F113" s="220">
        <v>1966</v>
      </c>
      <c r="G113" s="126">
        <v>17468.63</v>
      </c>
      <c r="H113" s="126"/>
      <c r="I113" s="126">
        <v>4673.38</v>
      </c>
      <c r="J113" s="126"/>
      <c r="K113" s="126"/>
      <c r="L113" s="126"/>
      <c r="M113" s="126">
        <v>611.67999999999995</v>
      </c>
    </row>
    <row r="114" spans="1:13" ht="15.75" hidden="1">
      <c r="A114" s="445" t="s">
        <v>189</v>
      </c>
      <c r="B114" s="445"/>
      <c r="C114" s="445"/>
      <c r="D114" s="445"/>
      <c r="E114" s="325"/>
      <c r="F114" s="326"/>
      <c r="G114" s="130">
        <f>G113</f>
        <v>17468.63</v>
      </c>
      <c r="H114" s="130"/>
      <c r="I114" s="130">
        <f>I113</f>
        <v>4673.38</v>
      </c>
      <c r="J114" s="130"/>
      <c r="K114" s="130"/>
      <c r="L114" s="130"/>
      <c r="M114" s="130">
        <f>M113</f>
        <v>611.67999999999995</v>
      </c>
    </row>
    <row r="115" spans="1:13" ht="15.75" hidden="1">
      <c r="A115" s="445" t="s">
        <v>93</v>
      </c>
      <c r="B115" s="445"/>
      <c r="C115" s="445"/>
      <c r="D115" s="445"/>
      <c r="E115" s="325"/>
      <c r="F115" s="218"/>
      <c r="G115" s="130"/>
      <c r="H115" s="130"/>
      <c r="I115" s="130"/>
      <c r="J115" s="130"/>
      <c r="K115" s="130"/>
      <c r="L115" s="130"/>
      <c r="M115" s="130"/>
    </row>
    <row r="116" spans="1:13" ht="15.75" hidden="1">
      <c r="A116" s="108">
        <f>A113+1</f>
        <v>103</v>
      </c>
      <c r="B116" s="132">
        <v>3856</v>
      </c>
      <c r="C116" s="341">
        <v>6</v>
      </c>
      <c r="D116" s="133" t="s">
        <v>41</v>
      </c>
      <c r="E116" s="279" t="s">
        <v>109</v>
      </c>
      <c r="F116" s="125">
        <v>1970</v>
      </c>
      <c r="G116" s="134">
        <v>484</v>
      </c>
      <c r="H116" s="341">
        <v>153</v>
      </c>
      <c r="I116" s="125">
        <v>110</v>
      </c>
      <c r="J116" s="121">
        <f t="shared" ref="J116:J140" si="16">AC116</f>
        <v>0</v>
      </c>
      <c r="K116" s="121">
        <f t="shared" ref="K116:K140" si="17">AD116+AE116</f>
        <v>0</v>
      </c>
      <c r="L116" s="135"/>
      <c r="M116" s="88"/>
    </row>
    <row r="117" spans="1:13" ht="30" hidden="1">
      <c r="A117" s="108">
        <f t="shared" si="11"/>
        <v>104</v>
      </c>
      <c r="B117" s="341">
        <v>3856</v>
      </c>
      <c r="C117" s="341">
        <v>7</v>
      </c>
      <c r="D117" s="188" t="s">
        <v>175</v>
      </c>
      <c r="E117" s="279" t="s">
        <v>107</v>
      </c>
      <c r="F117" s="125">
        <v>1960</v>
      </c>
      <c r="G117" s="134">
        <v>9</v>
      </c>
      <c r="H117" s="341">
        <v>2</v>
      </c>
      <c r="I117" s="125">
        <v>2</v>
      </c>
      <c r="J117" s="121">
        <f t="shared" si="16"/>
        <v>0</v>
      </c>
      <c r="K117" s="121">
        <f t="shared" si="17"/>
        <v>0</v>
      </c>
      <c r="L117" s="135"/>
      <c r="M117" s="88"/>
    </row>
    <row r="118" spans="1:13" ht="15" hidden="1">
      <c r="A118" s="89">
        <f t="shared" si="11"/>
        <v>105</v>
      </c>
      <c r="B118" s="90">
        <v>3856</v>
      </c>
      <c r="C118" s="90">
        <v>8</v>
      </c>
      <c r="D118" s="91" t="s">
        <v>54</v>
      </c>
      <c r="E118" s="277" t="s">
        <v>109</v>
      </c>
      <c r="F118" s="235">
        <v>1976</v>
      </c>
      <c r="G118" s="104">
        <v>224.55</v>
      </c>
      <c r="H118" s="126">
        <v>62.96</v>
      </c>
      <c r="I118" s="127">
        <v>62.96</v>
      </c>
      <c r="J118" s="92">
        <f t="shared" si="16"/>
        <v>0</v>
      </c>
      <c r="K118" s="92">
        <f t="shared" si="17"/>
        <v>0</v>
      </c>
      <c r="L118" s="128">
        <v>154.88999999999999</v>
      </c>
      <c r="M118" s="105">
        <v>75.13</v>
      </c>
    </row>
    <row r="119" spans="1:13" ht="15" hidden="1">
      <c r="A119" s="89">
        <f t="shared" si="11"/>
        <v>106</v>
      </c>
      <c r="B119" s="90">
        <v>3856</v>
      </c>
      <c r="C119" s="90">
        <v>9</v>
      </c>
      <c r="D119" s="91" t="s">
        <v>55</v>
      </c>
      <c r="E119" s="277" t="s">
        <v>109</v>
      </c>
      <c r="F119" s="235">
        <v>1938</v>
      </c>
      <c r="G119" s="104">
        <v>1014.87</v>
      </c>
      <c r="H119" s="126">
        <v>224.89</v>
      </c>
      <c r="I119" s="127">
        <v>179.65</v>
      </c>
      <c r="J119" s="92">
        <f t="shared" si="16"/>
        <v>0</v>
      </c>
      <c r="K119" s="92">
        <f t="shared" si="17"/>
        <v>0</v>
      </c>
      <c r="L119" s="128">
        <v>278.91000000000003</v>
      </c>
      <c r="M119" s="105">
        <v>158.06</v>
      </c>
    </row>
    <row r="120" spans="1:13" ht="15" hidden="1">
      <c r="A120" s="89">
        <f t="shared" si="11"/>
        <v>107</v>
      </c>
      <c r="B120" s="90">
        <v>3856</v>
      </c>
      <c r="C120" s="90">
        <v>10</v>
      </c>
      <c r="D120" s="91" t="s">
        <v>56</v>
      </c>
      <c r="E120" s="277" t="s">
        <v>109</v>
      </c>
      <c r="F120" s="235">
        <v>1981</v>
      </c>
      <c r="G120" s="104">
        <v>2739.22</v>
      </c>
      <c r="H120" s="126">
        <v>737.67</v>
      </c>
      <c r="I120" s="127">
        <v>535.48</v>
      </c>
      <c r="J120" s="92">
        <f t="shared" si="16"/>
        <v>0</v>
      </c>
      <c r="K120" s="92">
        <f t="shared" si="17"/>
        <v>0</v>
      </c>
      <c r="L120" s="128">
        <v>491.86</v>
      </c>
      <c r="M120" s="105">
        <v>334.31</v>
      </c>
    </row>
    <row r="121" spans="1:13" ht="15" hidden="1">
      <c r="A121" s="89">
        <f t="shared" si="11"/>
        <v>108</v>
      </c>
      <c r="B121" s="90">
        <v>3856</v>
      </c>
      <c r="C121" s="90">
        <v>11</v>
      </c>
      <c r="D121" s="91" t="s">
        <v>87</v>
      </c>
      <c r="E121" s="277" t="s">
        <v>109</v>
      </c>
      <c r="F121" s="235">
        <v>2013</v>
      </c>
      <c r="G121" s="104">
        <v>11671</v>
      </c>
      <c r="H121" s="126">
        <v>1334</v>
      </c>
      <c r="I121" s="127">
        <v>1334</v>
      </c>
      <c r="J121" s="92">
        <f t="shared" si="16"/>
        <v>0</v>
      </c>
      <c r="K121" s="92">
        <f t="shared" si="17"/>
        <v>0</v>
      </c>
      <c r="L121" s="128">
        <v>1575.6</v>
      </c>
      <c r="M121" s="103">
        <f>60.2*25</f>
        <v>1505</v>
      </c>
    </row>
    <row r="122" spans="1:13" ht="30" hidden="1" customHeight="1">
      <c r="A122" s="89">
        <f t="shared" si="11"/>
        <v>109</v>
      </c>
      <c r="B122" s="90">
        <v>3856</v>
      </c>
      <c r="C122" s="90">
        <v>29</v>
      </c>
      <c r="D122" s="195" t="s">
        <v>57</v>
      </c>
      <c r="E122" s="277" t="s">
        <v>109</v>
      </c>
      <c r="F122" s="235">
        <v>1984</v>
      </c>
      <c r="G122" s="104">
        <v>2012.34</v>
      </c>
      <c r="H122" s="126">
        <v>351.85</v>
      </c>
      <c r="I122" s="127">
        <v>351.85</v>
      </c>
      <c r="J122" s="92">
        <f t="shared" si="16"/>
        <v>0</v>
      </c>
      <c r="K122" s="92">
        <f t="shared" si="17"/>
        <v>0</v>
      </c>
      <c r="L122" s="128">
        <v>456.7</v>
      </c>
      <c r="M122" s="105">
        <v>371.62</v>
      </c>
    </row>
    <row r="123" spans="1:13" ht="27" hidden="1" customHeight="1">
      <c r="A123" s="89">
        <f t="shared" si="11"/>
        <v>110</v>
      </c>
      <c r="B123" s="90">
        <v>3856</v>
      </c>
      <c r="C123" s="90">
        <v>30</v>
      </c>
      <c r="D123" s="195" t="s">
        <v>44</v>
      </c>
      <c r="E123" s="277" t="s">
        <v>109</v>
      </c>
      <c r="F123" s="235">
        <v>1984</v>
      </c>
      <c r="G123" s="104">
        <v>3326.14</v>
      </c>
      <c r="H123" s="126">
        <v>519.36</v>
      </c>
      <c r="I123" s="127">
        <v>519.36</v>
      </c>
      <c r="J123" s="92">
        <f t="shared" si="16"/>
        <v>0</v>
      </c>
      <c r="K123" s="92">
        <f t="shared" si="17"/>
        <v>0</v>
      </c>
      <c r="L123" s="128">
        <v>564.57000000000005</v>
      </c>
      <c r="M123" s="105">
        <v>556.21</v>
      </c>
    </row>
    <row r="124" spans="1:13" ht="24.75" hidden="1" customHeight="1">
      <c r="A124" s="89">
        <f t="shared" si="11"/>
        <v>111</v>
      </c>
      <c r="B124" s="90">
        <v>3856</v>
      </c>
      <c r="C124" s="90">
        <v>31</v>
      </c>
      <c r="D124" s="195" t="s">
        <v>57</v>
      </c>
      <c r="E124" s="277" t="s">
        <v>109</v>
      </c>
      <c r="F124" s="235">
        <v>1984</v>
      </c>
      <c r="G124" s="104">
        <v>1833.07</v>
      </c>
      <c r="H124" s="126">
        <v>308.79000000000002</v>
      </c>
      <c r="I124" s="127">
        <v>308.79000000000002</v>
      </c>
      <c r="J124" s="92">
        <f t="shared" si="16"/>
        <v>0</v>
      </c>
      <c r="K124" s="92">
        <f t="shared" si="17"/>
        <v>0</v>
      </c>
      <c r="L124" s="128">
        <v>342.13</v>
      </c>
      <c r="M124" s="105">
        <v>338.83</v>
      </c>
    </row>
    <row r="125" spans="1:13" ht="15" hidden="1">
      <c r="A125" s="108">
        <f t="shared" si="11"/>
        <v>112</v>
      </c>
      <c r="B125" s="341">
        <v>3856</v>
      </c>
      <c r="C125" s="341">
        <v>32</v>
      </c>
      <c r="D125" s="106" t="s">
        <v>35</v>
      </c>
      <c r="E125" s="277" t="s">
        <v>109</v>
      </c>
      <c r="F125" s="125">
        <v>1984</v>
      </c>
      <c r="G125" s="107">
        <v>9590</v>
      </c>
      <c r="H125" s="109">
        <v>1544</v>
      </c>
      <c r="I125" s="110">
        <v>1196</v>
      </c>
      <c r="J125" s="92">
        <f t="shared" si="16"/>
        <v>0</v>
      </c>
      <c r="K125" s="92">
        <f t="shared" si="17"/>
        <v>0</v>
      </c>
      <c r="L125" s="111"/>
      <c r="M125" s="103"/>
    </row>
    <row r="126" spans="1:13" ht="15" hidden="1">
      <c r="A126" s="89">
        <f t="shared" si="11"/>
        <v>113</v>
      </c>
      <c r="B126" s="90">
        <v>3856</v>
      </c>
      <c r="C126" s="90">
        <v>38</v>
      </c>
      <c r="D126" s="91" t="s">
        <v>53</v>
      </c>
      <c r="E126" s="277" t="s">
        <v>109</v>
      </c>
      <c r="F126" s="235" t="s">
        <v>61</v>
      </c>
      <c r="G126" s="104">
        <v>5035.97</v>
      </c>
      <c r="H126" s="126">
        <v>1030.8599999999999</v>
      </c>
      <c r="I126" s="127">
        <v>824.04</v>
      </c>
      <c r="J126" s="92">
        <f t="shared" si="16"/>
        <v>0</v>
      </c>
      <c r="K126" s="92">
        <f t="shared" si="17"/>
        <v>0</v>
      </c>
      <c r="L126" s="128">
        <v>1174.4000000000001</v>
      </c>
      <c r="M126" s="105">
        <v>671.46</v>
      </c>
    </row>
    <row r="127" spans="1:13" ht="15" hidden="1">
      <c r="A127" s="108">
        <f t="shared" si="11"/>
        <v>114</v>
      </c>
      <c r="B127" s="341">
        <v>3856</v>
      </c>
      <c r="C127" s="341">
        <v>46</v>
      </c>
      <c r="D127" s="106" t="s">
        <v>78</v>
      </c>
      <c r="E127" s="279" t="s">
        <v>109</v>
      </c>
      <c r="F127" s="125">
        <v>1981</v>
      </c>
      <c r="G127" s="107">
        <v>100</v>
      </c>
      <c r="H127" s="109">
        <v>0</v>
      </c>
      <c r="I127" s="110">
        <v>0</v>
      </c>
      <c r="J127" s="121">
        <f t="shared" si="16"/>
        <v>0</v>
      </c>
      <c r="K127" s="121">
        <f t="shared" si="17"/>
        <v>0</v>
      </c>
      <c r="L127" s="111"/>
      <c r="M127" s="103"/>
    </row>
    <row r="128" spans="1:13" ht="15" hidden="1">
      <c r="A128" s="89">
        <f t="shared" si="11"/>
        <v>115</v>
      </c>
      <c r="B128" s="90">
        <v>3856</v>
      </c>
      <c r="C128" s="90">
        <v>47</v>
      </c>
      <c r="D128" s="91" t="s">
        <v>42</v>
      </c>
      <c r="E128" s="277" t="s">
        <v>109</v>
      </c>
      <c r="F128" s="235">
        <v>1978</v>
      </c>
      <c r="G128" s="104">
        <v>63.69</v>
      </c>
      <c r="H128" s="126">
        <v>21.03</v>
      </c>
      <c r="I128" s="127">
        <v>21.03</v>
      </c>
      <c r="J128" s="92">
        <f t="shared" si="16"/>
        <v>0</v>
      </c>
      <c r="K128" s="92">
        <f t="shared" si="17"/>
        <v>0</v>
      </c>
      <c r="L128" s="128">
        <v>30.5</v>
      </c>
      <c r="M128" s="105">
        <v>27.65</v>
      </c>
    </row>
    <row r="129" spans="1:13" ht="15" hidden="1">
      <c r="A129" s="89">
        <f t="shared" si="11"/>
        <v>116</v>
      </c>
      <c r="B129" s="90">
        <v>3856</v>
      </c>
      <c r="C129" s="90">
        <v>48</v>
      </c>
      <c r="D129" s="91" t="s">
        <v>177</v>
      </c>
      <c r="E129" s="277" t="s">
        <v>109</v>
      </c>
      <c r="F129" s="235">
        <v>1994</v>
      </c>
      <c r="G129" s="104">
        <v>65.63</v>
      </c>
      <c r="H129" s="126">
        <v>15.13</v>
      </c>
      <c r="I129" s="127">
        <v>15.13</v>
      </c>
      <c r="J129" s="92">
        <f t="shared" si="16"/>
        <v>0</v>
      </c>
      <c r="K129" s="92">
        <f t="shared" si="17"/>
        <v>0</v>
      </c>
      <c r="L129" s="128">
        <v>43.38</v>
      </c>
      <c r="M129" s="105">
        <v>21.8</v>
      </c>
    </row>
    <row r="130" spans="1:13" ht="15" hidden="1">
      <c r="A130" s="89">
        <f t="shared" si="11"/>
        <v>117</v>
      </c>
      <c r="B130" s="90">
        <v>3856</v>
      </c>
      <c r="C130" s="90">
        <v>49</v>
      </c>
      <c r="D130" s="91" t="s">
        <v>58</v>
      </c>
      <c r="E130" s="277" t="s">
        <v>109</v>
      </c>
      <c r="F130" s="235">
        <v>1972</v>
      </c>
      <c r="G130" s="104">
        <v>29.27</v>
      </c>
      <c r="H130" s="126">
        <v>2.35</v>
      </c>
      <c r="I130" s="127">
        <v>0</v>
      </c>
      <c r="J130" s="92">
        <f t="shared" si="16"/>
        <v>0</v>
      </c>
      <c r="K130" s="92">
        <f t="shared" si="17"/>
        <v>0</v>
      </c>
      <c r="L130" s="128">
        <v>20.399999999999999</v>
      </c>
      <c r="M130" s="105">
        <v>4.72</v>
      </c>
    </row>
    <row r="131" spans="1:13" ht="15" hidden="1">
      <c r="A131" s="89">
        <f t="shared" si="11"/>
        <v>118</v>
      </c>
      <c r="B131" s="90">
        <v>3856</v>
      </c>
      <c r="C131" s="90">
        <v>50</v>
      </c>
      <c r="D131" s="91" t="s">
        <v>36</v>
      </c>
      <c r="E131" s="277" t="s">
        <v>109</v>
      </c>
      <c r="F131" s="235">
        <v>1994</v>
      </c>
      <c r="G131" s="104">
        <v>69.53</v>
      </c>
      <c r="H131" s="126">
        <v>18.940000000000001</v>
      </c>
      <c r="I131" s="127">
        <v>18.940000000000001</v>
      </c>
      <c r="J131" s="92">
        <f t="shared" si="16"/>
        <v>0</v>
      </c>
      <c r="K131" s="92">
        <f t="shared" si="17"/>
        <v>0</v>
      </c>
      <c r="L131" s="128">
        <v>65.75</v>
      </c>
      <c r="M131" s="105">
        <v>29.46</v>
      </c>
    </row>
    <row r="132" spans="1:13" ht="15" hidden="1">
      <c r="A132" s="89">
        <f t="shared" si="11"/>
        <v>119</v>
      </c>
      <c r="B132" s="90">
        <v>3856</v>
      </c>
      <c r="C132" s="90">
        <v>51</v>
      </c>
      <c r="D132" s="91" t="s">
        <v>42</v>
      </c>
      <c r="E132" s="277" t="s">
        <v>109</v>
      </c>
      <c r="F132" s="235">
        <v>1994</v>
      </c>
      <c r="G132" s="104">
        <v>274.8</v>
      </c>
      <c r="H132" s="126">
        <v>77.180000000000007</v>
      </c>
      <c r="I132" s="127">
        <v>77.180000000000007</v>
      </c>
      <c r="J132" s="92">
        <f t="shared" si="16"/>
        <v>0</v>
      </c>
      <c r="K132" s="92">
        <f t="shared" si="17"/>
        <v>0</v>
      </c>
      <c r="L132" s="128">
        <v>147.53</v>
      </c>
      <c r="M132" s="105">
        <v>46.23</v>
      </c>
    </row>
    <row r="133" spans="1:13" ht="15" hidden="1">
      <c r="A133" s="89">
        <f t="shared" si="11"/>
        <v>120</v>
      </c>
      <c r="B133" s="90">
        <v>3856</v>
      </c>
      <c r="C133" s="90">
        <v>52</v>
      </c>
      <c r="D133" s="91" t="s">
        <v>42</v>
      </c>
      <c r="E133" s="277" t="s">
        <v>109</v>
      </c>
      <c r="F133" s="235">
        <v>1994</v>
      </c>
      <c r="G133" s="104">
        <v>1777.08</v>
      </c>
      <c r="H133" s="126">
        <v>495.66</v>
      </c>
      <c r="I133" s="127">
        <v>495.66</v>
      </c>
      <c r="J133" s="92">
        <f t="shared" si="16"/>
        <v>0</v>
      </c>
      <c r="K133" s="92">
        <f t="shared" si="17"/>
        <v>0</v>
      </c>
      <c r="L133" s="128">
        <v>787.59</v>
      </c>
      <c r="M133" s="105">
        <v>499.18</v>
      </c>
    </row>
    <row r="134" spans="1:13" ht="15" hidden="1">
      <c r="A134" s="108">
        <f t="shared" si="11"/>
        <v>121</v>
      </c>
      <c r="B134" s="341">
        <v>3856</v>
      </c>
      <c r="C134" s="341">
        <v>53</v>
      </c>
      <c r="D134" s="106" t="s">
        <v>36</v>
      </c>
      <c r="E134" s="277" t="s">
        <v>109</v>
      </c>
      <c r="F134" s="125">
        <v>1934</v>
      </c>
      <c r="G134" s="107">
        <v>582</v>
      </c>
      <c r="H134" s="109">
        <v>153</v>
      </c>
      <c r="I134" s="110">
        <v>153</v>
      </c>
      <c r="J134" s="92">
        <f t="shared" si="16"/>
        <v>0</v>
      </c>
      <c r="K134" s="92">
        <f t="shared" si="17"/>
        <v>0</v>
      </c>
      <c r="L134" s="111"/>
      <c r="M134" s="103"/>
    </row>
    <row r="135" spans="1:13" ht="15" hidden="1">
      <c r="A135" s="108">
        <f t="shared" si="11"/>
        <v>122</v>
      </c>
      <c r="B135" s="341">
        <v>3856</v>
      </c>
      <c r="C135" s="341">
        <v>55</v>
      </c>
      <c r="D135" s="106" t="s">
        <v>79</v>
      </c>
      <c r="E135" s="279" t="s">
        <v>107</v>
      </c>
      <c r="F135" s="125">
        <v>1934</v>
      </c>
      <c r="G135" s="107">
        <v>747</v>
      </c>
      <c r="H135" s="109">
        <v>237</v>
      </c>
      <c r="I135" s="110">
        <v>237</v>
      </c>
      <c r="J135" s="92">
        <f t="shared" si="16"/>
        <v>0</v>
      </c>
      <c r="K135" s="92">
        <f t="shared" si="17"/>
        <v>0</v>
      </c>
      <c r="L135" s="111"/>
      <c r="M135" s="103"/>
    </row>
    <row r="136" spans="1:13" ht="30" hidden="1" customHeight="1">
      <c r="A136" s="136">
        <f t="shared" si="11"/>
        <v>123</v>
      </c>
      <c r="B136" s="137">
        <v>3856</v>
      </c>
      <c r="C136" s="137">
        <v>66</v>
      </c>
      <c r="D136" s="138" t="s">
        <v>58</v>
      </c>
      <c r="E136" s="280" t="s">
        <v>110</v>
      </c>
      <c r="F136" s="238">
        <v>1970</v>
      </c>
      <c r="G136" s="139">
        <v>185</v>
      </c>
      <c r="H136" s="140">
        <v>43</v>
      </c>
      <c r="I136" s="141">
        <v>43</v>
      </c>
      <c r="J136" s="142">
        <f t="shared" si="16"/>
        <v>0</v>
      </c>
      <c r="K136" s="142">
        <f t="shared" si="17"/>
        <v>0</v>
      </c>
      <c r="L136" s="143"/>
      <c r="M136" s="144"/>
    </row>
    <row r="137" spans="1:13" ht="25.5" hidden="1" customHeight="1">
      <c r="A137" s="136">
        <f t="shared" si="11"/>
        <v>124</v>
      </c>
      <c r="B137" s="137">
        <v>3856</v>
      </c>
      <c r="C137" s="137">
        <v>67</v>
      </c>
      <c r="D137" s="138" t="s">
        <v>50</v>
      </c>
      <c r="E137" s="280" t="s">
        <v>111</v>
      </c>
      <c r="F137" s="238">
        <v>1970</v>
      </c>
      <c r="G137" s="139">
        <v>0</v>
      </c>
      <c r="H137" s="140">
        <v>0</v>
      </c>
      <c r="I137" s="141">
        <v>0</v>
      </c>
      <c r="J137" s="142">
        <f t="shared" si="16"/>
        <v>0</v>
      </c>
      <c r="K137" s="142">
        <f t="shared" si="17"/>
        <v>0</v>
      </c>
      <c r="L137" s="143"/>
      <c r="M137" s="144"/>
    </row>
    <row r="138" spans="1:13" ht="30" hidden="1">
      <c r="A138" s="108">
        <f t="shared" si="11"/>
        <v>125</v>
      </c>
      <c r="B138" s="341">
        <v>3856</v>
      </c>
      <c r="C138" s="341">
        <v>68</v>
      </c>
      <c r="D138" s="188" t="s">
        <v>176</v>
      </c>
      <c r="E138" s="279" t="s">
        <v>107</v>
      </c>
      <c r="F138" s="125">
        <v>1984</v>
      </c>
      <c r="G138" s="107">
        <v>100</v>
      </c>
      <c r="H138" s="109">
        <v>0</v>
      </c>
      <c r="I138" s="110">
        <v>0</v>
      </c>
      <c r="J138" s="121">
        <f t="shared" si="16"/>
        <v>0</v>
      </c>
      <c r="K138" s="121">
        <f t="shared" si="17"/>
        <v>0</v>
      </c>
      <c r="L138" s="111"/>
      <c r="M138" s="103"/>
    </row>
    <row r="139" spans="1:13" ht="15" hidden="1">
      <c r="A139" s="108">
        <f t="shared" si="11"/>
        <v>126</v>
      </c>
      <c r="B139" s="341">
        <v>3856</v>
      </c>
      <c r="C139" s="341">
        <v>69</v>
      </c>
      <c r="D139" s="106" t="s">
        <v>38</v>
      </c>
      <c r="E139" s="279" t="s">
        <v>109</v>
      </c>
      <c r="F139" s="125">
        <v>1980</v>
      </c>
      <c r="G139" s="107">
        <v>4114</v>
      </c>
      <c r="H139" s="109">
        <v>716</v>
      </c>
      <c r="I139" s="110">
        <v>716</v>
      </c>
      <c r="J139" s="121">
        <f t="shared" si="16"/>
        <v>0</v>
      </c>
      <c r="K139" s="121">
        <f t="shared" si="17"/>
        <v>0</v>
      </c>
      <c r="L139" s="111"/>
      <c r="M139" s="103"/>
    </row>
    <row r="140" spans="1:13" ht="15" hidden="1">
      <c r="A140" s="108">
        <f>A138+1</f>
        <v>126</v>
      </c>
      <c r="B140" s="341">
        <v>3856</v>
      </c>
      <c r="C140" s="341">
        <v>70</v>
      </c>
      <c r="D140" s="106" t="s">
        <v>123</v>
      </c>
      <c r="E140" s="279" t="s">
        <v>109</v>
      </c>
      <c r="F140" s="125">
        <v>1980</v>
      </c>
      <c r="G140" s="107">
        <v>147</v>
      </c>
      <c r="H140" s="109">
        <v>49</v>
      </c>
      <c r="I140" s="110">
        <v>49</v>
      </c>
      <c r="J140" s="121">
        <f t="shared" si="16"/>
        <v>0</v>
      </c>
      <c r="K140" s="121">
        <f t="shared" si="17"/>
        <v>0</v>
      </c>
      <c r="L140" s="111"/>
      <c r="M140" s="103"/>
    </row>
    <row r="141" spans="1:13" ht="30" hidden="1">
      <c r="A141" s="108">
        <f t="shared" ref="A141:A144" si="18">A139+1</f>
        <v>127</v>
      </c>
      <c r="B141" s="341"/>
      <c r="C141" s="341"/>
      <c r="D141" s="188" t="s">
        <v>171</v>
      </c>
      <c r="E141" s="279"/>
      <c r="F141" s="125"/>
      <c r="G141" s="107"/>
      <c r="H141" s="109"/>
      <c r="I141" s="110"/>
      <c r="J141" s="121"/>
      <c r="K141" s="121"/>
      <c r="L141" s="111"/>
      <c r="M141" s="103"/>
    </row>
    <row r="142" spans="1:13" ht="30" hidden="1">
      <c r="A142" s="108">
        <f t="shared" si="18"/>
        <v>127</v>
      </c>
      <c r="B142" s="341"/>
      <c r="C142" s="341"/>
      <c r="D142" s="188" t="s">
        <v>173</v>
      </c>
      <c r="E142" s="279"/>
      <c r="F142" s="125"/>
      <c r="G142" s="107"/>
      <c r="H142" s="109"/>
      <c r="I142" s="110"/>
      <c r="J142" s="121"/>
      <c r="K142" s="121"/>
      <c r="L142" s="111"/>
      <c r="M142" s="103"/>
    </row>
    <row r="143" spans="1:13" ht="30" hidden="1">
      <c r="A143" s="108">
        <f t="shared" si="18"/>
        <v>128</v>
      </c>
      <c r="B143" s="341"/>
      <c r="C143" s="341"/>
      <c r="D143" s="188" t="s">
        <v>172</v>
      </c>
      <c r="E143" s="279"/>
      <c r="F143" s="125"/>
      <c r="G143" s="107"/>
      <c r="H143" s="109"/>
      <c r="I143" s="110"/>
      <c r="J143" s="121"/>
      <c r="K143" s="121"/>
      <c r="L143" s="111"/>
      <c r="M143" s="103"/>
    </row>
    <row r="144" spans="1:13" ht="30" hidden="1">
      <c r="A144" s="108">
        <f t="shared" si="18"/>
        <v>128</v>
      </c>
      <c r="B144" s="341"/>
      <c r="C144" s="341"/>
      <c r="D144" s="188" t="s">
        <v>174</v>
      </c>
      <c r="E144" s="279"/>
      <c r="F144" s="125"/>
      <c r="G144" s="107"/>
      <c r="H144" s="109"/>
      <c r="I144" s="110"/>
      <c r="J144" s="121"/>
      <c r="K144" s="121"/>
      <c r="L144" s="111"/>
      <c r="M144" s="103"/>
    </row>
    <row r="145" spans="1:13" ht="16.5" hidden="1" thickBot="1">
      <c r="A145" s="458" t="s">
        <v>122</v>
      </c>
      <c r="B145" s="459"/>
      <c r="C145" s="459"/>
      <c r="D145" s="460"/>
      <c r="E145" s="281"/>
      <c r="F145" s="145"/>
      <c r="G145" s="146">
        <f>SUM(G116:G144)</f>
        <v>46195.16</v>
      </c>
      <c r="H145" s="147">
        <f>SUM(H116:H144)</f>
        <v>8097.67</v>
      </c>
      <c r="I145" s="147">
        <f>SUM(I116:I144)</f>
        <v>7250.07</v>
      </c>
      <c r="J145" s="147">
        <f>SUM(J116:J144)</f>
        <v>0</v>
      </c>
      <c r="K145" s="147"/>
      <c r="L145" s="146">
        <f t="shared" ref="L145:M145" si="19">SUM(L116:L144)</f>
        <v>6134.21</v>
      </c>
      <c r="M145" s="148">
        <f t="shared" si="19"/>
        <v>4639.66</v>
      </c>
    </row>
    <row r="146" spans="1:13" ht="16.5" hidden="1" thickBot="1">
      <c r="A146" s="566" t="s">
        <v>178</v>
      </c>
      <c r="B146" s="567"/>
      <c r="C146" s="567"/>
      <c r="D146" s="568"/>
      <c r="E146" s="278"/>
      <c r="F146" s="257"/>
      <c r="G146" s="258"/>
      <c r="H146" s="259"/>
      <c r="I146" s="259"/>
      <c r="J146" s="258"/>
      <c r="K146" s="258"/>
      <c r="L146" s="258"/>
      <c r="M146" s="260"/>
    </row>
    <row r="147" spans="1:13" ht="45" hidden="1">
      <c r="A147" s="149">
        <f>A144+1</f>
        <v>129</v>
      </c>
      <c r="B147" s="151" t="s">
        <v>113</v>
      </c>
      <c r="C147" s="339">
        <v>1</v>
      </c>
      <c r="D147" s="129" t="s">
        <v>89</v>
      </c>
      <c r="E147" s="282" t="s">
        <v>109</v>
      </c>
      <c r="F147" s="237">
        <v>1937</v>
      </c>
      <c r="G147" s="121">
        <v>34085</v>
      </c>
      <c r="H147" s="93">
        <v>5301.15</v>
      </c>
      <c r="I147" s="93">
        <v>3637.9</v>
      </c>
      <c r="J147" s="92">
        <f>AC147</f>
        <v>0</v>
      </c>
      <c r="K147" s="92">
        <f>AD147+AE147</f>
        <v>0</v>
      </c>
      <c r="L147" s="92">
        <v>2873.62</v>
      </c>
      <c r="M147" s="96">
        <v>1788.43</v>
      </c>
    </row>
    <row r="148" spans="1:13" ht="45" hidden="1">
      <c r="A148" s="89">
        <f>A147+1</f>
        <v>130</v>
      </c>
      <c r="B148" s="151" t="s">
        <v>113</v>
      </c>
      <c r="C148" s="90">
        <v>2</v>
      </c>
      <c r="D148" s="91" t="s">
        <v>91</v>
      </c>
      <c r="E148" s="283" t="s">
        <v>109</v>
      </c>
      <c r="F148" s="235">
        <v>1937</v>
      </c>
      <c r="G148" s="104">
        <v>2537.2800000000002</v>
      </c>
      <c r="H148" s="126">
        <v>513.27</v>
      </c>
      <c r="I148" s="126">
        <v>411.52</v>
      </c>
      <c r="J148" s="92">
        <f>AC148</f>
        <v>0</v>
      </c>
      <c r="K148" s="92">
        <f>AD148+AE148</f>
        <v>0</v>
      </c>
      <c r="L148" s="104">
        <v>566.94000000000005</v>
      </c>
      <c r="M148" s="105">
        <v>380.74</v>
      </c>
    </row>
    <row r="149" spans="1:13" ht="45" hidden="1">
      <c r="A149" s="89">
        <f t="shared" ref="A149:A154" si="20">A148+1</f>
        <v>131</v>
      </c>
      <c r="B149" s="151" t="s">
        <v>113</v>
      </c>
      <c r="C149" s="90">
        <v>3</v>
      </c>
      <c r="D149" s="91" t="s">
        <v>80</v>
      </c>
      <c r="E149" s="283" t="s">
        <v>107</v>
      </c>
      <c r="F149" s="235">
        <v>1955</v>
      </c>
      <c r="G149" s="104">
        <v>88</v>
      </c>
      <c r="H149" s="126">
        <v>35</v>
      </c>
      <c r="I149" s="126">
        <v>35</v>
      </c>
      <c r="J149" s="92">
        <f>AC149</f>
        <v>0</v>
      </c>
      <c r="K149" s="92">
        <f>AD149+AE149</f>
        <v>0</v>
      </c>
      <c r="L149" s="104">
        <v>35</v>
      </c>
      <c r="M149" s="105">
        <v>35</v>
      </c>
    </row>
    <row r="150" spans="1:13" ht="45" hidden="1">
      <c r="A150" s="89">
        <f t="shared" si="20"/>
        <v>132</v>
      </c>
      <c r="B150" s="224" t="s">
        <v>113</v>
      </c>
      <c r="C150" s="90">
        <v>4</v>
      </c>
      <c r="D150" s="91" t="s">
        <v>79</v>
      </c>
      <c r="E150" s="283" t="s">
        <v>107</v>
      </c>
      <c r="F150" s="235">
        <v>1936</v>
      </c>
      <c r="G150" s="104">
        <v>26.86</v>
      </c>
      <c r="H150" s="126">
        <v>3.08</v>
      </c>
      <c r="I150" s="126">
        <v>3.08</v>
      </c>
      <c r="J150" s="104">
        <f>AC150</f>
        <v>0</v>
      </c>
      <c r="K150" s="104">
        <f>AD150+AE150</f>
        <v>0</v>
      </c>
      <c r="L150" s="104">
        <v>12.21</v>
      </c>
      <c r="M150" s="105">
        <v>12.21</v>
      </c>
    </row>
    <row r="151" spans="1:13" ht="45" hidden="1">
      <c r="A151" s="89">
        <f t="shared" si="20"/>
        <v>133</v>
      </c>
      <c r="B151" s="224" t="s">
        <v>113</v>
      </c>
      <c r="C151" s="90"/>
      <c r="D151" s="91" t="s">
        <v>163</v>
      </c>
      <c r="E151" s="283"/>
      <c r="F151" s="239"/>
      <c r="G151" s="126"/>
      <c r="H151" s="126"/>
      <c r="I151" s="126"/>
      <c r="J151" s="126"/>
      <c r="K151" s="126"/>
      <c r="L151" s="126"/>
      <c r="M151" s="126"/>
    </row>
    <row r="152" spans="1:13" ht="45" hidden="1">
      <c r="A152" s="89">
        <f t="shared" si="20"/>
        <v>134</v>
      </c>
      <c r="B152" s="224" t="s">
        <v>113</v>
      </c>
      <c r="C152" s="90"/>
      <c r="D152" s="91" t="s">
        <v>166</v>
      </c>
      <c r="E152" s="283"/>
      <c r="F152" s="239"/>
      <c r="G152" s="126"/>
      <c r="H152" s="126"/>
      <c r="I152" s="126"/>
      <c r="J152" s="126"/>
      <c r="K152" s="126"/>
      <c r="L152" s="126"/>
      <c r="M152" s="126"/>
    </row>
    <row r="153" spans="1:13" ht="45" hidden="1">
      <c r="A153" s="89">
        <f t="shared" si="20"/>
        <v>135</v>
      </c>
      <c r="B153" s="224" t="s">
        <v>113</v>
      </c>
      <c r="C153" s="90"/>
      <c r="D153" s="91" t="s">
        <v>167</v>
      </c>
      <c r="E153" s="283"/>
      <c r="F153" s="239"/>
      <c r="G153" s="126"/>
      <c r="H153" s="126"/>
      <c r="I153" s="126"/>
      <c r="J153" s="126"/>
      <c r="K153" s="126"/>
      <c r="L153" s="126"/>
      <c r="M153" s="126"/>
    </row>
    <row r="154" spans="1:13" ht="45" hidden="1">
      <c r="A154" s="89">
        <f t="shared" si="20"/>
        <v>136</v>
      </c>
      <c r="B154" s="224" t="s">
        <v>113</v>
      </c>
      <c r="C154" s="90"/>
      <c r="D154" s="91" t="s">
        <v>168</v>
      </c>
      <c r="E154" s="283"/>
      <c r="F154" s="239"/>
      <c r="G154" s="126"/>
      <c r="H154" s="126"/>
      <c r="I154" s="126"/>
      <c r="J154" s="126"/>
      <c r="K154" s="126"/>
      <c r="L154" s="126"/>
      <c r="M154" s="126"/>
    </row>
    <row r="155" spans="1:13" ht="16.5" hidden="1" thickBot="1">
      <c r="A155" s="455" t="s">
        <v>90</v>
      </c>
      <c r="B155" s="456"/>
      <c r="C155" s="456"/>
      <c r="D155" s="457"/>
      <c r="E155" s="284"/>
      <c r="F155" s="150"/>
      <c r="G155" s="225">
        <f>SUM(G147:G154)</f>
        <v>36737.14</v>
      </c>
      <c r="H155" s="225">
        <f t="shared" ref="H155:M155" si="21">SUM(H147:H154)</f>
        <v>5852.5</v>
      </c>
      <c r="I155" s="225">
        <f t="shared" si="21"/>
        <v>4087.5</v>
      </c>
      <c r="J155" s="225">
        <f t="shared" si="21"/>
        <v>0</v>
      </c>
      <c r="K155" s="225">
        <f t="shared" si="21"/>
        <v>0</v>
      </c>
      <c r="L155" s="225">
        <f t="shared" si="21"/>
        <v>3487.77</v>
      </c>
      <c r="M155" s="226">
        <f t="shared" si="21"/>
        <v>2216.38</v>
      </c>
    </row>
    <row r="156" spans="1:13" ht="18.75" hidden="1" thickBot="1">
      <c r="A156" s="240"/>
      <c r="B156" s="447" t="s">
        <v>184</v>
      </c>
      <c r="C156" s="448"/>
      <c r="D156" s="448"/>
      <c r="E156" s="448"/>
      <c r="F156" s="449"/>
      <c r="G156" s="191">
        <f>G112+G145+G155+G114</f>
        <v>445024.49</v>
      </c>
      <c r="H156" s="191">
        <f t="shared" ref="H156:M156" si="22">H112+H145+H155+H114</f>
        <v>52899.57</v>
      </c>
      <c r="I156" s="191">
        <f t="shared" si="22"/>
        <v>49312.75</v>
      </c>
      <c r="J156" s="191">
        <f t="shared" si="22"/>
        <v>101.8</v>
      </c>
      <c r="K156" s="191">
        <f t="shared" si="22"/>
        <v>1172.4499999999998</v>
      </c>
      <c r="L156" s="191">
        <f t="shared" si="22"/>
        <v>45626.189999999988</v>
      </c>
      <c r="M156" s="191">
        <f t="shared" si="22"/>
        <v>41535.950000000012</v>
      </c>
    </row>
    <row r="157" spans="1:13" ht="15">
      <c r="E157" s="356"/>
      <c r="F157" s="356"/>
      <c r="G157" s="356"/>
      <c r="H157" s="356"/>
      <c r="I157" s="356"/>
      <c r="J157" s="356"/>
      <c r="K157" s="356"/>
      <c r="L157" s="356"/>
      <c r="M157" s="356"/>
    </row>
    <row r="158" spans="1:13" ht="15">
      <c r="E158" s="356"/>
    </row>
  </sheetData>
  <mergeCells count="21">
    <mergeCell ref="A2:M2"/>
    <mergeCell ref="L4:L9"/>
    <mergeCell ref="M4:M9"/>
    <mergeCell ref="F4:F9"/>
    <mergeCell ref="G4:G9"/>
    <mergeCell ref="H4:H9"/>
    <mergeCell ref="I4:I9"/>
    <mergeCell ref="J4:J9"/>
    <mergeCell ref="K4:K9"/>
    <mergeCell ref="A4:A9"/>
    <mergeCell ref="B4:B9"/>
    <mergeCell ref="C4:C9"/>
    <mergeCell ref="D4:D9"/>
    <mergeCell ref="E4:E9"/>
    <mergeCell ref="A155:D155"/>
    <mergeCell ref="B156:F156"/>
    <mergeCell ref="A145:D145"/>
    <mergeCell ref="A146:D146"/>
    <mergeCell ref="A112:D112"/>
    <mergeCell ref="A114:D114"/>
    <mergeCell ref="A115:D115"/>
  </mergeCells>
  <pageMargins left="0.25" right="0.25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5"/>
  <sheetViews>
    <sheetView workbookViewId="0">
      <selection activeCell="N6" sqref="N6"/>
    </sheetView>
  </sheetViews>
  <sheetFormatPr defaultRowHeight="14.25"/>
  <cols>
    <col min="1" max="1" width="6.5" customWidth="1"/>
    <col min="2" max="2" width="12.125" customWidth="1"/>
    <col min="3" max="3" width="6.75" customWidth="1"/>
    <col min="4" max="4" width="32.125" customWidth="1"/>
    <col min="5" max="5" width="10" customWidth="1"/>
    <col min="6" max="6" width="12.125" hidden="1" customWidth="1"/>
    <col min="7" max="7" width="10.375" hidden="1" customWidth="1"/>
    <col min="8" max="13" width="9" hidden="1" customWidth="1"/>
    <col min="20" max="20" width="15" customWidth="1"/>
  </cols>
  <sheetData>
    <row r="2" spans="1:13" ht="20.25">
      <c r="A2" s="587" t="s">
        <v>197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</row>
    <row r="3" spans="1:13" ht="15" thickBot="1"/>
    <row r="4" spans="1:13" ht="20.25" customHeight="1">
      <c r="A4" s="498" t="s">
        <v>25</v>
      </c>
      <c r="B4" s="499" t="s">
        <v>26</v>
      </c>
      <c r="C4" s="502" t="s">
        <v>24</v>
      </c>
      <c r="D4" s="505" t="s">
        <v>23</v>
      </c>
      <c r="E4" s="569" t="s">
        <v>97</v>
      </c>
      <c r="F4" s="508" t="s">
        <v>69</v>
      </c>
      <c r="G4" s="511" t="s">
        <v>83</v>
      </c>
      <c r="H4" s="514" t="s">
        <v>81</v>
      </c>
      <c r="I4" s="517" t="s">
        <v>82</v>
      </c>
      <c r="J4" s="554" t="s">
        <v>85</v>
      </c>
      <c r="K4" s="514" t="s">
        <v>96</v>
      </c>
      <c r="L4" s="557" t="s">
        <v>86</v>
      </c>
      <c r="M4" s="588" t="s">
        <v>84</v>
      </c>
    </row>
    <row r="5" spans="1:13">
      <c r="A5" s="496"/>
      <c r="B5" s="500"/>
      <c r="C5" s="503"/>
      <c r="D5" s="506"/>
      <c r="E5" s="570"/>
      <c r="F5" s="509"/>
      <c r="G5" s="512"/>
      <c r="H5" s="515"/>
      <c r="I5" s="518"/>
      <c r="J5" s="555"/>
      <c r="K5" s="515"/>
      <c r="L5" s="558"/>
      <c r="M5" s="589"/>
    </row>
    <row r="6" spans="1:13">
      <c r="A6" s="496"/>
      <c r="B6" s="500"/>
      <c r="C6" s="503"/>
      <c r="D6" s="506"/>
      <c r="E6" s="570"/>
      <c r="F6" s="509"/>
      <c r="G6" s="512"/>
      <c r="H6" s="515"/>
      <c r="I6" s="518"/>
      <c r="J6" s="555"/>
      <c r="K6" s="515"/>
      <c r="L6" s="558"/>
      <c r="M6" s="589"/>
    </row>
    <row r="7" spans="1:13">
      <c r="A7" s="496"/>
      <c r="B7" s="500"/>
      <c r="C7" s="503"/>
      <c r="D7" s="506"/>
      <c r="E7" s="570"/>
      <c r="F7" s="509"/>
      <c r="G7" s="512"/>
      <c r="H7" s="515"/>
      <c r="I7" s="518"/>
      <c r="J7" s="555"/>
      <c r="K7" s="515"/>
      <c r="L7" s="558"/>
      <c r="M7" s="589"/>
    </row>
    <row r="8" spans="1:13">
      <c r="A8" s="496"/>
      <c r="B8" s="500"/>
      <c r="C8" s="503"/>
      <c r="D8" s="506"/>
      <c r="E8" s="570"/>
      <c r="F8" s="509"/>
      <c r="G8" s="512"/>
      <c r="H8" s="515"/>
      <c r="I8" s="518"/>
      <c r="J8" s="555"/>
      <c r="K8" s="515"/>
      <c r="L8" s="558"/>
      <c r="M8" s="589"/>
    </row>
    <row r="9" spans="1:13" ht="15" thickBot="1">
      <c r="A9" s="497"/>
      <c r="B9" s="501"/>
      <c r="C9" s="504"/>
      <c r="D9" s="507"/>
      <c r="E9" s="570"/>
      <c r="F9" s="510"/>
      <c r="G9" s="513"/>
      <c r="H9" s="516"/>
      <c r="I9" s="519"/>
      <c r="J9" s="556"/>
      <c r="K9" s="516"/>
      <c r="L9" s="559"/>
      <c r="M9" s="590"/>
    </row>
    <row r="10" spans="1:13" ht="15.75">
      <c r="A10" s="79" t="s">
        <v>92</v>
      </c>
      <c r="B10" s="80"/>
      <c r="C10" s="80"/>
      <c r="D10" s="81"/>
      <c r="E10" s="271"/>
      <c r="F10" s="82"/>
      <c r="G10" s="80"/>
      <c r="H10" s="80"/>
      <c r="I10" s="82"/>
      <c r="J10" s="84"/>
      <c r="K10" s="83"/>
      <c r="L10" s="84"/>
      <c r="M10" s="84"/>
    </row>
    <row r="11" spans="1:13" ht="15">
      <c r="A11" s="175">
        <v>1</v>
      </c>
      <c r="B11" s="357">
        <v>2845</v>
      </c>
      <c r="C11" s="176">
        <v>1</v>
      </c>
      <c r="D11" s="177" t="s">
        <v>136</v>
      </c>
      <c r="E11" s="273" t="s">
        <v>109</v>
      </c>
      <c r="F11" s="123" t="s">
        <v>135</v>
      </c>
      <c r="G11" s="107">
        <v>15431</v>
      </c>
      <c r="H11" s="358">
        <v>4548.3999999999996</v>
      </c>
      <c r="I11" s="123">
        <v>3393.8</v>
      </c>
      <c r="J11" s="134">
        <v>100.8</v>
      </c>
      <c r="K11" s="178">
        <v>915.8</v>
      </c>
      <c r="L11" s="317"/>
      <c r="M11" s="124">
        <v>1059.8</v>
      </c>
    </row>
    <row r="12" spans="1:13" ht="15">
      <c r="A12" s="89">
        <v>2</v>
      </c>
      <c r="B12" s="90">
        <v>2845</v>
      </c>
      <c r="C12" s="90">
        <v>2</v>
      </c>
      <c r="D12" s="91" t="s">
        <v>27</v>
      </c>
      <c r="E12" s="273" t="s">
        <v>109</v>
      </c>
      <c r="F12" s="125">
        <v>1932</v>
      </c>
      <c r="G12" s="121">
        <v>14730.29</v>
      </c>
      <c r="H12" s="119">
        <f t="shared" ref="H12:I18" si="0">AH12</f>
        <v>0</v>
      </c>
      <c r="I12" s="120">
        <f t="shared" si="0"/>
        <v>0</v>
      </c>
      <c r="J12" s="121">
        <f t="shared" ref="J12:J19" si="1">AC12</f>
        <v>0</v>
      </c>
      <c r="K12" s="121">
        <f t="shared" ref="K12:K19" si="2">AD12+AE12</f>
        <v>0</v>
      </c>
      <c r="L12" s="122">
        <v>1228</v>
      </c>
      <c r="M12" s="346">
        <v>879.42</v>
      </c>
    </row>
    <row r="13" spans="1:13" ht="15">
      <c r="A13" s="108">
        <f t="shared" ref="A13:A76" si="3">A12+1</f>
        <v>3</v>
      </c>
      <c r="B13" s="358">
        <v>2845</v>
      </c>
      <c r="C13" s="358">
        <v>3</v>
      </c>
      <c r="D13" s="106" t="s">
        <v>28</v>
      </c>
      <c r="E13" s="273" t="s">
        <v>109</v>
      </c>
      <c r="F13" s="125">
        <v>1932</v>
      </c>
      <c r="G13" s="107">
        <v>14316.06</v>
      </c>
      <c r="H13" s="119">
        <f t="shared" si="0"/>
        <v>0</v>
      </c>
      <c r="I13" s="120">
        <f t="shared" si="0"/>
        <v>0</v>
      </c>
      <c r="J13" s="121">
        <f t="shared" si="1"/>
        <v>0</v>
      </c>
      <c r="K13" s="121">
        <f t="shared" si="2"/>
        <v>0</v>
      </c>
      <c r="L13" s="122">
        <v>1267.94</v>
      </c>
      <c r="M13" s="157">
        <v>939.4</v>
      </c>
    </row>
    <row r="14" spans="1:13" ht="15">
      <c r="A14" s="89">
        <f t="shared" si="3"/>
        <v>4</v>
      </c>
      <c r="B14" s="90">
        <v>2845</v>
      </c>
      <c r="C14" s="90">
        <v>4</v>
      </c>
      <c r="D14" s="91" t="s">
        <v>29</v>
      </c>
      <c r="E14" s="273" t="s">
        <v>109</v>
      </c>
      <c r="F14" s="235">
        <v>1912</v>
      </c>
      <c r="G14" s="104">
        <v>2455.06</v>
      </c>
      <c r="H14" s="93">
        <f t="shared" si="0"/>
        <v>0</v>
      </c>
      <c r="I14" s="94">
        <f t="shared" si="0"/>
        <v>0</v>
      </c>
      <c r="J14" s="92">
        <f t="shared" si="1"/>
        <v>0</v>
      </c>
      <c r="K14" s="92">
        <f t="shared" si="2"/>
        <v>0</v>
      </c>
      <c r="L14" s="95">
        <v>408.62</v>
      </c>
      <c r="M14" s="345">
        <v>342.83</v>
      </c>
    </row>
    <row r="15" spans="1:13" ht="15">
      <c r="A15" s="89">
        <f t="shared" si="3"/>
        <v>5</v>
      </c>
      <c r="B15" s="358">
        <v>2845</v>
      </c>
      <c r="C15" s="358">
        <v>6</v>
      </c>
      <c r="D15" s="106" t="s">
        <v>30</v>
      </c>
      <c r="E15" s="273" t="s">
        <v>109</v>
      </c>
      <c r="F15" s="125">
        <v>1932</v>
      </c>
      <c r="G15" s="107">
        <v>8835.6</v>
      </c>
      <c r="H15" s="93">
        <f t="shared" si="0"/>
        <v>0</v>
      </c>
      <c r="I15" s="94">
        <f t="shared" si="0"/>
        <v>0</v>
      </c>
      <c r="J15" s="92">
        <f t="shared" si="1"/>
        <v>0</v>
      </c>
      <c r="K15" s="92">
        <f t="shared" si="2"/>
        <v>0</v>
      </c>
      <c r="L15" s="95">
        <v>872.81</v>
      </c>
      <c r="M15" s="157">
        <v>637.88</v>
      </c>
    </row>
    <row r="16" spans="1:13" ht="15">
      <c r="A16" s="89">
        <f t="shared" si="3"/>
        <v>6</v>
      </c>
      <c r="B16" s="90">
        <v>2845</v>
      </c>
      <c r="C16" s="90">
        <v>7</v>
      </c>
      <c r="D16" s="91" t="s">
        <v>32</v>
      </c>
      <c r="E16" s="273" t="s">
        <v>109</v>
      </c>
      <c r="F16" s="235">
        <v>1932</v>
      </c>
      <c r="G16" s="104">
        <v>10349.5</v>
      </c>
      <c r="H16" s="93">
        <f t="shared" si="0"/>
        <v>0</v>
      </c>
      <c r="I16" s="94">
        <f t="shared" si="0"/>
        <v>0</v>
      </c>
      <c r="J16" s="92">
        <f t="shared" si="1"/>
        <v>0</v>
      </c>
      <c r="K16" s="92">
        <f t="shared" si="2"/>
        <v>0</v>
      </c>
      <c r="L16" s="95">
        <v>976.46</v>
      </c>
      <c r="M16" s="345">
        <v>741.9</v>
      </c>
    </row>
    <row r="17" spans="1:13" ht="18.75" customHeight="1">
      <c r="A17" s="400">
        <f t="shared" si="3"/>
        <v>7</v>
      </c>
      <c r="B17" s="198">
        <v>2845</v>
      </c>
      <c r="C17" s="198">
        <v>8</v>
      </c>
      <c r="D17" s="312" t="s">
        <v>32</v>
      </c>
      <c r="E17" s="401" t="s">
        <v>109</v>
      </c>
      <c r="F17" s="402" t="s">
        <v>191</v>
      </c>
      <c r="G17" s="403">
        <v>13065.15</v>
      </c>
      <c r="H17" s="404">
        <f t="shared" si="0"/>
        <v>0</v>
      </c>
      <c r="I17" s="405">
        <f t="shared" si="0"/>
        <v>0</v>
      </c>
      <c r="J17" s="406">
        <f t="shared" si="1"/>
        <v>0</v>
      </c>
      <c r="K17" s="406">
        <f t="shared" si="2"/>
        <v>0</v>
      </c>
      <c r="L17" s="407">
        <v>1227.52</v>
      </c>
      <c r="M17" s="408">
        <v>878.85</v>
      </c>
    </row>
    <row r="18" spans="1:13" ht="15">
      <c r="A18" s="89">
        <f t="shared" si="3"/>
        <v>8</v>
      </c>
      <c r="B18" s="90">
        <v>2845</v>
      </c>
      <c r="C18" s="90">
        <v>9</v>
      </c>
      <c r="D18" s="91" t="s">
        <v>33</v>
      </c>
      <c r="E18" s="273" t="s">
        <v>109</v>
      </c>
      <c r="F18" s="235">
        <v>1932</v>
      </c>
      <c r="G18" s="104">
        <v>13967.58</v>
      </c>
      <c r="H18" s="93">
        <f t="shared" si="0"/>
        <v>0</v>
      </c>
      <c r="I18" s="94">
        <f t="shared" si="0"/>
        <v>0</v>
      </c>
      <c r="J18" s="92">
        <f t="shared" si="1"/>
        <v>0</v>
      </c>
      <c r="K18" s="92">
        <f t="shared" si="2"/>
        <v>0</v>
      </c>
      <c r="L18" s="95">
        <v>1254.94</v>
      </c>
      <c r="M18" s="345">
        <v>892.21</v>
      </c>
    </row>
    <row r="19" spans="1:13" ht="15">
      <c r="A19" s="89">
        <f t="shared" si="3"/>
        <v>9</v>
      </c>
      <c r="B19" s="90">
        <v>2845</v>
      </c>
      <c r="C19" s="90">
        <v>10</v>
      </c>
      <c r="D19" s="91" t="s">
        <v>33</v>
      </c>
      <c r="E19" s="273" t="s">
        <v>109</v>
      </c>
      <c r="F19" s="235">
        <v>1932</v>
      </c>
      <c r="G19" s="104">
        <v>15094.19</v>
      </c>
      <c r="H19" s="93">
        <v>3346</v>
      </c>
      <c r="I19" s="94">
        <f>AI19</f>
        <v>0</v>
      </c>
      <c r="J19" s="92">
        <f t="shared" si="1"/>
        <v>0</v>
      </c>
      <c r="K19" s="92">
        <f t="shared" si="2"/>
        <v>0</v>
      </c>
      <c r="L19" s="95">
        <v>1227.06</v>
      </c>
      <c r="M19" s="345">
        <v>890.25</v>
      </c>
    </row>
    <row r="20" spans="1:13" ht="15">
      <c r="A20" s="108">
        <f t="shared" si="3"/>
        <v>10</v>
      </c>
      <c r="B20" s="358">
        <v>2845</v>
      </c>
      <c r="C20" s="358">
        <v>11</v>
      </c>
      <c r="D20" s="106" t="s">
        <v>129</v>
      </c>
      <c r="E20" s="274" t="s">
        <v>109</v>
      </c>
      <c r="F20" s="125" t="s">
        <v>130</v>
      </c>
      <c r="G20" s="107">
        <v>6395</v>
      </c>
      <c r="H20" s="119">
        <v>1164</v>
      </c>
      <c r="I20" s="120">
        <v>886</v>
      </c>
      <c r="J20" s="121"/>
      <c r="K20" s="121">
        <v>256.64999999999998</v>
      </c>
      <c r="L20" s="122">
        <v>989.86</v>
      </c>
      <c r="M20" s="157">
        <v>975.33</v>
      </c>
    </row>
    <row r="21" spans="1:13" ht="15">
      <c r="A21" s="89">
        <f t="shared" si="3"/>
        <v>11</v>
      </c>
      <c r="B21" s="90">
        <v>2845</v>
      </c>
      <c r="C21" s="90">
        <v>12</v>
      </c>
      <c r="D21" s="91" t="s">
        <v>34</v>
      </c>
      <c r="E21" s="273" t="s">
        <v>109</v>
      </c>
      <c r="F21" s="235">
        <v>1932</v>
      </c>
      <c r="G21" s="104">
        <v>9252.14</v>
      </c>
      <c r="H21" s="93">
        <f t="shared" ref="H21:I23" si="4">AH21</f>
        <v>0</v>
      </c>
      <c r="I21" s="94">
        <f t="shared" si="4"/>
        <v>0</v>
      </c>
      <c r="J21" s="92">
        <f t="shared" ref="J21:J84" si="5">AC21</f>
        <v>0</v>
      </c>
      <c r="K21" s="92">
        <f t="shared" ref="K21:K84" si="6">AD21+AE21</f>
        <v>0</v>
      </c>
      <c r="L21" s="95">
        <v>1671.52</v>
      </c>
      <c r="M21" s="345">
        <v>1579</v>
      </c>
    </row>
    <row r="22" spans="1:13" ht="15">
      <c r="A22" s="89">
        <f t="shared" si="3"/>
        <v>12</v>
      </c>
      <c r="B22" s="90">
        <v>2845</v>
      </c>
      <c r="C22" s="90">
        <v>13</v>
      </c>
      <c r="D22" s="91" t="s">
        <v>35</v>
      </c>
      <c r="E22" s="273" t="s">
        <v>109</v>
      </c>
      <c r="F22" s="235" t="s">
        <v>59</v>
      </c>
      <c r="G22" s="104">
        <v>6692.93</v>
      </c>
      <c r="H22" s="93">
        <f t="shared" si="4"/>
        <v>0</v>
      </c>
      <c r="I22" s="94">
        <f t="shared" si="4"/>
        <v>0</v>
      </c>
      <c r="J22" s="92">
        <f t="shared" si="5"/>
        <v>0</v>
      </c>
      <c r="K22" s="92">
        <f t="shared" si="6"/>
        <v>0</v>
      </c>
      <c r="L22" s="95">
        <v>1419.8</v>
      </c>
      <c r="M22" s="345">
        <v>1397.19</v>
      </c>
    </row>
    <row r="23" spans="1:13" ht="15">
      <c r="A23" s="89">
        <f t="shared" si="3"/>
        <v>13</v>
      </c>
      <c r="B23" s="90">
        <v>2845</v>
      </c>
      <c r="C23" s="90">
        <v>14</v>
      </c>
      <c r="D23" s="91" t="s">
        <v>35</v>
      </c>
      <c r="E23" s="273" t="s">
        <v>109</v>
      </c>
      <c r="F23" s="235">
        <v>1932</v>
      </c>
      <c r="G23" s="104">
        <v>2964.8</v>
      </c>
      <c r="H23" s="93">
        <f t="shared" si="4"/>
        <v>0</v>
      </c>
      <c r="I23" s="94">
        <f t="shared" si="4"/>
        <v>0</v>
      </c>
      <c r="J23" s="92">
        <f t="shared" si="5"/>
        <v>0</v>
      </c>
      <c r="K23" s="92">
        <f t="shared" si="6"/>
        <v>0</v>
      </c>
      <c r="L23" s="95">
        <v>675.97</v>
      </c>
      <c r="M23" s="345">
        <v>660.31</v>
      </c>
    </row>
    <row r="24" spans="1:13" ht="15">
      <c r="A24" s="108">
        <f t="shared" si="3"/>
        <v>14</v>
      </c>
      <c r="B24" s="358">
        <v>2845</v>
      </c>
      <c r="C24" s="358">
        <v>15</v>
      </c>
      <c r="D24" s="106" t="s">
        <v>35</v>
      </c>
      <c r="E24" s="273" t="s">
        <v>109</v>
      </c>
      <c r="F24" s="125" t="s">
        <v>88</v>
      </c>
      <c r="G24" s="107">
        <v>3740</v>
      </c>
      <c r="H24" s="109">
        <v>636</v>
      </c>
      <c r="I24" s="110">
        <v>376</v>
      </c>
      <c r="J24" s="92">
        <f t="shared" si="5"/>
        <v>0</v>
      </c>
      <c r="K24" s="92">
        <f t="shared" si="6"/>
        <v>0</v>
      </c>
      <c r="L24" s="111">
        <v>843</v>
      </c>
      <c r="M24" s="157">
        <v>819</v>
      </c>
    </row>
    <row r="25" spans="1:13" ht="15">
      <c r="A25" s="89">
        <f t="shared" si="3"/>
        <v>15</v>
      </c>
      <c r="B25" s="90">
        <v>2845</v>
      </c>
      <c r="C25" s="90">
        <v>16</v>
      </c>
      <c r="D25" s="91" t="s">
        <v>37</v>
      </c>
      <c r="E25" s="273" t="s">
        <v>109</v>
      </c>
      <c r="F25" s="235">
        <v>1932</v>
      </c>
      <c r="G25" s="104">
        <v>10389.24</v>
      </c>
      <c r="H25" s="93">
        <f>AH25</f>
        <v>0</v>
      </c>
      <c r="I25" s="94">
        <f>AI25</f>
        <v>0</v>
      </c>
      <c r="J25" s="92">
        <f t="shared" si="5"/>
        <v>0</v>
      </c>
      <c r="K25" s="92">
        <f t="shared" si="6"/>
        <v>0</v>
      </c>
      <c r="L25" s="95">
        <v>1763.82</v>
      </c>
      <c r="M25" s="345">
        <v>1706.33</v>
      </c>
    </row>
    <row r="26" spans="1:13" ht="21" customHeight="1">
      <c r="A26" s="108">
        <f t="shared" si="3"/>
        <v>16</v>
      </c>
      <c r="B26" s="358">
        <v>2845</v>
      </c>
      <c r="C26" s="358">
        <v>19</v>
      </c>
      <c r="D26" s="106" t="s">
        <v>35</v>
      </c>
      <c r="E26" s="273" t="s">
        <v>109</v>
      </c>
      <c r="F26" s="112" t="s">
        <v>88</v>
      </c>
      <c r="G26" s="113">
        <v>10119</v>
      </c>
      <c r="H26" s="114">
        <v>2394</v>
      </c>
      <c r="I26" s="115">
        <v>1786</v>
      </c>
      <c r="J26" s="92">
        <f t="shared" si="5"/>
        <v>0</v>
      </c>
      <c r="K26" s="92">
        <f t="shared" si="6"/>
        <v>0</v>
      </c>
      <c r="L26" s="116">
        <v>1498</v>
      </c>
      <c r="M26" s="348">
        <v>1441</v>
      </c>
    </row>
    <row r="27" spans="1:13" ht="31.5" customHeight="1">
      <c r="A27" s="97">
        <f t="shared" si="3"/>
        <v>17</v>
      </c>
      <c r="B27" s="87">
        <v>2845</v>
      </c>
      <c r="C27" s="87">
        <v>20</v>
      </c>
      <c r="D27" s="98" t="s">
        <v>36</v>
      </c>
      <c r="E27" s="272" t="s">
        <v>108</v>
      </c>
      <c r="F27" s="236">
        <v>1932</v>
      </c>
      <c r="G27" s="86">
        <v>644.17999999999995</v>
      </c>
      <c r="H27" s="99">
        <f t="shared" ref="H27:I42" si="7">AH27</f>
        <v>0</v>
      </c>
      <c r="I27" s="100">
        <f t="shared" si="7"/>
        <v>0</v>
      </c>
      <c r="J27" s="101">
        <f t="shared" si="5"/>
        <v>0</v>
      </c>
      <c r="K27" s="101">
        <f t="shared" si="6"/>
        <v>0</v>
      </c>
      <c r="L27" s="102">
        <v>157.54</v>
      </c>
      <c r="M27" s="347">
        <v>136.91</v>
      </c>
    </row>
    <row r="28" spans="1:13" ht="27.75" customHeight="1">
      <c r="A28" s="97">
        <f t="shared" si="3"/>
        <v>18</v>
      </c>
      <c r="B28" s="87">
        <v>2845</v>
      </c>
      <c r="C28" s="87">
        <v>21</v>
      </c>
      <c r="D28" s="98" t="s">
        <v>38</v>
      </c>
      <c r="E28" s="272" t="s">
        <v>108</v>
      </c>
      <c r="F28" s="236">
        <v>1932</v>
      </c>
      <c r="G28" s="86">
        <v>2513.17</v>
      </c>
      <c r="H28" s="99">
        <f t="shared" si="7"/>
        <v>0</v>
      </c>
      <c r="I28" s="100">
        <f t="shared" si="7"/>
        <v>0</v>
      </c>
      <c r="J28" s="101">
        <f t="shared" si="5"/>
        <v>0</v>
      </c>
      <c r="K28" s="101">
        <f t="shared" si="6"/>
        <v>0</v>
      </c>
      <c r="L28" s="102">
        <v>612.23</v>
      </c>
      <c r="M28" s="347">
        <v>413.35</v>
      </c>
    </row>
    <row r="29" spans="1:13" ht="15">
      <c r="A29" s="108">
        <f t="shared" si="3"/>
        <v>19</v>
      </c>
      <c r="B29" s="358">
        <v>2845</v>
      </c>
      <c r="C29" s="124">
        <v>35</v>
      </c>
      <c r="D29" s="106" t="s">
        <v>131</v>
      </c>
      <c r="E29" s="275" t="s">
        <v>133</v>
      </c>
      <c r="F29" s="125" t="s">
        <v>132</v>
      </c>
      <c r="G29" s="107">
        <v>2068.4699999999998</v>
      </c>
      <c r="H29" s="119">
        <f t="shared" si="7"/>
        <v>0</v>
      </c>
      <c r="I29" s="120">
        <f t="shared" si="7"/>
        <v>0</v>
      </c>
      <c r="J29" s="121">
        <f t="shared" si="5"/>
        <v>0</v>
      </c>
      <c r="K29" s="121">
        <f t="shared" si="6"/>
        <v>0</v>
      </c>
      <c r="L29" s="171">
        <v>445.9</v>
      </c>
      <c r="M29" s="157">
        <v>399.32</v>
      </c>
    </row>
    <row r="30" spans="1:13" ht="15">
      <c r="A30" s="108">
        <f t="shared" si="3"/>
        <v>20</v>
      </c>
      <c r="B30" s="358">
        <v>2845</v>
      </c>
      <c r="C30" s="124" t="s">
        <v>179</v>
      </c>
      <c r="D30" s="106" t="s">
        <v>42</v>
      </c>
      <c r="E30" s="275"/>
      <c r="F30" s="125"/>
      <c r="G30" s="107"/>
      <c r="H30" s="119"/>
      <c r="I30" s="120"/>
      <c r="J30" s="121"/>
      <c r="K30" s="121"/>
      <c r="L30" s="171"/>
      <c r="M30" s="157"/>
    </row>
    <row r="31" spans="1:13" ht="15">
      <c r="A31" s="108">
        <f t="shared" si="3"/>
        <v>21</v>
      </c>
      <c r="B31" s="358">
        <v>2845</v>
      </c>
      <c r="C31" s="124" t="s">
        <v>180</v>
      </c>
      <c r="D31" s="106" t="s">
        <v>181</v>
      </c>
      <c r="E31" s="275"/>
      <c r="F31" s="125"/>
      <c r="G31" s="107"/>
      <c r="H31" s="119"/>
      <c r="I31" s="120"/>
      <c r="J31" s="121"/>
      <c r="K31" s="121"/>
      <c r="L31" s="171"/>
      <c r="M31" s="157"/>
    </row>
    <row r="32" spans="1:13" ht="15">
      <c r="A32" s="108">
        <f t="shared" si="3"/>
        <v>22</v>
      </c>
      <c r="B32" s="358">
        <v>2845</v>
      </c>
      <c r="C32" s="358">
        <v>41</v>
      </c>
      <c r="D32" s="106" t="s">
        <v>38</v>
      </c>
      <c r="E32" s="276" t="s">
        <v>109</v>
      </c>
      <c r="F32" s="125">
        <v>1964</v>
      </c>
      <c r="G32" s="107">
        <v>346.64</v>
      </c>
      <c r="H32" s="119">
        <f t="shared" si="7"/>
        <v>0</v>
      </c>
      <c r="I32" s="120">
        <f t="shared" si="7"/>
        <v>0</v>
      </c>
      <c r="J32" s="121">
        <f t="shared" si="5"/>
        <v>0</v>
      </c>
      <c r="K32" s="121">
        <f t="shared" si="6"/>
        <v>0</v>
      </c>
      <c r="L32" s="122">
        <v>117.5</v>
      </c>
      <c r="M32" s="157">
        <v>111.07</v>
      </c>
    </row>
    <row r="33" spans="1:13" ht="15">
      <c r="A33" s="108">
        <f t="shared" si="3"/>
        <v>23</v>
      </c>
      <c r="B33" s="358">
        <v>2845</v>
      </c>
      <c r="C33" s="358">
        <v>42</v>
      </c>
      <c r="D33" s="106" t="s">
        <v>38</v>
      </c>
      <c r="E33" s="276" t="s">
        <v>109</v>
      </c>
      <c r="F33" s="125">
        <v>1965</v>
      </c>
      <c r="G33" s="107">
        <v>359.1</v>
      </c>
      <c r="H33" s="119">
        <f t="shared" si="7"/>
        <v>0</v>
      </c>
      <c r="I33" s="120">
        <f t="shared" si="7"/>
        <v>0</v>
      </c>
      <c r="J33" s="121">
        <f t="shared" si="5"/>
        <v>0</v>
      </c>
      <c r="K33" s="121">
        <f t="shared" si="6"/>
        <v>0</v>
      </c>
      <c r="L33" s="122">
        <v>118.48</v>
      </c>
      <c r="M33" s="157">
        <v>112.22</v>
      </c>
    </row>
    <row r="34" spans="1:13" ht="15">
      <c r="A34" s="89">
        <f t="shared" si="3"/>
        <v>24</v>
      </c>
      <c r="B34" s="90">
        <v>2845</v>
      </c>
      <c r="C34" s="90">
        <v>43</v>
      </c>
      <c r="D34" s="91" t="s">
        <v>38</v>
      </c>
      <c r="E34" s="273" t="s">
        <v>109</v>
      </c>
      <c r="F34" s="235">
        <v>1965</v>
      </c>
      <c r="G34" s="104">
        <v>357.54</v>
      </c>
      <c r="H34" s="93">
        <f t="shared" si="7"/>
        <v>0</v>
      </c>
      <c r="I34" s="94">
        <f t="shared" si="7"/>
        <v>0</v>
      </c>
      <c r="J34" s="92">
        <f t="shared" si="5"/>
        <v>0</v>
      </c>
      <c r="K34" s="92">
        <f t="shared" si="6"/>
        <v>0</v>
      </c>
      <c r="L34" s="95"/>
      <c r="M34" s="345">
        <v>111.73</v>
      </c>
    </row>
    <row r="35" spans="1:13" ht="15">
      <c r="A35" s="89">
        <f t="shared" si="3"/>
        <v>25</v>
      </c>
      <c r="B35" s="90">
        <v>2845</v>
      </c>
      <c r="C35" s="90">
        <v>44</v>
      </c>
      <c r="D35" s="91" t="s">
        <v>39</v>
      </c>
      <c r="E35" s="273" t="s">
        <v>109</v>
      </c>
      <c r="F35" s="235">
        <v>1967</v>
      </c>
      <c r="G35" s="104">
        <v>1756.98</v>
      </c>
      <c r="H35" s="93">
        <f t="shared" si="7"/>
        <v>0</v>
      </c>
      <c r="I35" s="94">
        <f t="shared" si="7"/>
        <v>0</v>
      </c>
      <c r="J35" s="92">
        <f t="shared" si="5"/>
        <v>0</v>
      </c>
      <c r="K35" s="92">
        <f t="shared" si="6"/>
        <v>0</v>
      </c>
      <c r="L35" s="95">
        <v>513.17999999999995</v>
      </c>
      <c r="M35" s="345">
        <v>514.11</v>
      </c>
    </row>
    <row r="36" spans="1:13" ht="15">
      <c r="A36" s="89">
        <f t="shared" si="3"/>
        <v>26</v>
      </c>
      <c r="B36" s="90">
        <v>2845</v>
      </c>
      <c r="C36" s="90">
        <v>45</v>
      </c>
      <c r="D36" s="91" t="s">
        <v>40</v>
      </c>
      <c r="E36" s="273" t="s">
        <v>109</v>
      </c>
      <c r="F36" s="235" t="s">
        <v>193</v>
      </c>
      <c r="G36" s="104">
        <v>1874.14</v>
      </c>
      <c r="H36" s="93">
        <f t="shared" si="7"/>
        <v>0</v>
      </c>
      <c r="I36" s="94">
        <f t="shared" si="7"/>
        <v>0</v>
      </c>
      <c r="J36" s="92">
        <f t="shared" si="5"/>
        <v>0</v>
      </c>
      <c r="K36" s="92">
        <f t="shared" si="6"/>
        <v>0</v>
      </c>
      <c r="L36" s="95">
        <v>512.76</v>
      </c>
      <c r="M36" s="345">
        <v>512.73</v>
      </c>
    </row>
    <row r="37" spans="1:13" ht="15">
      <c r="A37" s="108">
        <f t="shared" si="3"/>
        <v>27</v>
      </c>
      <c r="B37" s="358">
        <v>2845</v>
      </c>
      <c r="C37" s="358">
        <v>46</v>
      </c>
      <c r="D37" s="106" t="s">
        <v>40</v>
      </c>
      <c r="E37" s="273" t="s">
        <v>109</v>
      </c>
      <c r="F37" s="125" t="s">
        <v>68</v>
      </c>
      <c r="G37" s="107">
        <v>1799</v>
      </c>
      <c r="H37" s="109">
        <f t="shared" si="7"/>
        <v>0</v>
      </c>
      <c r="I37" s="110">
        <f>AH37</f>
        <v>0</v>
      </c>
      <c r="J37" s="92">
        <f t="shared" si="5"/>
        <v>0</v>
      </c>
      <c r="K37" s="92">
        <f t="shared" si="6"/>
        <v>0</v>
      </c>
      <c r="L37" s="111"/>
      <c r="M37" s="157"/>
    </row>
    <row r="38" spans="1:13" ht="15">
      <c r="A38" s="108">
        <f t="shared" si="3"/>
        <v>28</v>
      </c>
      <c r="B38" s="90">
        <v>2845</v>
      </c>
      <c r="C38" s="90">
        <v>104</v>
      </c>
      <c r="D38" s="91" t="s">
        <v>33</v>
      </c>
      <c r="E38" s="273" t="s">
        <v>109</v>
      </c>
      <c r="F38" s="235">
        <v>1972</v>
      </c>
      <c r="G38" s="104">
        <v>12740.37</v>
      </c>
      <c r="H38" s="93">
        <f t="shared" si="7"/>
        <v>0</v>
      </c>
      <c r="I38" s="94">
        <f>AI38</f>
        <v>0</v>
      </c>
      <c r="J38" s="92">
        <f t="shared" si="5"/>
        <v>0</v>
      </c>
      <c r="K38" s="92">
        <f t="shared" si="6"/>
        <v>0</v>
      </c>
      <c r="L38" s="111">
        <v>764.56</v>
      </c>
      <c r="M38" s="345">
        <v>768.86</v>
      </c>
    </row>
    <row r="39" spans="1:13" ht="15">
      <c r="A39" s="89">
        <f t="shared" si="3"/>
        <v>29</v>
      </c>
      <c r="B39" s="90">
        <v>2845</v>
      </c>
      <c r="C39" s="90">
        <v>105</v>
      </c>
      <c r="D39" s="91" t="s">
        <v>41</v>
      </c>
      <c r="E39" s="273" t="s">
        <v>109</v>
      </c>
      <c r="F39" s="235">
        <v>1973</v>
      </c>
      <c r="G39" s="104">
        <v>912.27</v>
      </c>
      <c r="H39" s="93">
        <f t="shared" si="7"/>
        <v>0</v>
      </c>
      <c r="I39" s="94">
        <f>AI39</f>
        <v>0</v>
      </c>
      <c r="J39" s="92">
        <f t="shared" si="5"/>
        <v>0</v>
      </c>
      <c r="K39" s="92">
        <f t="shared" si="6"/>
        <v>0</v>
      </c>
      <c r="L39" s="95">
        <v>218.94</v>
      </c>
      <c r="M39" s="345">
        <v>235.73</v>
      </c>
    </row>
    <row r="40" spans="1:13" ht="15">
      <c r="A40" s="400">
        <f t="shared" si="3"/>
        <v>30</v>
      </c>
      <c r="B40" s="198">
        <v>2845</v>
      </c>
      <c r="C40" s="198">
        <v>106</v>
      </c>
      <c r="D40" s="312" t="s">
        <v>35</v>
      </c>
      <c r="E40" s="401" t="s">
        <v>109</v>
      </c>
      <c r="F40" s="402" t="s">
        <v>192</v>
      </c>
      <c r="G40" s="403">
        <v>5501.67</v>
      </c>
      <c r="H40" s="404">
        <f t="shared" si="7"/>
        <v>0</v>
      </c>
      <c r="I40" s="405">
        <f>AI40</f>
        <v>0</v>
      </c>
      <c r="J40" s="406">
        <f t="shared" si="5"/>
        <v>0</v>
      </c>
      <c r="K40" s="406">
        <f t="shared" si="6"/>
        <v>0</v>
      </c>
      <c r="L40" s="407">
        <v>1223.25</v>
      </c>
      <c r="M40" s="408">
        <v>1207.83</v>
      </c>
    </row>
    <row r="41" spans="1:13" ht="15">
      <c r="A41" s="410">
        <f t="shared" si="3"/>
        <v>31</v>
      </c>
      <c r="B41" s="411">
        <v>2845</v>
      </c>
      <c r="C41" s="411">
        <v>110</v>
      </c>
      <c r="D41" s="412" t="s">
        <v>42</v>
      </c>
      <c r="E41" s="413" t="s">
        <v>109</v>
      </c>
      <c r="F41" s="414">
        <v>1980</v>
      </c>
      <c r="G41" s="415">
        <v>6450.83</v>
      </c>
      <c r="H41" s="416">
        <f t="shared" si="7"/>
        <v>0</v>
      </c>
      <c r="I41" s="417">
        <f>AI41</f>
        <v>0</v>
      </c>
      <c r="J41" s="418">
        <f t="shared" si="5"/>
        <v>0</v>
      </c>
      <c r="K41" s="418">
        <f t="shared" si="6"/>
        <v>0</v>
      </c>
      <c r="L41" s="419">
        <v>1289.01</v>
      </c>
      <c r="M41" s="420">
        <v>1267.6300000000001</v>
      </c>
    </row>
    <row r="42" spans="1:13" ht="15">
      <c r="A42" s="410">
        <f t="shared" si="3"/>
        <v>32</v>
      </c>
      <c r="B42" s="411">
        <v>2845</v>
      </c>
      <c r="C42" s="411">
        <v>112</v>
      </c>
      <c r="D42" s="412" t="s">
        <v>31</v>
      </c>
      <c r="E42" s="413" t="s">
        <v>109</v>
      </c>
      <c r="F42" s="414">
        <v>1981</v>
      </c>
      <c r="G42" s="415">
        <v>16979.73</v>
      </c>
      <c r="H42" s="416">
        <f t="shared" si="7"/>
        <v>0</v>
      </c>
      <c r="I42" s="417">
        <f>AI42</f>
        <v>0</v>
      </c>
      <c r="J42" s="418">
        <f t="shared" si="5"/>
        <v>0</v>
      </c>
      <c r="K42" s="418">
        <f t="shared" si="6"/>
        <v>0</v>
      </c>
      <c r="L42" s="419">
        <v>2284.85</v>
      </c>
      <c r="M42" s="420">
        <v>1950.31</v>
      </c>
    </row>
    <row r="43" spans="1:13" ht="15">
      <c r="A43" s="421">
        <f t="shared" si="3"/>
        <v>33</v>
      </c>
      <c r="B43" s="422">
        <v>2845</v>
      </c>
      <c r="C43" s="422">
        <v>113</v>
      </c>
      <c r="D43" s="423" t="s">
        <v>35</v>
      </c>
      <c r="E43" s="413" t="s">
        <v>109</v>
      </c>
      <c r="F43" s="424">
        <v>1981</v>
      </c>
      <c r="G43" s="425">
        <v>54500</v>
      </c>
      <c r="H43" s="426">
        <v>13154</v>
      </c>
      <c r="I43" s="427">
        <v>13154</v>
      </c>
      <c r="J43" s="428">
        <f t="shared" si="5"/>
        <v>0</v>
      </c>
      <c r="K43" s="428">
        <f t="shared" si="6"/>
        <v>0</v>
      </c>
      <c r="L43" s="429"/>
      <c r="M43" s="430"/>
    </row>
    <row r="44" spans="1:13" ht="15">
      <c r="A44" s="89">
        <f t="shared" si="3"/>
        <v>34</v>
      </c>
      <c r="B44" s="90">
        <v>2845</v>
      </c>
      <c r="C44" s="90">
        <v>114</v>
      </c>
      <c r="D44" s="91" t="s">
        <v>43</v>
      </c>
      <c r="E44" s="273" t="s">
        <v>109</v>
      </c>
      <c r="F44" s="235">
        <v>1979</v>
      </c>
      <c r="G44" s="104">
        <v>111.26</v>
      </c>
      <c r="H44" s="93">
        <f t="shared" ref="H44:I46" si="8">AH44</f>
        <v>0</v>
      </c>
      <c r="I44" s="94">
        <f t="shared" si="8"/>
        <v>0</v>
      </c>
      <c r="J44" s="92">
        <f t="shared" si="5"/>
        <v>0</v>
      </c>
      <c r="K44" s="92">
        <f t="shared" si="6"/>
        <v>0</v>
      </c>
      <c r="L44" s="95">
        <v>49.2</v>
      </c>
      <c r="M44" s="345">
        <v>36.56</v>
      </c>
    </row>
    <row r="45" spans="1:13" ht="35.25" customHeight="1">
      <c r="A45" s="89">
        <f t="shared" si="3"/>
        <v>35</v>
      </c>
      <c r="B45" s="90">
        <v>2845</v>
      </c>
      <c r="C45" s="90">
        <v>115</v>
      </c>
      <c r="D45" s="195" t="s">
        <v>44</v>
      </c>
      <c r="E45" s="273" t="s">
        <v>107</v>
      </c>
      <c r="F45" s="235">
        <v>1979</v>
      </c>
      <c r="G45" s="104">
        <v>2762.43</v>
      </c>
      <c r="H45" s="93">
        <f t="shared" si="8"/>
        <v>0</v>
      </c>
      <c r="I45" s="94">
        <f t="shared" si="8"/>
        <v>0</v>
      </c>
      <c r="J45" s="92">
        <f t="shared" si="5"/>
        <v>0</v>
      </c>
      <c r="K45" s="92">
        <f t="shared" si="6"/>
        <v>0</v>
      </c>
      <c r="L45" s="95">
        <v>635.61</v>
      </c>
      <c r="M45" s="345">
        <v>555.82000000000005</v>
      </c>
    </row>
    <row r="46" spans="1:13" ht="15">
      <c r="A46" s="89">
        <f t="shared" si="3"/>
        <v>36</v>
      </c>
      <c r="B46" s="90">
        <v>2845</v>
      </c>
      <c r="C46" s="90">
        <v>116</v>
      </c>
      <c r="D46" s="91" t="s">
        <v>45</v>
      </c>
      <c r="E46" s="273" t="s">
        <v>109</v>
      </c>
      <c r="F46" s="235">
        <v>1979</v>
      </c>
      <c r="G46" s="104">
        <v>2639.66</v>
      </c>
      <c r="H46" s="93">
        <f t="shared" si="8"/>
        <v>0</v>
      </c>
      <c r="I46" s="94">
        <f t="shared" si="8"/>
        <v>0</v>
      </c>
      <c r="J46" s="92">
        <f t="shared" si="5"/>
        <v>0</v>
      </c>
      <c r="K46" s="92">
        <f t="shared" si="6"/>
        <v>0</v>
      </c>
      <c r="L46" s="95">
        <v>575.66999999999996</v>
      </c>
      <c r="M46" s="345">
        <v>564.51</v>
      </c>
    </row>
    <row r="47" spans="1:13" ht="15">
      <c r="A47" s="108">
        <f t="shared" si="3"/>
        <v>37</v>
      </c>
      <c r="B47" s="358">
        <v>2845</v>
      </c>
      <c r="C47" s="358">
        <v>117</v>
      </c>
      <c r="D47" s="106" t="s">
        <v>128</v>
      </c>
      <c r="E47" s="276" t="s">
        <v>107</v>
      </c>
      <c r="F47" s="123">
        <v>1979</v>
      </c>
      <c r="G47" s="121">
        <v>78</v>
      </c>
      <c r="H47" s="119">
        <v>13</v>
      </c>
      <c r="I47" s="103">
        <v>13</v>
      </c>
      <c r="J47" s="121">
        <f t="shared" si="5"/>
        <v>0</v>
      </c>
      <c r="K47" s="121">
        <f t="shared" si="6"/>
        <v>0</v>
      </c>
      <c r="L47" s="109"/>
      <c r="M47" s="122"/>
    </row>
    <row r="48" spans="1:13" ht="15">
      <c r="A48" s="108">
        <f t="shared" si="3"/>
        <v>38</v>
      </c>
      <c r="B48" s="358">
        <v>2845</v>
      </c>
      <c r="C48" s="358">
        <v>119</v>
      </c>
      <c r="D48" s="106" t="s">
        <v>70</v>
      </c>
      <c r="E48" s="276" t="s">
        <v>107</v>
      </c>
      <c r="F48" s="125">
        <v>1979</v>
      </c>
      <c r="G48" s="107">
        <v>316</v>
      </c>
      <c r="H48" s="109">
        <v>96</v>
      </c>
      <c r="I48" s="103">
        <v>96</v>
      </c>
      <c r="J48" s="121">
        <f t="shared" si="5"/>
        <v>0</v>
      </c>
      <c r="K48" s="121">
        <f t="shared" si="6"/>
        <v>0</v>
      </c>
      <c r="L48" s="111"/>
      <c r="M48" s="157"/>
    </row>
    <row r="49" spans="1:13" ht="71.25">
      <c r="A49" s="421">
        <f t="shared" si="3"/>
        <v>39</v>
      </c>
      <c r="B49" s="422">
        <v>2845</v>
      </c>
      <c r="C49" s="422">
        <v>120</v>
      </c>
      <c r="D49" s="423" t="s">
        <v>46</v>
      </c>
      <c r="E49" s="431" t="s">
        <v>195</v>
      </c>
      <c r="F49" s="432">
        <v>1979</v>
      </c>
      <c r="G49" s="433">
        <v>14396.62</v>
      </c>
      <c r="H49" s="434">
        <f>AH49</f>
        <v>0</v>
      </c>
      <c r="I49" s="435">
        <f>AI49</f>
        <v>0</v>
      </c>
      <c r="J49" s="433">
        <f t="shared" si="5"/>
        <v>0</v>
      </c>
      <c r="K49" s="433">
        <f t="shared" si="6"/>
        <v>0</v>
      </c>
      <c r="L49" s="436">
        <v>2378.71</v>
      </c>
      <c r="M49" s="437">
        <v>2684.73</v>
      </c>
    </row>
    <row r="50" spans="1:13" ht="15">
      <c r="A50" s="89">
        <f t="shared" si="3"/>
        <v>40</v>
      </c>
      <c r="B50" s="90">
        <v>2845</v>
      </c>
      <c r="C50" s="90">
        <v>126</v>
      </c>
      <c r="D50" s="91" t="s">
        <v>47</v>
      </c>
      <c r="E50" s="273" t="s">
        <v>109</v>
      </c>
      <c r="F50" s="235" t="s">
        <v>60</v>
      </c>
      <c r="G50" s="104">
        <v>486.51</v>
      </c>
      <c r="H50" s="93">
        <f>AH50</f>
        <v>0</v>
      </c>
      <c r="I50" s="94">
        <f>AI50</f>
        <v>0</v>
      </c>
      <c r="J50" s="92">
        <f t="shared" si="5"/>
        <v>0</v>
      </c>
      <c r="K50" s="92">
        <f t="shared" si="6"/>
        <v>0</v>
      </c>
      <c r="L50" s="95">
        <v>115.81</v>
      </c>
      <c r="M50" s="345">
        <v>115.56</v>
      </c>
    </row>
    <row r="51" spans="1:13" ht="30" customHeight="1">
      <c r="A51" s="108">
        <f t="shared" si="3"/>
        <v>41</v>
      </c>
      <c r="B51" s="358">
        <v>2845</v>
      </c>
      <c r="C51" s="124" t="s">
        <v>71</v>
      </c>
      <c r="D51" s="188" t="s">
        <v>124</v>
      </c>
      <c r="E51" s="273" t="s">
        <v>107</v>
      </c>
      <c r="F51" s="125">
        <v>2011</v>
      </c>
      <c r="G51" s="107">
        <v>150</v>
      </c>
      <c r="H51" s="109">
        <v>28</v>
      </c>
      <c r="I51" s="110">
        <v>28</v>
      </c>
      <c r="J51" s="121">
        <f t="shared" si="5"/>
        <v>0</v>
      </c>
      <c r="K51" s="121">
        <f t="shared" si="6"/>
        <v>0</v>
      </c>
      <c r="L51" s="111"/>
      <c r="M51" s="157"/>
    </row>
    <row r="52" spans="1:13" ht="36" customHeight="1">
      <c r="A52" s="108">
        <f t="shared" si="3"/>
        <v>42</v>
      </c>
      <c r="B52" s="358">
        <v>2845</v>
      </c>
      <c r="C52" s="124" t="s">
        <v>72</v>
      </c>
      <c r="D52" s="188" t="s">
        <v>125</v>
      </c>
      <c r="E52" s="273" t="s">
        <v>107</v>
      </c>
      <c r="F52" s="125">
        <v>2011</v>
      </c>
      <c r="G52" s="107">
        <v>0</v>
      </c>
      <c r="H52" s="109">
        <v>21</v>
      </c>
      <c r="I52" s="110">
        <v>21</v>
      </c>
      <c r="J52" s="121">
        <f t="shared" si="5"/>
        <v>0</v>
      </c>
      <c r="K52" s="121">
        <f t="shared" si="6"/>
        <v>0</v>
      </c>
      <c r="L52" s="111"/>
      <c r="M52" s="157"/>
    </row>
    <row r="53" spans="1:13" ht="33.75" customHeight="1">
      <c r="A53" s="108">
        <f t="shared" si="3"/>
        <v>43</v>
      </c>
      <c r="B53" s="358">
        <v>2845</v>
      </c>
      <c r="C53" s="124" t="s">
        <v>73</v>
      </c>
      <c r="D53" s="188" t="s">
        <v>126</v>
      </c>
      <c r="E53" s="273" t="s">
        <v>107</v>
      </c>
      <c r="F53" s="125">
        <v>2011</v>
      </c>
      <c r="G53" s="107">
        <v>0</v>
      </c>
      <c r="H53" s="109">
        <v>1</v>
      </c>
      <c r="I53" s="110">
        <v>1</v>
      </c>
      <c r="J53" s="121">
        <f t="shared" si="5"/>
        <v>0</v>
      </c>
      <c r="K53" s="121">
        <f t="shared" si="6"/>
        <v>0</v>
      </c>
      <c r="L53" s="111"/>
      <c r="M53" s="157"/>
    </row>
    <row r="54" spans="1:13" ht="33.75" customHeight="1">
      <c r="A54" s="108">
        <f t="shared" si="3"/>
        <v>44</v>
      </c>
      <c r="B54" s="358">
        <v>2845</v>
      </c>
      <c r="C54" s="124" t="s">
        <v>74</v>
      </c>
      <c r="D54" s="188" t="s">
        <v>127</v>
      </c>
      <c r="E54" s="273" t="s">
        <v>107</v>
      </c>
      <c r="F54" s="125">
        <v>2011</v>
      </c>
      <c r="G54" s="107">
        <v>0</v>
      </c>
      <c r="H54" s="109">
        <v>4</v>
      </c>
      <c r="I54" s="110">
        <v>4</v>
      </c>
      <c r="J54" s="121">
        <f t="shared" si="5"/>
        <v>0</v>
      </c>
      <c r="K54" s="121">
        <f t="shared" si="6"/>
        <v>0</v>
      </c>
      <c r="L54" s="111"/>
      <c r="M54" s="157"/>
    </row>
    <row r="55" spans="1:13" ht="15">
      <c r="A55" s="89">
        <f t="shared" si="3"/>
        <v>45</v>
      </c>
      <c r="B55" s="90">
        <v>2845</v>
      </c>
      <c r="C55" s="90">
        <v>128</v>
      </c>
      <c r="D55" s="91" t="s">
        <v>48</v>
      </c>
      <c r="E55" s="273" t="s">
        <v>109</v>
      </c>
      <c r="F55" s="235">
        <v>1982</v>
      </c>
      <c r="G55" s="104">
        <v>14560.88</v>
      </c>
      <c r="H55" s="93">
        <f>AH55</f>
        <v>0</v>
      </c>
      <c r="I55" s="94">
        <f>AI55</f>
        <v>0</v>
      </c>
      <c r="J55" s="92">
        <f t="shared" si="5"/>
        <v>0</v>
      </c>
      <c r="K55" s="92">
        <f t="shared" si="6"/>
        <v>0</v>
      </c>
      <c r="L55" s="95">
        <v>1778.49</v>
      </c>
      <c r="M55" s="345">
        <v>1756.25</v>
      </c>
    </row>
    <row r="56" spans="1:13" ht="30">
      <c r="A56" s="89">
        <f t="shared" si="3"/>
        <v>46</v>
      </c>
      <c r="B56" s="90">
        <v>2845</v>
      </c>
      <c r="C56" s="90">
        <v>129</v>
      </c>
      <c r="D56" s="195" t="s">
        <v>153</v>
      </c>
      <c r="E56" s="273" t="s">
        <v>109</v>
      </c>
      <c r="F56" s="235">
        <v>1978</v>
      </c>
      <c r="G56" s="104">
        <v>254.69</v>
      </c>
      <c r="H56" s="93">
        <f>AH56</f>
        <v>0</v>
      </c>
      <c r="I56" s="94">
        <f>AI56</f>
        <v>0</v>
      </c>
      <c r="J56" s="92">
        <f t="shared" si="5"/>
        <v>0</v>
      </c>
      <c r="K56" s="92">
        <f t="shared" si="6"/>
        <v>0</v>
      </c>
      <c r="L56" s="95">
        <v>76.430000000000007</v>
      </c>
      <c r="M56" s="345">
        <v>68.91</v>
      </c>
    </row>
    <row r="57" spans="1:13" ht="15">
      <c r="A57" s="89">
        <f t="shared" si="3"/>
        <v>47</v>
      </c>
      <c r="B57" s="90">
        <v>2845</v>
      </c>
      <c r="C57" s="90">
        <v>130</v>
      </c>
      <c r="D57" s="91" t="s">
        <v>75</v>
      </c>
      <c r="E57" s="273" t="s">
        <v>107</v>
      </c>
      <c r="F57" s="235">
        <v>1955</v>
      </c>
      <c r="G57" s="104">
        <v>71</v>
      </c>
      <c r="H57" s="126">
        <v>25</v>
      </c>
      <c r="I57" s="127">
        <v>25</v>
      </c>
      <c r="J57" s="92">
        <f t="shared" si="5"/>
        <v>0</v>
      </c>
      <c r="K57" s="92">
        <f t="shared" si="6"/>
        <v>0</v>
      </c>
      <c r="L57" s="128"/>
      <c r="M57" s="345"/>
    </row>
    <row r="58" spans="1:13" ht="29.25" customHeight="1">
      <c r="A58" s="89">
        <f t="shared" si="3"/>
        <v>48</v>
      </c>
      <c r="B58" s="90">
        <v>2845</v>
      </c>
      <c r="C58" s="90">
        <v>134</v>
      </c>
      <c r="D58" s="195" t="s">
        <v>44</v>
      </c>
      <c r="E58" s="273" t="s">
        <v>109</v>
      </c>
      <c r="F58" s="235">
        <v>1971</v>
      </c>
      <c r="G58" s="104">
        <v>1194.57</v>
      </c>
      <c r="H58" s="93">
        <f t="shared" ref="H58:I60" si="9">AH58</f>
        <v>0</v>
      </c>
      <c r="I58" s="94">
        <f t="shared" si="9"/>
        <v>0</v>
      </c>
      <c r="J58" s="92">
        <f t="shared" si="5"/>
        <v>0</v>
      </c>
      <c r="K58" s="92">
        <f t="shared" si="6"/>
        <v>0</v>
      </c>
      <c r="L58" s="95">
        <v>414.47</v>
      </c>
      <c r="M58" s="345">
        <v>398.18</v>
      </c>
    </row>
    <row r="59" spans="1:13" ht="32.25" customHeight="1">
      <c r="A59" s="89">
        <f t="shared" si="3"/>
        <v>49</v>
      </c>
      <c r="B59" s="90">
        <v>2845</v>
      </c>
      <c r="C59" s="90">
        <v>135</v>
      </c>
      <c r="D59" s="195" t="s">
        <v>44</v>
      </c>
      <c r="E59" s="273" t="s">
        <v>109</v>
      </c>
      <c r="F59" s="235">
        <v>1981</v>
      </c>
      <c r="G59" s="104">
        <v>1319.26</v>
      </c>
      <c r="H59" s="93">
        <f t="shared" si="9"/>
        <v>0</v>
      </c>
      <c r="I59" s="94">
        <f t="shared" si="9"/>
        <v>0</v>
      </c>
      <c r="J59" s="92">
        <f t="shared" si="5"/>
        <v>0</v>
      </c>
      <c r="K59" s="92">
        <f t="shared" si="6"/>
        <v>0</v>
      </c>
      <c r="L59" s="95">
        <v>363.66</v>
      </c>
      <c r="M59" s="345">
        <v>348.09</v>
      </c>
    </row>
    <row r="60" spans="1:13" ht="15">
      <c r="A60" s="89">
        <f t="shared" si="3"/>
        <v>50</v>
      </c>
      <c r="B60" s="90">
        <v>2845</v>
      </c>
      <c r="C60" s="90">
        <v>136</v>
      </c>
      <c r="D60" s="91" t="s">
        <v>38</v>
      </c>
      <c r="E60" s="273" t="s">
        <v>109</v>
      </c>
      <c r="F60" s="235">
        <v>1978</v>
      </c>
      <c r="G60" s="104">
        <v>134.25</v>
      </c>
      <c r="H60" s="93">
        <f t="shared" si="9"/>
        <v>0</v>
      </c>
      <c r="I60" s="94">
        <f t="shared" si="9"/>
        <v>0</v>
      </c>
      <c r="J60" s="92">
        <f t="shared" si="5"/>
        <v>0</v>
      </c>
      <c r="K60" s="92">
        <f t="shared" si="6"/>
        <v>0</v>
      </c>
      <c r="L60" s="95">
        <v>55.58</v>
      </c>
      <c r="M60" s="345">
        <v>40.98</v>
      </c>
    </row>
    <row r="61" spans="1:13" ht="31.5" customHeight="1">
      <c r="A61" s="89">
        <f t="shared" si="3"/>
        <v>51</v>
      </c>
      <c r="B61" s="90">
        <v>2845</v>
      </c>
      <c r="C61" s="90">
        <v>138</v>
      </c>
      <c r="D61" s="195" t="s">
        <v>154</v>
      </c>
      <c r="E61" s="273" t="s">
        <v>107</v>
      </c>
      <c r="F61" s="235">
        <v>1968</v>
      </c>
      <c r="G61" s="104">
        <v>170</v>
      </c>
      <c r="H61" s="126">
        <v>0</v>
      </c>
      <c r="I61" s="127">
        <v>0</v>
      </c>
      <c r="J61" s="92">
        <f t="shared" si="5"/>
        <v>0</v>
      </c>
      <c r="K61" s="92">
        <f t="shared" si="6"/>
        <v>0</v>
      </c>
      <c r="L61" s="128"/>
      <c r="M61" s="345"/>
    </row>
    <row r="62" spans="1:13" ht="33" customHeight="1">
      <c r="A62" s="89">
        <f t="shared" si="3"/>
        <v>52</v>
      </c>
      <c r="B62" s="90">
        <v>2845</v>
      </c>
      <c r="C62" s="90">
        <v>139</v>
      </c>
      <c r="D62" s="195" t="s">
        <v>155</v>
      </c>
      <c r="E62" s="273" t="s">
        <v>107</v>
      </c>
      <c r="F62" s="235">
        <v>1968</v>
      </c>
      <c r="G62" s="104">
        <v>31</v>
      </c>
      <c r="H62" s="126">
        <v>7</v>
      </c>
      <c r="I62" s="127">
        <v>7</v>
      </c>
      <c r="J62" s="92">
        <f t="shared" si="5"/>
        <v>0</v>
      </c>
      <c r="K62" s="92">
        <f t="shared" si="6"/>
        <v>0</v>
      </c>
      <c r="L62" s="128"/>
      <c r="M62" s="345"/>
    </row>
    <row r="63" spans="1:13" ht="33" customHeight="1">
      <c r="A63" s="89">
        <f t="shared" si="3"/>
        <v>53</v>
      </c>
      <c r="B63" s="90">
        <v>2845</v>
      </c>
      <c r="C63" s="90">
        <v>142</v>
      </c>
      <c r="D63" s="195" t="s">
        <v>44</v>
      </c>
      <c r="E63" s="273" t="s">
        <v>109</v>
      </c>
      <c r="F63" s="235">
        <v>1962</v>
      </c>
      <c r="G63" s="104">
        <v>141.57</v>
      </c>
      <c r="H63" s="93">
        <f t="shared" ref="H63:I75" si="10">AH63</f>
        <v>0</v>
      </c>
      <c r="I63" s="94">
        <f t="shared" si="10"/>
        <v>0</v>
      </c>
      <c r="J63" s="92">
        <f t="shared" si="5"/>
        <v>0</v>
      </c>
      <c r="K63" s="92">
        <f t="shared" si="6"/>
        <v>0</v>
      </c>
      <c r="L63" s="95">
        <v>33.06</v>
      </c>
      <c r="M63" s="345">
        <v>32.979999999999997</v>
      </c>
    </row>
    <row r="64" spans="1:13" ht="15">
      <c r="A64" s="89">
        <f t="shared" si="3"/>
        <v>54</v>
      </c>
      <c r="B64" s="90">
        <v>2845</v>
      </c>
      <c r="C64" s="90">
        <v>156</v>
      </c>
      <c r="D64" s="91" t="s">
        <v>35</v>
      </c>
      <c r="E64" s="273" t="s">
        <v>109</v>
      </c>
      <c r="F64" s="235">
        <v>1965</v>
      </c>
      <c r="G64" s="104">
        <v>250.89</v>
      </c>
      <c r="H64" s="93">
        <f t="shared" si="10"/>
        <v>0</v>
      </c>
      <c r="I64" s="94">
        <f t="shared" si="10"/>
        <v>0</v>
      </c>
      <c r="J64" s="92">
        <f t="shared" si="5"/>
        <v>0</v>
      </c>
      <c r="K64" s="92">
        <f t="shared" si="6"/>
        <v>0</v>
      </c>
      <c r="L64" s="95">
        <v>100.55</v>
      </c>
      <c r="M64" s="345">
        <v>89.45</v>
      </c>
    </row>
    <row r="65" spans="1:13" ht="28.5">
      <c r="A65" s="89">
        <f t="shared" si="3"/>
        <v>55</v>
      </c>
      <c r="B65" s="90">
        <v>2845</v>
      </c>
      <c r="C65" s="90">
        <v>157</v>
      </c>
      <c r="D65" s="214" t="s">
        <v>151</v>
      </c>
      <c r="E65" s="273" t="s">
        <v>107</v>
      </c>
      <c r="F65" s="235">
        <v>1965</v>
      </c>
      <c r="G65" s="104">
        <v>399.44</v>
      </c>
      <c r="H65" s="93">
        <f t="shared" si="10"/>
        <v>0</v>
      </c>
      <c r="I65" s="94">
        <f t="shared" si="10"/>
        <v>0</v>
      </c>
      <c r="J65" s="92">
        <f t="shared" si="5"/>
        <v>0</v>
      </c>
      <c r="K65" s="92">
        <f t="shared" si="6"/>
        <v>0</v>
      </c>
      <c r="L65" s="95">
        <v>41.49</v>
      </c>
      <c r="M65" s="345">
        <v>19.5</v>
      </c>
    </row>
    <row r="66" spans="1:13" ht="15">
      <c r="A66" s="89">
        <f t="shared" si="3"/>
        <v>56</v>
      </c>
      <c r="B66" s="90">
        <v>2845</v>
      </c>
      <c r="C66" s="90">
        <v>184</v>
      </c>
      <c r="D66" s="91" t="s">
        <v>49</v>
      </c>
      <c r="E66" s="273" t="s">
        <v>109</v>
      </c>
      <c r="F66" s="235">
        <v>1985</v>
      </c>
      <c r="G66" s="104">
        <v>4067.6</v>
      </c>
      <c r="H66" s="93">
        <f t="shared" si="10"/>
        <v>0</v>
      </c>
      <c r="I66" s="94">
        <f t="shared" si="10"/>
        <v>0</v>
      </c>
      <c r="J66" s="92">
        <f t="shared" si="5"/>
        <v>0</v>
      </c>
      <c r="K66" s="92">
        <f t="shared" si="6"/>
        <v>0</v>
      </c>
      <c r="L66" s="95">
        <v>660.15</v>
      </c>
      <c r="M66" s="345">
        <v>656.21</v>
      </c>
    </row>
    <row r="67" spans="1:13" ht="15">
      <c r="A67" s="89">
        <f t="shared" si="3"/>
        <v>57</v>
      </c>
      <c r="B67" s="90">
        <v>2845</v>
      </c>
      <c r="C67" s="90">
        <v>195</v>
      </c>
      <c r="D67" s="91" t="s">
        <v>42</v>
      </c>
      <c r="E67" s="273" t="s">
        <v>107</v>
      </c>
      <c r="F67" s="235">
        <v>1986</v>
      </c>
      <c r="G67" s="104">
        <v>299.48</v>
      </c>
      <c r="H67" s="93">
        <f t="shared" si="10"/>
        <v>0</v>
      </c>
      <c r="I67" s="94">
        <f t="shared" si="10"/>
        <v>0</v>
      </c>
      <c r="J67" s="92">
        <f t="shared" si="5"/>
        <v>0</v>
      </c>
      <c r="K67" s="92">
        <f t="shared" si="6"/>
        <v>0</v>
      </c>
      <c r="L67" s="95">
        <v>107.39</v>
      </c>
      <c r="M67" s="345">
        <v>95.68</v>
      </c>
    </row>
    <row r="68" spans="1:13" ht="30">
      <c r="A68" s="89">
        <f t="shared" si="3"/>
        <v>58</v>
      </c>
      <c r="B68" s="90">
        <v>2845</v>
      </c>
      <c r="C68" s="90">
        <v>199</v>
      </c>
      <c r="D68" s="195" t="s">
        <v>162</v>
      </c>
      <c r="E68" s="273" t="s">
        <v>107</v>
      </c>
      <c r="F68" s="235">
        <v>1986</v>
      </c>
      <c r="G68" s="104">
        <v>191.16</v>
      </c>
      <c r="H68" s="93">
        <f t="shared" si="10"/>
        <v>0</v>
      </c>
      <c r="I68" s="94">
        <f t="shared" si="10"/>
        <v>0</v>
      </c>
      <c r="J68" s="92">
        <f t="shared" si="5"/>
        <v>0</v>
      </c>
      <c r="K68" s="92">
        <f t="shared" si="6"/>
        <v>0</v>
      </c>
      <c r="L68" s="95">
        <v>48.3</v>
      </c>
      <c r="M68" s="345">
        <v>48.89</v>
      </c>
    </row>
    <row r="69" spans="1:13" ht="15">
      <c r="A69" s="89">
        <f t="shared" si="3"/>
        <v>59</v>
      </c>
      <c r="B69" s="90">
        <v>2845</v>
      </c>
      <c r="C69" s="90">
        <v>203</v>
      </c>
      <c r="D69" s="91" t="s">
        <v>51</v>
      </c>
      <c r="E69" s="273" t="s">
        <v>109</v>
      </c>
      <c r="F69" s="235">
        <v>1987</v>
      </c>
      <c r="G69" s="104">
        <v>5264.83</v>
      </c>
      <c r="H69" s="93">
        <f t="shared" si="10"/>
        <v>0</v>
      </c>
      <c r="I69" s="94">
        <f t="shared" si="10"/>
        <v>0</v>
      </c>
      <c r="J69" s="92">
        <f t="shared" si="5"/>
        <v>0</v>
      </c>
      <c r="K69" s="92">
        <f t="shared" si="6"/>
        <v>0</v>
      </c>
      <c r="L69" s="95">
        <v>995.52</v>
      </c>
      <c r="M69" s="345">
        <v>991.17</v>
      </c>
    </row>
    <row r="70" spans="1:13" ht="15">
      <c r="A70" s="89">
        <f t="shared" si="3"/>
        <v>60</v>
      </c>
      <c r="B70" s="90">
        <v>2845</v>
      </c>
      <c r="C70" s="90">
        <v>204</v>
      </c>
      <c r="D70" s="91" t="s">
        <v>51</v>
      </c>
      <c r="E70" s="273" t="s">
        <v>109</v>
      </c>
      <c r="F70" s="235">
        <v>1987</v>
      </c>
      <c r="G70" s="104">
        <v>5264.83</v>
      </c>
      <c r="H70" s="93">
        <f t="shared" si="10"/>
        <v>0</v>
      </c>
      <c r="I70" s="94">
        <f t="shared" si="10"/>
        <v>0</v>
      </c>
      <c r="J70" s="92">
        <f t="shared" si="5"/>
        <v>0</v>
      </c>
      <c r="K70" s="92">
        <f t="shared" si="6"/>
        <v>0</v>
      </c>
      <c r="L70" s="95">
        <v>995.52</v>
      </c>
      <c r="M70" s="345">
        <v>991.17</v>
      </c>
    </row>
    <row r="71" spans="1:13" ht="15">
      <c r="A71" s="89">
        <f t="shared" si="3"/>
        <v>61</v>
      </c>
      <c r="B71" s="90">
        <v>2845</v>
      </c>
      <c r="C71" s="90">
        <v>206</v>
      </c>
      <c r="D71" s="91" t="s">
        <v>52</v>
      </c>
      <c r="E71" s="273" t="s">
        <v>109</v>
      </c>
      <c r="F71" s="235">
        <v>1981</v>
      </c>
      <c r="G71" s="104">
        <v>53.29</v>
      </c>
      <c r="H71" s="93">
        <f t="shared" si="10"/>
        <v>0</v>
      </c>
      <c r="I71" s="94">
        <f t="shared" si="10"/>
        <v>0</v>
      </c>
      <c r="J71" s="92">
        <f t="shared" si="5"/>
        <v>0</v>
      </c>
      <c r="K71" s="92">
        <f t="shared" si="6"/>
        <v>0</v>
      </c>
      <c r="L71" s="95">
        <v>27.53</v>
      </c>
      <c r="M71" s="345">
        <v>20.11</v>
      </c>
    </row>
    <row r="72" spans="1:13" ht="15">
      <c r="A72" s="89">
        <f t="shared" si="3"/>
        <v>62</v>
      </c>
      <c r="B72" s="90">
        <v>2845</v>
      </c>
      <c r="C72" s="90">
        <v>207</v>
      </c>
      <c r="D72" s="91" t="s">
        <v>49</v>
      </c>
      <c r="E72" s="273" t="s">
        <v>109</v>
      </c>
      <c r="F72" s="235">
        <v>1990</v>
      </c>
      <c r="G72" s="104">
        <v>483.79</v>
      </c>
      <c r="H72" s="93">
        <f t="shared" si="10"/>
        <v>0</v>
      </c>
      <c r="I72" s="94">
        <f t="shared" si="10"/>
        <v>0</v>
      </c>
      <c r="J72" s="92">
        <f t="shared" si="5"/>
        <v>0</v>
      </c>
      <c r="K72" s="92">
        <f t="shared" si="6"/>
        <v>0</v>
      </c>
      <c r="L72" s="95">
        <v>89.16</v>
      </c>
      <c r="M72" s="345">
        <v>94.01</v>
      </c>
    </row>
    <row r="73" spans="1:13" ht="15">
      <c r="A73" s="89">
        <f t="shared" si="3"/>
        <v>63</v>
      </c>
      <c r="B73" s="90">
        <v>2845</v>
      </c>
      <c r="C73" s="90">
        <v>209</v>
      </c>
      <c r="D73" s="91" t="s">
        <v>53</v>
      </c>
      <c r="E73" s="273" t="s">
        <v>107</v>
      </c>
      <c r="F73" s="235">
        <v>1995</v>
      </c>
      <c r="G73" s="104">
        <v>1706.95</v>
      </c>
      <c r="H73" s="93">
        <f t="shared" si="10"/>
        <v>0</v>
      </c>
      <c r="I73" s="94">
        <f t="shared" si="10"/>
        <v>0</v>
      </c>
      <c r="J73" s="92">
        <f t="shared" si="5"/>
        <v>0</v>
      </c>
      <c r="K73" s="92">
        <f t="shared" si="6"/>
        <v>0</v>
      </c>
      <c r="L73" s="95">
        <v>624.16999999999996</v>
      </c>
      <c r="M73" s="345">
        <v>556.66</v>
      </c>
    </row>
    <row r="74" spans="1:13" ht="15">
      <c r="A74" s="89">
        <f t="shared" si="3"/>
        <v>64</v>
      </c>
      <c r="B74" s="90">
        <v>2845</v>
      </c>
      <c r="C74" s="90">
        <v>212</v>
      </c>
      <c r="D74" s="91" t="s">
        <v>42</v>
      </c>
      <c r="E74" s="273" t="s">
        <v>107</v>
      </c>
      <c r="F74" s="235">
        <v>1991</v>
      </c>
      <c r="G74" s="104">
        <v>204.21</v>
      </c>
      <c r="H74" s="93">
        <f t="shared" si="10"/>
        <v>0</v>
      </c>
      <c r="I74" s="94">
        <f t="shared" si="10"/>
        <v>0</v>
      </c>
      <c r="J74" s="92">
        <f t="shared" si="5"/>
        <v>0</v>
      </c>
      <c r="K74" s="92">
        <f t="shared" si="6"/>
        <v>0</v>
      </c>
      <c r="L74" s="95">
        <v>60.12</v>
      </c>
      <c r="M74" s="345">
        <v>52.23</v>
      </c>
    </row>
    <row r="75" spans="1:13" ht="15">
      <c r="A75" s="89">
        <f t="shared" si="3"/>
        <v>65</v>
      </c>
      <c r="B75" s="90">
        <v>2845</v>
      </c>
      <c r="C75" s="90">
        <v>213</v>
      </c>
      <c r="D75" s="91" t="s">
        <v>161</v>
      </c>
      <c r="E75" s="273" t="s">
        <v>107</v>
      </c>
      <c r="F75" s="235">
        <v>2004</v>
      </c>
      <c r="G75" s="107">
        <f>H75*47%</f>
        <v>0</v>
      </c>
      <c r="H75" s="93">
        <f t="shared" si="10"/>
        <v>0</v>
      </c>
      <c r="I75" s="94">
        <f t="shared" si="10"/>
        <v>0</v>
      </c>
      <c r="J75" s="92">
        <f t="shared" si="5"/>
        <v>0</v>
      </c>
      <c r="K75" s="92">
        <f t="shared" si="6"/>
        <v>0</v>
      </c>
      <c r="L75" s="95">
        <v>0</v>
      </c>
      <c r="M75" s="345">
        <v>60.74</v>
      </c>
    </row>
    <row r="76" spans="1:13" ht="15">
      <c r="A76" s="108">
        <f t="shared" si="3"/>
        <v>66</v>
      </c>
      <c r="B76" s="358">
        <v>2845</v>
      </c>
      <c r="C76" s="358">
        <v>214</v>
      </c>
      <c r="D76" s="106" t="s">
        <v>146</v>
      </c>
      <c r="E76" s="273" t="s">
        <v>107</v>
      </c>
      <c r="F76" s="125">
        <v>1981</v>
      </c>
      <c r="G76" s="107">
        <v>10</v>
      </c>
      <c r="H76" s="109">
        <v>0</v>
      </c>
      <c r="I76" s="110">
        <v>0</v>
      </c>
      <c r="J76" s="121">
        <f t="shared" si="5"/>
        <v>0</v>
      </c>
      <c r="K76" s="121">
        <f t="shared" si="6"/>
        <v>0</v>
      </c>
      <c r="L76" s="111"/>
      <c r="M76" s="157"/>
    </row>
    <row r="77" spans="1:13" ht="30">
      <c r="A77" s="89">
        <f t="shared" ref="A77:A139" si="11">A76+1</f>
        <v>67</v>
      </c>
      <c r="B77" s="90">
        <v>2845</v>
      </c>
      <c r="C77" s="90">
        <v>215</v>
      </c>
      <c r="D77" s="188" t="s">
        <v>142</v>
      </c>
      <c r="E77" s="273" t="s">
        <v>107</v>
      </c>
      <c r="F77" s="235">
        <v>1994</v>
      </c>
      <c r="G77" s="104">
        <v>77.459999999999994</v>
      </c>
      <c r="H77" s="93">
        <f>AH77</f>
        <v>0</v>
      </c>
      <c r="I77" s="94">
        <f>AI77</f>
        <v>0</v>
      </c>
      <c r="J77" s="92">
        <f t="shared" si="5"/>
        <v>0</v>
      </c>
      <c r="K77" s="92">
        <f t="shared" si="6"/>
        <v>0</v>
      </c>
      <c r="L77" s="95">
        <v>29.06</v>
      </c>
      <c r="M77" s="345">
        <v>44.26</v>
      </c>
    </row>
    <row r="78" spans="1:13" ht="15">
      <c r="A78" s="89">
        <f t="shared" si="11"/>
        <v>68</v>
      </c>
      <c r="B78" s="90">
        <v>2845</v>
      </c>
      <c r="C78" s="90">
        <v>216</v>
      </c>
      <c r="D78" s="91" t="s">
        <v>76</v>
      </c>
      <c r="E78" s="273" t="s">
        <v>107</v>
      </c>
      <c r="F78" s="235">
        <v>1933</v>
      </c>
      <c r="G78" s="104">
        <v>20146</v>
      </c>
      <c r="H78" s="126">
        <v>13431</v>
      </c>
      <c r="I78" s="127">
        <v>13431</v>
      </c>
      <c r="J78" s="92">
        <f t="shared" si="5"/>
        <v>0</v>
      </c>
      <c r="K78" s="92">
        <f t="shared" si="6"/>
        <v>0</v>
      </c>
      <c r="L78" s="128"/>
      <c r="M78" s="345"/>
    </row>
    <row r="79" spans="1:13" ht="15">
      <c r="A79" s="89">
        <f t="shared" si="11"/>
        <v>69</v>
      </c>
      <c r="B79" s="90">
        <v>2845</v>
      </c>
      <c r="C79" s="90">
        <v>217</v>
      </c>
      <c r="D79" s="91" t="s">
        <v>145</v>
      </c>
      <c r="E79" s="273" t="s">
        <v>107</v>
      </c>
      <c r="F79" s="235">
        <v>1993</v>
      </c>
      <c r="G79" s="104">
        <v>121.35</v>
      </c>
      <c r="H79" s="93">
        <f>AH79</f>
        <v>0</v>
      </c>
      <c r="I79" s="94">
        <f>AI79</f>
        <v>0</v>
      </c>
      <c r="J79" s="92">
        <f t="shared" si="5"/>
        <v>0</v>
      </c>
      <c r="K79" s="92">
        <f t="shared" si="6"/>
        <v>0</v>
      </c>
      <c r="L79" s="95">
        <v>66.709999999999994</v>
      </c>
      <c r="M79" s="345">
        <v>49.73</v>
      </c>
    </row>
    <row r="80" spans="1:13" ht="15">
      <c r="A80" s="108">
        <f t="shared" si="11"/>
        <v>70</v>
      </c>
      <c r="B80" s="358">
        <v>2845</v>
      </c>
      <c r="C80" s="358">
        <v>218</v>
      </c>
      <c r="D80" s="106" t="s">
        <v>77</v>
      </c>
      <c r="E80" s="273" t="s">
        <v>107</v>
      </c>
      <c r="F80" s="125">
        <v>1975</v>
      </c>
      <c r="G80" s="107">
        <v>25</v>
      </c>
      <c r="H80" s="109">
        <v>0</v>
      </c>
      <c r="I80" s="110">
        <v>0</v>
      </c>
      <c r="J80" s="121">
        <f t="shared" si="5"/>
        <v>0</v>
      </c>
      <c r="K80" s="121">
        <f t="shared" si="6"/>
        <v>0</v>
      </c>
      <c r="L80" s="111"/>
      <c r="M80" s="157"/>
    </row>
    <row r="81" spans="1:13" ht="15">
      <c r="A81" s="108">
        <f t="shared" si="11"/>
        <v>71</v>
      </c>
      <c r="B81" s="358">
        <v>2845</v>
      </c>
      <c r="C81" s="358">
        <v>219</v>
      </c>
      <c r="D81" s="106" t="s">
        <v>77</v>
      </c>
      <c r="E81" s="273" t="s">
        <v>107</v>
      </c>
      <c r="F81" s="125">
        <v>1975</v>
      </c>
      <c r="G81" s="107">
        <v>25</v>
      </c>
      <c r="H81" s="109">
        <v>0</v>
      </c>
      <c r="I81" s="110">
        <v>0</v>
      </c>
      <c r="J81" s="121">
        <f t="shared" si="5"/>
        <v>0</v>
      </c>
      <c r="K81" s="121">
        <f t="shared" si="6"/>
        <v>0</v>
      </c>
      <c r="L81" s="111"/>
      <c r="M81" s="157"/>
    </row>
    <row r="82" spans="1:13" ht="15">
      <c r="A82" s="108">
        <f t="shared" si="11"/>
        <v>72</v>
      </c>
      <c r="B82" s="358">
        <v>2845</v>
      </c>
      <c r="C82" s="358">
        <v>220</v>
      </c>
      <c r="D82" s="106" t="s">
        <v>77</v>
      </c>
      <c r="E82" s="273" t="s">
        <v>107</v>
      </c>
      <c r="F82" s="125">
        <v>1975</v>
      </c>
      <c r="G82" s="107">
        <v>25</v>
      </c>
      <c r="H82" s="109">
        <v>0</v>
      </c>
      <c r="I82" s="110">
        <v>0</v>
      </c>
      <c r="J82" s="121">
        <f t="shared" si="5"/>
        <v>0</v>
      </c>
      <c r="K82" s="121">
        <f t="shared" si="6"/>
        <v>0</v>
      </c>
      <c r="L82" s="111"/>
      <c r="M82" s="157"/>
    </row>
    <row r="83" spans="1:13" ht="15">
      <c r="A83" s="108">
        <f t="shared" si="11"/>
        <v>73</v>
      </c>
      <c r="B83" s="358">
        <v>2845</v>
      </c>
      <c r="C83" s="358">
        <v>221</v>
      </c>
      <c r="D83" s="106" t="s">
        <v>77</v>
      </c>
      <c r="E83" s="273" t="s">
        <v>107</v>
      </c>
      <c r="F83" s="125">
        <v>1975</v>
      </c>
      <c r="G83" s="107">
        <v>25</v>
      </c>
      <c r="H83" s="109">
        <v>0</v>
      </c>
      <c r="I83" s="110">
        <v>0</v>
      </c>
      <c r="J83" s="121">
        <f t="shared" si="5"/>
        <v>0</v>
      </c>
      <c r="K83" s="121">
        <f t="shared" si="6"/>
        <v>0</v>
      </c>
      <c r="L83" s="111"/>
      <c r="M83" s="157"/>
    </row>
    <row r="84" spans="1:13" ht="15">
      <c r="A84" s="108">
        <f t="shared" si="11"/>
        <v>74</v>
      </c>
      <c r="B84" s="358">
        <v>2845</v>
      </c>
      <c r="C84" s="358">
        <v>222</v>
      </c>
      <c r="D84" s="106" t="s">
        <v>77</v>
      </c>
      <c r="E84" s="273" t="s">
        <v>107</v>
      </c>
      <c r="F84" s="125">
        <v>1975</v>
      </c>
      <c r="G84" s="107">
        <v>25</v>
      </c>
      <c r="H84" s="109">
        <v>0</v>
      </c>
      <c r="I84" s="110">
        <v>0</v>
      </c>
      <c r="J84" s="121">
        <f t="shared" si="5"/>
        <v>0</v>
      </c>
      <c r="K84" s="121">
        <f t="shared" si="6"/>
        <v>0</v>
      </c>
      <c r="L84" s="111"/>
      <c r="M84" s="157"/>
    </row>
    <row r="85" spans="1:13" ht="15">
      <c r="A85" s="108">
        <f t="shared" si="11"/>
        <v>75</v>
      </c>
      <c r="B85" s="358">
        <v>2845</v>
      </c>
      <c r="C85" s="358">
        <v>223</v>
      </c>
      <c r="D85" s="106" t="s">
        <v>77</v>
      </c>
      <c r="E85" s="273" t="s">
        <v>107</v>
      </c>
      <c r="F85" s="125">
        <v>1975</v>
      </c>
      <c r="G85" s="107">
        <v>25</v>
      </c>
      <c r="H85" s="109">
        <v>0</v>
      </c>
      <c r="I85" s="110">
        <v>0</v>
      </c>
      <c r="J85" s="121">
        <f t="shared" ref="J85:J104" si="12">AC85</f>
        <v>0</v>
      </c>
      <c r="K85" s="121">
        <f t="shared" ref="K85:K106" si="13">AD85+AE85</f>
        <v>0</v>
      </c>
      <c r="L85" s="111"/>
      <c r="M85" s="157"/>
    </row>
    <row r="86" spans="1:13" ht="15">
      <c r="A86" s="108">
        <f t="shared" si="11"/>
        <v>76</v>
      </c>
      <c r="B86" s="358">
        <v>2845</v>
      </c>
      <c r="C86" s="358">
        <v>224</v>
      </c>
      <c r="D86" s="106" t="s">
        <v>77</v>
      </c>
      <c r="E86" s="273" t="s">
        <v>107</v>
      </c>
      <c r="F86" s="125">
        <v>1975</v>
      </c>
      <c r="G86" s="107">
        <v>15</v>
      </c>
      <c r="H86" s="109">
        <v>0</v>
      </c>
      <c r="I86" s="110">
        <v>0</v>
      </c>
      <c r="J86" s="121">
        <f t="shared" si="12"/>
        <v>0</v>
      </c>
      <c r="K86" s="121">
        <f t="shared" si="13"/>
        <v>0</v>
      </c>
      <c r="L86" s="111"/>
      <c r="M86" s="157"/>
    </row>
    <row r="87" spans="1:13" ht="15">
      <c r="A87" s="108">
        <f t="shared" si="11"/>
        <v>77</v>
      </c>
      <c r="B87" s="358">
        <v>2845</v>
      </c>
      <c r="C87" s="358">
        <v>225</v>
      </c>
      <c r="D87" s="106" t="s">
        <v>77</v>
      </c>
      <c r="E87" s="273" t="s">
        <v>107</v>
      </c>
      <c r="F87" s="125">
        <v>1975</v>
      </c>
      <c r="G87" s="107">
        <v>15</v>
      </c>
      <c r="H87" s="109">
        <v>0</v>
      </c>
      <c r="I87" s="110">
        <v>0</v>
      </c>
      <c r="J87" s="121">
        <f t="shared" si="12"/>
        <v>0</v>
      </c>
      <c r="K87" s="121">
        <f t="shared" si="13"/>
        <v>0</v>
      </c>
      <c r="L87" s="111"/>
      <c r="M87" s="157"/>
    </row>
    <row r="88" spans="1:13" ht="15">
      <c r="A88" s="108">
        <f t="shared" si="11"/>
        <v>78</v>
      </c>
      <c r="B88" s="358">
        <v>2845</v>
      </c>
      <c r="C88" s="358">
        <v>226</v>
      </c>
      <c r="D88" s="106" t="s">
        <v>77</v>
      </c>
      <c r="E88" s="273" t="s">
        <v>107</v>
      </c>
      <c r="F88" s="125">
        <v>1975</v>
      </c>
      <c r="G88" s="107">
        <v>25</v>
      </c>
      <c r="H88" s="109">
        <v>0</v>
      </c>
      <c r="I88" s="110">
        <v>0</v>
      </c>
      <c r="J88" s="121">
        <f t="shared" si="12"/>
        <v>0</v>
      </c>
      <c r="K88" s="121">
        <f t="shared" si="13"/>
        <v>0</v>
      </c>
      <c r="L88" s="111"/>
      <c r="M88" s="157"/>
    </row>
    <row r="89" spans="1:13" ht="15">
      <c r="A89" s="108">
        <f t="shared" si="11"/>
        <v>79</v>
      </c>
      <c r="B89" s="358">
        <v>2845</v>
      </c>
      <c r="C89" s="358">
        <v>227</v>
      </c>
      <c r="D89" s="106" t="s">
        <v>77</v>
      </c>
      <c r="E89" s="273" t="s">
        <v>107</v>
      </c>
      <c r="F89" s="125">
        <v>1975</v>
      </c>
      <c r="G89" s="107">
        <v>25</v>
      </c>
      <c r="H89" s="109">
        <v>0</v>
      </c>
      <c r="I89" s="110">
        <v>0</v>
      </c>
      <c r="J89" s="121">
        <f t="shared" si="12"/>
        <v>0</v>
      </c>
      <c r="K89" s="121">
        <f t="shared" si="13"/>
        <v>0</v>
      </c>
      <c r="L89" s="111"/>
      <c r="M89" s="157"/>
    </row>
    <row r="90" spans="1:13" ht="15">
      <c r="A90" s="108">
        <f t="shared" si="11"/>
        <v>80</v>
      </c>
      <c r="B90" s="358">
        <v>2845</v>
      </c>
      <c r="C90" s="358">
        <v>228</v>
      </c>
      <c r="D90" s="106" t="s">
        <v>77</v>
      </c>
      <c r="E90" s="273" t="s">
        <v>107</v>
      </c>
      <c r="F90" s="125">
        <v>1975</v>
      </c>
      <c r="G90" s="107">
        <v>54</v>
      </c>
      <c r="H90" s="109">
        <v>0</v>
      </c>
      <c r="I90" s="110">
        <v>0</v>
      </c>
      <c r="J90" s="121">
        <f t="shared" si="12"/>
        <v>0</v>
      </c>
      <c r="K90" s="121">
        <f t="shared" si="13"/>
        <v>0</v>
      </c>
      <c r="L90" s="111"/>
      <c r="M90" s="157"/>
    </row>
    <row r="91" spans="1:13" ht="30">
      <c r="A91" s="108">
        <f t="shared" si="11"/>
        <v>81</v>
      </c>
      <c r="B91" s="358">
        <v>2845</v>
      </c>
      <c r="C91" s="358">
        <v>229</v>
      </c>
      <c r="D91" s="188" t="s">
        <v>159</v>
      </c>
      <c r="E91" s="273" t="s">
        <v>107</v>
      </c>
      <c r="F91" s="125">
        <v>1986</v>
      </c>
      <c r="G91" s="107">
        <v>27</v>
      </c>
      <c r="H91" s="109">
        <v>9</v>
      </c>
      <c r="I91" s="110">
        <v>9</v>
      </c>
      <c r="J91" s="121">
        <f t="shared" si="12"/>
        <v>0</v>
      </c>
      <c r="K91" s="121">
        <f t="shared" si="13"/>
        <v>0</v>
      </c>
      <c r="L91" s="111"/>
      <c r="M91" s="157"/>
    </row>
    <row r="92" spans="1:13" ht="30">
      <c r="A92" s="108">
        <f t="shared" si="11"/>
        <v>82</v>
      </c>
      <c r="B92" s="358">
        <v>2845</v>
      </c>
      <c r="C92" s="358">
        <v>230</v>
      </c>
      <c r="D92" s="188" t="s">
        <v>160</v>
      </c>
      <c r="E92" s="273" t="s">
        <v>107</v>
      </c>
      <c r="F92" s="125">
        <v>1997</v>
      </c>
      <c r="G92" s="107">
        <v>9</v>
      </c>
      <c r="H92" s="109">
        <v>0</v>
      </c>
      <c r="I92" s="110">
        <v>0</v>
      </c>
      <c r="J92" s="121">
        <f t="shared" si="12"/>
        <v>0</v>
      </c>
      <c r="K92" s="121">
        <f t="shared" si="13"/>
        <v>0</v>
      </c>
      <c r="L92" s="111"/>
      <c r="M92" s="157"/>
    </row>
    <row r="93" spans="1:13" ht="30">
      <c r="A93" s="108">
        <f t="shared" si="11"/>
        <v>83</v>
      </c>
      <c r="B93" s="358">
        <v>2845</v>
      </c>
      <c r="C93" s="358">
        <v>231</v>
      </c>
      <c r="D93" s="188" t="s">
        <v>142</v>
      </c>
      <c r="E93" s="273" t="s">
        <v>107</v>
      </c>
      <c r="F93" s="125">
        <v>1994</v>
      </c>
      <c r="G93" s="107">
        <v>77.459999999999994</v>
      </c>
      <c r="H93" s="119">
        <f>AH93</f>
        <v>0</v>
      </c>
      <c r="I93" s="120">
        <f>AI93</f>
        <v>0</v>
      </c>
      <c r="J93" s="121">
        <f t="shared" si="12"/>
        <v>0</v>
      </c>
      <c r="K93" s="121">
        <f t="shared" si="13"/>
        <v>0</v>
      </c>
      <c r="L93" s="122">
        <v>29.06</v>
      </c>
      <c r="M93" s="157">
        <v>44.26</v>
      </c>
    </row>
    <row r="94" spans="1:13" ht="45">
      <c r="A94" s="108">
        <f t="shared" si="11"/>
        <v>84</v>
      </c>
      <c r="B94" s="358">
        <v>2845</v>
      </c>
      <c r="C94" s="358">
        <v>232</v>
      </c>
      <c r="D94" s="188" t="s">
        <v>156</v>
      </c>
      <c r="E94" s="273" t="s">
        <v>107</v>
      </c>
      <c r="F94" s="125">
        <v>2006</v>
      </c>
      <c r="G94" s="107">
        <v>3</v>
      </c>
      <c r="H94" s="109">
        <v>3</v>
      </c>
      <c r="I94" s="110">
        <v>3</v>
      </c>
      <c r="J94" s="121">
        <f t="shared" si="12"/>
        <v>0</v>
      </c>
      <c r="K94" s="121">
        <f t="shared" si="13"/>
        <v>0</v>
      </c>
      <c r="L94" s="111"/>
      <c r="M94" s="157"/>
    </row>
    <row r="95" spans="1:13" ht="45">
      <c r="A95" s="108">
        <f t="shared" si="11"/>
        <v>85</v>
      </c>
      <c r="B95" s="358">
        <v>2845</v>
      </c>
      <c r="C95" s="358">
        <v>233</v>
      </c>
      <c r="D95" s="188" t="s">
        <v>158</v>
      </c>
      <c r="E95" s="273" t="s">
        <v>107</v>
      </c>
      <c r="F95" s="125">
        <v>2006</v>
      </c>
      <c r="G95" s="107">
        <v>3</v>
      </c>
      <c r="H95" s="109">
        <v>3</v>
      </c>
      <c r="I95" s="110">
        <v>3</v>
      </c>
      <c r="J95" s="121">
        <f t="shared" si="12"/>
        <v>0</v>
      </c>
      <c r="K95" s="121">
        <f t="shared" si="13"/>
        <v>0</v>
      </c>
      <c r="L95" s="111"/>
      <c r="M95" s="157"/>
    </row>
    <row r="96" spans="1:13" ht="30">
      <c r="A96" s="108">
        <f t="shared" si="11"/>
        <v>86</v>
      </c>
      <c r="B96" s="358">
        <v>2845</v>
      </c>
      <c r="C96" s="358">
        <v>234</v>
      </c>
      <c r="D96" s="188" t="s">
        <v>157</v>
      </c>
      <c r="E96" s="273" t="s">
        <v>107</v>
      </c>
      <c r="F96" s="125">
        <v>2006</v>
      </c>
      <c r="G96" s="107">
        <v>25</v>
      </c>
      <c r="H96" s="109">
        <v>7</v>
      </c>
      <c r="I96" s="110">
        <v>7</v>
      </c>
      <c r="J96" s="121">
        <f t="shared" si="12"/>
        <v>0</v>
      </c>
      <c r="K96" s="121">
        <f t="shared" si="13"/>
        <v>0</v>
      </c>
      <c r="L96" s="111"/>
      <c r="M96" s="157"/>
    </row>
    <row r="97" spans="1:13" ht="31.5" customHeight="1">
      <c r="A97" s="108">
        <f t="shared" si="11"/>
        <v>87</v>
      </c>
      <c r="B97" s="358">
        <v>2845</v>
      </c>
      <c r="C97" s="358">
        <v>235</v>
      </c>
      <c r="D97" s="188" t="s">
        <v>143</v>
      </c>
      <c r="E97" s="273" t="s">
        <v>107</v>
      </c>
      <c r="F97" s="125">
        <v>1992</v>
      </c>
      <c r="G97" s="107">
        <v>1</v>
      </c>
      <c r="H97" s="109">
        <v>0</v>
      </c>
      <c r="I97" s="110">
        <v>0</v>
      </c>
      <c r="J97" s="121">
        <f t="shared" si="12"/>
        <v>0</v>
      </c>
      <c r="K97" s="121">
        <f t="shared" si="13"/>
        <v>0</v>
      </c>
      <c r="L97" s="111"/>
      <c r="M97" s="157"/>
    </row>
    <row r="98" spans="1:13" ht="29.25" customHeight="1">
      <c r="A98" s="108">
        <f t="shared" si="11"/>
        <v>88</v>
      </c>
      <c r="B98" s="358">
        <v>2845</v>
      </c>
      <c r="C98" s="358">
        <v>236</v>
      </c>
      <c r="D98" s="188" t="s">
        <v>143</v>
      </c>
      <c r="E98" s="273" t="s">
        <v>107</v>
      </c>
      <c r="F98" s="125">
        <v>1992</v>
      </c>
      <c r="G98" s="107">
        <v>1</v>
      </c>
      <c r="H98" s="109">
        <v>0</v>
      </c>
      <c r="I98" s="110">
        <v>0</v>
      </c>
      <c r="J98" s="121">
        <f t="shared" si="12"/>
        <v>0</v>
      </c>
      <c r="K98" s="121">
        <f t="shared" si="13"/>
        <v>0</v>
      </c>
      <c r="L98" s="111"/>
      <c r="M98" s="157"/>
    </row>
    <row r="99" spans="1:13" ht="33" customHeight="1">
      <c r="A99" s="108">
        <f t="shared" si="11"/>
        <v>89</v>
      </c>
      <c r="B99" s="358">
        <v>2845</v>
      </c>
      <c r="C99" s="358">
        <v>237</v>
      </c>
      <c r="D99" s="188" t="s">
        <v>143</v>
      </c>
      <c r="E99" s="273" t="s">
        <v>107</v>
      </c>
      <c r="F99" s="125">
        <v>1992</v>
      </c>
      <c r="G99" s="107">
        <v>1</v>
      </c>
      <c r="H99" s="109">
        <v>0</v>
      </c>
      <c r="I99" s="110">
        <v>0</v>
      </c>
      <c r="J99" s="121">
        <f t="shared" si="12"/>
        <v>0</v>
      </c>
      <c r="K99" s="121">
        <f t="shared" si="13"/>
        <v>0</v>
      </c>
      <c r="L99" s="111"/>
      <c r="M99" s="157"/>
    </row>
    <row r="100" spans="1:13" ht="29.25" customHeight="1">
      <c r="A100" s="108">
        <f t="shared" si="11"/>
        <v>90</v>
      </c>
      <c r="B100" s="358">
        <v>2845</v>
      </c>
      <c r="C100" s="358">
        <v>238</v>
      </c>
      <c r="D100" s="188" t="s">
        <v>143</v>
      </c>
      <c r="E100" s="273" t="s">
        <v>107</v>
      </c>
      <c r="F100" s="125">
        <v>1992</v>
      </c>
      <c r="G100" s="107">
        <v>1</v>
      </c>
      <c r="H100" s="109">
        <v>0</v>
      </c>
      <c r="I100" s="110">
        <v>0</v>
      </c>
      <c r="J100" s="121">
        <f t="shared" si="12"/>
        <v>0</v>
      </c>
      <c r="K100" s="121">
        <f t="shared" si="13"/>
        <v>0</v>
      </c>
      <c r="L100" s="111"/>
      <c r="M100" s="157"/>
    </row>
    <row r="101" spans="1:13" ht="30">
      <c r="A101" s="108">
        <f t="shared" si="11"/>
        <v>91</v>
      </c>
      <c r="B101" s="358">
        <v>2845</v>
      </c>
      <c r="C101" s="358">
        <v>239</v>
      </c>
      <c r="D101" s="188" t="s">
        <v>152</v>
      </c>
      <c r="E101" s="273" t="s">
        <v>107</v>
      </c>
      <c r="F101" s="125">
        <v>2007</v>
      </c>
      <c r="G101" s="107">
        <v>13</v>
      </c>
      <c r="H101" s="109">
        <v>34</v>
      </c>
      <c r="I101" s="110">
        <v>34</v>
      </c>
      <c r="J101" s="121">
        <f t="shared" si="12"/>
        <v>0</v>
      </c>
      <c r="K101" s="121">
        <f t="shared" si="13"/>
        <v>0</v>
      </c>
      <c r="L101" s="111"/>
      <c r="M101" s="157"/>
    </row>
    <row r="102" spans="1:13" ht="15">
      <c r="A102" s="89">
        <f t="shared" si="11"/>
        <v>92</v>
      </c>
      <c r="B102" s="90">
        <v>2845</v>
      </c>
      <c r="C102" s="90">
        <v>240</v>
      </c>
      <c r="D102" s="91" t="s">
        <v>150</v>
      </c>
      <c r="E102" s="273" t="s">
        <v>107</v>
      </c>
      <c r="F102" s="235">
        <v>2011</v>
      </c>
      <c r="G102" s="104">
        <v>33.75</v>
      </c>
      <c r="H102" s="93">
        <f t="shared" ref="H102:I104" si="14">AH102</f>
        <v>0</v>
      </c>
      <c r="I102" s="94">
        <f t="shared" si="14"/>
        <v>0</v>
      </c>
      <c r="J102" s="92">
        <f t="shared" si="12"/>
        <v>0</v>
      </c>
      <c r="K102" s="92">
        <f t="shared" si="13"/>
        <v>0</v>
      </c>
      <c r="L102" s="95">
        <v>14.35</v>
      </c>
      <c r="M102" s="345">
        <v>14.28</v>
      </c>
    </row>
    <row r="103" spans="1:13" ht="15">
      <c r="A103" s="89">
        <f t="shared" si="11"/>
        <v>93</v>
      </c>
      <c r="B103" s="359">
        <v>2845</v>
      </c>
      <c r="C103" s="359">
        <v>241</v>
      </c>
      <c r="D103" s="129" t="s">
        <v>149</v>
      </c>
      <c r="E103" s="273" t="s">
        <v>107</v>
      </c>
      <c r="F103" s="237">
        <v>2011</v>
      </c>
      <c r="G103" s="92">
        <v>43.29</v>
      </c>
      <c r="H103" s="93">
        <f t="shared" si="14"/>
        <v>0</v>
      </c>
      <c r="I103" s="94">
        <f t="shared" si="14"/>
        <v>0</v>
      </c>
      <c r="J103" s="92">
        <f t="shared" si="12"/>
        <v>0</v>
      </c>
      <c r="K103" s="92">
        <f t="shared" si="13"/>
        <v>0</v>
      </c>
      <c r="L103" s="95">
        <v>11.53</v>
      </c>
      <c r="M103" s="349">
        <v>11.1</v>
      </c>
    </row>
    <row r="104" spans="1:13" ht="30">
      <c r="A104" s="89">
        <f t="shared" si="11"/>
        <v>94</v>
      </c>
      <c r="B104" s="359">
        <v>2845</v>
      </c>
      <c r="C104" s="90">
        <v>242</v>
      </c>
      <c r="D104" s="195" t="s">
        <v>147</v>
      </c>
      <c r="E104" s="273" t="s">
        <v>107</v>
      </c>
      <c r="F104" s="235">
        <v>2011</v>
      </c>
      <c r="G104" s="104">
        <v>83.45</v>
      </c>
      <c r="H104" s="93">
        <f t="shared" si="14"/>
        <v>0</v>
      </c>
      <c r="I104" s="94">
        <f t="shared" si="14"/>
        <v>0</v>
      </c>
      <c r="J104" s="92">
        <f t="shared" si="12"/>
        <v>0</v>
      </c>
      <c r="K104" s="92">
        <f t="shared" si="13"/>
        <v>0</v>
      </c>
      <c r="L104" s="95">
        <v>19.39</v>
      </c>
      <c r="M104" s="345">
        <v>18.71</v>
      </c>
    </row>
    <row r="105" spans="1:13" ht="30">
      <c r="A105" s="89">
        <f t="shared" si="11"/>
        <v>95</v>
      </c>
      <c r="B105" s="359">
        <v>2845</v>
      </c>
      <c r="C105" s="90">
        <v>243</v>
      </c>
      <c r="D105" s="195" t="s">
        <v>144</v>
      </c>
      <c r="E105" s="277" t="s">
        <v>107</v>
      </c>
      <c r="F105" s="235">
        <v>2013</v>
      </c>
      <c r="G105" s="104">
        <v>0</v>
      </c>
      <c r="H105" s="93">
        <v>1</v>
      </c>
      <c r="I105" s="94">
        <v>0</v>
      </c>
      <c r="J105" s="121">
        <v>1</v>
      </c>
      <c r="K105" s="92">
        <f t="shared" si="13"/>
        <v>0</v>
      </c>
      <c r="L105" s="95">
        <v>0</v>
      </c>
      <c r="M105" s="345">
        <v>1</v>
      </c>
    </row>
    <row r="106" spans="1:13" ht="30">
      <c r="A106" s="89">
        <f t="shared" si="11"/>
        <v>96</v>
      </c>
      <c r="B106" s="90">
        <v>2845</v>
      </c>
      <c r="C106" s="90">
        <v>244</v>
      </c>
      <c r="D106" s="195" t="s">
        <v>148</v>
      </c>
      <c r="E106" s="277" t="s">
        <v>107</v>
      </c>
      <c r="F106" s="235">
        <v>2014</v>
      </c>
      <c r="G106" s="104">
        <v>57</v>
      </c>
      <c r="H106" s="93">
        <v>24</v>
      </c>
      <c r="I106" s="94">
        <v>24</v>
      </c>
      <c r="J106" s="121">
        <v>0</v>
      </c>
      <c r="K106" s="92">
        <f t="shared" si="13"/>
        <v>0</v>
      </c>
      <c r="L106" s="122">
        <v>24</v>
      </c>
      <c r="M106" s="345">
        <v>24</v>
      </c>
    </row>
    <row r="107" spans="1:13" ht="15">
      <c r="A107" s="89">
        <f t="shared" si="11"/>
        <v>97</v>
      </c>
      <c r="B107" s="90">
        <v>2845</v>
      </c>
      <c r="C107" s="90"/>
      <c r="D107" s="195" t="s">
        <v>163</v>
      </c>
      <c r="E107" s="277"/>
      <c r="F107" s="235"/>
      <c r="G107" s="104"/>
      <c r="H107" s="93"/>
      <c r="I107" s="94"/>
      <c r="J107" s="121"/>
      <c r="K107" s="92"/>
      <c r="L107" s="122"/>
      <c r="M107" s="345"/>
    </row>
    <row r="108" spans="1:13" ht="15">
      <c r="A108" s="89">
        <f t="shared" si="11"/>
        <v>98</v>
      </c>
      <c r="B108" s="90">
        <v>2845</v>
      </c>
      <c r="C108" s="90"/>
      <c r="D108" s="195" t="s">
        <v>164</v>
      </c>
      <c r="E108" s="277"/>
      <c r="F108" s="235"/>
      <c r="G108" s="104"/>
      <c r="H108" s="93"/>
      <c r="I108" s="94"/>
      <c r="J108" s="121"/>
      <c r="K108" s="92"/>
      <c r="L108" s="122"/>
      <c r="M108" s="345"/>
    </row>
    <row r="109" spans="1:13" ht="15">
      <c r="A109" s="89">
        <f t="shared" si="11"/>
        <v>99</v>
      </c>
      <c r="B109" s="90">
        <v>2845</v>
      </c>
      <c r="C109" s="90"/>
      <c r="D109" s="195" t="s">
        <v>165</v>
      </c>
      <c r="E109" s="277"/>
      <c r="F109" s="235"/>
      <c r="G109" s="104"/>
      <c r="H109" s="93"/>
      <c r="I109" s="94"/>
      <c r="J109" s="121"/>
      <c r="K109" s="92"/>
      <c r="L109" s="122"/>
      <c r="M109" s="345"/>
    </row>
    <row r="110" spans="1:13" ht="30.75" customHeight="1">
      <c r="A110" s="89">
        <f t="shared" si="11"/>
        <v>100</v>
      </c>
      <c r="B110" s="90">
        <v>2845</v>
      </c>
      <c r="C110" s="90"/>
      <c r="D110" s="195" t="s">
        <v>169</v>
      </c>
      <c r="E110" s="277"/>
      <c r="F110" s="235"/>
      <c r="G110" s="104"/>
      <c r="H110" s="93"/>
      <c r="I110" s="94"/>
      <c r="J110" s="121"/>
      <c r="K110" s="92"/>
      <c r="L110" s="122"/>
      <c r="M110" s="345"/>
    </row>
    <row r="111" spans="1:13" ht="27" customHeight="1">
      <c r="A111" s="89">
        <f t="shared" si="11"/>
        <v>101</v>
      </c>
      <c r="B111" s="90">
        <v>2845</v>
      </c>
      <c r="C111" s="90"/>
      <c r="D111" s="195" t="s">
        <v>170</v>
      </c>
      <c r="E111" s="277"/>
      <c r="F111" s="235"/>
      <c r="G111" s="104"/>
      <c r="H111" s="93"/>
      <c r="I111" s="94"/>
      <c r="J111" s="121"/>
      <c r="K111" s="92"/>
      <c r="L111" s="122"/>
      <c r="M111" s="345"/>
    </row>
    <row r="112" spans="1:13" ht="15.75">
      <c r="A112" s="563" t="s">
        <v>94</v>
      </c>
      <c r="B112" s="564"/>
      <c r="C112" s="564"/>
      <c r="D112" s="565"/>
      <c r="E112" s="333"/>
      <c r="F112" s="334"/>
      <c r="G112" s="335">
        <f t="shared" ref="G112:M112" si="15">SUM(G11:G111)</f>
        <v>344623.56</v>
      </c>
      <c r="H112" s="336">
        <f t="shared" si="15"/>
        <v>38949.4</v>
      </c>
      <c r="I112" s="336">
        <f t="shared" si="15"/>
        <v>33301.800000000003</v>
      </c>
      <c r="J112" s="336">
        <f t="shared" si="15"/>
        <v>101.8</v>
      </c>
      <c r="K112" s="336">
        <f t="shared" si="15"/>
        <v>1172.4499999999998</v>
      </c>
      <c r="L112" s="335">
        <f t="shared" si="15"/>
        <v>36004.209999999992</v>
      </c>
      <c r="M112" s="350">
        <f t="shared" si="15"/>
        <v>34068.23000000001</v>
      </c>
    </row>
    <row r="113" spans="1:13" ht="15">
      <c r="A113" s="369">
        <f>A111+1</f>
        <v>102</v>
      </c>
      <c r="B113" s="91"/>
      <c r="C113" s="91" t="s">
        <v>186</v>
      </c>
      <c r="D113" s="91" t="s">
        <v>185</v>
      </c>
      <c r="E113" s="51" t="s">
        <v>109</v>
      </c>
      <c r="F113" s="220">
        <v>1966</v>
      </c>
      <c r="G113" s="126">
        <v>17468.63</v>
      </c>
      <c r="H113" s="126"/>
      <c r="I113" s="126">
        <v>4673.38</v>
      </c>
      <c r="J113" s="126"/>
      <c r="K113" s="126"/>
      <c r="L113" s="126"/>
      <c r="M113" s="345">
        <v>611.67999999999995</v>
      </c>
    </row>
    <row r="114" spans="1:13" ht="15.75">
      <c r="A114" s="591" t="s">
        <v>189</v>
      </c>
      <c r="B114" s="445"/>
      <c r="C114" s="445"/>
      <c r="D114" s="445"/>
      <c r="E114" s="325"/>
      <c r="F114" s="326"/>
      <c r="G114" s="130">
        <f>G113</f>
        <v>17468.63</v>
      </c>
      <c r="H114" s="130"/>
      <c r="I114" s="130">
        <f>I113</f>
        <v>4673.38</v>
      </c>
      <c r="J114" s="130"/>
      <c r="K114" s="130"/>
      <c r="L114" s="130"/>
      <c r="M114" s="351">
        <f>M113</f>
        <v>611.67999999999995</v>
      </c>
    </row>
    <row r="115" spans="1:13" ht="15.75">
      <c r="A115" s="591" t="s">
        <v>93</v>
      </c>
      <c r="B115" s="445"/>
      <c r="C115" s="445"/>
      <c r="D115" s="445"/>
      <c r="E115" s="325"/>
      <c r="F115" s="218"/>
      <c r="G115" s="130"/>
      <c r="H115" s="130"/>
      <c r="I115" s="130"/>
      <c r="J115" s="130"/>
      <c r="K115" s="130"/>
      <c r="L115" s="130"/>
      <c r="M115" s="351"/>
    </row>
    <row r="116" spans="1:13" ht="15.75">
      <c r="A116" s="108">
        <f>A113+1</f>
        <v>103</v>
      </c>
      <c r="B116" s="132">
        <v>3856</v>
      </c>
      <c r="C116" s="358">
        <v>6</v>
      </c>
      <c r="D116" s="133" t="s">
        <v>41</v>
      </c>
      <c r="E116" s="279" t="s">
        <v>109</v>
      </c>
      <c r="F116" s="125">
        <v>1970</v>
      </c>
      <c r="G116" s="134">
        <v>484</v>
      </c>
      <c r="H116" s="358">
        <v>153</v>
      </c>
      <c r="I116" s="125">
        <v>110</v>
      </c>
      <c r="J116" s="121">
        <f t="shared" ref="J116:J140" si="16">AC116</f>
        <v>0</v>
      </c>
      <c r="K116" s="121">
        <f t="shared" ref="K116:K140" si="17">AD116+AE116</f>
        <v>0</v>
      </c>
      <c r="L116" s="135"/>
      <c r="M116" s="124"/>
    </row>
    <row r="117" spans="1:13" ht="30">
      <c r="A117" s="108">
        <f t="shared" si="11"/>
        <v>104</v>
      </c>
      <c r="B117" s="358">
        <v>3856</v>
      </c>
      <c r="C117" s="358">
        <v>7</v>
      </c>
      <c r="D117" s="188" t="s">
        <v>175</v>
      </c>
      <c r="E117" s="279" t="s">
        <v>107</v>
      </c>
      <c r="F117" s="125">
        <v>1960</v>
      </c>
      <c r="G117" s="134">
        <v>9</v>
      </c>
      <c r="H117" s="358">
        <v>2</v>
      </c>
      <c r="I117" s="125">
        <v>2</v>
      </c>
      <c r="J117" s="121">
        <f t="shared" si="16"/>
        <v>0</v>
      </c>
      <c r="K117" s="121">
        <f t="shared" si="17"/>
        <v>0</v>
      </c>
      <c r="L117" s="135"/>
      <c r="M117" s="124"/>
    </row>
    <row r="118" spans="1:13" ht="15">
      <c r="A118" s="89">
        <f t="shared" si="11"/>
        <v>105</v>
      </c>
      <c r="B118" s="90">
        <v>3856</v>
      </c>
      <c r="C118" s="90">
        <v>8</v>
      </c>
      <c r="D118" s="91" t="s">
        <v>54</v>
      </c>
      <c r="E118" s="277" t="s">
        <v>109</v>
      </c>
      <c r="F118" s="235">
        <v>1976</v>
      </c>
      <c r="G118" s="104">
        <v>224.55</v>
      </c>
      <c r="H118" s="126">
        <v>62.96</v>
      </c>
      <c r="I118" s="127">
        <v>62.96</v>
      </c>
      <c r="J118" s="92">
        <f t="shared" si="16"/>
        <v>0</v>
      </c>
      <c r="K118" s="92">
        <f t="shared" si="17"/>
        <v>0</v>
      </c>
      <c r="L118" s="128">
        <v>154.88999999999999</v>
      </c>
      <c r="M118" s="345">
        <v>75.13</v>
      </c>
    </row>
    <row r="119" spans="1:13" ht="15">
      <c r="A119" s="89">
        <f t="shared" si="11"/>
        <v>106</v>
      </c>
      <c r="B119" s="90">
        <v>3856</v>
      </c>
      <c r="C119" s="90">
        <v>9</v>
      </c>
      <c r="D119" s="91" t="s">
        <v>55</v>
      </c>
      <c r="E119" s="277" t="s">
        <v>109</v>
      </c>
      <c r="F119" s="235">
        <v>1938</v>
      </c>
      <c r="G119" s="104">
        <v>1014.87</v>
      </c>
      <c r="H119" s="126">
        <v>224.89</v>
      </c>
      <c r="I119" s="127">
        <v>179.65</v>
      </c>
      <c r="J119" s="92">
        <f t="shared" si="16"/>
        <v>0</v>
      </c>
      <c r="K119" s="92">
        <f t="shared" si="17"/>
        <v>0</v>
      </c>
      <c r="L119" s="128">
        <v>278.91000000000003</v>
      </c>
      <c r="M119" s="345">
        <v>158.06</v>
      </c>
    </row>
    <row r="120" spans="1:13" ht="15">
      <c r="A120" s="89">
        <f t="shared" si="11"/>
        <v>107</v>
      </c>
      <c r="B120" s="90">
        <v>3856</v>
      </c>
      <c r="C120" s="90">
        <v>10</v>
      </c>
      <c r="D120" s="91" t="s">
        <v>56</v>
      </c>
      <c r="E120" s="277" t="s">
        <v>109</v>
      </c>
      <c r="F120" s="235">
        <v>1981</v>
      </c>
      <c r="G120" s="104">
        <v>2739.22</v>
      </c>
      <c r="H120" s="126">
        <v>737.67</v>
      </c>
      <c r="I120" s="127">
        <v>535.48</v>
      </c>
      <c r="J120" s="92">
        <f t="shared" si="16"/>
        <v>0</v>
      </c>
      <c r="K120" s="92">
        <f t="shared" si="17"/>
        <v>0</v>
      </c>
      <c r="L120" s="128">
        <v>491.86</v>
      </c>
      <c r="M120" s="345">
        <v>334.31</v>
      </c>
    </row>
    <row r="121" spans="1:13" ht="15">
      <c r="A121" s="89">
        <f t="shared" si="11"/>
        <v>108</v>
      </c>
      <c r="B121" s="90">
        <v>3856</v>
      </c>
      <c r="C121" s="90">
        <v>11</v>
      </c>
      <c r="D121" s="91" t="s">
        <v>87</v>
      </c>
      <c r="E121" s="277" t="s">
        <v>109</v>
      </c>
      <c r="F121" s="235">
        <v>2013</v>
      </c>
      <c r="G121" s="104">
        <v>11671</v>
      </c>
      <c r="H121" s="126">
        <v>1334</v>
      </c>
      <c r="I121" s="127">
        <v>1334</v>
      </c>
      <c r="J121" s="92">
        <f t="shared" si="16"/>
        <v>0</v>
      </c>
      <c r="K121" s="92">
        <f t="shared" si="17"/>
        <v>0</v>
      </c>
      <c r="L121" s="128">
        <v>1575.6</v>
      </c>
      <c r="M121" s="157">
        <f>60.2*25</f>
        <v>1505</v>
      </c>
    </row>
    <row r="122" spans="1:13" ht="30" customHeight="1">
      <c r="A122" s="89">
        <f t="shared" si="11"/>
        <v>109</v>
      </c>
      <c r="B122" s="90">
        <v>3856</v>
      </c>
      <c r="C122" s="90">
        <v>29</v>
      </c>
      <c r="D122" s="195" t="s">
        <v>57</v>
      </c>
      <c r="E122" s="277" t="s">
        <v>109</v>
      </c>
      <c r="F122" s="235">
        <v>1984</v>
      </c>
      <c r="G122" s="104">
        <v>2012.34</v>
      </c>
      <c r="H122" s="126">
        <v>351.85</v>
      </c>
      <c r="I122" s="127">
        <v>351.85</v>
      </c>
      <c r="J122" s="92">
        <f t="shared" si="16"/>
        <v>0</v>
      </c>
      <c r="K122" s="92">
        <f t="shared" si="17"/>
        <v>0</v>
      </c>
      <c r="L122" s="128">
        <v>456.7</v>
      </c>
      <c r="M122" s="345">
        <v>371.62</v>
      </c>
    </row>
    <row r="123" spans="1:13" ht="27" customHeight="1">
      <c r="A123" s="89">
        <f t="shared" si="11"/>
        <v>110</v>
      </c>
      <c r="B123" s="90">
        <v>3856</v>
      </c>
      <c r="C123" s="90">
        <v>30</v>
      </c>
      <c r="D123" s="195" t="s">
        <v>44</v>
      </c>
      <c r="E123" s="277" t="s">
        <v>109</v>
      </c>
      <c r="F123" s="235">
        <v>1984</v>
      </c>
      <c r="G123" s="104">
        <v>3326.14</v>
      </c>
      <c r="H123" s="126">
        <v>519.36</v>
      </c>
      <c r="I123" s="127">
        <v>519.36</v>
      </c>
      <c r="J123" s="92">
        <f t="shared" si="16"/>
        <v>0</v>
      </c>
      <c r="K123" s="92">
        <f t="shared" si="17"/>
        <v>0</v>
      </c>
      <c r="L123" s="128">
        <v>564.57000000000005</v>
      </c>
      <c r="M123" s="345">
        <v>556.21</v>
      </c>
    </row>
    <row r="124" spans="1:13" ht="24.75" customHeight="1">
      <c r="A124" s="89">
        <f t="shared" si="11"/>
        <v>111</v>
      </c>
      <c r="B124" s="90">
        <v>3856</v>
      </c>
      <c r="C124" s="90">
        <v>31</v>
      </c>
      <c r="D124" s="195" t="s">
        <v>57</v>
      </c>
      <c r="E124" s="277" t="s">
        <v>109</v>
      </c>
      <c r="F124" s="235">
        <v>1984</v>
      </c>
      <c r="G124" s="104">
        <v>1833.07</v>
      </c>
      <c r="H124" s="126">
        <v>308.79000000000002</v>
      </c>
      <c r="I124" s="127">
        <v>308.79000000000002</v>
      </c>
      <c r="J124" s="92">
        <f t="shared" si="16"/>
        <v>0</v>
      </c>
      <c r="K124" s="92">
        <f t="shared" si="17"/>
        <v>0</v>
      </c>
      <c r="L124" s="128">
        <v>342.13</v>
      </c>
      <c r="M124" s="345">
        <v>338.83</v>
      </c>
    </row>
    <row r="125" spans="1:13" ht="15">
      <c r="A125" s="108">
        <f t="shared" si="11"/>
        <v>112</v>
      </c>
      <c r="B125" s="358">
        <v>3856</v>
      </c>
      <c r="C125" s="358">
        <v>32</v>
      </c>
      <c r="D125" s="106" t="s">
        <v>35</v>
      </c>
      <c r="E125" s="277" t="s">
        <v>109</v>
      </c>
      <c r="F125" s="125">
        <v>1984</v>
      </c>
      <c r="G125" s="107">
        <v>9590</v>
      </c>
      <c r="H125" s="109">
        <v>1544</v>
      </c>
      <c r="I125" s="110">
        <v>1196</v>
      </c>
      <c r="J125" s="92">
        <f t="shared" si="16"/>
        <v>0</v>
      </c>
      <c r="K125" s="92">
        <f t="shared" si="17"/>
        <v>0</v>
      </c>
      <c r="L125" s="111"/>
      <c r="M125" s="157"/>
    </row>
    <row r="126" spans="1:13" ht="15">
      <c r="A126" s="89">
        <f t="shared" si="11"/>
        <v>113</v>
      </c>
      <c r="B126" s="90">
        <v>3856</v>
      </c>
      <c r="C126" s="90">
        <v>38</v>
      </c>
      <c r="D126" s="91" t="s">
        <v>53</v>
      </c>
      <c r="E126" s="277" t="s">
        <v>109</v>
      </c>
      <c r="F126" s="235" t="s">
        <v>61</v>
      </c>
      <c r="G126" s="104">
        <v>5035.97</v>
      </c>
      <c r="H126" s="126">
        <v>1030.8599999999999</v>
      </c>
      <c r="I126" s="127">
        <v>824.04</v>
      </c>
      <c r="J126" s="92">
        <f t="shared" si="16"/>
        <v>0</v>
      </c>
      <c r="K126" s="92">
        <f t="shared" si="17"/>
        <v>0</v>
      </c>
      <c r="L126" s="128">
        <v>1174.4000000000001</v>
      </c>
      <c r="M126" s="345">
        <v>671.46</v>
      </c>
    </row>
    <row r="127" spans="1:13" ht="15">
      <c r="A127" s="108">
        <f t="shared" si="11"/>
        <v>114</v>
      </c>
      <c r="B127" s="358">
        <v>3856</v>
      </c>
      <c r="C127" s="358">
        <v>46</v>
      </c>
      <c r="D127" s="106" t="s">
        <v>78</v>
      </c>
      <c r="E127" s="279" t="s">
        <v>109</v>
      </c>
      <c r="F127" s="125">
        <v>1981</v>
      </c>
      <c r="G127" s="107">
        <v>100</v>
      </c>
      <c r="H127" s="109">
        <v>0</v>
      </c>
      <c r="I127" s="110">
        <v>0</v>
      </c>
      <c r="J127" s="121">
        <f t="shared" si="16"/>
        <v>0</v>
      </c>
      <c r="K127" s="121">
        <f t="shared" si="17"/>
        <v>0</v>
      </c>
      <c r="L127" s="111"/>
      <c r="M127" s="157"/>
    </row>
    <row r="128" spans="1:13" ht="15">
      <c r="A128" s="89">
        <f t="shared" si="11"/>
        <v>115</v>
      </c>
      <c r="B128" s="90">
        <v>3856</v>
      </c>
      <c r="C128" s="90">
        <v>47</v>
      </c>
      <c r="D128" s="91" t="s">
        <v>42</v>
      </c>
      <c r="E128" s="277" t="s">
        <v>109</v>
      </c>
      <c r="F128" s="235">
        <v>1978</v>
      </c>
      <c r="G128" s="104">
        <v>63.69</v>
      </c>
      <c r="H128" s="126">
        <v>21.03</v>
      </c>
      <c r="I128" s="127">
        <v>21.03</v>
      </c>
      <c r="J128" s="92">
        <f t="shared" si="16"/>
        <v>0</v>
      </c>
      <c r="K128" s="92">
        <f t="shared" si="17"/>
        <v>0</v>
      </c>
      <c r="L128" s="128">
        <v>30.5</v>
      </c>
      <c r="M128" s="345">
        <v>27.65</v>
      </c>
    </row>
    <row r="129" spans="1:13" ht="15">
      <c r="A129" s="89">
        <f t="shared" si="11"/>
        <v>116</v>
      </c>
      <c r="B129" s="90">
        <v>3856</v>
      </c>
      <c r="C129" s="90">
        <v>48</v>
      </c>
      <c r="D129" s="91" t="s">
        <v>177</v>
      </c>
      <c r="E129" s="277" t="s">
        <v>109</v>
      </c>
      <c r="F129" s="235">
        <v>1994</v>
      </c>
      <c r="G129" s="104">
        <v>65.63</v>
      </c>
      <c r="H129" s="126">
        <v>15.13</v>
      </c>
      <c r="I129" s="127">
        <v>15.13</v>
      </c>
      <c r="J129" s="92">
        <f t="shared" si="16"/>
        <v>0</v>
      </c>
      <c r="K129" s="92">
        <f t="shared" si="17"/>
        <v>0</v>
      </c>
      <c r="L129" s="128">
        <v>43.38</v>
      </c>
      <c r="M129" s="345">
        <v>21.8</v>
      </c>
    </row>
    <row r="130" spans="1:13" ht="15">
      <c r="A130" s="89">
        <f t="shared" si="11"/>
        <v>117</v>
      </c>
      <c r="B130" s="90">
        <v>3856</v>
      </c>
      <c r="C130" s="90">
        <v>49</v>
      </c>
      <c r="D130" s="91" t="s">
        <v>58</v>
      </c>
      <c r="E130" s="277" t="s">
        <v>109</v>
      </c>
      <c r="F130" s="235">
        <v>1972</v>
      </c>
      <c r="G130" s="104">
        <v>29.27</v>
      </c>
      <c r="H130" s="126">
        <v>2.35</v>
      </c>
      <c r="I130" s="127">
        <v>0</v>
      </c>
      <c r="J130" s="92">
        <f t="shared" si="16"/>
        <v>0</v>
      </c>
      <c r="K130" s="92">
        <f t="shared" si="17"/>
        <v>0</v>
      </c>
      <c r="L130" s="128">
        <v>20.399999999999999</v>
      </c>
      <c r="M130" s="345">
        <v>4.72</v>
      </c>
    </row>
    <row r="131" spans="1:13" ht="15">
      <c r="A131" s="89">
        <f t="shared" si="11"/>
        <v>118</v>
      </c>
      <c r="B131" s="90">
        <v>3856</v>
      </c>
      <c r="C131" s="90">
        <v>50</v>
      </c>
      <c r="D131" s="91" t="s">
        <v>36</v>
      </c>
      <c r="E131" s="277" t="s">
        <v>109</v>
      </c>
      <c r="F131" s="235">
        <v>1994</v>
      </c>
      <c r="G131" s="104">
        <v>69.53</v>
      </c>
      <c r="H131" s="126">
        <v>18.940000000000001</v>
      </c>
      <c r="I131" s="127">
        <v>18.940000000000001</v>
      </c>
      <c r="J131" s="92">
        <f t="shared" si="16"/>
        <v>0</v>
      </c>
      <c r="K131" s="92">
        <f t="shared" si="17"/>
        <v>0</v>
      </c>
      <c r="L131" s="128">
        <v>65.75</v>
      </c>
      <c r="M131" s="345">
        <v>29.46</v>
      </c>
    </row>
    <row r="132" spans="1:13" ht="15">
      <c r="A132" s="89">
        <f t="shared" si="11"/>
        <v>119</v>
      </c>
      <c r="B132" s="90">
        <v>3856</v>
      </c>
      <c r="C132" s="90">
        <v>51</v>
      </c>
      <c r="D132" s="91" t="s">
        <v>42</v>
      </c>
      <c r="E132" s="277" t="s">
        <v>109</v>
      </c>
      <c r="F132" s="235">
        <v>1994</v>
      </c>
      <c r="G132" s="104">
        <v>274.8</v>
      </c>
      <c r="H132" s="126">
        <v>77.180000000000007</v>
      </c>
      <c r="I132" s="127">
        <v>77.180000000000007</v>
      </c>
      <c r="J132" s="92">
        <f t="shared" si="16"/>
        <v>0</v>
      </c>
      <c r="K132" s="92">
        <f t="shared" si="17"/>
        <v>0</v>
      </c>
      <c r="L132" s="128">
        <v>147.53</v>
      </c>
      <c r="M132" s="345">
        <v>46.23</v>
      </c>
    </row>
    <row r="133" spans="1:13" ht="15">
      <c r="A133" s="89">
        <f t="shared" si="11"/>
        <v>120</v>
      </c>
      <c r="B133" s="90">
        <v>3856</v>
      </c>
      <c r="C133" s="90">
        <v>52</v>
      </c>
      <c r="D133" s="91" t="s">
        <v>42</v>
      </c>
      <c r="E133" s="277" t="s">
        <v>109</v>
      </c>
      <c r="F133" s="235">
        <v>1994</v>
      </c>
      <c r="G133" s="104">
        <v>1777.08</v>
      </c>
      <c r="H133" s="126">
        <v>495.66</v>
      </c>
      <c r="I133" s="127">
        <v>495.66</v>
      </c>
      <c r="J133" s="92">
        <f t="shared" si="16"/>
        <v>0</v>
      </c>
      <c r="K133" s="92">
        <f t="shared" si="17"/>
        <v>0</v>
      </c>
      <c r="L133" s="128">
        <v>787.59</v>
      </c>
      <c r="M133" s="345">
        <v>499.18</v>
      </c>
    </row>
    <row r="134" spans="1:13" ht="15">
      <c r="A134" s="108">
        <f t="shared" si="11"/>
        <v>121</v>
      </c>
      <c r="B134" s="358">
        <v>3856</v>
      </c>
      <c r="C134" s="358">
        <v>53</v>
      </c>
      <c r="D134" s="106" t="s">
        <v>36</v>
      </c>
      <c r="E134" s="277" t="s">
        <v>109</v>
      </c>
      <c r="F134" s="125">
        <v>1934</v>
      </c>
      <c r="G134" s="107">
        <v>582</v>
      </c>
      <c r="H134" s="109">
        <v>153</v>
      </c>
      <c r="I134" s="110">
        <v>153</v>
      </c>
      <c r="J134" s="92">
        <f t="shared" si="16"/>
        <v>0</v>
      </c>
      <c r="K134" s="92">
        <f t="shared" si="17"/>
        <v>0</v>
      </c>
      <c r="L134" s="111"/>
      <c r="M134" s="157"/>
    </row>
    <row r="135" spans="1:13" ht="15">
      <c r="A135" s="108">
        <f t="shared" si="11"/>
        <v>122</v>
      </c>
      <c r="B135" s="358">
        <v>3856</v>
      </c>
      <c r="C135" s="358">
        <v>55</v>
      </c>
      <c r="D135" s="106" t="s">
        <v>79</v>
      </c>
      <c r="E135" s="279" t="s">
        <v>107</v>
      </c>
      <c r="F135" s="125">
        <v>1934</v>
      </c>
      <c r="G135" s="107">
        <v>747</v>
      </c>
      <c r="H135" s="109">
        <v>237</v>
      </c>
      <c r="I135" s="110">
        <v>237</v>
      </c>
      <c r="J135" s="92">
        <f t="shared" si="16"/>
        <v>0</v>
      </c>
      <c r="K135" s="92">
        <f t="shared" si="17"/>
        <v>0</v>
      </c>
      <c r="L135" s="111"/>
      <c r="M135" s="157"/>
    </row>
    <row r="136" spans="1:13" ht="30" customHeight="1">
      <c r="A136" s="136">
        <f t="shared" si="11"/>
        <v>123</v>
      </c>
      <c r="B136" s="137">
        <v>3856</v>
      </c>
      <c r="C136" s="137">
        <v>66</v>
      </c>
      <c r="D136" s="138" t="s">
        <v>58</v>
      </c>
      <c r="E136" s="280" t="s">
        <v>110</v>
      </c>
      <c r="F136" s="238">
        <v>1970</v>
      </c>
      <c r="G136" s="139">
        <v>185</v>
      </c>
      <c r="H136" s="140">
        <v>43</v>
      </c>
      <c r="I136" s="141">
        <v>43</v>
      </c>
      <c r="J136" s="142">
        <f t="shared" si="16"/>
        <v>0</v>
      </c>
      <c r="K136" s="142">
        <f t="shared" si="17"/>
        <v>0</v>
      </c>
      <c r="L136" s="143"/>
      <c r="M136" s="352"/>
    </row>
    <row r="137" spans="1:13" ht="25.5" customHeight="1">
      <c r="A137" s="136">
        <f t="shared" si="11"/>
        <v>124</v>
      </c>
      <c r="B137" s="137">
        <v>3856</v>
      </c>
      <c r="C137" s="137">
        <v>67</v>
      </c>
      <c r="D137" s="138" t="s">
        <v>50</v>
      </c>
      <c r="E137" s="280" t="s">
        <v>111</v>
      </c>
      <c r="F137" s="238">
        <v>1970</v>
      </c>
      <c r="G137" s="139">
        <v>0</v>
      </c>
      <c r="H137" s="140">
        <v>0</v>
      </c>
      <c r="I137" s="141">
        <v>0</v>
      </c>
      <c r="J137" s="142">
        <f t="shared" si="16"/>
        <v>0</v>
      </c>
      <c r="K137" s="142">
        <f t="shared" si="17"/>
        <v>0</v>
      </c>
      <c r="L137" s="143"/>
      <c r="M137" s="352"/>
    </row>
    <row r="138" spans="1:13" ht="30">
      <c r="A138" s="108">
        <f t="shared" si="11"/>
        <v>125</v>
      </c>
      <c r="B138" s="358">
        <v>3856</v>
      </c>
      <c r="C138" s="358">
        <v>68</v>
      </c>
      <c r="D138" s="188" t="s">
        <v>176</v>
      </c>
      <c r="E138" s="279" t="s">
        <v>107</v>
      </c>
      <c r="F138" s="125">
        <v>1984</v>
      </c>
      <c r="G138" s="107">
        <v>100</v>
      </c>
      <c r="H138" s="109">
        <v>0</v>
      </c>
      <c r="I138" s="110">
        <v>0</v>
      </c>
      <c r="J138" s="121">
        <f t="shared" si="16"/>
        <v>0</v>
      </c>
      <c r="K138" s="121">
        <f t="shared" si="17"/>
        <v>0</v>
      </c>
      <c r="L138" s="111"/>
      <c r="M138" s="157"/>
    </row>
    <row r="139" spans="1:13" ht="15">
      <c r="A139" s="108">
        <f t="shared" si="11"/>
        <v>126</v>
      </c>
      <c r="B139" s="358">
        <v>3856</v>
      </c>
      <c r="C139" s="358">
        <v>69</v>
      </c>
      <c r="D139" s="106" t="s">
        <v>38</v>
      </c>
      <c r="E139" s="279" t="s">
        <v>109</v>
      </c>
      <c r="F139" s="125">
        <v>1980</v>
      </c>
      <c r="G139" s="107">
        <v>4114</v>
      </c>
      <c r="H139" s="109">
        <v>716</v>
      </c>
      <c r="I139" s="110">
        <v>716</v>
      </c>
      <c r="J139" s="121">
        <f t="shared" si="16"/>
        <v>0</v>
      </c>
      <c r="K139" s="121">
        <f t="shared" si="17"/>
        <v>0</v>
      </c>
      <c r="L139" s="111"/>
      <c r="M139" s="157"/>
    </row>
    <row r="140" spans="1:13" ht="15">
      <c r="A140" s="108">
        <f>A138+1</f>
        <v>126</v>
      </c>
      <c r="B140" s="358">
        <v>3856</v>
      </c>
      <c r="C140" s="358">
        <v>70</v>
      </c>
      <c r="D140" s="106" t="s">
        <v>123</v>
      </c>
      <c r="E140" s="279" t="s">
        <v>109</v>
      </c>
      <c r="F140" s="125">
        <v>1980</v>
      </c>
      <c r="G140" s="107">
        <v>147</v>
      </c>
      <c r="H140" s="109">
        <v>49</v>
      </c>
      <c r="I140" s="110">
        <v>49</v>
      </c>
      <c r="J140" s="121">
        <f t="shared" si="16"/>
        <v>0</v>
      </c>
      <c r="K140" s="121">
        <f t="shared" si="17"/>
        <v>0</v>
      </c>
      <c r="L140" s="111"/>
      <c r="M140" s="157"/>
    </row>
    <row r="141" spans="1:13" ht="30">
      <c r="A141" s="108">
        <f t="shared" ref="A141:A144" si="18">A139+1</f>
        <v>127</v>
      </c>
      <c r="B141" s="358"/>
      <c r="C141" s="358"/>
      <c r="D141" s="188" t="s">
        <v>171</v>
      </c>
      <c r="E141" s="279"/>
      <c r="F141" s="125"/>
      <c r="G141" s="107"/>
      <c r="H141" s="109"/>
      <c r="I141" s="110"/>
      <c r="J141" s="121"/>
      <c r="K141" s="121"/>
      <c r="L141" s="111"/>
      <c r="M141" s="157"/>
    </row>
    <row r="142" spans="1:13" ht="30">
      <c r="A142" s="108">
        <f t="shared" si="18"/>
        <v>127</v>
      </c>
      <c r="B142" s="358"/>
      <c r="C142" s="358"/>
      <c r="D142" s="188" t="s">
        <v>173</v>
      </c>
      <c r="E142" s="279"/>
      <c r="F142" s="125"/>
      <c r="G142" s="107"/>
      <c r="H142" s="109"/>
      <c r="I142" s="110"/>
      <c r="J142" s="121"/>
      <c r="K142" s="121"/>
      <c r="L142" s="111"/>
      <c r="M142" s="157"/>
    </row>
    <row r="143" spans="1:13" ht="30">
      <c r="A143" s="108">
        <f t="shared" si="18"/>
        <v>128</v>
      </c>
      <c r="B143" s="358"/>
      <c r="C143" s="358"/>
      <c r="D143" s="188" t="s">
        <v>172</v>
      </c>
      <c r="E143" s="279"/>
      <c r="F143" s="125"/>
      <c r="G143" s="107"/>
      <c r="H143" s="109"/>
      <c r="I143" s="110"/>
      <c r="J143" s="121"/>
      <c r="K143" s="121"/>
      <c r="L143" s="111"/>
      <c r="M143" s="157"/>
    </row>
    <row r="144" spans="1:13" ht="30">
      <c r="A144" s="108">
        <f t="shared" si="18"/>
        <v>128</v>
      </c>
      <c r="B144" s="358"/>
      <c r="C144" s="358"/>
      <c r="D144" s="188" t="s">
        <v>174</v>
      </c>
      <c r="E144" s="279"/>
      <c r="F144" s="125"/>
      <c r="G144" s="107"/>
      <c r="H144" s="109"/>
      <c r="I144" s="110"/>
      <c r="J144" s="121"/>
      <c r="K144" s="121"/>
      <c r="L144" s="111"/>
      <c r="M144" s="157"/>
    </row>
    <row r="145" spans="1:13" ht="16.5" thickBot="1">
      <c r="A145" s="458" t="s">
        <v>122</v>
      </c>
      <c r="B145" s="459"/>
      <c r="C145" s="459"/>
      <c r="D145" s="460"/>
      <c r="E145" s="281"/>
      <c r="F145" s="145"/>
      <c r="G145" s="146">
        <f>SUM(G116:G144)</f>
        <v>46195.16</v>
      </c>
      <c r="H145" s="147">
        <f>SUM(H116:H144)</f>
        <v>8097.67</v>
      </c>
      <c r="I145" s="147">
        <f>SUM(I116:I144)</f>
        <v>7250.07</v>
      </c>
      <c r="J145" s="147">
        <f>SUM(J116:J144)</f>
        <v>0</v>
      </c>
      <c r="K145" s="147"/>
      <c r="L145" s="146">
        <f t="shared" ref="L145:M145" si="19">SUM(L116:L144)</f>
        <v>6134.21</v>
      </c>
      <c r="M145" s="353">
        <f t="shared" si="19"/>
        <v>4639.66</v>
      </c>
    </row>
    <row r="146" spans="1:13" ht="16.5" thickBot="1">
      <c r="A146" s="566" t="s">
        <v>178</v>
      </c>
      <c r="B146" s="567"/>
      <c r="C146" s="567"/>
      <c r="D146" s="568"/>
      <c r="E146" s="409"/>
      <c r="F146" s="257"/>
      <c r="G146" s="258"/>
      <c r="H146" s="259"/>
      <c r="I146" s="259"/>
      <c r="J146" s="258"/>
      <c r="K146" s="258"/>
      <c r="L146" s="258"/>
      <c r="M146" s="354"/>
    </row>
    <row r="147" spans="1:13" ht="30">
      <c r="A147" s="438">
        <f>A144+1</f>
        <v>129</v>
      </c>
      <c r="B147" s="439" t="s">
        <v>113</v>
      </c>
      <c r="C147" s="440">
        <v>1</v>
      </c>
      <c r="D147" s="441" t="s">
        <v>89</v>
      </c>
      <c r="E147" s="442" t="s">
        <v>109</v>
      </c>
      <c r="F147" s="443">
        <v>1937</v>
      </c>
      <c r="G147" s="428">
        <v>34085</v>
      </c>
      <c r="H147" s="416">
        <v>5301.15</v>
      </c>
      <c r="I147" s="416">
        <v>3637.9</v>
      </c>
      <c r="J147" s="418">
        <f>AC147</f>
        <v>0</v>
      </c>
      <c r="K147" s="418">
        <f>AD147+AE147</f>
        <v>0</v>
      </c>
      <c r="L147" s="418">
        <v>2873.62</v>
      </c>
      <c r="M147" s="444">
        <v>1788.43</v>
      </c>
    </row>
    <row r="148" spans="1:13" ht="30">
      <c r="A148" s="89">
        <f>A147+1</f>
        <v>130</v>
      </c>
      <c r="B148" s="151" t="s">
        <v>113</v>
      </c>
      <c r="C148" s="90">
        <v>2</v>
      </c>
      <c r="D148" s="91" t="s">
        <v>91</v>
      </c>
      <c r="E148" s="283" t="s">
        <v>109</v>
      </c>
      <c r="F148" s="235">
        <v>1937</v>
      </c>
      <c r="G148" s="104">
        <v>2537.2800000000002</v>
      </c>
      <c r="H148" s="126">
        <v>513.27</v>
      </c>
      <c r="I148" s="126">
        <v>411.52</v>
      </c>
      <c r="J148" s="92">
        <f>AC148</f>
        <v>0</v>
      </c>
      <c r="K148" s="92">
        <f>AD148+AE148</f>
        <v>0</v>
      </c>
      <c r="L148" s="104">
        <v>566.94000000000005</v>
      </c>
      <c r="M148" s="345">
        <v>380.74</v>
      </c>
    </row>
    <row r="149" spans="1:13" ht="30">
      <c r="A149" s="89">
        <f t="shared" ref="A149:A154" si="20">A148+1</f>
        <v>131</v>
      </c>
      <c r="B149" s="224" t="s">
        <v>113</v>
      </c>
      <c r="C149" s="90">
        <v>3</v>
      </c>
      <c r="D149" s="243" t="s">
        <v>80</v>
      </c>
      <c r="E149" s="283" t="s">
        <v>107</v>
      </c>
      <c r="F149" s="235">
        <v>1955</v>
      </c>
      <c r="G149" s="104">
        <v>88</v>
      </c>
      <c r="H149" s="126">
        <v>35</v>
      </c>
      <c r="I149" s="126">
        <v>35</v>
      </c>
      <c r="J149" s="92">
        <f>AC149</f>
        <v>0</v>
      </c>
      <c r="K149" s="92">
        <f>AD149+AE149</f>
        <v>0</v>
      </c>
      <c r="L149" s="104">
        <v>35</v>
      </c>
      <c r="M149" s="345">
        <v>35</v>
      </c>
    </row>
    <row r="150" spans="1:13" ht="30">
      <c r="A150" s="89">
        <f t="shared" si="20"/>
        <v>132</v>
      </c>
      <c r="B150" s="224" t="s">
        <v>113</v>
      </c>
      <c r="C150" s="90">
        <v>4</v>
      </c>
      <c r="D150" s="91" t="s">
        <v>79</v>
      </c>
      <c r="E150" s="283" t="s">
        <v>107</v>
      </c>
      <c r="F150" s="235">
        <v>1936</v>
      </c>
      <c r="G150" s="104">
        <v>26.86</v>
      </c>
      <c r="H150" s="126">
        <v>3.08</v>
      </c>
      <c r="I150" s="126">
        <v>3.08</v>
      </c>
      <c r="J150" s="104">
        <f>AC150</f>
        <v>0</v>
      </c>
      <c r="K150" s="104">
        <f>AD150+AE150</f>
        <v>0</v>
      </c>
      <c r="L150" s="104">
        <v>12.21</v>
      </c>
      <c r="M150" s="345">
        <v>12.21</v>
      </c>
    </row>
    <row r="151" spans="1:13" ht="30">
      <c r="A151" s="89">
        <f t="shared" si="20"/>
        <v>133</v>
      </c>
      <c r="B151" s="224" t="s">
        <v>113</v>
      </c>
      <c r="C151" s="90"/>
      <c r="D151" s="91" t="s">
        <v>163</v>
      </c>
      <c r="E151" s="283"/>
      <c r="F151" s="239"/>
      <c r="G151" s="126"/>
      <c r="H151" s="126"/>
      <c r="I151" s="126"/>
      <c r="J151" s="126"/>
      <c r="K151" s="126"/>
      <c r="L151" s="126"/>
      <c r="M151" s="345"/>
    </row>
    <row r="152" spans="1:13" ht="30">
      <c r="A152" s="89">
        <f t="shared" si="20"/>
        <v>134</v>
      </c>
      <c r="B152" s="224" t="s">
        <v>113</v>
      </c>
      <c r="C152" s="90"/>
      <c r="D152" s="91" t="s">
        <v>166</v>
      </c>
      <c r="E152" s="283"/>
      <c r="F152" s="239"/>
      <c r="G152" s="126"/>
      <c r="H152" s="126"/>
      <c r="I152" s="126"/>
      <c r="J152" s="126"/>
      <c r="K152" s="126"/>
      <c r="L152" s="126"/>
      <c r="M152" s="345"/>
    </row>
    <row r="153" spans="1:13" ht="30">
      <c r="A153" s="89">
        <f t="shared" si="20"/>
        <v>135</v>
      </c>
      <c r="B153" s="224" t="s">
        <v>113</v>
      </c>
      <c r="C153" s="90"/>
      <c r="D153" s="91" t="s">
        <v>167</v>
      </c>
      <c r="E153" s="283"/>
      <c r="F153" s="239"/>
      <c r="G153" s="126"/>
      <c r="H153" s="126"/>
      <c r="I153" s="126"/>
      <c r="J153" s="126"/>
      <c r="K153" s="126"/>
      <c r="L153" s="126"/>
      <c r="M153" s="345"/>
    </row>
    <row r="154" spans="1:13" ht="30">
      <c r="A154" s="89">
        <f t="shared" si="20"/>
        <v>136</v>
      </c>
      <c r="B154" s="224" t="s">
        <v>113</v>
      </c>
      <c r="C154" s="90"/>
      <c r="D154" s="91" t="s">
        <v>168</v>
      </c>
      <c r="E154" s="283"/>
      <c r="F154" s="239"/>
      <c r="G154" s="126"/>
      <c r="H154" s="126"/>
      <c r="I154" s="126"/>
      <c r="J154" s="126"/>
      <c r="K154" s="126"/>
      <c r="L154" s="126"/>
      <c r="M154" s="345"/>
    </row>
    <row r="155" spans="1:13" ht="16.5" thickBot="1">
      <c r="A155" s="455"/>
      <c r="B155" s="456"/>
      <c r="C155" s="456"/>
      <c r="D155" s="457"/>
      <c r="E155" s="284"/>
      <c r="F155" s="150"/>
      <c r="G155" s="225">
        <f>SUM(G147:G154)</f>
        <v>36737.14</v>
      </c>
      <c r="H155" s="225">
        <f t="shared" ref="H155:M155" si="21">SUM(H147:H154)</f>
        <v>5852.5</v>
      </c>
      <c r="I155" s="225">
        <f t="shared" si="21"/>
        <v>4087.5</v>
      </c>
      <c r="J155" s="225">
        <f t="shared" si="21"/>
        <v>0</v>
      </c>
      <c r="K155" s="225">
        <f t="shared" si="21"/>
        <v>0</v>
      </c>
      <c r="L155" s="225">
        <f t="shared" si="21"/>
        <v>3487.77</v>
      </c>
      <c r="M155" s="355">
        <f t="shared" si="21"/>
        <v>2216.38</v>
      </c>
    </row>
  </sheetData>
  <mergeCells count="20">
    <mergeCell ref="A2:M2"/>
    <mergeCell ref="A4:A9"/>
    <mergeCell ref="B4:B9"/>
    <mergeCell ref="C4:C9"/>
    <mergeCell ref="D4:D9"/>
    <mergeCell ref="E4:E9"/>
    <mergeCell ref="A146:D146"/>
    <mergeCell ref="A155:D155"/>
    <mergeCell ref="L4:L9"/>
    <mergeCell ref="M4:M9"/>
    <mergeCell ref="A112:D112"/>
    <mergeCell ref="A114:D114"/>
    <mergeCell ref="A115:D115"/>
    <mergeCell ref="A145:D145"/>
    <mergeCell ref="F4:F9"/>
    <mergeCell ref="G4:G9"/>
    <mergeCell ref="H4:H9"/>
    <mergeCell ref="I4:I9"/>
    <mergeCell ref="J4:J9"/>
    <mergeCell ref="K4:K9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3"/>
  <sheetViews>
    <sheetView zoomScale="90" zoomScaleNormal="90" zoomScaleSheetLayoutView="90" workbookViewId="0">
      <pane ySplit="7" topLeftCell="A8" activePane="bottomLeft" state="frozen"/>
      <selection pane="bottomLeft" activeCell="D163" sqref="D163"/>
    </sheetView>
  </sheetViews>
  <sheetFormatPr defaultRowHeight="14.25"/>
  <cols>
    <col min="1" max="1" width="8.25" customWidth="1"/>
    <col min="2" max="2" width="6.875" customWidth="1"/>
    <col min="3" max="3" width="7.25" style="5" customWidth="1"/>
    <col min="4" max="4" width="28.875" style="54" customWidth="1"/>
    <col min="5" max="17" width="5.125" style="54" hidden="1" customWidth="1"/>
    <col min="18" max="19" width="5.125" style="2" hidden="1" customWidth="1"/>
    <col min="20" max="22" width="5.125" style="54" hidden="1" customWidth="1"/>
    <col min="23" max="23" width="4.625" style="311" hidden="1" customWidth="1"/>
    <col min="24" max="47" width="5.125" style="54" hidden="1" customWidth="1"/>
    <col min="48" max="48" width="5.125" style="2" hidden="1" customWidth="1"/>
    <col min="49" max="51" width="5.125" style="54" hidden="1" customWidth="1"/>
    <col min="52" max="52" width="13.625" customWidth="1"/>
    <col min="53" max="53" width="10.625" style="2" hidden="1" customWidth="1"/>
    <col min="54" max="54" width="9.875" style="2" hidden="1" customWidth="1"/>
    <col min="55" max="55" width="10.625" style="2" hidden="1" customWidth="1"/>
    <col min="56" max="56" width="10" style="2" hidden="1" customWidth="1"/>
    <col min="57" max="57" width="7.625" style="152" hidden="1" customWidth="1"/>
    <col min="58" max="58" width="8.375" style="2" hidden="1" customWidth="1"/>
    <col min="59" max="59" width="10.25" style="2" hidden="1" customWidth="1"/>
    <col min="60" max="60" width="12.625" style="2" hidden="1" customWidth="1"/>
    <col min="61" max="61" width="9" hidden="1" customWidth="1"/>
    <col min="62" max="62" width="8.75" hidden="1" customWidth="1"/>
    <col min="63" max="63" width="11.125" hidden="1" customWidth="1"/>
    <col min="64" max="67" width="9" hidden="1" customWidth="1"/>
    <col min="68" max="68" width="12.875" hidden="1" customWidth="1"/>
    <col min="69" max="69" width="12.25" hidden="1" customWidth="1"/>
    <col min="70" max="70" width="13.875" hidden="1" customWidth="1"/>
    <col min="71" max="71" width="8.625" hidden="1" customWidth="1"/>
    <col min="72" max="72" width="10" hidden="1" customWidth="1"/>
    <col min="73" max="73" width="9" style="5" hidden="1" customWidth="1"/>
    <col min="74" max="75" width="9" hidden="1" customWidth="1"/>
    <col min="76" max="76" width="10.375" hidden="1" customWidth="1"/>
    <col min="77" max="79" width="9" hidden="1" customWidth="1"/>
    <col min="80" max="80" width="11" hidden="1" customWidth="1"/>
    <col min="81" max="81" width="9.875" hidden="1" customWidth="1"/>
    <col min="82" max="82" width="11.125" hidden="1" customWidth="1"/>
    <col min="83" max="84" width="9.75" hidden="1" customWidth="1"/>
    <col min="85" max="85" width="10.125" hidden="1" customWidth="1"/>
    <col min="86" max="86" width="9.625" hidden="1" customWidth="1"/>
    <col min="87" max="87" width="10.875" hidden="1" customWidth="1"/>
    <col min="88" max="88" width="12.375" style="2" hidden="1" customWidth="1"/>
    <col min="89" max="89" width="7" style="2" hidden="1" customWidth="1"/>
    <col min="90" max="90" width="10" hidden="1" customWidth="1"/>
    <col min="91" max="91" width="7.875" style="16" hidden="1" customWidth="1"/>
  </cols>
  <sheetData>
    <row r="1" spans="1:91" ht="33.75" customHeight="1" thickBot="1">
      <c r="A1" s="596" t="s">
        <v>196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/>
      <c r="CA1" s="596"/>
      <c r="CB1" s="596"/>
      <c r="CC1" s="596"/>
      <c r="CD1" s="596"/>
      <c r="CE1" s="596"/>
      <c r="CF1" s="596"/>
      <c r="CG1" s="596"/>
      <c r="CH1" s="596"/>
      <c r="CI1" s="596"/>
      <c r="CJ1" s="596"/>
      <c r="CK1" s="596"/>
      <c r="CL1" s="596"/>
      <c r="CM1" s="596"/>
    </row>
    <row r="2" spans="1:91" s="1" customFormat="1" ht="39" customHeight="1" thickBot="1">
      <c r="A2" s="498" t="s">
        <v>25</v>
      </c>
      <c r="B2" s="499" t="s">
        <v>26</v>
      </c>
      <c r="C2" s="502" t="s">
        <v>24</v>
      </c>
      <c r="D2" s="505" t="s">
        <v>23</v>
      </c>
      <c r="E2" s="520" t="s">
        <v>138</v>
      </c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  <c r="AR2" s="521"/>
      <c r="AS2" s="521"/>
      <c r="AT2" s="521"/>
      <c r="AU2" s="521"/>
      <c r="AV2" s="521"/>
      <c r="AW2" s="521"/>
      <c r="AX2" s="521"/>
      <c r="AY2" s="522"/>
      <c r="AZ2" s="569" t="s">
        <v>97</v>
      </c>
      <c r="BA2" s="508" t="s">
        <v>69</v>
      </c>
      <c r="BB2" s="511" t="s">
        <v>83</v>
      </c>
      <c r="BC2" s="514" t="s">
        <v>81</v>
      </c>
      <c r="BD2" s="517" t="s">
        <v>82</v>
      </c>
      <c r="BE2" s="554" t="s">
        <v>85</v>
      </c>
      <c r="BF2" s="514" t="s">
        <v>96</v>
      </c>
      <c r="BG2" s="557" t="s">
        <v>86</v>
      </c>
      <c r="BH2" s="560" t="s">
        <v>84</v>
      </c>
      <c r="BI2" s="535" t="s">
        <v>22</v>
      </c>
      <c r="BJ2" s="536"/>
      <c r="BK2" s="536"/>
      <c r="BL2" s="536"/>
      <c r="BM2" s="536"/>
      <c r="BN2" s="536"/>
      <c r="BO2" s="536"/>
      <c r="BP2" s="536"/>
      <c r="BQ2" s="536"/>
      <c r="BR2" s="536"/>
      <c r="BS2" s="536"/>
      <c r="BT2" s="536"/>
      <c r="BU2" s="536"/>
      <c r="BV2" s="536"/>
      <c r="BW2" s="536"/>
      <c r="BX2" s="536"/>
      <c r="BY2" s="536"/>
      <c r="BZ2" s="536"/>
      <c r="CA2" s="537"/>
      <c r="CB2" s="532" t="s">
        <v>14</v>
      </c>
      <c r="CC2" s="467" t="s">
        <v>63</v>
      </c>
      <c r="CD2" s="470" t="s">
        <v>62</v>
      </c>
      <c r="CE2" s="471"/>
      <c r="CF2" s="472"/>
      <c r="CG2" s="473"/>
      <c r="CH2" s="473"/>
      <c r="CI2" s="474"/>
      <c r="CJ2" s="475" t="s">
        <v>98</v>
      </c>
      <c r="CK2" s="476"/>
      <c r="CL2" s="476"/>
      <c r="CM2" s="477"/>
    </row>
    <row r="3" spans="1:91" s="1" customFormat="1" ht="14.25" customHeight="1">
      <c r="A3" s="496"/>
      <c r="B3" s="500"/>
      <c r="C3" s="503"/>
      <c r="D3" s="506"/>
      <c r="E3" s="364" t="s">
        <v>139</v>
      </c>
      <c r="F3" s="364" t="s">
        <v>139</v>
      </c>
      <c r="G3" s="364" t="s">
        <v>139</v>
      </c>
      <c r="H3" s="364" t="s">
        <v>139</v>
      </c>
      <c r="I3" s="364" t="s">
        <v>139</v>
      </c>
      <c r="J3" s="364" t="s">
        <v>139</v>
      </c>
      <c r="K3" s="364" t="s">
        <v>139</v>
      </c>
      <c r="L3" s="364" t="s">
        <v>140</v>
      </c>
      <c r="M3" s="364" t="s">
        <v>140</v>
      </c>
      <c r="N3" s="364" t="s">
        <v>140</v>
      </c>
      <c r="O3" s="364" t="s">
        <v>140</v>
      </c>
      <c r="P3" s="364" t="s">
        <v>140</v>
      </c>
      <c r="Q3" s="364" t="s">
        <v>140</v>
      </c>
      <c r="R3" s="364" t="s">
        <v>140</v>
      </c>
      <c r="S3" s="364" t="s">
        <v>140</v>
      </c>
      <c r="T3" s="364" t="s">
        <v>140</v>
      </c>
      <c r="U3" s="364" t="s">
        <v>140</v>
      </c>
      <c r="V3" s="364" t="s">
        <v>140</v>
      </c>
      <c r="W3" s="314" t="s">
        <v>140</v>
      </c>
      <c r="X3" s="364" t="s">
        <v>140</v>
      </c>
      <c r="Y3" s="364" t="s">
        <v>140</v>
      </c>
      <c r="Z3" s="364" t="s">
        <v>140</v>
      </c>
      <c r="AA3" s="364" t="s">
        <v>140</v>
      </c>
      <c r="AB3" s="364" t="s">
        <v>140</v>
      </c>
      <c r="AC3" s="364" t="s">
        <v>140</v>
      </c>
      <c r="AD3" s="364" t="s">
        <v>140</v>
      </c>
      <c r="AE3" s="364" t="s">
        <v>140</v>
      </c>
      <c r="AF3" s="364" t="s">
        <v>140</v>
      </c>
      <c r="AG3" s="364" t="s">
        <v>140</v>
      </c>
      <c r="AH3" s="364" t="s">
        <v>141</v>
      </c>
      <c r="AI3" s="364" t="s">
        <v>141</v>
      </c>
      <c r="AJ3" s="364" t="s">
        <v>141</v>
      </c>
      <c r="AK3" s="364" t="s">
        <v>141</v>
      </c>
      <c r="AL3" s="364" t="s">
        <v>141</v>
      </c>
      <c r="AM3" s="364" t="s">
        <v>141</v>
      </c>
      <c r="AN3" s="364" t="s">
        <v>141</v>
      </c>
      <c r="AO3" s="364" t="s">
        <v>141</v>
      </c>
      <c r="AP3" s="364" t="s">
        <v>141</v>
      </c>
      <c r="AQ3" s="364" t="s">
        <v>141</v>
      </c>
      <c r="AR3" s="364" t="s">
        <v>141</v>
      </c>
      <c r="AS3" s="364" t="s">
        <v>141</v>
      </c>
      <c r="AT3" s="364" t="s">
        <v>141</v>
      </c>
      <c r="AU3" s="364" t="s">
        <v>141</v>
      </c>
      <c r="AV3" s="364" t="s">
        <v>141</v>
      </c>
      <c r="AW3" s="364" t="s">
        <v>141</v>
      </c>
      <c r="AX3" s="364" t="s">
        <v>141</v>
      </c>
      <c r="AY3" s="295" t="s">
        <v>141</v>
      </c>
      <c r="AZ3" s="570"/>
      <c r="BA3" s="509"/>
      <c r="BB3" s="512"/>
      <c r="BC3" s="515"/>
      <c r="BD3" s="518"/>
      <c r="BE3" s="555"/>
      <c r="BF3" s="515"/>
      <c r="BG3" s="558"/>
      <c r="BH3" s="561"/>
      <c r="BI3" s="529" t="s">
        <v>13</v>
      </c>
      <c r="BJ3" s="530"/>
      <c r="BK3" s="530"/>
      <c r="BL3" s="530"/>
      <c r="BM3" s="530"/>
      <c r="BN3" s="530"/>
      <c r="BO3" s="530"/>
      <c r="BP3" s="530"/>
      <c r="BQ3" s="530"/>
      <c r="BR3" s="530"/>
      <c r="BS3" s="530"/>
      <c r="BT3" s="530"/>
      <c r="BU3" s="530"/>
      <c r="BV3" s="530"/>
      <c r="BW3" s="530"/>
      <c r="BX3" s="530"/>
      <c r="BY3" s="530"/>
      <c r="BZ3" s="531"/>
      <c r="CA3" s="3"/>
      <c r="CB3" s="533"/>
      <c r="CC3" s="468"/>
      <c r="CD3" s="493" t="s">
        <v>64</v>
      </c>
      <c r="CE3" s="490" t="s">
        <v>65</v>
      </c>
      <c r="CF3" s="489" t="s">
        <v>15</v>
      </c>
      <c r="CG3" s="484"/>
      <c r="CH3" s="485"/>
      <c r="CI3" s="486" t="s">
        <v>66</v>
      </c>
      <c r="CJ3" s="480" t="s">
        <v>99</v>
      </c>
      <c r="CK3" s="483" t="s">
        <v>100</v>
      </c>
      <c r="CL3" s="484"/>
      <c r="CM3" s="485"/>
    </row>
    <row r="4" spans="1:91" s="1" customFormat="1" ht="30" customHeight="1">
      <c r="A4" s="496"/>
      <c r="B4" s="500"/>
      <c r="C4" s="503"/>
      <c r="D4" s="506"/>
      <c r="E4" s="527" t="s">
        <v>140</v>
      </c>
      <c r="F4" s="527" t="s">
        <v>140</v>
      </c>
      <c r="G4" s="527" t="s">
        <v>140</v>
      </c>
      <c r="H4" s="527" t="s">
        <v>140</v>
      </c>
      <c r="I4" s="527" t="s">
        <v>140</v>
      </c>
      <c r="J4" s="527" t="s">
        <v>140</v>
      </c>
      <c r="K4" s="527" t="s">
        <v>140</v>
      </c>
      <c r="L4" s="527" t="s">
        <v>140</v>
      </c>
      <c r="M4" s="527" t="s">
        <v>140</v>
      </c>
      <c r="N4" s="527" t="s">
        <v>141</v>
      </c>
      <c r="O4" s="527" t="s">
        <v>141</v>
      </c>
      <c r="P4" s="527" t="s">
        <v>141</v>
      </c>
      <c r="Q4" s="527" t="s">
        <v>141</v>
      </c>
      <c r="R4" s="527" t="s">
        <v>141</v>
      </c>
      <c r="S4" s="527" t="s">
        <v>141</v>
      </c>
      <c r="T4" s="527" t="s">
        <v>141</v>
      </c>
      <c r="U4" s="527" t="s">
        <v>141</v>
      </c>
      <c r="V4" s="527" t="s">
        <v>141</v>
      </c>
      <c r="W4" s="366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3"/>
      <c r="AZ4" s="570"/>
      <c r="BA4" s="509"/>
      <c r="BB4" s="512"/>
      <c r="BC4" s="515"/>
      <c r="BD4" s="518"/>
      <c r="BE4" s="555"/>
      <c r="BF4" s="515"/>
      <c r="BG4" s="558"/>
      <c r="BH4" s="561"/>
      <c r="BI4" s="296"/>
      <c r="BJ4" s="297"/>
      <c r="BK4" s="297"/>
      <c r="BL4" s="297"/>
      <c r="BM4" s="297"/>
      <c r="BN4" s="297"/>
      <c r="BO4" s="297"/>
      <c r="BP4" s="297"/>
      <c r="BQ4" s="297"/>
      <c r="BR4" s="297"/>
      <c r="BS4" s="293"/>
      <c r="BT4" s="293"/>
      <c r="BU4" s="293"/>
      <c r="BV4" s="293"/>
      <c r="BW4" s="293"/>
      <c r="BX4" s="294"/>
      <c r="BY4" s="543"/>
      <c r="BZ4" s="298"/>
      <c r="CA4" s="294"/>
      <c r="CB4" s="533"/>
      <c r="CC4" s="468"/>
      <c r="CD4" s="494"/>
      <c r="CE4" s="491"/>
      <c r="CF4" s="496"/>
      <c r="CG4" s="461"/>
      <c r="CH4" s="463"/>
      <c r="CI4" s="487"/>
      <c r="CJ4" s="481"/>
      <c r="CK4" s="461"/>
      <c r="CL4" s="465"/>
      <c r="CM4" s="478"/>
    </row>
    <row r="5" spans="1:91" s="1" customFormat="1" ht="12.75" customHeight="1" thickBot="1">
      <c r="A5" s="496"/>
      <c r="B5" s="500"/>
      <c r="C5" s="503"/>
      <c r="D5" s="506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366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3"/>
      <c r="AZ5" s="570"/>
      <c r="BA5" s="509"/>
      <c r="BB5" s="512"/>
      <c r="BC5" s="515"/>
      <c r="BD5" s="518"/>
      <c r="BE5" s="555"/>
      <c r="BF5" s="515"/>
      <c r="BG5" s="558"/>
      <c r="BH5" s="561"/>
      <c r="BI5" s="296"/>
      <c r="BJ5" s="297"/>
      <c r="BK5" s="297"/>
      <c r="BL5" s="297"/>
      <c r="BM5" s="297"/>
      <c r="BN5" s="297"/>
      <c r="BO5" s="297"/>
      <c r="BP5" s="297"/>
      <c r="BQ5" s="297"/>
      <c r="BR5" s="297"/>
      <c r="BS5" s="293"/>
      <c r="BT5" s="293"/>
      <c r="BU5" s="293"/>
      <c r="BV5" s="293"/>
      <c r="BW5" s="293"/>
      <c r="BX5" s="294"/>
      <c r="BY5" s="543"/>
      <c r="BZ5" s="298"/>
      <c r="CA5" s="294"/>
      <c r="CB5" s="533"/>
      <c r="CC5" s="468"/>
      <c r="CD5" s="494"/>
      <c r="CE5" s="491"/>
      <c r="CF5" s="496"/>
      <c r="CG5" s="461"/>
      <c r="CH5" s="463"/>
      <c r="CI5" s="487"/>
      <c r="CJ5" s="481"/>
      <c r="CK5" s="461"/>
      <c r="CL5" s="465"/>
      <c r="CM5" s="478"/>
    </row>
    <row r="6" spans="1:91" s="285" customFormat="1" ht="12" customHeight="1">
      <c r="A6" s="496"/>
      <c r="B6" s="500"/>
      <c r="C6" s="503"/>
      <c r="D6" s="506"/>
      <c r="E6" s="523">
        <v>22</v>
      </c>
      <c r="F6" s="523">
        <v>23</v>
      </c>
      <c r="G6" s="523">
        <v>24</v>
      </c>
      <c r="H6" s="523">
        <v>25</v>
      </c>
      <c r="I6" s="523">
        <v>28</v>
      </c>
      <c r="J6" s="523">
        <v>29</v>
      </c>
      <c r="K6" s="523">
        <v>30</v>
      </c>
      <c r="L6" s="523">
        <v>1</v>
      </c>
      <c r="M6" s="523">
        <v>2</v>
      </c>
      <c r="N6" s="523">
        <v>5</v>
      </c>
      <c r="O6" s="523">
        <v>6</v>
      </c>
      <c r="P6" s="523">
        <v>7</v>
      </c>
      <c r="Q6" s="523">
        <v>8</v>
      </c>
      <c r="R6" s="523">
        <v>9</v>
      </c>
      <c r="S6" s="523">
        <v>12</v>
      </c>
      <c r="T6" s="523">
        <v>13</v>
      </c>
      <c r="U6" s="523">
        <v>14</v>
      </c>
      <c r="V6" s="523">
        <v>15</v>
      </c>
      <c r="W6" s="581">
        <v>16</v>
      </c>
      <c r="X6" s="523">
        <v>19</v>
      </c>
      <c r="Y6" s="523">
        <v>20</v>
      </c>
      <c r="Z6" s="523">
        <v>21</v>
      </c>
      <c r="AA6" s="523">
        <v>22</v>
      </c>
      <c r="AB6" s="550">
        <v>23</v>
      </c>
      <c r="AC6" s="550">
        <v>26</v>
      </c>
      <c r="AD6" s="523">
        <v>27</v>
      </c>
      <c r="AE6" s="523">
        <v>28</v>
      </c>
      <c r="AF6" s="523">
        <v>29</v>
      </c>
      <c r="AG6" s="523">
        <v>30</v>
      </c>
      <c r="AH6" s="550">
        <v>3</v>
      </c>
      <c r="AI6" s="550">
        <v>4</v>
      </c>
      <c r="AJ6" s="550">
        <v>5</v>
      </c>
      <c r="AK6" s="550">
        <v>6</v>
      </c>
      <c r="AL6" s="550">
        <v>9</v>
      </c>
      <c r="AM6" s="550">
        <v>10</v>
      </c>
      <c r="AN6" s="550">
        <v>12</v>
      </c>
      <c r="AO6" s="550">
        <v>13</v>
      </c>
      <c r="AP6" s="550">
        <v>16</v>
      </c>
      <c r="AQ6" s="523">
        <v>17</v>
      </c>
      <c r="AR6" s="523">
        <v>18</v>
      </c>
      <c r="AS6" s="550">
        <v>19</v>
      </c>
      <c r="AT6" s="550">
        <v>20</v>
      </c>
      <c r="AU6" s="550">
        <v>23</v>
      </c>
      <c r="AV6" s="523">
        <v>24</v>
      </c>
      <c r="AW6" s="550">
        <v>25</v>
      </c>
      <c r="AX6" s="550">
        <v>26</v>
      </c>
      <c r="AY6" s="525">
        <v>27</v>
      </c>
      <c r="AZ6" s="570"/>
      <c r="BA6" s="509"/>
      <c r="BB6" s="512"/>
      <c r="BC6" s="515"/>
      <c r="BD6" s="518"/>
      <c r="BE6" s="555"/>
      <c r="BF6" s="515"/>
      <c r="BG6" s="558"/>
      <c r="BH6" s="561"/>
      <c r="BI6" s="538" t="s">
        <v>0</v>
      </c>
      <c r="BJ6" s="540"/>
      <c r="BK6" s="539"/>
      <c r="BL6" s="538" t="s">
        <v>5</v>
      </c>
      <c r="BM6" s="540"/>
      <c r="BN6" s="540"/>
      <c r="BO6" s="540"/>
      <c r="BP6" s="539"/>
      <c r="BQ6" s="538" t="s">
        <v>6</v>
      </c>
      <c r="BR6" s="539"/>
      <c r="BS6" s="541" t="s">
        <v>67</v>
      </c>
      <c r="BT6" s="548" t="s">
        <v>7</v>
      </c>
      <c r="BU6" s="548" t="s">
        <v>8</v>
      </c>
      <c r="BV6" s="548" t="s">
        <v>9</v>
      </c>
      <c r="BW6" s="548" t="s">
        <v>10</v>
      </c>
      <c r="BX6" s="548" t="s">
        <v>11</v>
      </c>
      <c r="BY6" s="543"/>
      <c r="BZ6" s="546" t="s">
        <v>12</v>
      </c>
      <c r="CA6" s="545" t="s">
        <v>134</v>
      </c>
      <c r="CB6" s="533"/>
      <c r="CC6" s="468"/>
      <c r="CD6" s="494"/>
      <c r="CE6" s="491"/>
      <c r="CF6" s="496"/>
      <c r="CG6" s="461"/>
      <c r="CH6" s="463"/>
      <c r="CI6" s="487"/>
      <c r="CJ6" s="481"/>
      <c r="CK6" s="461"/>
      <c r="CL6" s="465"/>
      <c r="CM6" s="478"/>
    </row>
    <row r="7" spans="1:91" s="285" customFormat="1" ht="14.25" customHeight="1" thickBot="1">
      <c r="A7" s="497"/>
      <c r="B7" s="501"/>
      <c r="C7" s="504"/>
      <c r="D7" s="507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82"/>
      <c r="X7" s="524"/>
      <c r="Y7" s="524"/>
      <c r="Z7" s="524"/>
      <c r="AA7" s="524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4"/>
      <c r="AQ7" s="524"/>
      <c r="AR7" s="524"/>
      <c r="AS7" s="524"/>
      <c r="AT7" s="524"/>
      <c r="AU7" s="524"/>
      <c r="AV7" s="524"/>
      <c r="AW7" s="524"/>
      <c r="AX7" s="524"/>
      <c r="AY7" s="526"/>
      <c r="AZ7" s="570"/>
      <c r="BA7" s="510"/>
      <c r="BB7" s="513"/>
      <c r="BC7" s="516"/>
      <c r="BD7" s="519"/>
      <c r="BE7" s="556"/>
      <c r="BF7" s="516"/>
      <c r="BG7" s="559"/>
      <c r="BH7" s="562"/>
      <c r="BI7" s="286" t="s">
        <v>16</v>
      </c>
      <c r="BJ7" s="287" t="s">
        <v>17</v>
      </c>
      <c r="BK7" s="288" t="s">
        <v>18</v>
      </c>
      <c r="BL7" s="289" t="s">
        <v>1</v>
      </c>
      <c r="BM7" s="290" t="s">
        <v>2</v>
      </c>
      <c r="BN7" s="290" t="s">
        <v>3</v>
      </c>
      <c r="BO7" s="290" t="s">
        <v>4</v>
      </c>
      <c r="BP7" s="288" t="s">
        <v>19</v>
      </c>
      <c r="BQ7" s="291" t="s">
        <v>20</v>
      </c>
      <c r="BR7" s="288" t="s">
        <v>21</v>
      </c>
      <c r="BS7" s="542"/>
      <c r="BT7" s="549"/>
      <c r="BU7" s="549"/>
      <c r="BV7" s="549"/>
      <c r="BW7" s="549"/>
      <c r="BX7" s="549"/>
      <c r="BY7" s="544"/>
      <c r="BZ7" s="547"/>
      <c r="CA7" s="504"/>
      <c r="CB7" s="534"/>
      <c r="CC7" s="469"/>
      <c r="CD7" s="495"/>
      <c r="CE7" s="492"/>
      <c r="CF7" s="497"/>
      <c r="CG7" s="462"/>
      <c r="CH7" s="464"/>
      <c r="CI7" s="488"/>
      <c r="CJ7" s="482"/>
      <c r="CK7" s="462"/>
      <c r="CL7" s="466"/>
      <c r="CM7" s="479"/>
    </row>
    <row r="8" spans="1:91" s="399" customFormat="1" ht="21" customHeight="1">
      <c r="A8" s="79" t="s">
        <v>92</v>
      </c>
      <c r="B8" s="80"/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215"/>
      <c r="S8" s="215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215"/>
      <c r="AW8" s="81"/>
      <c r="AX8" s="81"/>
      <c r="AY8" s="241"/>
      <c r="AZ8" s="271"/>
      <c r="BA8" s="82"/>
      <c r="BB8" s="80"/>
      <c r="BC8" s="80"/>
      <c r="BD8" s="82"/>
      <c r="BE8" s="84"/>
      <c r="BF8" s="83"/>
      <c r="BG8" s="84"/>
      <c r="BH8" s="85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9"/>
      <c r="CJ8" s="10"/>
      <c r="CK8" s="10"/>
      <c r="CL8" s="7"/>
      <c r="CM8" s="17"/>
    </row>
    <row r="9" spans="1:91" s="15" customFormat="1" ht="25.5" hidden="1" customHeight="1">
      <c r="A9" s="175">
        <v>1</v>
      </c>
      <c r="B9" s="367">
        <v>2845</v>
      </c>
      <c r="C9" s="176">
        <v>1</v>
      </c>
      <c r="D9" s="177" t="s">
        <v>136</v>
      </c>
      <c r="E9" s="193">
        <v>4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92"/>
      <c r="S9" s="192"/>
      <c r="T9" s="177"/>
      <c r="U9" s="177"/>
      <c r="V9" s="177"/>
      <c r="W9" s="300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232"/>
      <c r="AW9" s="188"/>
      <c r="AX9" s="188"/>
      <c r="AY9" s="242"/>
      <c r="AZ9" s="273" t="s">
        <v>109</v>
      </c>
      <c r="BA9" s="123" t="s">
        <v>135</v>
      </c>
      <c r="BB9" s="107">
        <v>15431</v>
      </c>
      <c r="BC9" s="368">
        <v>4548.3999999999996</v>
      </c>
      <c r="BD9" s="123">
        <v>3393.8</v>
      </c>
      <c r="BE9" s="134">
        <v>100.8</v>
      </c>
      <c r="BF9" s="178">
        <v>915.8</v>
      </c>
      <c r="BG9" s="317"/>
      <c r="BH9" s="88">
        <v>1059.8</v>
      </c>
      <c r="BI9" s="179">
        <v>1486.1</v>
      </c>
      <c r="BJ9" s="180">
        <v>249.8</v>
      </c>
      <c r="BK9" s="68">
        <v>1393.9</v>
      </c>
      <c r="BL9" s="318"/>
      <c r="BM9" s="180"/>
      <c r="BN9" s="180"/>
      <c r="BO9" s="180"/>
      <c r="BP9" s="68"/>
      <c r="BQ9" s="318"/>
      <c r="BR9" s="68"/>
      <c r="BS9" s="179"/>
      <c r="BT9" s="180"/>
      <c r="BU9" s="180"/>
      <c r="BV9" s="180"/>
      <c r="BW9" s="180"/>
      <c r="BX9" s="180"/>
      <c r="BY9" s="180">
        <v>100.8</v>
      </c>
      <c r="BZ9" s="180">
        <v>730.4</v>
      </c>
      <c r="CA9" s="180">
        <v>185.4</v>
      </c>
      <c r="CB9" s="180"/>
      <c r="CC9" s="69"/>
      <c r="CD9" s="30">
        <f>BC9</f>
        <v>4548.3999999999996</v>
      </c>
      <c r="CE9" s="32">
        <f>BD9</f>
        <v>3393.8</v>
      </c>
      <c r="CF9" s="179"/>
      <c r="CG9" s="180"/>
      <c r="CH9" s="69"/>
      <c r="CI9" s="40">
        <f>CD9-CA9</f>
        <v>4363</v>
      </c>
      <c r="CJ9" s="6" t="s">
        <v>101</v>
      </c>
      <c r="CK9" s="6" t="s">
        <v>102</v>
      </c>
      <c r="CL9" s="36" t="s">
        <v>103</v>
      </c>
      <c r="CM9" s="41" t="s">
        <v>104</v>
      </c>
    </row>
    <row r="10" spans="1:91" s="26" customFormat="1" ht="22.5" hidden="1" customHeight="1">
      <c r="A10" s="89">
        <v>2</v>
      </c>
      <c r="B10" s="90">
        <v>2845</v>
      </c>
      <c r="C10" s="90">
        <v>2</v>
      </c>
      <c r="D10" s="91" t="s">
        <v>27</v>
      </c>
      <c r="E10" s="181"/>
      <c r="F10" s="193">
        <v>2</v>
      </c>
      <c r="G10" s="193">
        <v>2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99"/>
      <c r="S10" s="199"/>
      <c r="T10" s="181"/>
      <c r="U10" s="181"/>
      <c r="V10" s="181"/>
      <c r="W10" s="30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99"/>
      <c r="AW10" s="181"/>
      <c r="AX10" s="181"/>
      <c r="AY10" s="243"/>
      <c r="AZ10" s="273" t="s">
        <v>109</v>
      </c>
      <c r="BA10" s="125">
        <v>1932</v>
      </c>
      <c r="BB10" s="121">
        <v>14730.29</v>
      </c>
      <c r="BC10" s="119">
        <f t="shared" ref="BC10:BD16" si="0">CD10</f>
        <v>3688.3500000000004</v>
      </c>
      <c r="BD10" s="120">
        <f t="shared" si="0"/>
        <v>2494.1</v>
      </c>
      <c r="BE10" s="121">
        <f t="shared" ref="BE10:BE17" si="1">BY10</f>
        <v>174.53</v>
      </c>
      <c r="BF10" s="121">
        <f t="shared" ref="BF10:BF17" si="2">BZ10+CA10</f>
        <v>1019.72</v>
      </c>
      <c r="BG10" s="122">
        <v>1228</v>
      </c>
      <c r="BH10" s="319">
        <v>879.42</v>
      </c>
      <c r="BI10" s="179">
        <f>[1]zestawienie!$C$358</f>
        <v>950.46999999999991</v>
      </c>
      <c r="BJ10" s="180">
        <f>[1]zestawienie!$D$358</f>
        <v>49.85</v>
      </c>
      <c r="BK10" s="68">
        <v>451.44</v>
      </c>
      <c r="BL10" s="318"/>
      <c r="BM10" s="180"/>
      <c r="BN10" s="180"/>
      <c r="BO10" s="180"/>
      <c r="BP10" s="68"/>
      <c r="BQ10" s="318"/>
      <c r="BR10" s="68"/>
      <c r="BS10" s="33">
        <f>[1]zestawienie!$M$358</f>
        <v>64.899999999999991</v>
      </c>
      <c r="BT10" s="31">
        <v>324.86</v>
      </c>
      <c r="BU10" s="31"/>
      <c r="BV10" s="31"/>
      <c r="BW10" s="31"/>
      <c r="BX10" s="31">
        <f>[1]zestawienie!$R$358</f>
        <v>652.57999999999993</v>
      </c>
      <c r="BY10" s="31">
        <v>174.53</v>
      </c>
      <c r="BZ10" s="31">
        <v>627.46</v>
      </c>
      <c r="CA10" s="31">
        <v>392.26</v>
      </c>
      <c r="CB10" s="31">
        <f>[2]zestawienie!$X$358</f>
        <v>5843.0309999999999</v>
      </c>
      <c r="CC10" s="34">
        <f>[2]zestawienie!$Z$358</f>
        <v>1752.71</v>
      </c>
      <c r="CD10" s="318">
        <f t="shared" ref="CD10:CD40" si="3">SUM(BI10:CA10)</f>
        <v>3688.3500000000004</v>
      </c>
      <c r="CE10" s="68">
        <f t="shared" ref="CE10:CE40" si="4">SUM(BI10:BX10)</f>
        <v>2494.1</v>
      </c>
      <c r="CF10" s="33">
        <f>[1]zestawienie!$AB$358</f>
        <v>397.33000000000004</v>
      </c>
      <c r="CG10" s="31">
        <f>[1]zestawienie!$AC$358</f>
        <v>234.63</v>
      </c>
      <c r="CH10" s="34">
        <f>[2]zestawienie!$AE$358</f>
        <v>3570.9999999999995</v>
      </c>
      <c r="CI10" s="57">
        <f t="shared" ref="CI10:CI20" si="5">SUM(BI10:BZ10)</f>
        <v>3296.09</v>
      </c>
      <c r="CJ10" s="6" t="s">
        <v>101</v>
      </c>
      <c r="CK10" s="6" t="s">
        <v>102</v>
      </c>
      <c r="CL10" s="36" t="s">
        <v>103</v>
      </c>
      <c r="CM10" s="41" t="s">
        <v>104</v>
      </c>
    </row>
    <row r="11" spans="1:91" s="15" customFormat="1" ht="24.95" hidden="1" customHeight="1">
      <c r="A11" s="108">
        <f t="shared" ref="A11:A74" si="6">A10+1</f>
        <v>3</v>
      </c>
      <c r="B11" s="368">
        <v>2845</v>
      </c>
      <c r="C11" s="368">
        <v>3</v>
      </c>
      <c r="D11" s="106" t="s">
        <v>28</v>
      </c>
      <c r="E11" s="194">
        <v>4</v>
      </c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216"/>
      <c r="S11" s="216"/>
      <c r="T11" s="182"/>
      <c r="U11" s="182"/>
      <c r="V11" s="182"/>
      <c r="W11" s="30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216"/>
      <c r="AW11" s="182"/>
      <c r="AX11" s="182"/>
      <c r="AY11" s="244"/>
      <c r="AZ11" s="273" t="s">
        <v>109</v>
      </c>
      <c r="BA11" s="125">
        <v>1932</v>
      </c>
      <c r="BB11" s="107">
        <v>14316.06</v>
      </c>
      <c r="BC11" s="119">
        <f t="shared" si="0"/>
        <v>3383.2100000000009</v>
      </c>
      <c r="BD11" s="120">
        <f t="shared" si="0"/>
        <v>2612.9900000000007</v>
      </c>
      <c r="BE11" s="121">
        <f t="shared" si="1"/>
        <v>20.28</v>
      </c>
      <c r="BF11" s="121">
        <f t="shared" si="2"/>
        <v>749.94</v>
      </c>
      <c r="BG11" s="122">
        <v>1267.94</v>
      </c>
      <c r="BH11" s="103">
        <v>939.4</v>
      </c>
      <c r="BI11" s="33">
        <f>[3]zestawienie!$C$309</f>
        <v>1009.1600000000001</v>
      </c>
      <c r="BJ11" s="31">
        <f>[3]zestawienie!$D$309</f>
        <v>415.89</v>
      </c>
      <c r="BK11" s="32">
        <f>[3]zestawienie!$E$309</f>
        <v>507.36</v>
      </c>
      <c r="BL11" s="30"/>
      <c r="BM11" s="31"/>
      <c r="BN11" s="31"/>
      <c r="BO11" s="31"/>
      <c r="BP11" s="32"/>
      <c r="BQ11" s="30"/>
      <c r="BR11" s="32"/>
      <c r="BS11" s="33">
        <f>[3]zestawienie!$M$309</f>
        <v>23.89</v>
      </c>
      <c r="BT11" s="31"/>
      <c r="BU11" s="31"/>
      <c r="BV11" s="31"/>
      <c r="BW11" s="31"/>
      <c r="BX11" s="31">
        <f>[3]zestawienie!$R$309</f>
        <v>656.69</v>
      </c>
      <c r="BY11" s="31">
        <f>[3]zestawienie!$S$309</f>
        <v>20.28</v>
      </c>
      <c r="BZ11" s="31">
        <f>[3]zestawienie!$T$309</f>
        <v>537.80000000000007</v>
      </c>
      <c r="CA11" s="31">
        <f>[3]zestawienie!$U$309</f>
        <v>212.14000000000001</v>
      </c>
      <c r="CB11" s="31">
        <f>[3]zestawienie!$W$309</f>
        <v>7247.1855000000005</v>
      </c>
      <c r="CC11" s="34">
        <f>[3]zestawienie!$Y$309</f>
        <v>2273.6899999999996</v>
      </c>
      <c r="CD11" s="30">
        <f t="shared" si="3"/>
        <v>3383.2100000000009</v>
      </c>
      <c r="CE11" s="32">
        <f t="shared" si="4"/>
        <v>2612.9900000000007</v>
      </c>
      <c r="CF11" s="33">
        <f>[3]zestawienie!$AB$309</f>
        <v>51.230000000000004</v>
      </c>
      <c r="CG11" s="31">
        <f>[3]zestawienie!$AC$309</f>
        <v>788.64999999999986</v>
      </c>
      <c r="CH11" s="34">
        <f>[3]zestawienie!$AD$309</f>
        <v>2988.8849999999998</v>
      </c>
      <c r="CI11" s="40">
        <f t="shared" si="5"/>
        <v>3171.0700000000011</v>
      </c>
      <c r="CJ11" s="6" t="s">
        <v>101</v>
      </c>
      <c r="CK11" s="6" t="s">
        <v>102</v>
      </c>
      <c r="CL11" s="36" t="s">
        <v>103</v>
      </c>
      <c r="CM11" s="41" t="s">
        <v>104</v>
      </c>
    </row>
    <row r="12" spans="1:91" s="26" customFormat="1" ht="24.95" hidden="1" customHeight="1">
      <c r="A12" s="89">
        <f t="shared" si="6"/>
        <v>4</v>
      </c>
      <c r="B12" s="90">
        <v>2845</v>
      </c>
      <c r="C12" s="90">
        <v>4</v>
      </c>
      <c r="D12" s="91" t="s">
        <v>29</v>
      </c>
      <c r="E12" s="181"/>
      <c r="F12" s="181"/>
      <c r="G12" s="181"/>
      <c r="H12" s="193">
        <v>2</v>
      </c>
      <c r="I12" s="181"/>
      <c r="J12" s="181"/>
      <c r="K12" s="181"/>
      <c r="L12" s="181"/>
      <c r="M12" s="181"/>
      <c r="N12" s="181"/>
      <c r="O12" s="181"/>
      <c r="P12" s="181"/>
      <c r="Q12" s="181"/>
      <c r="R12" s="199"/>
      <c r="S12" s="199"/>
      <c r="T12" s="181"/>
      <c r="U12" s="181"/>
      <c r="V12" s="181"/>
      <c r="W12" s="30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99"/>
      <c r="AW12" s="181"/>
      <c r="AX12" s="181"/>
      <c r="AY12" s="243"/>
      <c r="AZ12" s="273" t="s">
        <v>109</v>
      </c>
      <c r="BA12" s="235">
        <v>1912</v>
      </c>
      <c r="BB12" s="104">
        <v>2455.06</v>
      </c>
      <c r="BC12" s="93">
        <f t="shared" si="0"/>
        <v>574.06999999999994</v>
      </c>
      <c r="BD12" s="94">
        <f t="shared" si="0"/>
        <v>470.33000000000004</v>
      </c>
      <c r="BE12" s="92">
        <f t="shared" si="1"/>
        <v>8.9600000000000009</v>
      </c>
      <c r="BF12" s="92">
        <f t="shared" si="2"/>
        <v>94.78</v>
      </c>
      <c r="BG12" s="95">
        <v>408.62</v>
      </c>
      <c r="BH12" s="105">
        <v>342.83</v>
      </c>
      <c r="BI12" s="23"/>
      <c r="BJ12" s="24"/>
      <c r="BK12" s="28"/>
      <c r="BL12" s="27"/>
      <c r="BM12" s="24"/>
      <c r="BN12" s="24"/>
      <c r="BO12" s="24"/>
      <c r="BP12" s="28"/>
      <c r="BQ12" s="27"/>
      <c r="BR12" s="28"/>
      <c r="BS12" s="23">
        <f>[4]zestawienie!$M$308</f>
        <v>59.089999999999996</v>
      </c>
      <c r="BT12" s="24"/>
      <c r="BU12" s="24"/>
      <c r="BV12" s="24"/>
      <c r="BW12" s="24"/>
      <c r="BX12" s="24">
        <f>[4]zestawienie!$R$308</f>
        <v>411.24000000000007</v>
      </c>
      <c r="BY12" s="24">
        <f>[4]zestawienie!$S$308</f>
        <v>8.9600000000000009</v>
      </c>
      <c r="BZ12" s="24">
        <f>[4]zestawienie!$T$308</f>
        <v>44.49</v>
      </c>
      <c r="CA12" s="24">
        <f>[4]zestawienie!$U$308</f>
        <v>50.29</v>
      </c>
      <c r="CB12" s="24">
        <f>[4]zestawienie!$W$308</f>
        <v>1358.7529999999997</v>
      </c>
      <c r="CC12" s="25">
        <f>[4]zestawienie!$Y$308</f>
        <v>472.91</v>
      </c>
      <c r="CD12" s="27">
        <f t="shared" si="3"/>
        <v>574.06999999999994</v>
      </c>
      <c r="CE12" s="28">
        <f t="shared" si="4"/>
        <v>470.33000000000004</v>
      </c>
      <c r="CF12" s="23"/>
      <c r="CG12" s="24">
        <f>[4]zestawienie!$AC$308</f>
        <v>12.08</v>
      </c>
      <c r="CH12" s="25">
        <f>[4]zestawienie!$AD$308</f>
        <v>568.03</v>
      </c>
      <c r="CI12" s="29">
        <f t="shared" si="5"/>
        <v>523.78</v>
      </c>
      <c r="CJ12" s="4" t="s">
        <v>101</v>
      </c>
      <c r="CK12" s="4" t="s">
        <v>102</v>
      </c>
      <c r="CL12" s="18" t="s">
        <v>103</v>
      </c>
      <c r="CM12" s="19" t="s">
        <v>104</v>
      </c>
    </row>
    <row r="13" spans="1:91" s="35" customFormat="1" ht="24.95" hidden="1" customHeight="1">
      <c r="A13" s="89">
        <f t="shared" si="6"/>
        <v>5</v>
      </c>
      <c r="B13" s="368">
        <v>2845</v>
      </c>
      <c r="C13" s="368">
        <v>6</v>
      </c>
      <c r="D13" s="106" t="s">
        <v>30</v>
      </c>
      <c r="E13" s="183"/>
      <c r="F13" s="183"/>
      <c r="G13" s="183"/>
      <c r="H13" s="183"/>
      <c r="I13" s="193">
        <v>2</v>
      </c>
      <c r="J13" s="193">
        <v>1</v>
      </c>
      <c r="K13" s="183"/>
      <c r="L13" s="183"/>
      <c r="M13" s="183"/>
      <c r="N13" s="183"/>
      <c r="O13" s="183"/>
      <c r="P13" s="183"/>
      <c r="Q13" s="183"/>
      <c r="R13" s="124"/>
      <c r="S13" s="124"/>
      <c r="T13" s="183"/>
      <c r="U13" s="183"/>
      <c r="V13" s="183"/>
      <c r="W13" s="30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24"/>
      <c r="AW13" s="183"/>
      <c r="AX13" s="183"/>
      <c r="AY13" s="245"/>
      <c r="AZ13" s="273" t="s">
        <v>109</v>
      </c>
      <c r="BA13" s="125">
        <v>1932</v>
      </c>
      <c r="BB13" s="107">
        <v>8835.6</v>
      </c>
      <c r="BC13" s="93">
        <f t="shared" si="0"/>
        <v>1925.6299999999997</v>
      </c>
      <c r="BD13" s="94">
        <f t="shared" si="0"/>
        <v>1326.1799999999998</v>
      </c>
      <c r="BE13" s="92">
        <f t="shared" si="1"/>
        <v>102.30000000000001</v>
      </c>
      <c r="BF13" s="92">
        <f t="shared" si="2"/>
        <v>497.15</v>
      </c>
      <c r="BG13" s="95">
        <v>872.81</v>
      </c>
      <c r="BH13" s="103">
        <v>637.88</v>
      </c>
      <c r="BI13" s="33"/>
      <c r="BJ13" s="31"/>
      <c r="BK13" s="32"/>
      <c r="BL13" s="30"/>
      <c r="BM13" s="31"/>
      <c r="BN13" s="31"/>
      <c r="BO13" s="31"/>
      <c r="BP13" s="32"/>
      <c r="BQ13" s="30">
        <f>[5]zestawienie!$K$309</f>
        <v>38.6</v>
      </c>
      <c r="BR13" s="32"/>
      <c r="BS13" s="33">
        <f>[5]zestawienie!$M$309</f>
        <v>58.25</v>
      </c>
      <c r="BT13" s="31">
        <f>[5]zestawienie!$N$309</f>
        <v>226.34</v>
      </c>
      <c r="BU13" s="31"/>
      <c r="BV13" s="31">
        <f>[5]zestawienie!$P$309</f>
        <v>76.900000000000006</v>
      </c>
      <c r="BW13" s="31"/>
      <c r="BX13" s="31">
        <f>[5]zestawienie!$R$309</f>
        <v>926.08999999999992</v>
      </c>
      <c r="BY13" s="31">
        <f>[5]zestawienie!$S$309</f>
        <v>102.30000000000001</v>
      </c>
      <c r="BZ13" s="31">
        <f>[5]zestawienie!$T$309</f>
        <v>292.08</v>
      </c>
      <c r="CA13" s="31">
        <f>[5]zestawienie!$U$309</f>
        <v>205.07</v>
      </c>
      <c r="CB13" s="31">
        <f>[5]zestawienie!$W$309</f>
        <v>3508.9070000000002</v>
      </c>
      <c r="CC13" s="34">
        <f>[5]zestawienie!$Y$309</f>
        <v>1206.48</v>
      </c>
      <c r="CD13" s="27">
        <f t="shared" si="3"/>
        <v>1925.6299999999997</v>
      </c>
      <c r="CE13" s="28">
        <f t="shared" si="4"/>
        <v>1326.1799999999998</v>
      </c>
      <c r="CF13" s="33">
        <f>[5]zestawienie!$AB$309</f>
        <v>91.25</v>
      </c>
      <c r="CG13" s="31">
        <f>[5]zestawienie!$AC$309</f>
        <v>53.66</v>
      </c>
      <c r="CH13" s="34">
        <f>[5]zestawienie!$AD$309</f>
        <v>1898.82</v>
      </c>
      <c r="CI13" s="29">
        <f t="shared" si="5"/>
        <v>1720.5599999999997</v>
      </c>
      <c r="CJ13" s="4" t="s">
        <v>101</v>
      </c>
      <c r="CK13" s="4" t="s">
        <v>102</v>
      </c>
      <c r="CL13" s="18" t="s">
        <v>103</v>
      </c>
      <c r="CM13" s="19" t="s">
        <v>104</v>
      </c>
    </row>
    <row r="14" spans="1:91" s="26" customFormat="1" ht="24.95" hidden="1" customHeight="1">
      <c r="A14" s="89">
        <f t="shared" si="6"/>
        <v>6</v>
      </c>
      <c r="B14" s="90">
        <v>2845</v>
      </c>
      <c r="C14" s="90">
        <v>7</v>
      </c>
      <c r="D14" s="91" t="s">
        <v>32</v>
      </c>
      <c r="E14" s="181"/>
      <c r="F14" s="181"/>
      <c r="G14" s="181"/>
      <c r="H14" s="181"/>
      <c r="I14" s="181"/>
      <c r="J14" s="193">
        <v>1</v>
      </c>
      <c r="K14" s="193">
        <v>2</v>
      </c>
      <c r="L14" s="181"/>
      <c r="M14" s="181"/>
      <c r="N14" s="181"/>
      <c r="O14" s="181"/>
      <c r="P14" s="181"/>
      <c r="Q14" s="181"/>
      <c r="R14" s="199"/>
      <c r="S14" s="199"/>
      <c r="T14" s="181"/>
      <c r="U14" s="181"/>
      <c r="V14" s="181"/>
      <c r="W14" s="30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99"/>
      <c r="AW14" s="181"/>
      <c r="AX14" s="181"/>
      <c r="AY14" s="243"/>
      <c r="AZ14" s="273" t="s">
        <v>109</v>
      </c>
      <c r="BA14" s="235">
        <v>1932</v>
      </c>
      <c r="BB14" s="104">
        <v>10349.5</v>
      </c>
      <c r="BC14" s="93">
        <f t="shared" si="0"/>
        <v>2320.6799999999998</v>
      </c>
      <c r="BD14" s="94">
        <f t="shared" si="0"/>
        <v>1972.8899999999999</v>
      </c>
      <c r="BE14" s="92">
        <f t="shared" si="1"/>
        <v>23.22</v>
      </c>
      <c r="BF14" s="92">
        <f t="shared" si="2"/>
        <v>324.57</v>
      </c>
      <c r="BG14" s="95">
        <v>976.46</v>
      </c>
      <c r="BH14" s="105">
        <v>741.9</v>
      </c>
      <c r="BI14" s="23"/>
      <c r="BJ14" s="24"/>
      <c r="BK14" s="28"/>
      <c r="BL14" s="27"/>
      <c r="BM14" s="24"/>
      <c r="BN14" s="24"/>
      <c r="BO14" s="24"/>
      <c r="BP14" s="28"/>
      <c r="BQ14" s="27">
        <f>[6]zestawienie!$K$310</f>
        <v>148.57</v>
      </c>
      <c r="BR14" s="28">
        <f>[6]zestawienie!$L$310</f>
        <v>96.15</v>
      </c>
      <c r="BS14" s="23">
        <f>[6]zestawienie!$M$310</f>
        <v>44.730000000000004</v>
      </c>
      <c r="BT14" s="24">
        <f>[6]zestawienie!$N$310</f>
        <v>427.14</v>
      </c>
      <c r="BU14" s="24"/>
      <c r="BV14" s="24">
        <f>[6]zestawienie!$P$310</f>
        <v>88.17</v>
      </c>
      <c r="BW14" s="24"/>
      <c r="BX14" s="24">
        <f>[6]zestawienie!$R$310</f>
        <v>1168.1300000000001</v>
      </c>
      <c r="BY14" s="24">
        <f>[6]zestawienie!$S$310</f>
        <v>23.22</v>
      </c>
      <c r="BZ14" s="24">
        <f>[6]zestawienie!$T$310</f>
        <v>136.88</v>
      </c>
      <c r="CA14" s="24">
        <f>[6]zestawienie!$U$310</f>
        <v>187.69</v>
      </c>
      <c r="CB14" s="24">
        <f>[6]zestawienie!$W$310</f>
        <v>3387.3249999999998</v>
      </c>
      <c r="CC14" s="25">
        <f>[6]zestawienie!$Y$310</f>
        <v>962.45</v>
      </c>
      <c r="CD14" s="27">
        <f t="shared" si="3"/>
        <v>2320.6799999999998</v>
      </c>
      <c r="CE14" s="28">
        <f t="shared" si="4"/>
        <v>1972.8899999999999</v>
      </c>
      <c r="CF14" s="23">
        <f>[6]zestawienie!$AB$310</f>
        <v>120.27000000000001</v>
      </c>
      <c r="CG14" s="24">
        <f>[6]zestawienie!$AC$310</f>
        <v>105.49999999999999</v>
      </c>
      <c r="CH14" s="25">
        <f>[6]zestawienie!$AD$310</f>
        <v>2267.9299999999998</v>
      </c>
      <c r="CI14" s="29">
        <f t="shared" si="5"/>
        <v>2132.9899999999998</v>
      </c>
      <c r="CJ14" s="4" t="s">
        <v>101</v>
      </c>
      <c r="CK14" s="4" t="s">
        <v>102</v>
      </c>
      <c r="CL14" s="18" t="s">
        <v>103</v>
      </c>
      <c r="CM14" s="19" t="s">
        <v>104</v>
      </c>
    </row>
    <row r="15" spans="1:91" s="26" customFormat="1" ht="24.95" hidden="1" customHeight="1">
      <c r="A15" s="97">
        <f t="shared" si="6"/>
        <v>7</v>
      </c>
      <c r="B15" s="87">
        <v>2845</v>
      </c>
      <c r="C15" s="87">
        <v>8</v>
      </c>
      <c r="D15" s="98" t="s">
        <v>32</v>
      </c>
      <c r="E15" s="182"/>
      <c r="F15" s="182"/>
      <c r="G15" s="182"/>
      <c r="H15" s="182"/>
      <c r="I15" s="182"/>
      <c r="J15" s="182"/>
      <c r="K15" s="182"/>
      <c r="L15" s="315">
        <v>2</v>
      </c>
      <c r="M15" s="182"/>
      <c r="N15" s="182"/>
      <c r="O15" s="182"/>
      <c r="P15" s="182"/>
      <c r="Q15" s="182"/>
      <c r="R15" s="216"/>
      <c r="S15" s="216"/>
      <c r="T15" s="182"/>
      <c r="U15" s="182"/>
      <c r="V15" s="182"/>
      <c r="W15" s="30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216"/>
      <c r="AW15" s="182"/>
      <c r="AX15" s="182"/>
      <c r="AY15" s="244"/>
      <c r="AZ15" s="316" t="s">
        <v>183</v>
      </c>
      <c r="BA15" s="236">
        <v>1932</v>
      </c>
      <c r="BB15" s="86">
        <v>13065.15</v>
      </c>
      <c r="BC15" s="99">
        <f t="shared" si="0"/>
        <v>3460.93</v>
      </c>
      <c r="BD15" s="100">
        <f t="shared" si="0"/>
        <v>2577.9299999999998</v>
      </c>
      <c r="BE15" s="101">
        <f t="shared" si="1"/>
        <v>125.67</v>
      </c>
      <c r="BF15" s="101">
        <f t="shared" si="2"/>
        <v>757.32999999999993</v>
      </c>
      <c r="BG15" s="102">
        <v>1227.52</v>
      </c>
      <c r="BH15" s="118">
        <v>878.85</v>
      </c>
      <c r="BI15" s="39"/>
      <c r="BJ15" s="37"/>
      <c r="BK15" s="13"/>
      <c r="BL15" s="12"/>
      <c r="BM15" s="37"/>
      <c r="BN15" s="37"/>
      <c r="BO15" s="37"/>
      <c r="BP15" s="13"/>
      <c r="BQ15" s="12">
        <f>[7]zestawienie!$K$315</f>
        <v>952.19999999999993</v>
      </c>
      <c r="BR15" s="13">
        <f>[7]zestawienie!$L$315</f>
        <v>362.84000000000003</v>
      </c>
      <c r="BS15" s="39">
        <f>[7]zestawienie!$M$315</f>
        <v>131.18</v>
      </c>
      <c r="BT15" s="37">
        <f>[7]zestawienie!$N$315</f>
        <v>543.59</v>
      </c>
      <c r="BU15" s="37"/>
      <c r="BV15" s="37"/>
      <c r="BW15" s="37"/>
      <c r="BX15" s="37">
        <f>[7]zestawienie!$R$315</f>
        <v>588.12</v>
      </c>
      <c r="BY15" s="37">
        <f>[7]zestawienie!$S$315</f>
        <v>125.67</v>
      </c>
      <c r="BZ15" s="37">
        <f>[7]zestawienie!$T$315</f>
        <v>563.05999999999995</v>
      </c>
      <c r="CA15" s="37">
        <f>[7]zestawienie!$U$315</f>
        <v>194.27</v>
      </c>
      <c r="CB15" s="37">
        <f>[7]zestawienie!$W$315</f>
        <v>7232.6770000000006</v>
      </c>
      <c r="CC15" s="38">
        <f>[7]zestawienie!$Y$315</f>
        <v>2455.8500000000004</v>
      </c>
      <c r="CD15" s="12">
        <f t="shared" si="3"/>
        <v>3460.93</v>
      </c>
      <c r="CE15" s="13">
        <f t="shared" si="4"/>
        <v>2577.9299999999998</v>
      </c>
      <c r="CF15" s="39">
        <f>[7]zestawienie!$AB$315</f>
        <v>305.15999999999997</v>
      </c>
      <c r="CG15" s="37">
        <f>[7]zestawienie!$AC$315</f>
        <v>155.57999999999998</v>
      </c>
      <c r="CH15" s="38">
        <f>[7]zestawienie!$AD$315</f>
        <v>3383.1200000000003</v>
      </c>
      <c r="CI15" s="14">
        <f t="shared" si="5"/>
        <v>3266.66</v>
      </c>
      <c r="CJ15" s="11" t="s">
        <v>101</v>
      </c>
      <c r="CK15" s="11" t="s">
        <v>102</v>
      </c>
      <c r="CL15" s="77" t="s">
        <v>103</v>
      </c>
      <c r="CM15" s="78" t="s">
        <v>104</v>
      </c>
    </row>
    <row r="16" spans="1:91" s="26" customFormat="1" ht="24.95" hidden="1" customHeight="1">
      <c r="A16" s="89">
        <f t="shared" si="6"/>
        <v>8</v>
      </c>
      <c r="B16" s="90">
        <v>2845</v>
      </c>
      <c r="C16" s="90">
        <v>9</v>
      </c>
      <c r="D16" s="91" t="s">
        <v>33</v>
      </c>
      <c r="E16" s="181"/>
      <c r="F16" s="181"/>
      <c r="G16" s="181"/>
      <c r="H16" s="181"/>
      <c r="I16" s="181"/>
      <c r="J16" s="181"/>
      <c r="K16" s="181"/>
      <c r="L16" s="181"/>
      <c r="M16" s="193">
        <v>2</v>
      </c>
      <c r="N16" s="193">
        <v>2</v>
      </c>
      <c r="O16" s="181"/>
      <c r="P16" s="181"/>
      <c r="Q16" s="181"/>
      <c r="R16" s="199"/>
      <c r="S16" s="199"/>
      <c r="T16" s="181"/>
      <c r="U16" s="181"/>
      <c r="V16" s="181"/>
      <c r="W16" s="30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99"/>
      <c r="AW16" s="181"/>
      <c r="AX16" s="181"/>
      <c r="AY16" s="243"/>
      <c r="AZ16" s="273" t="s">
        <v>109</v>
      </c>
      <c r="BA16" s="235">
        <v>1932</v>
      </c>
      <c r="BB16" s="104">
        <v>13967.58</v>
      </c>
      <c r="BC16" s="93">
        <f t="shared" si="0"/>
        <v>3354.5600000000004</v>
      </c>
      <c r="BD16" s="94">
        <f t="shared" si="0"/>
        <v>2689.88</v>
      </c>
      <c r="BE16" s="92">
        <f t="shared" si="1"/>
        <v>19.8</v>
      </c>
      <c r="BF16" s="92">
        <f t="shared" si="2"/>
        <v>644.88000000000011</v>
      </c>
      <c r="BG16" s="95">
        <v>1254.94</v>
      </c>
      <c r="BH16" s="105">
        <v>892.21</v>
      </c>
      <c r="BI16" s="23">
        <f>[8]zestawienie!$C$308</f>
        <v>1170.6000000000001</v>
      </c>
      <c r="BJ16" s="24">
        <f>[8]zestawienie!$D$308</f>
        <v>600</v>
      </c>
      <c r="BK16" s="28">
        <f>[8]zestawienie!$E$308</f>
        <v>482.53999999999996</v>
      </c>
      <c r="BL16" s="27"/>
      <c r="BM16" s="24"/>
      <c r="BN16" s="24"/>
      <c r="BO16" s="24"/>
      <c r="BP16" s="28"/>
      <c r="BQ16" s="27"/>
      <c r="BR16" s="28"/>
      <c r="BS16" s="23">
        <f>[8]zestawienie!$M$308</f>
        <v>14.23</v>
      </c>
      <c r="BT16" s="24"/>
      <c r="BU16" s="24"/>
      <c r="BV16" s="24"/>
      <c r="BW16" s="24"/>
      <c r="BX16" s="24">
        <f>[8]zestawienie!$R$308</f>
        <v>422.51</v>
      </c>
      <c r="BY16" s="24">
        <f>[8]zestawienie!$S$308</f>
        <v>19.8</v>
      </c>
      <c r="BZ16" s="24">
        <f>[8]zestawienie!$T$308</f>
        <v>536.31000000000006</v>
      </c>
      <c r="CA16" s="24">
        <f>[8]zestawienie!$U$308</f>
        <v>108.57</v>
      </c>
      <c r="CB16" s="24">
        <f>[8]zestawienie!$W$308</f>
        <v>7971.1171999999997</v>
      </c>
      <c r="CC16" s="25">
        <f>[8]zestawienie!$Y$308</f>
        <v>2559.04</v>
      </c>
      <c r="CD16" s="27">
        <f t="shared" si="3"/>
        <v>3354.5600000000004</v>
      </c>
      <c r="CE16" s="28">
        <f t="shared" si="4"/>
        <v>2689.88</v>
      </c>
      <c r="CF16" s="23">
        <f>[8]zestawienie!$AB$308</f>
        <v>1.8199999999999998</v>
      </c>
      <c r="CG16" s="24">
        <f>[8]zestawienie!$AC$308</f>
        <v>765.11</v>
      </c>
      <c r="CH16" s="25">
        <f>[8]zestawienie!$AD$308</f>
        <v>2972.0050000000001</v>
      </c>
      <c r="CI16" s="29">
        <f t="shared" si="5"/>
        <v>3245.9900000000002</v>
      </c>
      <c r="CJ16" s="4" t="s">
        <v>101</v>
      </c>
      <c r="CK16" s="4" t="s">
        <v>102</v>
      </c>
      <c r="CL16" s="18" t="s">
        <v>103</v>
      </c>
      <c r="CM16" s="19" t="s">
        <v>104</v>
      </c>
    </row>
    <row r="17" spans="1:91" s="26" customFormat="1" ht="24.95" hidden="1" customHeight="1">
      <c r="A17" s="89">
        <f t="shared" si="6"/>
        <v>9</v>
      </c>
      <c r="B17" s="90">
        <v>2845</v>
      </c>
      <c r="C17" s="90">
        <v>10</v>
      </c>
      <c r="D17" s="91" t="s">
        <v>33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93">
        <v>2</v>
      </c>
      <c r="P17" s="193">
        <v>2</v>
      </c>
      <c r="Q17" s="181"/>
      <c r="R17" s="199"/>
      <c r="S17" s="199"/>
      <c r="T17" s="181"/>
      <c r="U17" s="181"/>
      <c r="V17" s="181"/>
      <c r="W17" s="30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99"/>
      <c r="AW17" s="181"/>
      <c r="AX17" s="181"/>
      <c r="AY17" s="243"/>
      <c r="AZ17" s="273" t="s">
        <v>109</v>
      </c>
      <c r="BA17" s="235">
        <v>1932</v>
      </c>
      <c r="BB17" s="104">
        <v>15094.19</v>
      </c>
      <c r="BC17" s="93">
        <v>3346</v>
      </c>
      <c r="BD17" s="94">
        <f>CE17</f>
        <v>2501.04</v>
      </c>
      <c r="BE17" s="92">
        <f t="shared" si="1"/>
        <v>16.600000000000001</v>
      </c>
      <c r="BF17" s="92">
        <f t="shared" si="2"/>
        <v>828.31000000000006</v>
      </c>
      <c r="BG17" s="95">
        <v>1227.06</v>
      </c>
      <c r="BH17" s="105">
        <v>890.25</v>
      </c>
      <c r="BI17" s="23">
        <f>[9]zestawienie!$C$310</f>
        <v>1253.49</v>
      </c>
      <c r="BJ17" s="24">
        <f>[9]zestawienie!$D$310</f>
        <v>291.63</v>
      </c>
      <c r="BK17" s="28">
        <f>[9]zestawienie!$E$310</f>
        <v>499.63</v>
      </c>
      <c r="BL17" s="27"/>
      <c r="BM17" s="24"/>
      <c r="BN17" s="24"/>
      <c r="BO17" s="24"/>
      <c r="BP17" s="28"/>
      <c r="BQ17" s="27"/>
      <c r="BR17" s="28"/>
      <c r="BS17" s="23"/>
      <c r="BT17" s="24">
        <f>[9]zestawienie!$N$310</f>
        <v>181.62</v>
      </c>
      <c r="BU17" s="24"/>
      <c r="BV17" s="24"/>
      <c r="BW17" s="24"/>
      <c r="BX17" s="24">
        <f>[9]zestawienie!$R$310</f>
        <v>274.66999999999996</v>
      </c>
      <c r="BY17" s="24">
        <f>[9]zestawienie!$S$310</f>
        <v>16.600000000000001</v>
      </c>
      <c r="BZ17" s="24">
        <f>[9]zestawienie!$T$310</f>
        <v>552.22</v>
      </c>
      <c r="CA17" s="24">
        <f>[9]zestawienie!$U$310</f>
        <v>276.09000000000003</v>
      </c>
      <c r="CB17" s="24">
        <f>[9]zestawienie!$W$310</f>
        <v>7834.8843999999999</v>
      </c>
      <c r="CC17" s="25">
        <f>[9]zestawienie!$Y$310</f>
        <v>2499</v>
      </c>
      <c r="CD17" s="27">
        <f t="shared" si="3"/>
        <v>3345.95</v>
      </c>
      <c r="CE17" s="28">
        <f t="shared" si="4"/>
        <v>2501.04</v>
      </c>
      <c r="CF17" s="23">
        <f>[9]zestawienie!$AB$310</f>
        <v>215.21</v>
      </c>
      <c r="CG17" s="24">
        <f>[9]zestawienie!$AC$310</f>
        <v>841.8</v>
      </c>
      <c r="CH17" s="25">
        <f>[9]zestawienie!$AD$310</f>
        <v>2925.0400000000004</v>
      </c>
      <c r="CI17" s="29">
        <f t="shared" si="5"/>
        <v>3069.8599999999997</v>
      </c>
      <c r="CJ17" s="4" t="s">
        <v>101</v>
      </c>
      <c r="CK17" s="4" t="s">
        <v>102</v>
      </c>
      <c r="CL17" s="18" t="s">
        <v>103</v>
      </c>
      <c r="CM17" s="19" t="s">
        <v>104</v>
      </c>
    </row>
    <row r="18" spans="1:91" s="170" customFormat="1" ht="24.95" hidden="1" customHeight="1">
      <c r="A18" s="108">
        <f t="shared" si="6"/>
        <v>10</v>
      </c>
      <c r="B18" s="368">
        <v>2845</v>
      </c>
      <c r="C18" s="368">
        <v>11</v>
      </c>
      <c r="D18" s="106" t="s">
        <v>129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208">
        <v>1</v>
      </c>
      <c r="R18" s="124"/>
      <c r="S18" s="124"/>
      <c r="T18" s="183"/>
      <c r="U18" s="183"/>
      <c r="V18" s="183"/>
      <c r="W18" s="30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24"/>
      <c r="AW18" s="183"/>
      <c r="AX18" s="183"/>
      <c r="AY18" s="245"/>
      <c r="AZ18" s="274" t="s">
        <v>109</v>
      </c>
      <c r="BA18" s="125" t="s">
        <v>130</v>
      </c>
      <c r="BB18" s="107">
        <v>6395</v>
      </c>
      <c r="BC18" s="119">
        <v>1164</v>
      </c>
      <c r="BD18" s="120">
        <v>886</v>
      </c>
      <c r="BE18" s="121"/>
      <c r="BF18" s="121">
        <v>256.64999999999998</v>
      </c>
      <c r="BG18" s="122">
        <v>989.86</v>
      </c>
      <c r="BH18" s="157">
        <v>975.33</v>
      </c>
      <c r="BI18" s="158"/>
      <c r="BJ18" s="159"/>
      <c r="BK18" s="160"/>
      <c r="BL18" s="161">
        <v>389.14</v>
      </c>
      <c r="BM18" s="159"/>
      <c r="BN18" s="159"/>
      <c r="BO18" s="159"/>
      <c r="BP18" s="160"/>
      <c r="BQ18" s="161">
        <v>102.28</v>
      </c>
      <c r="BR18" s="160"/>
      <c r="BS18" s="162">
        <v>102.39</v>
      </c>
      <c r="BT18" s="159"/>
      <c r="BU18" s="159"/>
      <c r="BV18" s="159"/>
      <c r="BW18" s="159"/>
      <c r="BX18" s="163">
        <v>291.86</v>
      </c>
      <c r="BY18" s="159"/>
      <c r="BZ18" s="163">
        <v>227.79</v>
      </c>
      <c r="CA18" s="163">
        <v>50.81</v>
      </c>
      <c r="CB18" s="163">
        <v>3439.39</v>
      </c>
      <c r="CC18" s="164">
        <v>925.64</v>
      </c>
      <c r="CD18" s="161">
        <f t="shared" si="3"/>
        <v>1164.27</v>
      </c>
      <c r="CE18" s="165">
        <f t="shared" si="4"/>
        <v>885.67</v>
      </c>
      <c r="CF18" s="162">
        <v>21.95</v>
      </c>
      <c r="CG18" s="159"/>
      <c r="CH18" s="164">
        <v>1142.32</v>
      </c>
      <c r="CI18" s="166">
        <f t="shared" si="5"/>
        <v>1113.46</v>
      </c>
      <c r="CJ18" s="167" t="s">
        <v>101</v>
      </c>
      <c r="CK18" s="167" t="s">
        <v>102</v>
      </c>
      <c r="CL18" s="168" t="s">
        <v>103</v>
      </c>
      <c r="CM18" s="169" t="s">
        <v>104</v>
      </c>
    </row>
    <row r="19" spans="1:91" s="26" customFormat="1" ht="24.95" hidden="1" customHeight="1">
      <c r="A19" s="89">
        <f t="shared" si="6"/>
        <v>11</v>
      </c>
      <c r="B19" s="90">
        <v>2845</v>
      </c>
      <c r="C19" s="90">
        <v>12</v>
      </c>
      <c r="D19" s="91" t="s">
        <v>34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208">
        <v>1</v>
      </c>
      <c r="S19" s="199"/>
      <c r="T19" s="181"/>
      <c r="U19" s="181"/>
      <c r="V19" s="181"/>
      <c r="W19" s="30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99"/>
      <c r="AW19" s="181"/>
      <c r="AX19" s="181"/>
      <c r="AY19" s="243"/>
      <c r="AZ19" s="273" t="s">
        <v>109</v>
      </c>
      <c r="BA19" s="235">
        <v>1932</v>
      </c>
      <c r="BB19" s="104">
        <v>9252.14</v>
      </c>
      <c r="BC19" s="93">
        <f t="shared" ref="BC19:BD21" si="7">CD19</f>
        <v>1418.42</v>
      </c>
      <c r="BD19" s="94">
        <f t="shared" si="7"/>
        <v>1251.3300000000002</v>
      </c>
      <c r="BE19" s="92">
        <f t="shared" ref="BE19:BE82" si="8">BY19</f>
        <v>84.56</v>
      </c>
      <c r="BF19" s="92">
        <f t="shared" ref="BF19:BF82" si="9">BZ19+CA19</f>
        <v>82.53</v>
      </c>
      <c r="BG19" s="95">
        <v>1671.52</v>
      </c>
      <c r="BH19" s="105">
        <v>1579</v>
      </c>
      <c r="BI19" s="23"/>
      <c r="BJ19" s="24"/>
      <c r="BK19" s="13"/>
      <c r="BL19" s="27">
        <f>[10]zestawienie!$G$311</f>
        <v>69.540000000000006</v>
      </c>
      <c r="BM19" s="24">
        <f>[10]zestawienie!$H$311</f>
        <v>924.44</v>
      </c>
      <c r="BN19" s="24"/>
      <c r="BO19" s="24">
        <f>[10]zestawienie!$I$311</f>
        <v>81.88</v>
      </c>
      <c r="BP19" s="28">
        <f>[10]zestawienie!$J$311</f>
        <v>88.68</v>
      </c>
      <c r="BQ19" s="27"/>
      <c r="BR19" s="28"/>
      <c r="BS19" s="23">
        <f>[10]zestawienie!$M$311</f>
        <v>72.759999999999991</v>
      </c>
      <c r="BT19" s="24"/>
      <c r="BU19" s="24"/>
      <c r="BV19" s="24"/>
      <c r="BW19" s="24"/>
      <c r="BX19" s="24">
        <f>[10]zestawienie!$R$311</f>
        <v>14.030000000000001</v>
      </c>
      <c r="BY19" s="24">
        <f>[10]zestawienie!$S$311</f>
        <v>84.56</v>
      </c>
      <c r="BZ19" s="24">
        <f>[10]zestawienie!$T$311</f>
        <v>82.53</v>
      </c>
      <c r="CA19" s="24"/>
      <c r="CB19" s="24">
        <f>[10]zestawienie!$W$311</f>
        <v>920.99699999999984</v>
      </c>
      <c r="CC19" s="25">
        <f>[10]zestawienie!$Y$311</f>
        <v>279.08999999999997</v>
      </c>
      <c r="CD19" s="27">
        <f t="shared" si="3"/>
        <v>1418.42</v>
      </c>
      <c r="CE19" s="28">
        <f t="shared" si="4"/>
        <v>1251.3300000000002</v>
      </c>
      <c r="CF19" s="23"/>
      <c r="CG19" s="24"/>
      <c r="CH19" s="25">
        <f>[10]zestawienie!$AD$311</f>
        <v>1418.4200000000003</v>
      </c>
      <c r="CI19" s="29">
        <f t="shared" si="5"/>
        <v>1418.42</v>
      </c>
      <c r="CJ19" s="4" t="s">
        <v>101</v>
      </c>
      <c r="CK19" s="4" t="s">
        <v>102</v>
      </c>
      <c r="CL19" s="18" t="s">
        <v>103</v>
      </c>
      <c r="CM19" s="19" t="s">
        <v>104</v>
      </c>
    </row>
    <row r="20" spans="1:91" s="26" customFormat="1" ht="24.95" hidden="1" customHeight="1">
      <c r="A20" s="89">
        <f t="shared" si="6"/>
        <v>12</v>
      </c>
      <c r="B20" s="90">
        <v>2845</v>
      </c>
      <c r="C20" s="90">
        <v>13</v>
      </c>
      <c r="D20" s="91" t="s">
        <v>35</v>
      </c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99"/>
      <c r="S20" s="208">
        <v>0.8</v>
      </c>
      <c r="T20" s="183"/>
      <c r="U20" s="183"/>
      <c r="V20" s="183"/>
      <c r="W20" s="30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1"/>
      <c r="AR20" s="181"/>
      <c r="AS20" s="181"/>
      <c r="AT20" s="181"/>
      <c r="AU20" s="181"/>
      <c r="AV20" s="199"/>
      <c r="AW20" s="181"/>
      <c r="AX20" s="181"/>
      <c r="AY20" s="243"/>
      <c r="AZ20" s="273" t="s">
        <v>109</v>
      </c>
      <c r="BA20" s="235" t="s">
        <v>59</v>
      </c>
      <c r="BB20" s="104">
        <v>6692.93</v>
      </c>
      <c r="BC20" s="93">
        <f t="shared" si="7"/>
        <v>1251.4399999999998</v>
      </c>
      <c r="BD20" s="94">
        <f t="shared" si="7"/>
        <v>1185.4099999999999</v>
      </c>
      <c r="BE20" s="92">
        <f t="shared" si="8"/>
        <v>3.96</v>
      </c>
      <c r="BF20" s="92">
        <f t="shared" si="9"/>
        <v>62.07</v>
      </c>
      <c r="BG20" s="95">
        <v>1419.8</v>
      </c>
      <c r="BH20" s="105">
        <v>1397.19</v>
      </c>
      <c r="BI20" s="23"/>
      <c r="BJ20" s="24"/>
      <c r="BK20" s="28"/>
      <c r="BL20" s="27">
        <f>[11]zestawienie!$F$308</f>
        <v>242.14</v>
      </c>
      <c r="BM20" s="24">
        <f>[11]zestawienie!$G$308</f>
        <v>719.8</v>
      </c>
      <c r="BN20" s="24"/>
      <c r="BO20" s="24"/>
      <c r="BP20" s="28">
        <f>[11]zestawienie!$J$308</f>
        <v>39.540000000000006</v>
      </c>
      <c r="BQ20" s="27"/>
      <c r="BR20" s="28"/>
      <c r="BS20" s="23">
        <f>[11]zestawienie!$M$308</f>
        <v>18.61</v>
      </c>
      <c r="BT20" s="24"/>
      <c r="BU20" s="24"/>
      <c r="BV20" s="24"/>
      <c r="BW20" s="24"/>
      <c r="BX20" s="24">
        <f>[11]zestawienie!$R$308</f>
        <v>165.32</v>
      </c>
      <c r="BY20" s="24">
        <f>[11]zestawienie!$S$308</f>
        <v>3.96</v>
      </c>
      <c r="BZ20" s="24">
        <f>[11]zestawienie!$T$308</f>
        <v>62.07</v>
      </c>
      <c r="CA20" s="24"/>
      <c r="CB20" s="24">
        <f>[11]zestawienie!$W$308</f>
        <v>7355.5670000000009</v>
      </c>
      <c r="CC20" s="25">
        <f>[11]zestawienie!$Y$308</f>
        <v>1165.7</v>
      </c>
      <c r="CD20" s="27">
        <f t="shared" si="3"/>
        <v>1251.4399999999998</v>
      </c>
      <c r="CE20" s="28">
        <f t="shared" si="4"/>
        <v>1185.4099999999999</v>
      </c>
      <c r="CF20" s="23"/>
      <c r="CG20" s="24"/>
      <c r="CH20" s="25">
        <f>[11]zestawienie!$AD$308</f>
        <v>1251.4399999999998</v>
      </c>
      <c r="CI20" s="29">
        <f t="shared" si="5"/>
        <v>1251.4399999999998</v>
      </c>
      <c r="CJ20" s="4" t="s">
        <v>101</v>
      </c>
      <c r="CK20" s="4" t="s">
        <v>102</v>
      </c>
      <c r="CL20" s="18" t="s">
        <v>103</v>
      </c>
      <c r="CM20" s="19" t="s">
        <v>104</v>
      </c>
    </row>
    <row r="21" spans="1:91" s="26" customFormat="1" ht="24.95" hidden="1" customHeight="1">
      <c r="A21" s="89">
        <f t="shared" si="6"/>
        <v>13</v>
      </c>
      <c r="B21" s="90">
        <v>2845</v>
      </c>
      <c r="C21" s="90">
        <v>14</v>
      </c>
      <c r="D21" s="91" t="s">
        <v>35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208">
        <v>1</v>
      </c>
      <c r="S21" s="199"/>
      <c r="T21" s="181"/>
      <c r="U21" s="181"/>
      <c r="V21" s="181"/>
      <c r="W21" s="30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99"/>
      <c r="AW21" s="181"/>
      <c r="AX21" s="181"/>
      <c r="AY21" s="243"/>
      <c r="AZ21" s="273" t="s">
        <v>109</v>
      </c>
      <c r="BA21" s="235">
        <v>1932</v>
      </c>
      <c r="BB21" s="104">
        <v>2964.8</v>
      </c>
      <c r="BC21" s="93">
        <f t="shared" si="7"/>
        <v>561.44000000000005</v>
      </c>
      <c r="BD21" s="94">
        <f t="shared" si="7"/>
        <v>535.96</v>
      </c>
      <c r="BE21" s="92">
        <f t="shared" si="8"/>
        <v>1.53</v>
      </c>
      <c r="BF21" s="92">
        <f t="shared" si="9"/>
        <v>23.95</v>
      </c>
      <c r="BG21" s="95">
        <v>675.97</v>
      </c>
      <c r="BH21" s="105">
        <v>660.31</v>
      </c>
      <c r="BI21" s="23"/>
      <c r="BJ21" s="24"/>
      <c r="BK21" s="28"/>
      <c r="BL21" s="27"/>
      <c r="BM21" s="24">
        <f>[12]zestawienie!$G$308</f>
        <v>476.4</v>
      </c>
      <c r="BN21" s="24"/>
      <c r="BO21" s="24"/>
      <c r="BP21" s="28"/>
      <c r="BQ21" s="27"/>
      <c r="BR21" s="28"/>
      <c r="BS21" s="23">
        <f>[12]zestawienie!$M$308</f>
        <v>59.56</v>
      </c>
      <c r="BT21" s="24"/>
      <c r="BU21" s="24"/>
      <c r="BV21" s="24"/>
      <c r="BW21" s="24"/>
      <c r="BX21" s="24"/>
      <c r="BY21" s="24">
        <f>[12]zestawienie!$S$308</f>
        <v>1.53</v>
      </c>
      <c r="BZ21" s="24">
        <f>[12]zestawienie!$T$308</f>
        <v>23.95</v>
      </c>
      <c r="CA21" s="24"/>
      <c r="CB21" s="24">
        <f>[12]zestawienie!$W$308</f>
        <v>2095.2406000000001</v>
      </c>
      <c r="CC21" s="25">
        <f>[12]zestawienie!$Y$308</f>
        <v>554.06000000000006</v>
      </c>
      <c r="CD21" s="27">
        <f t="shared" si="3"/>
        <v>561.44000000000005</v>
      </c>
      <c r="CE21" s="28">
        <f t="shared" si="4"/>
        <v>535.96</v>
      </c>
      <c r="CF21" s="23"/>
      <c r="CG21" s="24"/>
      <c r="CH21" s="25">
        <f>[12]zestawienie!$AD$308</f>
        <v>561.44000000000005</v>
      </c>
      <c r="CI21" s="29">
        <f>[12]zestawienie!$AE$308</f>
        <v>561.44000000000005</v>
      </c>
      <c r="CJ21" s="4" t="s">
        <v>101</v>
      </c>
      <c r="CK21" s="4" t="s">
        <v>102</v>
      </c>
      <c r="CL21" s="18" t="s">
        <v>103</v>
      </c>
      <c r="CM21" s="19" t="s">
        <v>104</v>
      </c>
    </row>
    <row r="22" spans="1:91" s="15" customFormat="1" ht="24.95" hidden="1" customHeight="1">
      <c r="A22" s="108">
        <f t="shared" si="6"/>
        <v>14</v>
      </c>
      <c r="B22" s="368">
        <v>2845</v>
      </c>
      <c r="C22" s="368">
        <v>15</v>
      </c>
      <c r="D22" s="106" t="s">
        <v>35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24"/>
      <c r="S22" s="208">
        <v>1</v>
      </c>
      <c r="T22" s="183"/>
      <c r="U22" s="183"/>
      <c r="V22" s="183"/>
      <c r="W22" s="30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24"/>
      <c r="AW22" s="183"/>
      <c r="AX22" s="183"/>
      <c r="AY22" s="245"/>
      <c r="AZ22" s="273" t="s">
        <v>109</v>
      </c>
      <c r="BA22" s="125" t="s">
        <v>88</v>
      </c>
      <c r="BB22" s="107">
        <v>3740</v>
      </c>
      <c r="BC22" s="109">
        <v>636</v>
      </c>
      <c r="BD22" s="110">
        <v>376</v>
      </c>
      <c r="BE22" s="92">
        <f t="shared" si="8"/>
        <v>161</v>
      </c>
      <c r="BF22" s="92">
        <f t="shared" si="9"/>
        <v>99</v>
      </c>
      <c r="BG22" s="111">
        <v>843</v>
      </c>
      <c r="BH22" s="103">
        <v>819</v>
      </c>
      <c r="BI22" s="39"/>
      <c r="BJ22" s="37"/>
      <c r="BK22" s="13"/>
      <c r="BL22" s="30">
        <v>99</v>
      </c>
      <c r="BM22" s="31">
        <v>169</v>
      </c>
      <c r="BN22" s="37"/>
      <c r="BO22" s="31">
        <v>21</v>
      </c>
      <c r="BP22" s="13"/>
      <c r="BQ22" s="12"/>
      <c r="BR22" s="13"/>
      <c r="BS22" s="33">
        <v>25</v>
      </c>
      <c r="BT22" s="37"/>
      <c r="BU22" s="37"/>
      <c r="BV22" s="37"/>
      <c r="BW22" s="37"/>
      <c r="BX22" s="31">
        <v>62</v>
      </c>
      <c r="BY22" s="31">
        <v>161</v>
      </c>
      <c r="BZ22" s="31">
        <v>99</v>
      </c>
      <c r="CA22" s="37"/>
      <c r="CB22" s="37"/>
      <c r="CC22" s="38"/>
      <c r="CD22" s="27">
        <f t="shared" si="3"/>
        <v>636</v>
      </c>
      <c r="CE22" s="28">
        <f t="shared" si="4"/>
        <v>376</v>
      </c>
      <c r="CF22" s="39"/>
      <c r="CG22" s="37"/>
      <c r="CH22" s="25">
        <v>636</v>
      </c>
      <c r="CI22" s="29">
        <v>636</v>
      </c>
      <c r="CJ22" s="4" t="s">
        <v>101</v>
      </c>
      <c r="CK22" s="4" t="s">
        <v>102</v>
      </c>
      <c r="CL22" s="18" t="s">
        <v>103</v>
      </c>
      <c r="CM22" s="19" t="s">
        <v>104</v>
      </c>
    </row>
    <row r="23" spans="1:91" s="26" customFormat="1" ht="24.95" hidden="1" customHeight="1">
      <c r="A23" s="89">
        <f t="shared" si="6"/>
        <v>15</v>
      </c>
      <c r="B23" s="90">
        <v>2845</v>
      </c>
      <c r="C23" s="90">
        <v>16</v>
      </c>
      <c r="D23" s="91" t="s">
        <v>37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94">
        <v>2</v>
      </c>
      <c r="Q23" s="181"/>
      <c r="R23" s="199"/>
      <c r="S23" s="199"/>
      <c r="T23" s="202"/>
      <c r="U23" s="202"/>
      <c r="V23" s="184"/>
      <c r="W23" s="30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92"/>
      <c r="AR23" s="181"/>
      <c r="AS23" s="181"/>
      <c r="AT23" s="181"/>
      <c r="AU23" s="181"/>
      <c r="AV23" s="199"/>
      <c r="AW23" s="181"/>
      <c r="AX23" s="181"/>
      <c r="AY23" s="243"/>
      <c r="AZ23" s="273" t="s">
        <v>109</v>
      </c>
      <c r="BA23" s="235">
        <v>1932</v>
      </c>
      <c r="BB23" s="104">
        <v>10389.24</v>
      </c>
      <c r="BC23" s="93">
        <f>CD23</f>
        <v>1967.18</v>
      </c>
      <c r="BD23" s="94">
        <f>CE23</f>
        <v>1584.06</v>
      </c>
      <c r="BE23" s="92">
        <f t="shared" si="8"/>
        <v>101.63</v>
      </c>
      <c r="BF23" s="92">
        <f t="shared" si="9"/>
        <v>281.49</v>
      </c>
      <c r="BG23" s="95">
        <v>1763.82</v>
      </c>
      <c r="BH23" s="105">
        <v>1706.33</v>
      </c>
      <c r="BI23" s="23"/>
      <c r="BJ23" s="24"/>
      <c r="BK23" s="28"/>
      <c r="BL23" s="27"/>
      <c r="BM23" s="24"/>
      <c r="BN23" s="24"/>
      <c r="BO23" s="24"/>
      <c r="BP23" s="28"/>
      <c r="BQ23" s="27">
        <f>[13]zestawienie!$K$308</f>
        <v>179.14</v>
      </c>
      <c r="BR23" s="28">
        <f>[13]zestawienie!$L$308</f>
        <v>55.160000000000004</v>
      </c>
      <c r="BS23" s="23">
        <f>[13]zestawienie!$M$308</f>
        <v>74.2</v>
      </c>
      <c r="BT23" s="24">
        <f>[13]zestawienie!$N$308</f>
        <v>551.42999999999995</v>
      </c>
      <c r="BU23" s="24"/>
      <c r="BV23" s="24"/>
      <c r="BW23" s="24"/>
      <c r="BX23" s="24">
        <f>[13]zestawienie!$R$308</f>
        <v>724.13000000000011</v>
      </c>
      <c r="BY23" s="24">
        <f>[13]zestawienie!$S$308</f>
        <v>101.63</v>
      </c>
      <c r="BZ23" s="24">
        <f>[13]zestawienie!$T$308</f>
        <v>235.91000000000003</v>
      </c>
      <c r="CA23" s="24">
        <f>[13]zestawienie!$U$308</f>
        <v>45.58</v>
      </c>
      <c r="CB23" s="24">
        <f>[13]zestawienie!$W$308</f>
        <v>7230.01</v>
      </c>
      <c r="CC23" s="25">
        <f>[13]zestawienie!$Y$308</f>
        <v>1559.8000000000002</v>
      </c>
      <c r="CD23" s="27">
        <f t="shared" si="3"/>
        <v>1967.18</v>
      </c>
      <c r="CE23" s="28">
        <f t="shared" si="4"/>
        <v>1584.06</v>
      </c>
      <c r="CF23" s="23"/>
      <c r="CG23" s="24">
        <f>[13]zestawienie!$AC$308</f>
        <v>3.51</v>
      </c>
      <c r="CH23" s="25">
        <f>[13]zestawienie!$AD$308</f>
        <v>1965.42</v>
      </c>
      <c r="CI23" s="29">
        <f>[13]zestawienie!$AE$308</f>
        <v>1921.6000000000001</v>
      </c>
      <c r="CJ23" s="4" t="s">
        <v>101</v>
      </c>
      <c r="CK23" s="4" t="s">
        <v>102</v>
      </c>
      <c r="CL23" s="18" t="s">
        <v>103</v>
      </c>
      <c r="CM23" s="19" t="s">
        <v>104</v>
      </c>
    </row>
    <row r="24" spans="1:91" s="15" customFormat="1" ht="24.95" hidden="1" customHeight="1">
      <c r="A24" s="108">
        <f t="shared" si="6"/>
        <v>16</v>
      </c>
      <c r="B24" s="368">
        <v>2845</v>
      </c>
      <c r="C24" s="368">
        <v>19</v>
      </c>
      <c r="D24" s="106" t="s">
        <v>35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312">
        <v>1.8</v>
      </c>
      <c r="Q24" s="106"/>
      <c r="R24" s="368"/>
      <c r="S24" s="368"/>
      <c r="T24" s="368"/>
      <c r="U24" s="368"/>
      <c r="V24" s="106"/>
      <c r="W24" s="305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92"/>
      <c r="AS24" s="192"/>
      <c r="AT24" s="192"/>
      <c r="AU24" s="192"/>
      <c r="AV24" s="368"/>
      <c r="AW24" s="106"/>
      <c r="AX24" s="106"/>
      <c r="AY24" s="245"/>
      <c r="AZ24" s="273" t="s">
        <v>109</v>
      </c>
      <c r="BA24" s="112" t="s">
        <v>88</v>
      </c>
      <c r="BB24" s="113">
        <v>10119</v>
      </c>
      <c r="BC24" s="114">
        <v>2394</v>
      </c>
      <c r="BD24" s="115">
        <v>1786</v>
      </c>
      <c r="BE24" s="92">
        <f t="shared" si="8"/>
        <v>5.2</v>
      </c>
      <c r="BF24" s="92">
        <f t="shared" si="9"/>
        <v>602.70000000000005</v>
      </c>
      <c r="BG24" s="116">
        <v>1498</v>
      </c>
      <c r="BH24" s="117">
        <v>1441</v>
      </c>
      <c r="BI24" s="39"/>
      <c r="BJ24" s="37"/>
      <c r="BK24" s="13"/>
      <c r="BL24" s="30">
        <v>292.10000000000002</v>
      </c>
      <c r="BM24" s="31">
        <v>660.1</v>
      </c>
      <c r="BN24" s="37"/>
      <c r="BO24" s="31">
        <v>422.3</v>
      </c>
      <c r="BP24" s="32">
        <v>38.9</v>
      </c>
      <c r="BQ24" s="12"/>
      <c r="BR24" s="13"/>
      <c r="BS24" s="33">
        <v>137.19999999999999</v>
      </c>
      <c r="BT24" s="37"/>
      <c r="BU24" s="37"/>
      <c r="BV24" s="37"/>
      <c r="BW24" s="37"/>
      <c r="BX24" s="31">
        <v>235.7</v>
      </c>
      <c r="BY24" s="31">
        <v>5.2</v>
      </c>
      <c r="BZ24" s="31">
        <v>496.2</v>
      </c>
      <c r="CA24" s="31">
        <v>106.5</v>
      </c>
      <c r="CB24" s="37"/>
      <c r="CC24" s="38"/>
      <c r="CD24" s="27">
        <f t="shared" si="3"/>
        <v>2394.2000000000003</v>
      </c>
      <c r="CE24" s="28">
        <f t="shared" si="4"/>
        <v>1786.3000000000002</v>
      </c>
      <c r="CF24" s="39"/>
      <c r="CG24" s="37"/>
      <c r="CH24" s="38"/>
      <c r="CI24" s="40">
        <v>2287.6999999999998</v>
      </c>
      <c r="CJ24" s="4" t="s">
        <v>101</v>
      </c>
      <c r="CK24" s="4" t="s">
        <v>102</v>
      </c>
      <c r="CL24" s="18" t="s">
        <v>103</v>
      </c>
      <c r="CM24" s="19" t="s">
        <v>104</v>
      </c>
    </row>
    <row r="25" spans="1:91" s="15" customFormat="1" ht="24.95" hidden="1" customHeight="1">
      <c r="A25" s="97">
        <f t="shared" si="6"/>
        <v>17</v>
      </c>
      <c r="B25" s="87">
        <v>2845</v>
      </c>
      <c r="C25" s="87">
        <v>20</v>
      </c>
      <c r="D25" s="98" t="s">
        <v>36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216"/>
      <c r="S25" s="216"/>
      <c r="T25" s="182"/>
      <c r="U25" s="182"/>
      <c r="V25" s="182"/>
      <c r="W25" s="30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216"/>
      <c r="AW25" s="182"/>
      <c r="AX25" s="182"/>
      <c r="AY25" s="244"/>
      <c r="AZ25" s="272" t="s">
        <v>108</v>
      </c>
      <c r="BA25" s="236">
        <v>1932</v>
      </c>
      <c r="BB25" s="86">
        <v>644.17999999999995</v>
      </c>
      <c r="BC25" s="99">
        <f t="shared" ref="BC25:BD40" si="10">CD25</f>
        <v>119.91000000000001</v>
      </c>
      <c r="BD25" s="100">
        <f t="shared" si="10"/>
        <v>104.11000000000001</v>
      </c>
      <c r="BE25" s="101">
        <f t="shared" si="8"/>
        <v>0</v>
      </c>
      <c r="BF25" s="101">
        <f t="shared" si="9"/>
        <v>15.799999999999999</v>
      </c>
      <c r="BG25" s="102">
        <v>157.54</v>
      </c>
      <c r="BH25" s="118">
        <v>136.91</v>
      </c>
      <c r="BI25" s="39"/>
      <c r="BJ25" s="37"/>
      <c r="BK25" s="13"/>
      <c r="BL25" s="12"/>
      <c r="BM25" s="37"/>
      <c r="BN25" s="37"/>
      <c r="BO25" s="37"/>
      <c r="BP25" s="13"/>
      <c r="BQ25" s="12"/>
      <c r="BR25" s="13"/>
      <c r="BS25" s="39">
        <f>[14]zestawienie!$M$308</f>
        <v>0.93</v>
      </c>
      <c r="BT25" s="37">
        <f>[14]zestawienie!$N$308</f>
        <v>87.14</v>
      </c>
      <c r="BU25" s="37"/>
      <c r="BV25" s="37"/>
      <c r="BW25" s="37"/>
      <c r="BX25" s="37">
        <f>[14]zestawienie!$R$308</f>
        <v>16.04</v>
      </c>
      <c r="BY25" s="37"/>
      <c r="BZ25" s="37">
        <f>[14]zestawienie!$T$308</f>
        <v>15.799999999999999</v>
      </c>
      <c r="CA25" s="37"/>
      <c r="CB25" s="37"/>
      <c r="CC25" s="38"/>
      <c r="CD25" s="12">
        <f t="shared" si="3"/>
        <v>119.91000000000001</v>
      </c>
      <c r="CE25" s="13">
        <f t="shared" si="4"/>
        <v>104.11000000000001</v>
      </c>
      <c r="CF25" s="39"/>
      <c r="CG25" s="37"/>
      <c r="CH25" s="38">
        <f>[14]zestawienie!$AD$308</f>
        <v>119.91</v>
      </c>
      <c r="CI25" s="14">
        <f>[14]zestawienie!$AE$308</f>
        <v>119.91000000000001</v>
      </c>
      <c r="CJ25" s="11" t="s">
        <v>101</v>
      </c>
      <c r="CK25" s="11" t="s">
        <v>102</v>
      </c>
      <c r="CL25" s="77" t="s">
        <v>103</v>
      </c>
      <c r="CM25" s="78" t="s">
        <v>104</v>
      </c>
    </row>
    <row r="26" spans="1:91" s="15" customFormat="1" ht="24.95" hidden="1" customHeight="1">
      <c r="A26" s="97">
        <f t="shared" si="6"/>
        <v>18</v>
      </c>
      <c r="B26" s="87">
        <v>2845</v>
      </c>
      <c r="C26" s="87">
        <v>21</v>
      </c>
      <c r="D26" s="98" t="s">
        <v>38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216"/>
      <c r="S26" s="216"/>
      <c r="T26" s="182"/>
      <c r="U26" s="182"/>
      <c r="V26" s="182"/>
      <c r="W26" s="30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216"/>
      <c r="AW26" s="182"/>
      <c r="AX26" s="182"/>
      <c r="AY26" s="244"/>
      <c r="AZ26" s="272" t="s">
        <v>108</v>
      </c>
      <c r="BA26" s="236">
        <v>1932</v>
      </c>
      <c r="BB26" s="86">
        <v>2513.17</v>
      </c>
      <c r="BC26" s="99">
        <f t="shared" si="10"/>
        <v>550.84</v>
      </c>
      <c r="BD26" s="100">
        <f t="shared" si="10"/>
        <v>417.19</v>
      </c>
      <c r="BE26" s="101">
        <f t="shared" si="8"/>
        <v>0</v>
      </c>
      <c r="BF26" s="101">
        <f t="shared" si="9"/>
        <v>133.65000000000003</v>
      </c>
      <c r="BG26" s="102">
        <v>612.23</v>
      </c>
      <c r="BH26" s="118">
        <v>413.35</v>
      </c>
      <c r="BI26" s="39"/>
      <c r="BJ26" s="37"/>
      <c r="BK26" s="13"/>
      <c r="BL26" s="12"/>
      <c r="BM26" s="37"/>
      <c r="BN26" s="37"/>
      <c r="BO26" s="37"/>
      <c r="BP26" s="13"/>
      <c r="BQ26" s="12"/>
      <c r="BR26" s="13"/>
      <c r="BS26" s="39">
        <f>[15]zestawienie!$M$308</f>
        <v>9.32</v>
      </c>
      <c r="BT26" s="37"/>
      <c r="BU26" s="37"/>
      <c r="BV26" s="37"/>
      <c r="BW26" s="37"/>
      <c r="BX26" s="37">
        <f>[15]zestawienie!$R$308</f>
        <v>407.87</v>
      </c>
      <c r="BY26" s="37"/>
      <c r="BZ26" s="37">
        <f>[15]zestawienie!$T$308</f>
        <v>106.29000000000002</v>
      </c>
      <c r="CA26" s="37">
        <f>[15]zestawienie!$U$308</f>
        <v>27.36</v>
      </c>
      <c r="CB26" s="37"/>
      <c r="CC26" s="38"/>
      <c r="CD26" s="12">
        <f t="shared" si="3"/>
        <v>550.84</v>
      </c>
      <c r="CE26" s="13">
        <f t="shared" si="4"/>
        <v>417.19</v>
      </c>
      <c r="CF26" s="39">
        <f>[15]zestawienie!$AB$308</f>
        <v>83.97999999999999</v>
      </c>
      <c r="CG26" s="37">
        <f>[15]zestawienie!$AC$308</f>
        <v>63.559999999999995</v>
      </c>
      <c r="CH26" s="38">
        <f>[15]zestawienie!$AD$308</f>
        <v>519.07000000000005</v>
      </c>
      <c r="CI26" s="14">
        <f>[15]zestawienie!$AE$308</f>
        <v>523.48</v>
      </c>
      <c r="CJ26" s="11" t="s">
        <v>101</v>
      </c>
      <c r="CK26" s="11" t="s">
        <v>102</v>
      </c>
      <c r="CL26" s="77" t="s">
        <v>103</v>
      </c>
      <c r="CM26" s="78" t="s">
        <v>104</v>
      </c>
    </row>
    <row r="27" spans="1:91" s="170" customFormat="1" ht="24.95" hidden="1" customHeight="1">
      <c r="A27" s="108">
        <f t="shared" si="6"/>
        <v>19</v>
      </c>
      <c r="B27" s="368">
        <v>2845</v>
      </c>
      <c r="C27" s="124">
        <v>35</v>
      </c>
      <c r="D27" s="106" t="s">
        <v>131</v>
      </c>
      <c r="E27" s="106"/>
      <c r="F27" s="106"/>
      <c r="G27" s="106"/>
      <c r="H27" s="106"/>
      <c r="I27" s="106"/>
      <c r="J27" s="198">
        <v>4</v>
      </c>
      <c r="K27" s="106"/>
      <c r="L27" s="106"/>
      <c r="M27" s="106"/>
      <c r="N27" s="106"/>
      <c r="O27" s="106"/>
      <c r="P27" s="106"/>
      <c r="Q27" s="106"/>
      <c r="R27" s="368"/>
      <c r="S27" s="368"/>
      <c r="T27" s="106"/>
      <c r="U27" s="106"/>
      <c r="V27" s="368"/>
      <c r="W27" s="305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368"/>
      <c r="AW27" s="106"/>
      <c r="AX27" s="106"/>
      <c r="AY27" s="245"/>
      <c r="AZ27" s="275" t="s">
        <v>133</v>
      </c>
      <c r="BA27" s="125" t="s">
        <v>132</v>
      </c>
      <c r="BB27" s="107">
        <v>2068.4699999999998</v>
      </c>
      <c r="BC27" s="119">
        <f t="shared" si="10"/>
        <v>310.41999999999996</v>
      </c>
      <c r="BD27" s="120">
        <f t="shared" si="10"/>
        <v>254.01</v>
      </c>
      <c r="BE27" s="121">
        <f t="shared" si="8"/>
        <v>0</v>
      </c>
      <c r="BF27" s="121">
        <f t="shared" si="9"/>
        <v>56.41</v>
      </c>
      <c r="BG27" s="171">
        <v>445.9</v>
      </c>
      <c r="BH27" s="157">
        <v>399.32</v>
      </c>
      <c r="BI27" s="158" t="s">
        <v>95</v>
      </c>
      <c r="BJ27" s="159"/>
      <c r="BK27" s="160"/>
      <c r="BL27" s="158"/>
      <c r="BM27" s="159"/>
      <c r="BN27" s="159"/>
      <c r="BO27" s="159"/>
      <c r="BP27" s="160"/>
      <c r="BQ27" s="161">
        <v>105.04</v>
      </c>
      <c r="BR27" s="165">
        <v>24.6</v>
      </c>
      <c r="BS27" s="162">
        <v>20.350000000000001</v>
      </c>
      <c r="BT27" s="159"/>
      <c r="BU27" s="159"/>
      <c r="BV27" s="159"/>
      <c r="BW27" s="159"/>
      <c r="BX27" s="163">
        <v>104.02</v>
      </c>
      <c r="BY27" s="163"/>
      <c r="BZ27" s="163">
        <v>56.41</v>
      </c>
      <c r="CA27" s="159"/>
      <c r="CB27" s="163">
        <v>704.05</v>
      </c>
      <c r="CC27" s="164">
        <v>238.44</v>
      </c>
      <c r="CD27" s="161">
        <f t="shared" si="3"/>
        <v>310.41999999999996</v>
      </c>
      <c r="CE27" s="165">
        <f t="shared" si="4"/>
        <v>254.01</v>
      </c>
      <c r="CF27" s="172"/>
      <c r="CG27" s="159"/>
      <c r="CH27" s="164">
        <f>[16]zestawienie!$AD$308</f>
        <v>305.49</v>
      </c>
      <c r="CI27" s="166">
        <f>[16]zestawienie!$AE$308</f>
        <v>305.49</v>
      </c>
      <c r="CJ27" s="368" t="s">
        <v>101</v>
      </c>
      <c r="CK27" s="368" t="s">
        <v>102</v>
      </c>
      <c r="CL27" s="173" t="s">
        <v>103</v>
      </c>
      <c r="CM27" s="174" t="s">
        <v>104</v>
      </c>
    </row>
    <row r="28" spans="1:91" s="170" customFormat="1" ht="24.95" hidden="1" customHeight="1">
      <c r="A28" s="108">
        <f t="shared" si="6"/>
        <v>20</v>
      </c>
      <c r="B28" s="368">
        <v>2845</v>
      </c>
      <c r="C28" s="124" t="s">
        <v>179</v>
      </c>
      <c r="D28" s="106" t="s">
        <v>42</v>
      </c>
      <c r="E28" s="183"/>
      <c r="F28" s="183"/>
      <c r="G28" s="183"/>
      <c r="H28" s="183"/>
      <c r="I28" s="183"/>
      <c r="J28" s="198">
        <v>1</v>
      </c>
      <c r="K28" s="183"/>
      <c r="L28" s="183"/>
      <c r="M28" s="183"/>
      <c r="N28" s="183"/>
      <c r="O28" s="183"/>
      <c r="P28" s="183"/>
      <c r="Q28" s="183"/>
      <c r="R28" s="124"/>
      <c r="S28" s="124"/>
      <c r="T28" s="183"/>
      <c r="U28" s="183"/>
      <c r="V28" s="368"/>
      <c r="W28" s="306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24"/>
      <c r="AW28" s="183"/>
      <c r="AX28" s="183"/>
      <c r="AY28" s="245"/>
      <c r="AZ28" s="275"/>
      <c r="BA28" s="125"/>
      <c r="BB28" s="107"/>
      <c r="BC28" s="119"/>
      <c r="BD28" s="120"/>
      <c r="BE28" s="121"/>
      <c r="BF28" s="121"/>
      <c r="BG28" s="171"/>
      <c r="BH28" s="157"/>
      <c r="BI28" s="172"/>
      <c r="BJ28" s="159"/>
      <c r="BK28" s="160"/>
      <c r="BL28" s="158"/>
      <c r="BM28" s="159"/>
      <c r="BN28" s="159"/>
      <c r="BO28" s="159"/>
      <c r="BP28" s="160"/>
      <c r="BQ28" s="161"/>
      <c r="BR28" s="165"/>
      <c r="BS28" s="162"/>
      <c r="BT28" s="159"/>
      <c r="BU28" s="159"/>
      <c r="BV28" s="159"/>
      <c r="BW28" s="159"/>
      <c r="BX28" s="163"/>
      <c r="BY28" s="163"/>
      <c r="BZ28" s="163"/>
      <c r="CA28" s="159"/>
      <c r="CB28" s="163"/>
      <c r="CC28" s="164"/>
      <c r="CD28" s="161"/>
      <c r="CE28" s="165"/>
      <c r="CF28" s="172"/>
      <c r="CG28" s="159"/>
      <c r="CH28" s="164"/>
      <c r="CI28" s="166"/>
      <c r="CJ28" s="368"/>
      <c r="CK28" s="368"/>
      <c r="CL28" s="173"/>
      <c r="CM28" s="174"/>
    </row>
    <row r="29" spans="1:91" s="170" customFormat="1" ht="24.95" hidden="1" customHeight="1">
      <c r="A29" s="108">
        <f t="shared" si="6"/>
        <v>21</v>
      </c>
      <c r="B29" s="368">
        <v>2845</v>
      </c>
      <c r="C29" s="124" t="s">
        <v>180</v>
      </c>
      <c r="D29" s="106" t="s">
        <v>181</v>
      </c>
      <c r="E29" s="183"/>
      <c r="F29" s="183"/>
      <c r="G29" s="183"/>
      <c r="H29" s="183"/>
      <c r="I29" s="183"/>
      <c r="J29" s="198">
        <v>1</v>
      </c>
      <c r="K29" s="183"/>
      <c r="L29" s="183"/>
      <c r="M29" s="183"/>
      <c r="N29" s="183"/>
      <c r="O29" s="183"/>
      <c r="P29" s="183"/>
      <c r="Q29" s="183"/>
      <c r="R29" s="124"/>
      <c r="S29" s="124"/>
      <c r="T29" s="183"/>
      <c r="U29" s="183"/>
      <c r="V29" s="368"/>
      <c r="W29" s="306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24"/>
      <c r="AW29" s="183"/>
      <c r="AX29" s="183"/>
      <c r="AY29" s="245"/>
      <c r="AZ29" s="275"/>
      <c r="BA29" s="125"/>
      <c r="BB29" s="107"/>
      <c r="BC29" s="119"/>
      <c r="BD29" s="120"/>
      <c r="BE29" s="121"/>
      <c r="BF29" s="121"/>
      <c r="BG29" s="171"/>
      <c r="BH29" s="157"/>
      <c r="BI29" s="172"/>
      <c r="BJ29" s="159"/>
      <c r="BK29" s="160"/>
      <c r="BL29" s="158"/>
      <c r="BM29" s="159"/>
      <c r="BN29" s="159"/>
      <c r="BO29" s="159"/>
      <c r="BP29" s="160"/>
      <c r="BQ29" s="161"/>
      <c r="BR29" s="165"/>
      <c r="BS29" s="162"/>
      <c r="BT29" s="159"/>
      <c r="BU29" s="159"/>
      <c r="BV29" s="159"/>
      <c r="BW29" s="159"/>
      <c r="BX29" s="163"/>
      <c r="BY29" s="163"/>
      <c r="BZ29" s="163"/>
      <c r="CA29" s="159"/>
      <c r="CB29" s="163"/>
      <c r="CC29" s="164"/>
      <c r="CD29" s="161"/>
      <c r="CE29" s="165"/>
      <c r="CF29" s="172"/>
      <c r="CG29" s="159"/>
      <c r="CH29" s="164"/>
      <c r="CI29" s="166"/>
      <c r="CJ29" s="368"/>
      <c r="CK29" s="368"/>
      <c r="CL29" s="173"/>
      <c r="CM29" s="174"/>
    </row>
    <row r="30" spans="1:91" s="35" customFormat="1" ht="24.95" hidden="1" customHeight="1">
      <c r="A30" s="108">
        <f t="shared" si="6"/>
        <v>22</v>
      </c>
      <c r="B30" s="368">
        <v>2845</v>
      </c>
      <c r="C30" s="368">
        <v>41</v>
      </c>
      <c r="D30" s="106" t="s">
        <v>38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450">
        <v>1.5</v>
      </c>
      <c r="R30" s="124"/>
      <c r="S30" s="124"/>
      <c r="T30" s="551"/>
      <c r="U30" s="183"/>
      <c r="V30" s="173"/>
      <c r="W30" s="578">
        <v>1.5</v>
      </c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183"/>
      <c r="AR30" s="183"/>
      <c r="AS30" s="183"/>
      <c r="AT30" s="183"/>
      <c r="AU30" s="183"/>
      <c r="AV30" s="124"/>
      <c r="AW30" s="183"/>
      <c r="AX30" s="183"/>
      <c r="AY30" s="245"/>
      <c r="AZ30" s="276" t="s">
        <v>109</v>
      </c>
      <c r="BA30" s="125">
        <v>1964</v>
      </c>
      <c r="BB30" s="107">
        <v>346.64</v>
      </c>
      <c r="BC30" s="119">
        <f t="shared" si="10"/>
        <v>97.83</v>
      </c>
      <c r="BD30" s="120">
        <f t="shared" si="10"/>
        <v>97.83</v>
      </c>
      <c r="BE30" s="121">
        <f t="shared" si="8"/>
        <v>0</v>
      </c>
      <c r="BF30" s="121">
        <f t="shared" si="9"/>
        <v>0</v>
      </c>
      <c r="BG30" s="122">
        <v>117.5</v>
      </c>
      <c r="BH30" s="103">
        <v>111.07</v>
      </c>
      <c r="BI30" s="33"/>
      <c r="BJ30" s="31"/>
      <c r="BK30" s="32"/>
      <c r="BL30" s="30"/>
      <c r="BM30" s="31"/>
      <c r="BN30" s="31"/>
      <c r="BO30" s="31"/>
      <c r="BP30" s="32"/>
      <c r="BQ30" s="30"/>
      <c r="BR30" s="32"/>
      <c r="BS30" s="33"/>
      <c r="BT30" s="31">
        <f>[17]zestawienie!$N$244</f>
        <v>97.83</v>
      </c>
      <c r="BU30" s="31"/>
      <c r="BV30" s="31"/>
      <c r="BW30" s="31"/>
      <c r="BX30" s="31"/>
      <c r="BY30" s="31"/>
      <c r="BZ30" s="31"/>
      <c r="CA30" s="31"/>
      <c r="CB30" s="31"/>
      <c r="CC30" s="34"/>
      <c r="CD30" s="30">
        <f t="shared" si="3"/>
        <v>97.83</v>
      </c>
      <c r="CE30" s="32">
        <f t="shared" si="4"/>
        <v>97.83</v>
      </c>
      <c r="CF30" s="33"/>
      <c r="CG30" s="31"/>
      <c r="CH30" s="34">
        <f>[17]zestawienie!$AD$244</f>
        <v>97.83</v>
      </c>
      <c r="CI30" s="40">
        <f>[17]zestawienie!$AE$244</f>
        <v>97.83</v>
      </c>
      <c r="CJ30" s="6" t="s">
        <v>101</v>
      </c>
      <c r="CK30" s="6" t="s">
        <v>102</v>
      </c>
      <c r="CL30" s="36" t="s">
        <v>103</v>
      </c>
      <c r="CM30" s="41" t="s">
        <v>104</v>
      </c>
    </row>
    <row r="31" spans="1:91" s="35" customFormat="1" ht="24.95" hidden="1" customHeight="1">
      <c r="A31" s="108">
        <f t="shared" si="6"/>
        <v>23</v>
      </c>
      <c r="B31" s="368">
        <v>2845</v>
      </c>
      <c r="C31" s="368">
        <v>42</v>
      </c>
      <c r="D31" s="106" t="s">
        <v>38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451"/>
      <c r="R31" s="124"/>
      <c r="S31" s="124"/>
      <c r="T31" s="552"/>
      <c r="U31" s="183"/>
      <c r="V31" s="173"/>
      <c r="W31" s="579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183"/>
      <c r="AR31" s="183"/>
      <c r="AS31" s="183"/>
      <c r="AT31" s="183"/>
      <c r="AU31" s="183"/>
      <c r="AV31" s="124"/>
      <c r="AW31" s="183"/>
      <c r="AX31" s="183"/>
      <c r="AY31" s="245"/>
      <c r="AZ31" s="276" t="s">
        <v>109</v>
      </c>
      <c r="BA31" s="125">
        <v>1965</v>
      </c>
      <c r="BB31" s="107">
        <v>359.1</v>
      </c>
      <c r="BC31" s="119">
        <f t="shared" si="10"/>
        <v>98.93</v>
      </c>
      <c r="BD31" s="120">
        <f t="shared" si="10"/>
        <v>98.93</v>
      </c>
      <c r="BE31" s="121">
        <f t="shared" si="8"/>
        <v>0</v>
      </c>
      <c r="BF31" s="121">
        <f t="shared" si="9"/>
        <v>0</v>
      </c>
      <c r="BG31" s="122">
        <v>118.48</v>
      </c>
      <c r="BH31" s="103">
        <v>112.22</v>
      </c>
      <c r="BI31" s="33"/>
      <c r="BJ31" s="31"/>
      <c r="BK31" s="32"/>
      <c r="BL31" s="30"/>
      <c r="BM31" s="31"/>
      <c r="BN31" s="31"/>
      <c r="BO31" s="31"/>
      <c r="BP31" s="32"/>
      <c r="BQ31" s="30"/>
      <c r="BR31" s="32"/>
      <c r="BS31" s="33"/>
      <c r="BT31" s="31">
        <f>[18]zestawienie!$N$308</f>
        <v>98.93</v>
      </c>
      <c r="BU31" s="31"/>
      <c r="BV31" s="31"/>
      <c r="BW31" s="31"/>
      <c r="BX31" s="31"/>
      <c r="BY31" s="31"/>
      <c r="BZ31" s="31"/>
      <c r="CA31" s="31"/>
      <c r="CB31" s="31"/>
      <c r="CC31" s="34"/>
      <c r="CD31" s="30">
        <f t="shared" si="3"/>
        <v>98.93</v>
      </c>
      <c r="CE31" s="32">
        <f t="shared" si="4"/>
        <v>98.93</v>
      </c>
      <c r="CF31" s="33"/>
      <c r="CG31" s="31"/>
      <c r="CH31" s="34">
        <f>[18]zestawienie!$AD$308</f>
        <v>98.93</v>
      </c>
      <c r="CI31" s="40">
        <f>[18]zestawienie!$AE$308</f>
        <v>98.93</v>
      </c>
      <c r="CJ31" s="6" t="s">
        <v>101</v>
      </c>
      <c r="CK31" s="6" t="s">
        <v>102</v>
      </c>
      <c r="CL31" s="36" t="s">
        <v>103</v>
      </c>
      <c r="CM31" s="41" t="s">
        <v>104</v>
      </c>
    </row>
    <row r="32" spans="1:91" s="26" customFormat="1" ht="24.95" hidden="1" customHeight="1">
      <c r="A32" s="89">
        <f t="shared" si="6"/>
        <v>24</v>
      </c>
      <c r="B32" s="90">
        <v>2845</v>
      </c>
      <c r="C32" s="90">
        <v>43</v>
      </c>
      <c r="D32" s="91" t="s">
        <v>38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452"/>
      <c r="R32" s="199"/>
      <c r="S32" s="199"/>
      <c r="T32" s="553"/>
      <c r="U32" s="181"/>
      <c r="V32" s="173"/>
      <c r="W32" s="58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181"/>
      <c r="AR32" s="181"/>
      <c r="AS32" s="181"/>
      <c r="AT32" s="181"/>
      <c r="AU32" s="181"/>
      <c r="AV32" s="199"/>
      <c r="AW32" s="181"/>
      <c r="AX32" s="181"/>
      <c r="AY32" s="243"/>
      <c r="AZ32" s="273" t="s">
        <v>109</v>
      </c>
      <c r="BA32" s="235">
        <v>1965</v>
      </c>
      <c r="BB32" s="104">
        <v>357.54</v>
      </c>
      <c r="BC32" s="93">
        <f t="shared" si="10"/>
        <v>98.46</v>
      </c>
      <c r="BD32" s="94">
        <f t="shared" si="10"/>
        <v>98.46</v>
      </c>
      <c r="BE32" s="92">
        <f t="shared" si="8"/>
        <v>0</v>
      </c>
      <c r="BF32" s="92">
        <f t="shared" si="9"/>
        <v>0</v>
      </c>
      <c r="BG32" s="95"/>
      <c r="BH32" s="105">
        <v>111.73</v>
      </c>
      <c r="BI32" s="23"/>
      <c r="BJ32" s="24"/>
      <c r="BK32" s="28"/>
      <c r="BL32" s="27"/>
      <c r="BM32" s="24"/>
      <c r="BN32" s="24"/>
      <c r="BO32" s="24"/>
      <c r="BP32" s="28"/>
      <c r="BQ32" s="27"/>
      <c r="BR32" s="28"/>
      <c r="BS32" s="23"/>
      <c r="BT32" s="24">
        <f>[19]zestawienie!$N$308</f>
        <v>98.46</v>
      </c>
      <c r="BU32" s="24"/>
      <c r="BV32" s="24"/>
      <c r="BW32" s="24"/>
      <c r="BX32" s="24"/>
      <c r="BY32" s="24"/>
      <c r="BZ32" s="24"/>
      <c r="CA32" s="24"/>
      <c r="CB32" s="24"/>
      <c r="CC32" s="25"/>
      <c r="CD32" s="27">
        <f t="shared" si="3"/>
        <v>98.46</v>
      </c>
      <c r="CE32" s="28">
        <f t="shared" si="4"/>
        <v>98.46</v>
      </c>
      <c r="CF32" s="23"/>
      <c r="CG32" s="24"/>
      <c r="CH32" s="25">
        <f>[19]zestawienie!$AD$308</f>
        <v>98.46</v>
      </c>
      <c r="CI32" s="29">
        <f>[19]zestawienie!$AE$308</f>
        <v>98.46</v>
      </c>
      <c r="CJ32" s="4" t="s">
        <v>101</v>
      </c>
      <c r="CK32" s="4" t="s">
        <v>102</v>
      </c>
      <c r="CL32" s="18" t="s">
        <v>103</v>
      </c>
      <c r="CM32" s="19" t="s">
        <v>104</v>
      </c>
    </row>
    <row r="33" spans="1:91" s="26" customFormat="1" ht="24.95" hidden="1" customHeight="1">
      <c r="A33" s="89">
        <f t="shared" si="6"/>
        <v>25</v>
      </c>
      <c r="B33" s="90">
        <v>2845</v>
      </c>
      <c r="C33" s="90">
        <v>44</v>
      </c>
      <c r="D33" s="91" t="s">
        <v>39</v>
      </c>
      <c r="E33" s="181"/>
      <c r="F33" s="181"/>
      <c r="G33" s="181"/>
      <c r="H33" s="181"/>
      <c r="I33" s="181"/>
      <c r="J33" s="181"/>
      <c r="K33" s="181"/>
      <c r="L33" s="450" t="s">
        <v>182</v>
      </c>
      <c r="M33" s="181"/>
      <c r="N33" s="181"/>
      <c r="O33" s="181"/>
      <c r="P33" s="181"/>
      <c r="Q33" s="181"/>
      <c r="R33" s="199"/>
      <c r="S33" s="199"/>
      <c r="T33" s="181"/>
      <c r="U33" s="181"/>
      <c r="V33" s="551"/>
      <c r="W33" s="307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181"/>
      <c r="AR33" s="181"/>
      <c r="AS33" s="181"/>
      <c r="AT33" s="181"/>
      <c r="AU33" s="181"/>
      <c r="AV33" s="199"/>
      <c r="AW33" s="181"/>
      <c r="AX33" s="181"/>
      <c r="AY33" s="243"/>
      <c r="AZ33" s="273" t="s">
        <v>109</v>
      </c>
      <c r="BA33" s="235">
        <v>1967</v>
      </c>
      <c r="BB33" s="104">
        <v>1756.98</v>
      </c>
      <c r="BC33" s="93">
        <f t="shared" si="10"/>
        <v>474.03</v>
      </c>
      <c r="BD33" s="94">
        <f t="shared" si="10"/>
        <v>471.57</v>
      </c>
      <c r="BE33" s="92">
        <f t="shared" si="8"/>
        <v>0</v>
      </c>
      <c r="BF33" s="92">
        <f t="shared" si="9"/>
        <v>2.46</v>
      </c>
      <c r="BG33" s="95">
        <v>513.17999999999995</v>
      </c>
      <c r="BH33" s="105">
        <v>514.11</v>
      </c>
      <c r="BI33" s="23"/>
      <c r="BJ33" s="24"/>
      <c r="BK33" s="28"/>
      <c r="BL33" s="27"/>
      <c r="BM33" s="24"/>
      <c r="BN33" s="24"/>
      <c r="BO33" s="24"/>
      <c r="BP33" s="28"/>
      <c r="BQ33" s="27"/>
      <c r="BR33" s="28"/>
      <c r="BS33" s="23"/>
      <c r="BT33" s="24">
        <f>[20]zestawienie!$N$308</f>
        <v>467.57</v>
      </c>
      <c r="BU33" s="24"/>
      <c r="BV33" s="24"/>
      <c r="BW33" s="24"/>
      <c r="BX33" s="24">
        <f>[20]zestawienie!$R$308</f>
        <v>4</v>
      </c>
      <c r="BY33" s="24"/>
      <c r="BZ33" s="24">
        <f>[20]zestawienie!$T$308</f>
        <v>2.46</v>
      </c>
      <c r="CA33" s="24"/>
      <c r="CB33" s="24"/>
      <c r="CC33" s="25"/>
      <c r="CD33" s="27">
        <f t="shared" si="3"/>
        <v>474.03</v>
      </c>
      <c r="CE33" s="28">
        <f t="shared" si="4"/>
        <v>471.57</v>
      </c>
      <c r="CF33" s="23"/>
      <c r="CG33" s="24"/>
      <c r="CH33" s="25">
        <f>[20]zestawienie!$AD$308</f>
        <v>474.03</v>
      </c>
      <c r="CI33" s="29">
        <f>[20]zestawienie!$AE$308</f>
        <v>474.03</v>
      </c>
      <c r="CJ33" s="4" t="s">
        <v>101</v>
      </c>
      <c r="CK33" s="4" t="s">
        <v>102</v>
      </c>
      <c r="CL33" s="18" t="s">
        <v>103</v>
      </c>
      <c r="CM33" s="19" t="s">
        <v>104</v>
      </c>
    </row>
    <row r="34" spans="1:91" s="26" customFormat="1" ht="24.95" hidden="1" customHeight="1">
      <c r="A34" s="89">
        <f t="shared" si="6"/>
        <v>26</v>
      </c>
      <c r="B34" s="90">
        <v>2845</v>
      </c>
      <c r="C34" s="90">
        <v>45</v>
      </c>
      <c r="D34" s="91" t="s">
        <v>40</v>
      </c>
      <c r="E34" s="181"/>
      <c r="F34" s="181"/>
      <c r="G34" s="181"/>
      <c r="H34" s="181"/>
      <c r="I34" s="181"/>
      <c r="J34" s="181"/>
      <c r="K34" s="181"/>
      <c r="L34" s="451"/>
      <c r="M34" s="181"/>
      <c r="N34" s="181"/>
      <c r="O34" s="181"/>
      <c r="P34" s="181"/>
      <c r="Q34" s="181"/>
      <c r="R34" s="199"/>
      <c r="S34" s="199"/>
      <c r="T34" s="181"/>
      <c r="U34" s="181"/>
      <c r="V34" s="552"/>
      <c r="W34" s="307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181"/>
      <c r="AR34" s="181"/>
      <c r="AS34" s="181"/>
      <c r="AT34" s="181"/>
      <c r="AU34" s="181"/>
      <c r="AV34" s="199"/>
      <c r="AW34" s="181"/>
      <c r="AX34" s="181"/>
      <c r="AY34" s="243"/>
      <c r="AZ34" s="273" t="s">
        <v>109</v>
      </c>
      <c r="BA34" s="235">
        <v>1967</v>
      </c>
      <c r="BB34" s="104">
        <v>1874.14</v>
      </c>
      <c r="BC34" s="93">
        <f t="shared" si="10"/>
        <v>471.92</v>
      </c>
      <c r="BD34" s="94">
        <f t="shared" si="10"/>
        <v>471.92</v>
      </c>
      <c r="BE34" s="92">
        <f t="shared" si="8"/>
        <v>0</v>
      </c>
      <c r="BF34" s="92">
        <f t="shared" si="9"/>
        <v>0</v>
      </c>
      <c r="BG34" s="95">
        <v>512.76</v>
      </c>
      <c r="BH34" s="105">
        <v>512.73</v>
      </c>
      <c r="BI34" s="23"/>
      <c r="BJ34" s="24"/>
      <c r="BK34" s="28"/>
      <c r="BL34" s="27"/>
      <c r="BM34" s="24"/>
      <c r="BN34" s="24"/>
      <c r="BO34" s="24"/>
      <c r="BP34" s="28"/>
      <c r="BQ34" s="27"/>
      <c r="BR34" s="28"/>
      <c r="BS34" s="23"/>
      <c r="BT34" s="24">
        <f>[21]zestawienie!$N$308</f>
        <v>465.64000000000004</v>
      </c>
      <c r="BU34" s="24"/>
      <c r="BV34" s="24"/>
      <c r="BW34" s="24"/>
      <c r="BX34" s="24">
        <f>[21]zestawienie!$R$308</f>
        <v>6.28</v>
      </c>
      <c r="BY34" s="24"/>
      <c r="BZ34" s="24"/>
      <c r="CA34" s="24"/>
      <c r="CB34" s="24"/>
      <c r="CC34" s="25"/>
      <c r="CD34" s="27">
        <f t="shared" si="3"/>
        <v>471.92</v>
      </c>
      <c r="CE34" s="28">
        <f t="shared" si="4"/>
        <v>471.92</v>
      </c>
      <c r="CF34" s="23"/>
      <c r="CG34" s="24"/>
      <c r="CH34" s="25">
        <f>[21]zestawienie!$AD$308</f>
        <v>471.92</v>
      </c>
      <c r="CI34" s="29">
        <f>[21]zestawienie!$AE$308</f>
        <v>471.92</v>
      </c>
      <c r="CJ34" s="4" t="s">
        <v>101</v>
      </c>
      <c r="CK34" s="4" t="s">
        <v>102</v>
      </c>
      <c r="CL34" s="18" t="s">
        <v>103</v>
      </c>
      <c r="CM34" s="19" t="s">
        <v>104</v>
      </c>
    </row>
    <row r="35" spans="1:91" s="35" customFormat="1" ht="24.95" hidden="1" customHeight="1">
      <c r="A35" s="108">
        <f t="shared" si="6"/>
        <v>27</v>
      </c>
      <c r="B35" s="368">
        <v>2845</v>
      </c>
      <c r="C35" s="368">
        <v>46</v>
      </c>
      <c r="D35" s="106" t="s">
        <v>40</v>
      </c>
      <c r="E35" s="183"/>
      <c r="F35" s="183"/>
      <c r="G35" s="183"/>
      <c r="H35" s="183"/>
      <c r="I35" s="183"/>
      <c r="J35" s="183"/>
      <c r="K35" s="183"/>
      <c r="L35" s="452"/>
      <c r="M35" s="183"/>
      <c r="N35" s="183"/>
      <c r="O35" s="183"/>
      <c r="P35" s="183"/>
      <c r="Q35" s="183"/>
      <c r="R35" s="124"/>
      <c r="S35" s="124"/>
      <c r="T35" s="183"/>
      <c r="U35" s="183"/>
      <c r="V35" s="553"/>
      <c r="W35" s="307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183"/>
      <c r="AR35" s="183"/>
      <c r="AS35" s="183"/>
      <c r="AT35" s="183"/>
      <c r="AU35" s="183"/>
      <c r="AV35" s="124"/>
      <c r="AW35" s="183"/>
      <c r="AX35" s="183"/>
      <c r="AY35" s="245"/>
      <c r="AZ35" s="273" t="s">
        <v>109</v>
      </c>
      <c r="BA35" s="125" t="s">
        <v>68</v>
      </c>
      <c r="BB35" s="107">
        <v>1799</v>
      </c>
      <c r="BC35" s="109">
        <f t="shared" si="10"/>
        <v>456.15999999999997</v>
      </c>
      <c r="BD35" s="110">
        <f>CD35</f>
        <v>456.15999999999997</v>
      </c>
      <c r="BE35" s="92">
        <f t="shared" si="8"/>
        <v>0</v>
      </c>
      <c r="BF35" s="92">
        <f t="shared" si="9"/>
        <v>121.9</v>
      </c>
      <c r="BG35" s="111"/>
      <c r="BH35" s="103"/>
      <c r="BI35" s="33"/>
      <c r="BJ35" s="31"/>
      <c r="BK35" s="32"/>
      <c r="BL35" s="30"/>
      <c r="BM35" s="31"/>
      <c r="BN35" s="31"/>
      <c r="BO35" s="31"/>
      <c r="BP35" s="32"/>
      <c r="BQ35" s="30"/>
      <c r="BR35" s="32"/>
      <c r="BS35" s="33">
        <v>3.66</v>
      </c>
      <c r="BT35" s="31">
        <v>268.89999999999998</v>
      </c>
      <c r="BU35" s="31"/>
      <c r="BV35" s="31"/>
      <c r="BW35" s="31"/>
      <c r="BX35" s="31">
        <v>61.7</v>
      </c>
      <c r="BY35" s="31"/>
      <c r="BZ35" s="31">
        <v>121.9</v>
      </c>
      <c r="CA35" s="31"/>
      <c r="CB35" s="31"/>
      <c r="CC35" s="34"/>
      <c r="CD35" s="30">
        <f t="shared" si="3"/>
        <v>456.15999999999997</v>
      </c>
      <c r="CE35" s="32">
        <f t="shared" si="4"/>
        <v>334.26</v>
      </c>
      <c r="CF35" s="33"/>
      <c r="CG35" s="31"/>
      <c r="CH35" s="34"/>
      <c r="CI35" s="40">
        <v>456.16</v>
      </c>
      <c r="CJ35" s="4" t="s">
        <v>101</v>
      </c>
      <c r="CK35" s="4" t="s">
        <v>102</v>
      </c>
      <c r="CL35" s="18" t="s">
        <v>103</v>
      </c>
      <c r="CM35" s="19" t="s">
        <v>104</v>
      </c>
    </row>
    <row r="36" spans="1:91" s="26" customFormat="1" ht="24.95" hidden="1" customHeight="1">
      <c r="A36" s="108">
        <f t="shared" si="6"/>
        <v>28</v>
      </c>
      <c r="B36" s="90">
        <v>2845</v>
      </c>
      <c r="C36" s="90">
        <v>104</v>
      </c>
      <c r="D36" s="91" t="s">
        <v>33</v>
      </c>
      <c r="E36" s="181"/>
      <c r="F36" s="181"/>
      <c r="G36" s="181"/>
      <c r="H36" s="194">
        <v>4</v>
      </c>
      <c r="I36" s="181"/>
      <c r="J36" s="181"/>
      <c r="K36" s="181"/>
      <c r="L36" s="181"/>
      <c r="M36" s="181"/>
      <c r="N36" s="181"/>
      <c r="O36" s="181"/>
      <c r="P36" s="181"/>
      <c r="Q36" s="181"/>
      <c r="R36" s="199"/>
      <c r="S36" s="199"/>
      <c r="T36" s="181"/>
      <c r="U36" s="181"/>
      <c r="V36" s="181"/>
      <c r="W36" s="301"/>
      <c r="X36" s="203">
        <v>2</v>
      </c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99"/>
      <c r="AW36" s="181"/>
      <c r="AX36" s="181"/>
      <c r="AY36" s="243"/>
      <c r="AZ36" s="273" t="s">
        <v>109</v>
      </c>
      <c r="BA36" s="235">
        <v>1972</v>
      </c>
      <c r="BB36" s="104">
        <v>12740.37</v>
      </c>
      <c r="BC36" s="93">
        <f t="shared" si="10"/>
        <v>3694.7200000000007</v>
      </c>
      <c r="BD36" s="94">
        <f>CE36</f>
        <v>2839.01</v>
      </c>
      <c r="BE36" s="92">
        <f t="shared" si="8"/>
        <v>204.24000000000004</v>
      </c>
      <c r="BF36" s="92">
        <f t="shared" si="9"/>
        <v>651.47</v>
      </c>
      <c r="BG36" s="111">
        <v>764.56</v>
      </c>
      <c r="BH36" s="105">
        <v>768.86</v>
      </c>
      <c r="BI36" s="23">
        <f>[22]zestawienie!$C$308</f>
        <v>1374.44</v>
      </c>
      <c r="BJ36" s="24"/>
      <c r="BK36" s="28">
        <f>[22]zestawienie!$E$308</f>
        <v>30.3</v>
      </c>
      <c r="BL36" s="27">
        <v>56.89</v>
      </c>
      <c r="BM36" s="24"/>
      <c r="BN36" s="24"/>
      <c r="BO36" s="24"/>
      <c r="BP36" s="28"/>
      <c r="BQ36" s="27">
        <f>[22]zestawienie!$K$308</f>
        <v>825.12999999999988</v>
      </c>
      <c r="BR36" s="28">
        <f>[22]zestawienie!$L$308-56.89</f>
        <v>51.399999999999991</v>
      </c>
      <c r="BS36" s="23">
        <f>[22]zestawienie!$M$308</f>
        <v>165.98000000000002</v>
      </c>
      <c r="BT36" s="24"/>
      <c r="BU36" s="24"/>
      <c r="BV36" s="24"/>
      <c r="BW36" s="24"/>
      <c r="BX36" s="24">
        <f>[22]zestawienie!$R$308</f>
        <v>334.87</v>
      </c>
      <c r="BY36" s="24">
        <f>[22]zestawienie!$S$308</f>
        <v>204.24000000000004</v>
      </c>
      <c r="BZ36" s="24">
        <f>[22]zestawienie!$T$308</f>
        <v>498.57</v>
      </c>
      <c r="CA36" s="24">
        <f>[22]zestawienie!$U$308</f>
        <v>152.89999999999998</v>
      </c>
      <c r="CB36" s="24">
        <f>[22]zestawienie!$W$308</f>
        <v>7881.3159999999989</v>
      </c>
      <c r="CC36" s="25">
        <f>[22]zestawienie!$Y$308</f>
        <v>3156.9700000000003</v>
      </c>
      <c r="CD36" s="27">
        <f t="shared" si="3"/>
        <v>3694.7200000000007</v>
      </c>
      <c r="CE36" s="28">
        <f t="shared" si="4"/>
        <v>2839.01</v>
      </c>
      <c r="CF36" s="23">
        <f>[22]zestawienie!$AB$308</f>
        <v>11.72</v>
      </c>
      <c r="CG36" s="24">
        <f>[22]zestawienie!$AC$308</f>
        <v>5.0299999999999994</v>
      </c>
      <c r="CH36" s="25">
        <f>[22]zestawienie!$AD$308</f>
        <v>3692.2</v>
      </c>
      <c r="CI36" s="29">
        <f>[22]zestawienie!$AE$308</f>
        <v>3541.82</v>
      </c>
      <c r="CJ36" s="4" t="s">
        <v>101</v>
      </c>
      <c r="CK36" s="4" t="s">
        <v>102</v>
      </c>
      <c r="CL36" s="18" t="s">
        <v>103</v>
      </c>
      <c r="CM36" s="19" t="s">
        <v>104</v>
      </c>
    </row>
    <row r="37" spans="1:91" s="26" customFormat="1" ht="24.95" hidden="1" customHeight="1">
      <c r="A37" s="89">
        <f t="shared" si="6"/>
        <v>29</v>
      </c>
      <c r="B37" s="90">
        <v>2845</v>
      </c>
      <c r="C37" s="90">
        <v>105</v>
      </c>
      <c r="D37" s="91" t="s">
        <v>41</v>
      </c>
      <c r="E37" s="181"/>
      <c r="F37" s="181"/>
      <c r="G37" s="181"/>
      <c r="H37" s="181"/>
      <c r="I37" s="181"/>
      <c r="J37" s="181"/>
      <c r="K37" s="194">
        <v>3</v>
      </c>
      <c r="L37" s="181"/>
      <c r="M37" s="181"/>
      <c r="N37" s="181"/>
      <c r="O37" s="181"/>
      <c r="P37" s="181"/>
      <c r="Q37" s="181"/>
      <c r="R37" s="199"/>
      <c r="S37" s="199"/>
      <c r="T37" s="181"/>
      <c r="U37" s="181"/>
      <c r="V37" s="181"/>
      <c r="W37" s="301"/>
      <c r="X37" s="181"/>
      <c r="Y37" s="203">
        <v>0.6</v>
      </c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99"/>
      <c r="AW37" s="181"/>
      <c r="AX37" s="181"/>
      <c r="AY37" s="243"/>
      <c r="AZ37" s="273" t="s">
        <v>109</v>
      </c>
      <c r="BA37" s="235">
        <v>1973</v>
      </c>
      <c r="BB37" s="104">
        <v>912.27</v>
      </c>
      <c r="BC37" s="93">
        <f t="shared" si="10"/>
        <v>185.00000000000003</v>
      </c>
      <c r="BD37" s="94">
        <f>CE37</f>
        <v>131.01000000000002</v>
      </c>
      <c r="BE37" s="92">
        <f t="shared" si="8"/>
        <v>0</v>
      </c>
      <c r="BF37" s="92">
        <f t="shared" si="9"/>
        <v>53.99</v>
      </c>
      <c r="BG37" s="95">
        <v>218.94</v>
      </c>
      <c r="BH37" s="105">
        <v>235.73</v>
      </c>
      <c r="BI37" s="23"/>
      <c r="BJ37" s="24"/>
      <c r="BK37" s="28"/>
      <c r="BL37" s="27"/>
      <c r="BM37" s="24"/>
      <c r="BN37" s="24"/>
      <c r="BO37" s="24"/>
      <c r="BP37" s="28"/>
      <c r="BQ37" s="27"/>
      <c r="BR37" s="28"/>
      <c r="BS37" s="23">
        <f>[23]zestawienie!$M$308</f>
        <v>9.94</v>
      </c>
      <c r="BT37" s="24"/>
      <c r="BU37" s="24"/>
      <c r="BV37" s="24"/>
      <c r="BW37" s="24"/>
      <c r="BX37" s="24">
        <f>[23]zestawienie!$R$308</f>
        <v>121.07000000000002</v>
      </c>
      <c r="BY37" s="24"/>
      <c r="BZ37" s="24">
        <f>[23]zestawienie!$T$308</f>
        <v>53.99</v>
      </c>
      <c r="CA37" s="24"/>
      <c r="CB37" s="24">
        <f>[23]zestawienie!$W$308</f>
        <v>455.39600000000002</v>
      </c>
      <c r="CC37" s="25">
        <f>[23]zestawienie!$Y$308</f>
        <v>153.85000000000002</v>
      </c>
      <c r="CD37" s="27">
        <f t="shared" si="3"/>
        <v>185.00000000000003</v>
      </c>
      <c r="CE37" s="28">
        <f t="shared" si="4"/>
        <v>131.01000000000002</v>
      </c>
      <c r="CF37" s="23"/>
      <c r="CG37" s="24"/>
      <c r="CH37" s="25">
        <f>[23]zestawienie!$AD$308</f>
        <v>185.00000000000003</v>
      </c>
      <c r="CI37" s="29">
        <f>[23]zestawienie!$AE$308</f>
        <v>185.00000000000003</v>
      </c>
      <c r="CJ37" s="4" t="s">
        <v>101</v>
      </c>
      <c r="CK37" s="4" t="s">
        <v>102</v>
      </c>
      <c r="CL37" s="18" t="s">
        <v>103</v>
      </c>
      <c r="CM37" s="19" t="s">
        <v>104</v>
      </c>
    </row>
    <row r="38" spans="1:91" s="26" customFormat="1" ht="24.95" hidden="1" customHeight="1">
      <c r="A38" s="97">
        <f t="shared" si="6"/>
        <v>30</v>
      </c>
      <c r="B38" s="87">
        <v>2845</v>
      </c>
      <c r="C38" s="87">
        <v>106</v>
      </c>
      <c r="D38" s="98" t="s">
        <v>35</v>
      </c>
      <c r="E38" s="182"/>
      <c r="F38" s="182"/>
      <c r="G38" s="182"/>
      <c r="H38" s="182"/>
      <c r="I38" s="182"/>
      <c r="J38" s="182"/>
      <c r="K38" s="182"/>
      <c r="L38" s="299">
        <v>4</v>
      </c>
      <c r="M38" s="182"/>
      <c r="N38" s="182"/>
      <c r="O38" s="182"/>
      <c r="P38" s="182"/>
      <c r="Q38" s="338">
        <v>1</v>
      </c>
      <c r="R38" s="216"/>
      <c r="S38" s="216"/>
      <c r="T38" s="182"/>
      <c r="U38" s="182"/>
      <c r="V38" s="182"/>
      <c r="W38" s="30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216"/>
      <c r="AW38" s="182"/>
      <c r="AX38" s="182"/>
      <c r="AY38" s="244"/>
      <c r="AZ38" s="316" t="s">
        <v>190</v>
      </c>
      <c r="BA38" s="236">
        <v>1978</v>
      </c>
      <c r="BB38" s="86">
        <v>5501.67</v>
      </c>
      <c r="BC38" s="99">
        <f t="shared" si="10"/>
        <v>1073.6600000000001</v>
      </c>
      <c r="BD38" s="100">
        <f>CE38</f>
        <v>953.17000000000007</v>
      </c>
      <c r="BE38" s="101">
        <f t="shared" si="8"/>
        <v>0</v>
      </c>
      <c r="BF38" s="101">
        <f t="shared" si="9"/>
        <v>120.48999999999998</v>
      </c>
      <c r="BG38" s="102">
        <v>1223.25</v>
      </c>
      <c r="BH38" s="118">
        <v>1207.83</v>
      </c>
      <c r="BI38" s="39"/>
      <c r="BJ38" s="37"/>
      <c r="BK38" s="13"/>
      <c r="BL38" s="12">
        <f>[24]zestawienie!$F$308</f>
        <v>286.89999999999998</v>
      </c>
      <c r="BM38" s="37"/>
      <c r="BN38" s="37">
        <f>[24]zestawienie!$H$308</f>
        <v>462.38</v>
      </c>
      <c r="BO38" s="37">
        <f>[24]zestawienie!$I$308</f>
        <v>149.72</v>
      </c>
      <c r="BP38" s="13">
        <f>[24]zestawienie!$J$308</f>
        <v>13.7</v>
      </c>
      <c r="BQ38" s="12"/>
      <c r="BR38" s="13"/>
      <c r="BS38" s="39">
        <f>[24]zestawienie!$M$308</f>
        <v>40.47</v>
      </c>
      <c r="BT38" s="37"/>
      <c r="BU38" s="37"/>
      <c r="BV38" s="37"/>
      <c r="BW38" s="37"/>
      <c r="BX38" s="37"/>
      <c r="BY38" s="37"/>
      <c r="BZ38" s="37">
        <f>[24]zestawienie!$T$308</f>
        <v>120.48999999999998</v>
      </c>
      <c r="CA38" s="37"/>
      <c r="CB38" s="37">
        <f>[24]zestawienie!$W$308</f>
        <v>3989.1999999999994</v>
      </c>
      <c r="CC38" s="38">
        <f>[24]zestawienie!$Y$308</f>
        <v>1067.4699999999998</v>
      </c>
      <c r="CD38" s="12">
        <f t="shared" si="3"/>
        <v>1073.6600000000001</v>
      </c>
      <c r="CE38" s="13">
        <f t="shared" si="4"/>
        <v>953.17000000000007</v>
      </c>
      <c r="CF38" s="39"/>
      <c r="CG38" s="37"/>
      <c r="CH38" s="38">
        <f>[24]zestawienie!$AD$308</f>
        <v>1073.6599999999999</v>
      </c>
      <c r="CI38" s="14">
        <f>[24]zestawienie!$AE$308</f>
        <v>1073.6600000000001</v>
      </c>
      <c r="CJ38" s="11" t="s">
        <v>101</v>
      </c>
      <c r="CK38" s="11" t="s">
        <v>102</v>
      </c>
      <c r="CL38" s="77" t="s">
        <v>103</v>
      </c>
      <c r="CM38" s="78" t="s">
        <v>104</v>
      </c>
    </row>
    <row r="39" spans="1:91" s="26" customFormat="1" ht="24.95" customHeight="1">
      <c r="A39" s="89">
        <f t="shared" si="6"/>
        <v>31</v>
      </c>
      <c r="B39" s="90">
        <v>2845</v>
      </c>
      <c r="C39" s="90">
        <v>110</v>
      </c>
      <c r="D39" s="91" t="s">
        <v>42</v>
      </c>
      <c r="E39" s="181"/>
      <c r="F39" s="181"/>
      <c r="G39" s="181"/>
      <c r="H39" s="181"/>
      <c r="I39" s="181"/>
      <c r="J39" s="181"/>
      <c r="K39" s="181"/>
      <c r="L39" s="194">
        <v>1</v>
      </c>
      <c r="M39" s="181"/>
      <c r="N39" s="181"/>
      <c r="O39" s="181"/>
      <c r="P39" s="181"/>
      <c r="Q39" s="181"/>
      <c r="R39" s="199"/>
      <c r="S39" s="199"/>
      <c r="T39" s="181"/>
      <c r="U39" s="181"/>
      <c r="V39" s="181"/>
      <c r="W39" s="301"/>
      <c r="X39" s="181"/>
      <c r="Y39" s="181"/>
      <c r="Z39" s="210">
        <v>0.5</v>
      </c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99"/>
      <c r="AW39" s="181"/>
      <c r="AX39" s="181"/>
      <c r="AY39" s="243"/>
      <c r="AZ39" s="595" t="s">
        <v>109</v>
      </c>
      <c r="BA39" s="235">
        <v>1980</v>
      </c>
      <c r="BB39" s="104">
        <v>6450.83</v>
      </c>
      <c r="BC39" s="93">
        <f t="shared" si="10"/>
        <v>1218.5899999999999</v>
      </c>
      <c r="BD39" s="94">
        <f>CE39</f>
        <v>1218.5899999999999</v>
      </c>
      <c r="BE39" s="92">
        <f t="shared" si="8"/>
        <v>0</v>
      </c>
      <c r="BF39" s="92">
        <f t="shared" si="9"/>
        <v>0</v>
      </c>
      <c r="BG39" s="95">
        <v>1289.01</v>
      </c>
      <c r="BH39" s="105">
        <v>1267.6300000000001</v>
      </c>
      <c r="BI39" s="23"/>
      <c r="BJ39" s="24"/>
      <c r="BK39" s="28"/>
      <c r="BL39" s="27"/>
      <c r="BM39" s="24"/>
      <c r="BN39" s="24"/>
      <c r="BO39" s="24"/>
      <c r="BP39" s="28"/>
      <c r="BQ39" s="27"/>
      <c r="BR39" s="28"/>
      <c r="BS39" s="23"/>
      <c r="BT39" s="24"/>
      <c r="BU39" s="24"/>
      <c r="BV39" s="24"/>
      <c r="BW39" s="24"/>
      <c r="BX39" s="24">
        <f>[25]zestawienie!$U$308</f>
        <v>1218.5899999999999</v>
      </c>
      <c r="BY39" s="24"/>
      <c r="BZ39" s="24"/>
      <c r="CA39" s="24"/>
      <c r="CB39" s="24"/>
      <c r="CC39" s="25"/>
      <c r="CD39" s="27">
        <f t="shared" si="3"/>
        <v>1218.5899999999999</v>
      </c>
      <c r="CE39" s="28">
        <f t="shared" si="4"/>
        <v>1218.5899999999999</v>
      </c>
      <c r="CF39" s="23"/>
      <c r="CG39" s="24"/>
      <c r="CH39" s="25">
        <f>[25]zestawienie!$AD$308</f>
        <v>1218.5899999999999</v>
      </c>
      <c r="CI39" s="29">
        <f>CE39</f>
        <v>1218.5899999999999</v>
      </c>
      <c r="CJ39" s="4" t="s">
        <v>101</v>
      </c>
      <c r="CK39" s="4" t="s">
        <v>102</v>
      </c>
      <c r="CL39" s="18" t="s">
        <v>103</v>
      </c>
      <c r="CM39" s="19" t="s">
        <v>104</v>
      </c>
    </row>
    <row r="40" spans="1:91" s="26" customFormat="1" ht="24.95" customHeight="1">
      <c r="A40" s="89">
        <f t="shared" si="6"/>
        <v>32</v>
      </c>
      <c r="B40" s="90">
        <v>2845</v>
      </c>
      <c r="C40" s="90">
        <v>112</v>
      </c>
      <c r="D40" s="91" t="s">
        <v>31</v>
      </c>
      <c r="E40" s="181"/>
      <c r="F40" s="181"/>
      <c r="G40" s="181"/>
      <c r="H40" s="181"/>
      <c r="I40" s="181"/>
      <c r="J40" s="181"/>
      <c r="K40" s="181"/>
      <c r="L40" s="181"/>
      <c r="M40" s="194">
        <v>4</v>
      </c>
      <c r="N40" s="181"/>
      <c r="O40" s="181"/>
      <c r="P40" s="181"/>
      <c r="Q40" s="181"/>
      <c r="R40" s="199"/>
      <c r="S40" s="199"/>
      <c r="T40" s="181"/>
      <c r="U40" s="181"/>
      <c r="V40" s="181"/>
      <c r="W40" s="301"/>
      <c r="X40" s="181"/>
      <c r="Y40" s="181"/>
      <c r="Z40" s="204"/>
      <c r="AA40" s="203">
        <v>1.6</v>
      </c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99"/>
      <c r="AW40" s="181"/>
      <c r="AX40" s="181"/>
      <c r="AY40" s="243"/>
      <c r="AZ40" s="273" t="s">
        <v>109</v>
      </c>
      <c r="BA40" s="235">
        <v>1981</v>
      </c>
      <c r="BB40" s="104">
        <v>16979.73</v>
      </c>
      <c r="BC40" s="93">
        <f t="shared" si="10"/>
        <v>3882.32</v>
      </c>
      <c r="BD40" s="94">
        <f>CE40</f>
        <v>2784.41</v>
      </c>
      <c r="BE40" s="92">
        <f t="shared" si="8"/>
        <v>247.19000000000003</v>
      </c>
      <c r="BF40" s="92">
        <f t="shared" si="9"/>
        <v>850.72</v>
      </c>
      <c r="BG40" s="95">
        <v>2284.85</v>
      </c>
      <c r="BH40" s="105">
        <v>1950.31</v>
      </c>
      <c r="BI40" s="23"/>
      <c r="BJ40" s="24"/>
      <c r="BK40" s="28"/>
      <c r="BL40" s="27"/>
      <c r="BM40" s="24"/>
      <c r="BN40" s="24"/>
      <c r="BO40" s="24"/>
      <c r="BP40" s="28"/>
      <c r="BQ40" s="27"/>
      <c r="BR40" s="28"/>
      <c r="BS40" s="23">
        <f>[26]zestawienie!$M$318</f>
        <v>108.53999999999999</v>
      </c>
      <c r="BT40" s="24">
        <f>[26]zestawienie!$N$318</f>
        <v>481.8599999999999</v>
      </c>
      <c r="BU40" s="24"/>
      <c r="BV40" s="24">
        <f>[26]zestawienie!$P$318</f>
        <v>560.57000000000005</v>
      </c>
      <c r="BW40" s="24">
        <f>[26]zestawienie!$Q$318</f>
        <v>1249.82</v>
      </c>
      <c r="BX40" s="24">
        <f>[26]zestawienie!$R$318</f>
        <v>383.62</v>
      </c>
      <c r="BY40" s="24">
        <f>[26]zestawienie!$S$318</f>
        <v>247.19000000000003</v>
      </c>
      <c r="BZ40" s="24">
        <f>[26]zestawienie!$T$318</f>
        <v>763.44</v>
      </c>
      <c r="CA40" s="24">
        <f>[26]zestawienie!$U$318</f>
        <v>87.28</v>
      </c>
      <c r="CB40" s="24">
        <f>[26]zestawienie!$W$318</f>
        <v>6904.6039000000001</v>
      </c>
      <c r="CC40" s="25">
        <f>[26]zestawienie!$Y$318</f>
        <v>2701.46</v>
      </c>
      <c r="CD40" s="27">
        <f t="shared" si="3"/>
        <v>3882.32</v>
      </c>
      <c r="CE40" s="28">
        <f t="shared" si="4"/>
        <v>2784.41</v>
      </c>
      <c r="CF40" s="23">
        <f>[26]zestawienie!$AB$318</f>
        <v>26.03</v>
      </c>
      <c r="CG40" s="24">
        <f>[26]zestawienie!$AC$318</f>
        <v>15.52</v>
      </c>
      <c r="CH40" s="25">
        <f>[26]zestawienie!$AD$318</f>
        <v>3874.56</v>
      </c>
      <c r="CI40" s="29">
        <f>[26]zestawienie!$AE$318</f>
        <v>3795.04</v>
      </c>
      <c r="CJ40" s="4" t="s">
        <v>101</v>
      </c>
      <c r="CK40" s="4" t="s">
        <v>102</v>
      </c>
      <c r="CL40" s="18" t="s">
        <v>103</v>
      </c>
      <c r="CM40" s="19" t="s">
        <v>104</v>
      </c>
    </row>
    <row r="41" spans="1:91" s="15" customFormat="1" ht="24.95" customHeight="1">
      <c r="A41" s="108">
        <f t="shared" si="6"/>
        <v>33</v>
      </c>
      <c r="B41" s="368">
        <v>2845</v>
      </c>
      <c r="C41" s="368">
        <v>113</v>
      </c>
      <c r="D41" s="106" t="s">
        <v>35</v>
      </c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96">
        <v>8</v>
      </c>
      <c r="P41" s="183"/>
      <c r="Q41" s="183"/>
      <c r="R41" s="124"/>
      <c r="S41" s="124"/>
      <c r="T41" s="183"/>
      <c r="U41" s="183"/>
      <c r="V41" s="183"/>
      <c r="W41" s="303"/>
      <c r="X41" s="183"/>
      <c r="Y41" s="183"/>
      <c r="Z41" s="206"/>
      <c r="AA41" s="183"/>
      <c r="AB41" s="183"/>
      <c r="AC41" s="208">
        <v>2</v>
      </c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24"/>
      <c r="AW41" s="183"/>
      <c r="AX41" s="183"/>
      <c r="AY41" s="245"/>
      <c r="AZ41" s="273" t="s">
        <v>109</v>
      </c>
      <c r="BA41" s="125">
        <v>1981</v>
      </c>
      <c r="BB41" s="107">
        <v>54500</v>
      </c>
      <c r="BC41" s="109">
        <v>13154</v>
      </c>
      <c r="BD41" s="110">
        <v>13154</v>
      </c>
      <c r="BE41" s="121">
        <f t="shared" si="8"/>
        <v>0</v>
      </c>
      <c r="BF41" s="121">
        <f t="shared" si="9"/>
        <v>0</v>
      </c>
      <c r="BG41" s="111"/>
      <c r="BH41" s="103"/>
      <c r="BI41" s="320"/>
      <c r="BJ41" s="321"/>
      <c r="BK41" s="322"/>
      <c r="BL41" s="323">
        <f>5223-BM41</f>
        <v>4878</v>
      </c>
      <c r="BM41" s="321">
        <v>345</v>
      </c>
      <c r="BN41" s="321"/>
      <c r="BO41" s="321">
        <v>1251.1516000000001</v>
      </c>
      <c r="BP41" s="322">
        <f>143+207</f>
        <v>350</v>
      </c>
      <c r="BQ41" s="323">
        <v>725</v>
      </c>
      <c r="BR41" s="322"/>
      <c r="BS41" s="320"/>
      <c r="BT41" s="321">
        <v>510</v>
      </c>
      <c r="BU41" s="321"/>
      <c r="BV41" s="321"/>
      <c r="BW41" s="321"/>
      <c r="BX41" s="321"/>
      <c r="BY41" s="321"/>
      <c r="BZ41" s="321"/>
      <c r="CA41" s="321"/>
      <c r="CB41" s="321"/>
      <c r="CC41" s="324"/>
      <c r="CD41" s="30"/>
      <c r="CE41" s="32">
        <f>BD41</f>
        <v>13154</v>
      </c>
      <c r="CF41" s="33"/>
      <c r="CG41" s="31"/>
      <c r="CH41" s="34"/>
      <c r="CI41" s="40">
        <v>13154</v>
      </c>
      <c r="CJ41" s="6" t="s">
        <v>101</v>
      </c>
      <c r="CK41" s="6" t="s">
        <v>102</v>
      </c>
      <c r="CL41" s="36" t="s">
        <v>103</v>
      </c>
      <c r="CM41" s="41" t="s">
        <v>104</v>
      </c>
    </row>
    <row r="42" spans="1:91" s="26" customFormat="1" ht="24.95" hidden="1" customHeight="1">
      <c r="A42" s="89">
        <f t="shared" si="6"/>
        <v>34</v>
      </c>
      <c r="B42" s="90">
        <v>2845</v>
      </c>
      <c r="C42" s="90">
        <v>114</v>
      </c>
      <c r="D42" s="91" t="s">
        <v>43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94">
        <v>4</v>
      </c>
      <c r="Q42" s="181"/>
      <c r="R42" s="199"/>
      <c r="S42" s="199"/>
      <c r="T42" s="181"/>
      <c r="U42" s="181"/>
      <c r="V42" s="181"/>
      <c r="W42" s="301"/>
      <c r="X42" s="181"/>
      <c r="Y42" s="181"/>
      <c r="Z42" s="204"/>
      <c r="AA42" s="181"/>
      <c r="AB42" s="450">
        <v>2</v>
      </c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99"/>
      <c r="AW42" s="181"/>
      <c r="AX42" s="181"/>
      <c r="AY42" s="243"/>
      <c r="AZ42" s="273" t="s">
        <v>109</v>
      </c>
      <c r="BA42" s="235">
        <v>1979</v>
      </c>
      <c r="BB42" s="104">
        <v>111.26</v>
      </c>
      <c r="BC42" s="93">
        <f t="shared" ref="BC42:BD44" si="11">CD42</f>
        <v>27.410000000000004</v>
      </c>
      <c r="BD42" s="94">
        <f t="shared" si="11"/>
        <v>25.320000000000004</v>
      </c>
      <c r="BE42" s="92">
        <f t="shared" si="8"/>
        <v>0</v>
      </c>
      <c r="BF42" s="92">
        <f t="shared" si="9"/>
        <v>2.09</v>
      </c>
      <c r="BG42" s="95">
        <v>49.2</v>
      </c>
      <c r="BH42" s="105">
        <v>36.56</v>
      </c>
      <c r="BI42" s="23" t="s">
        <v>95</v>
      </c>
      <c r="BJ42" s="24"/>
      <c r="BK42" s="28"/>
      <c r="BL42" s="27"/>
      <c r="BM42" s="24"/>
      <c r="BN42" s="24"/>
      <c r="BO42" s="24"/>
      <c r="BP42" s="28"/>
      <c r="BQ42" s="27"/>
      <c r="BR42" s="28"/>
      <c r="BS42" s="23">
        <f>[27]zestawienie!$M$308</f>
        <v>3.37</v>
      </c>
      <c r="BT42" s="24"/>
      <c r="BU42" s="24"/>
      <c r="BV42" s="24"/>
      <c r="BW42" s="24"/>
      <c r="BX42" s="24">
        <f>[27]zestawienie!$R$308</f>
        <v>21.950000000000003</v>
      </c>
      <c r="BY42" s="24"/>
      <c r="BZ42" s="24">
        <f>[27]zestawienie!$T$308</f>
        <v>2.09</v>
      </c>
      <c r="CA42" s="24"/>
      <c r="CB42" s="24"/>
      <c r="CC42" s="25"/>
      <c r="CD42" s="27">
        <f>BS42+BX42+BZ42</f>
        <v>27.410000000000004</v>
      </c>
      <c r="CE42" s="28">
        <f>BS42+BX42</f>
        <v>25.320000000000004</v>
      </c>
      <c r="CF42" s="23"/>
      <c r="CG42" s="24"/>
      <c r="CH42" s="25">
        <f>[27]zestawienie!$AD$308</f>
        <v>27.410000000000004</v>
      </c>
      <c r="CI42" s="29">
        <f>[27]zestawienie!$AE$308</f>
        <v>27.410000000000004</v>
      </c>
      <c r="CJ42" s="4" t="s">
        <v>101</v>
      </c>
      <c r="CK42" s="4" t="s">
        <v>102</v>
      </c>
      <c r="CL42" s="18" t="s">
        <v>103</v>
      </c>
      <c r="CM42" s="19" t="s">
        <v>104</v>
      </c>
    </row>
    <row r="43" spans="1:91" s="26" customFormat="1" ht="30" hidden="1">
      <c r="A43" s="89">
        <f t="shared" si="6"/>
        <v>35</v>
      </c>
      <c r="B43" s="90">
        <v>2845</v>
      </c>
      <c r="C43" s="90">
        <v>115</v>
      </c>
      <c r="D43" s="195" t="s">
        <v>44</v>
      </c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94">
        <v>4</v>
      </c>
      <c r="R43" s="199"/>
      <c r="S43" s="199"/>
      <c r="T43" s="181"/>
      <c r="U43" s="181"/>
      <c r="V43" s="181"/>
      <c r="W43" s="301"/>
      <c r="X43" s="181"/>
      <c r="Y43" s="181"/>
      <c r="Z43" s="204"/>
      <c r="AA43" s="181"/>
      <c r="AB43" s="45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99"/>
      <c r="AW43" s="181"/>
      <c r="AX43" s="181"/>
      <c r="AY43" s="243"/>
      <c r="AZ43" s="273" t="s">
        <v>107</v>
      </c>
      <c r="BA43" s="235">
        <v>1979</v>
      </c>
      <c r="BB43" s="104">
        <v>2762.43</v>
      </c>
      <c r="BC43" s="93">
        <f t="shared" si="11"/>
        <v>514.79999999999995</v>
      </c>
      <c r="BD43" s="94">
        <f t="shared" si="11"/>
        <v>514.79999999999995</v>
      </c>
      <c r="BE43" s="92">
        <f t="shared" si="8"/>
        <v>0</v>
      </c>
      <c r="BF43" s="92">
        <f t="shared" si="9"/>
        <v>0</v>
      </c>
      <c r="BG43" s="95">
        <v>635.61</v>
      </c>
      <c r="BH43" s="105">
        <v>555.82000000000005</v>
      </c>
      <c r="BI43" s="23"/>
      <c r="BJ43" s="24"/>
      <c r="BK43" s="28"/>
      <c r="BL43" s="27"/>
      <c r="BM43" s="24"/>
      <c r="BN43" s="24"/>
      <c r="BO43" s="24"/>
      <c r="BP43" s="28"/>
      <c r="BQ43" s="27"/>
      <c r="BR43" s="28"/>
      <c r="BS43" s="23"/>
      <c r="BT43" s="24">
        <f>[28]zestawienie!$N$308</f>
        <v>514.79999999999995</v>
      </c>
      <c r="BU43" s="24"/>
      <c r="BV43" s="24"/>
      <c r="BW43" s="24"/>
      <c r="BX43" s="24"/>
      <c r="BY43" s="24"/>
      <c r="BZ43" s="24"/>
      <c r="CA43" s="24"/>
      <c r="CB43" s="24"/>
      <c r="CC43" s="25"/>
      <c r="CD43" s="27">
        <f>SUM(BI43:CA43)</f>
        <v>514.79999999999995</v>
      </c>
      <c r="CE43" s="28">
        <f>SUM(BI43:BX43)</f>
        <v>514.79999999999995</v>
      </c>
      <c r="CF43" s="23"/>
      <c r="CG43" s="24"/>
      <c r="CH43" s="25">
        <f>[28]zestawienie!$AD$308</f>
        <v>514.79999999999995</v>
      </c>
      <c r="CI43" s="29">
        <v>0</v>
      </c>
      <c r="CJ43" s="4" t="s">
        <v>101</v>
      </c>
      <c r="CK43" s="4" t="s">
        <v>102</v>
      </c>
      <c r="CL43" s="18" t="s">
        <v>103</v>
      </c>
      <c r="CM43" s="19" t="s">
        <v>104</v>
      </c>
    </row>
    <row r="44" spans="1:91" s="26" customFormat="1" ht="24.95" hidden="1" customHeight="1">
      <c r="A44" s="89">
        <f t="shared" si="6"/>
        <v>36</v>
      </c>
      <c r="B44" s="90">
        <v>2845</v>
      </c>
      <c r="C44" s="90">
        <v>116</v>
      </c>
      <c r="D44" s="91" t="s">
        <v>45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203">
        <v>3</v>
      </c>
      <c r="S44" s="199"/>
      <c r="T44" s="181"/>
      <c r="U44" s="181"/>
      <c r="V44" s="181"/>
      <c r="W44" s="301"/>
      <c r="X44" s="181"/>
      <c r="Y44" s="181"/>
      <c r="Z44" s="204"/>
      <c r="AA44" s="181"/>
      <c r="AB44" s="45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99"/>
      <c r="AW44" s="181"/>
      <c r="AX44" s="181"/>
      <c r="AY44" s="243"/>
      <c r="AZ44" s="273" t="s">
        <v>109</v>
      </c>
      <c r="BA44" s="235">
        <v>1979</v>
      </c>
      <c r="BB44" s="104">
        <v>2639.66</v>
      </c>
      <c r="BC44" s="93">
        <f t="shared" si="11"/>
        <v>483.74000000000007</v>
      </c>
      <c r="BD44" s="94">
        <f t="shared" si="11"/>
        <v>377.62000000000006</v>
      </c>
      <c r="BE44" s="92">
        <f t="shared" si="8"/>
        <v>33.57</v>
      </c>
      <c r="BF44" s="92">
        <f t="shared" si="9"/>
        <v>72.55</v>
      </c>
      <c r="BG44" s="95">
        <v>575.66999999999996</v>
      </c>
      <c r="BH44" s="105">
        <v>564.51</v>
      </c>
      <c r="BI44" s="23"/>
      <c r="BJ44" s="24"/>
      <c r="BK44" s="28"/>
      <c r="BL44" s="27"/>
      <c r="BM44" s="24"/>
      <c r="BN44" s="24"/>
      <c r="BO44" s="24"/>
      <c r="BP44" s="28"/>
      <c r="BQ44" s="27"/>
      <c r="BR44" s="28"/>
      <c r="BS44" s="23">
        <f>[29]zestawienie!$M$308</f>
        <v>5.42</v>
      </c>
      <c r="BT44" s="24"/>
      <c r="BU44" s="24"/>
      <c r="BV44" s="24"/>
      <c r="BW44" s="24"/>
      <c r="BX44" s="24">
        <f>[29]zestawienie!$R$308</f>
        <v>372.20000000000005</v>
      </c>
      <c r="BY44" s="24">
        <f>[29]zestawienie!$S$308</f>
        <v>33.57</v>
      </c>
      <c r="BZ44" s="24">
        <f>[29]zestawienie!$T$308</f>
        <v>72.55</v>
      </c>
      <c r="CA44" s="24"/>
      <c r="CB44" s="24">
        <f>[29]zestawienie!$W$308</f>
        <v>296.44400000000002</v>
      </c>
      <c r="CC44" s="25">
        <f>[29]zestawienie!$Y$308</f>
        <v>80.12</v>
      </c>
      <c r="CD44" s="27">
        <f>SUM(BI44:CA44)</f>
        <v>483.74000000000007</v>
      </c>
      <c r="CE44" s="28">
        <f>SUM(BI44:BX44)</f>
        <v>377.62000000000006</v>
      </c>
      <c r="CF44" s="23"/>
      <c r="CG44" s="24"/>
      <c r="CH44" s="25">
        <f>[29]zestawienie!$AD$308</f>
        <v>483.73999999999995</v>
      </c>
      <c r="CI44" s="29">
        <f>[29]zestawienie!$AE$308</f>
        <v>483.74000000000007</v>
      </c>
      <c r="CJ44" s="4" t="s">
        <v>101</v>
      </c>
      <c r="CK44" s="4" t="s">
        <v>102</v>
      </c>
      <c r="CL44" s="18" t="s">
        <v>103</v>
      </c>
      <c r="CM44" s="19" t="s">
        <v>104</v>
      </c>
    </row>
    <row r="45" spans="1:91" s="35" customFormat="1" ht="24.95" hidden="1" customHeight="1">
      <c r="A45" s="108">
        <f t="shared" si="6"/>
        <v>37</v>
      </c>
      <c r="B45" s="368">
        <v>2845</v>
      </c>
      <c r="C45" s="368">
        <v>117</v>
      </c>
      <c r="D45" s="106" t="s">
        <v>128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368"/>
      <c r="S45" s="198">
        <v>2</v>
      </c>
      <c r="T45" s="106"/>
      <c r="U45" s="106"/>
      <c r="V45" s="106"/>
      <c r="W45" s="305"/>
      <c r="X45" s="106"/>
      <c r="Y45" s="106"/>
      <c r="Z45" s="205"/>
      <c r="AA45" s="106"/>
      <c r="AB45" s="451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368"/>
      <c r="AW45" s="106"/>
      <c r="AX45" s="106"/>
      <c r="AY45" s="245"/>
      <c r="AZ45" s="276" t="s">
        <v>107</v>
      </c>
      <c r="BA45" s="123">
        <v>1979</v>
      </c>
      <c r="BB45" s="121">
        <v>78</v>
      </c>
      <c r="BC45" s="119">
        <v>13</v>
      </c>
      <c r="BD45" s="103">
        <v>13</v>
      </c>
      <c r="BE45" s="121">
        <f t="shared" si="8"/>
        <v>0</v>
      </c>
      <c r="BF45" s="121">
        <f t="shared" si="9"/>
        <v>0</v>
      </c>
      <c r="BG45" s="109"/>
      <c r="BH45" s="120"/>
      <c r="BI45" s="33"/>
      <c r="BJ45" s="31"/>
      <c r="BK45" s="32"/>
      <c r="BL45" s="30"/>
      <c r="BM45" s="31"/>
      <c r="BN45" s="31"/>
      <c r="BO45" s="31"/>
      <c r="BP45" s="32"/>
      <c r="BQ45" s="30"/>
      <c r="BR45" s="32"/>
      <c r="BS45" s="33"/>
      <c r="BT45" s="31"/>
      <c r="BU45" s="31"/>
      <c r="BV45" s="31"/>
      <c r="BW45" s="31"/>
      <c r="BX45" s="31">
        <v>13</v>
      </c>
      <c r="BY45" s="31"/>
      <c r="BZ45" s="31"/>
      <c r="CA45" s="31"/>
      <c r="CB45" s="31"/>
      <c r="CC45" s="34"/>
      <c r="CD45" s="30"/>
      <c r="CE45" s="32">
        <f>BD45</f>
        <v>13</v>
      </c>
      <c r="CF45" s="33"/>
      <c r="CG45" s="31"/>
      <c r="CH45" s="34"/>
      <c r="CI45" s="40">
        <v>0</v>
      </c>
      <c r="CJ45" s="6" t="s">
        <v>101</v>
      </c>
      <c r="CK45" s="6" t="s">
        <v>102</v>
      </c>
      <c r="CL45" s="36" t="s">
        <v>103</v>
      </c>
      <c r="CM45" s="41" t="s">
        <v>104</v>
      </c>
    </row>
    <row r="46" spans="1:91" s="35" customFormat="1" ht="24.95" hidden="1" customHeight="1">
      <c r="A46" s="108">
        <f t="shared" si="6"/>
        <v>38</v>
      </c>
      <c r="B46" s="368">
        <v>2845</v>
      </c>
      <c r="C46" s="368">
        <v>119</v>
      </c>
      <c r="D46" s="106" t="s">
        <v>70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24"/>
      <c r="S46" s="208">
        <v>1</v>
      </c>
      <c r="T46" s="183"/>
      <c r="U46" s="183"/>
      <c r="V46" s="183"/>
      <c r="W46" s="303"/>
      <c r="X46" s="183"/>
      <c r="Y46" s="183"/>
      <c r="Z46" s="206"/>
      <c r="AA46" s="183"/>
      <c r="AB46" s="451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24"/>
      <c r="AW46" s="183"/>
      <c r="AX46" s="183"/>
      <c r="AY46" s="245"/>
      <c r="AZ46" s="276" t="s">
        <v>107</v>
      </c>
      <c r="BA46" s="125">
        <v>1979</v>
      </c>
      <c r="BB46" s="107">
        <v>316</v>
      </c>
      <c r="BC46" s="109">
        <v>96</v>
      </c>
      <c r="BD46" s="103">
        <v>96</v>
      </c>
      <c r="BE46" s="121">
        <f t="shared" si="8"/>
        <v>0</v>
      </c>
      <c r="BF46" s="121">
        <f t="shared" si="9"/>
        <v>0</v>
      </c>
      <c r="BG46" s="111"/>
      <c r="BH46" s="103"/>
      <c r="BI46" s="33"/>
      <c r="BJ46" s="31"/>
      <c r="BK46" s="32"/>
      <c r="BL46" s="30"/>
      <c r="BM46" s="31"/>
      <c r="BN46" s="31"/>
      <c r="BO46" s="31"/>
      <c r="BP46" s="32"/>
      <c r="BQ46" s="30"/>
      <c r="BR46" s="32"/>
      <c r="BS46" s="33"/>
      <c r="BT46" s="31"/>
      <c r="BU46" s="31"/>
      <c r="BV46" s="31"/>
      <c r="BW46" s="31"/>
      <c r="BX46" s="31">
        <v>96</v>
      </c>
      <c r="BY46" s="31"/>
      <c r="BZ46" s="31"/>
      <c r="CA46" s="31"/>
      <c r="CB46" s="31"/>
      <c r="CC46" s="34"/>
      <c r="CD46" s="30"/>
      <c r="CE46" s="32">
        <f>BD46</f>
        <v>96</v>
      </c>
      <c r="CF46" s="33"/>
      <c r="CG46" s="31"/>
      <c r="CH46" s="34"/>
      <c r="CI46" s="40">
        <v>0</v>
      </c>
      <c r="CJ46" s="6" t="s">
        <v>101</v>
      </c>
      <c r="CK46" s="6" t="s">
        <v>102</v>
      </c>
      <c r="CL46" s="36" t="s">
        <v>103</v>
      </c>
      <c r="CM46" s="41" t="s">
        <v>104</v>
      </c>
    </row>
    <row r="47" spans="1:91" s="26" customFormat="1" ht="24.95" customHeight="1">
      <c r="A47" s="89">
        <f t="shared" si="6"/>
        <v>39</v>
      </c>
      <c r="B47" s="90">
        <v>2845</v>
      </c>
      <c r="C47" s="90">
        <v>120</v>
      </c>
      <c r="D47" s="91" t="s">
        <v>46</v>
      </c>
      <c r="E47" s="184"/>
      <c r="F47" s="184"/>
      <c r="G47" s="184"/>
      <c r="H47" s="184"/>
      <c r="I47" s="184"/>
      <c r="J47" s="184"/>
      <c r="K47" s="184"/>
      <c r="L47" s="184"/>
      <c r="M47" s="184"/>
      <c r="N47" s="197">
        <v>3</v>
      </c>
      <c r="O47" s="184"/>
      <c r="P47" s="184"/>
      <c r="Q47" s="184"/>
      <c r="R47" s="202"/>
      <c r="S47" s="202"/>
      <c r="T47" s="184"/>
      <c r="U47" s="184"/>
      <c r="V47" s="184"/>
      <c r="W47" s="304"/>
      <c r="X47" s="184"/>
      <c r="Y47" s="184"/>
      <c r="Z47" s="207"/>
      <c r="AA47" s="184"/>
      <c r="AB47" s="452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202"/>
      <c r="AW47" s="184"/>
      <c r="AX47" s="184"/>
      <c r="AY47" s="246"/>
      <c r="AZ47" s="273" t="s">
        <v>109</v>
      </c>
      <c r="BA47" s="237">
        <v>1979</v>
      </c>
      <c r="BB47" s="92">
        <v>14396.62</v>
      </c>
      <c r="BC47" s="93">
        <f>CD47</f>
        <v>2433.98</v>
      </c>
      <c r="BD47" s="94">
        <f>CE47</f>
        <v>1836.15</v>
      </c>
      <c r="BE47" s="92">
        <f t="shared" si="8"/>
        <v>156.53</v>
      </c>
      <c r="BF47" s="92">
        <f t="shared" si="9"/>
        <v>441.30000000000007</v>
      </c>
      <c r="BG47" s="95">
        <v>2378.71</v>
      </c>
      <c r="BH47" s="96">
        <v>2684.73</v>
      </c>
      <c r="BI47" s="23"/>
      <c r="BJ47" s="24"/>
      <c r="BK47" s="28"/>
      <c r="BL47" s="27"/>
      <c r="BM47" s="24"/>
      <c r="BN47" s="24"/>
      <c r="BO47" s="24"/>
      <c r="BP47" s="28"/>
      <c r="BQ47" s="27"/>
      <c r="BR47" s="28"/>
      <c r="BS47" s="23">
        <f>[30]zestawienie!$M$308</f>
        <v>58.58</v>
      </c>
      <c r="BT47" s="24">
        <f>101.47+204.81+276.21+142.37+50.66+107.37</f>
        <v>882.89</v>
      </c>
      <c r="BU47" s="24"/>
      <c r="BV47" s="24"/>
      <c r="BW47" s="24"/>
      <c r="BX47" s="24">
        <f>1777.57-882.89</f>
        <v>894.68</v>
      </c>
      <c r="BY47" s="24">
        <f>[30]zestawienie!$S$308</f>
        <v>156.53</v>
      </c>
      <c r="BZ47" s="24">
        <f>[30]zestawienie!$T$308</f>
        <v>423.32000000000005</v>
      </c>
      <c r="CA47" s="24">
        <f>[30]zestawienie!$U$308</f>
        <v>17.98</v>
      </c>
      <c r="CB47" s="24">
        <f>[30]zestawienie!$W$308</f>
        <v>7669.4782000000005</v>
      </c>
      <c r="CC47" s="25">
        <f>[30]zestawienie!$Y$308</f>
        <v>2221.9300000000003</v>
      </c>
      <c r="CD47" s="27">
        <f>SUM(BI47:CA47)</f>
        <v>2433.98</v>
      </c>
      <c r="CE47" s="28">
        <f>SUM(BI47:BX47)</f>
        <v>1836.15</v>
      </c>
      <c r="CF47" s="23"/>
      <c r="CG47" s="24"/>
      <c r="CH47" s="25">
        <f>[30]zestawienie!$AD$308</f>
        <v>2433.98</v>
      </c>
      <c r="CI47" s="29">
        <f>[30]zestawienie!$AE$308</f>
        <v>2415.9999999999995</v>
      </c>
      <c r="CJ47" s="4" t="s">
        <v>101</v>
      </c>
      <c r="CK47" s="4" t="s">
        <v>102</v>
      </c>
      <c r="CL47" s="18" t="s">
        <v>103</v>
      </c>
      <c r="CM47" s="19" t="s">
        <v>104</v>
      </c>
    </row>
    <row r="48" spans="1:91" s="26" customFormat="1" ht="24.95" hidden="1" customHeight="1">
      <c r="A48" s="89">
        <f t="shared" si="6"/>
        <v>40</v>
      </c>
      <c r="B48" s="90">
        <v>2845</v>
      </c>
      <c r="C48" s="90">
        <v>126</v>
      </c>
      <c r="D48" s="91" t="s">
        <v>47</v>
      </c>
      <c r="E48" s="194">
        <v>3</v>
      </c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99"/>
      <c r="S48" s="199"/>
      <c r="T48" s="181"/>
      <c r="U48" s="181"/>
      <c r="V48" s="181"/>
      <c r="W48" s="301"/>
      <c r="X48" s="181"/>
      <c r="Y48" s="450">
        <v>1</v>
      </c>
      <c r="Z48" s="204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99"/>
      <c r="AW48" s="181"/>
      <c r="AX48" s="181"/>
      <c r="AY48" s="243"/>
      <c r="AZ48" s="273" t="s">
        <v>109</v>
      </c>
      <c r="BA48" s="235" t="s">
        <v>60</v>
      </c>
      <c r="BB48" s="104">
        <v>486.51</v>
      </c>
      <c r="BC48" s="93">
        <f>CD48</f>
        <v>98.36</v>
      </c>
      <c r="BD48" s="94">
        <f>CE48</f>
        <v>0</v>
      </c>
      <c r="BE48" s="92">
        <f t="shared" si="8"/>
        <v>98.36</v>
      </c>
      <c r="BF48" s="92">
        <f t="shared" si="9"/>
        <v>0</v>
      </c>
      <c r="BG48" s="95">
        <v>115.81</v>
      </c>
      <c r="BH48" s="105">
        <v>115.56</v>
      </c>
      <c r="BI48" s="23"/>
      <c r="BJ48" s="24"/>
      <c r="BK48" s="28"/>
      <c r="BL48" s="27"/>
      <c r="BM48" s="24"/>
      <c r="BN48" s="24"/>
      <c r="BO48" s="24"/>
      <c r="BP48" s="28"/>
      <c r="BQ48" s="27"/>
      <c r="BR48" s="28"/>
      <c r="BS48" s="23"/>
      <c r="BT48" s="24"/>
      <c r="BU48" s="24"/>
      <c r="BV48" s="24"/>
      <c r="BW48" s="24"/>
      <c r="BX48" s="24"/>
      <c r="BY48" s="24">
        <f>[31]zestawienie!$S$308</f>
        <v>98.36</v>
      </c>
      <c r="BZ48" s="24"/>
      <c r="CA48" s="24"/>
      <c r="CB48" s="24"/>
      <c r="CC48" s="25"/>
      <c r="CD48" s="27">
        <f>SUM(BI48:CA48)</f>
        <v>98.36</v>
      </c>
      <c r="CE48" s="28">
        <f>SUM(BI48:BX48)</f>
        <v>0</v>
      </c>
      <c r="CF48" s="23"/>
      <c r="CG48" s="24"/>
      <c r="CH48" s="25">
        <f>[31]zestawienie!$AD$308</f>
        <v>98.36</v>
      </c>
      <c r="CI48" s="29">
        <f>[31]zestawienie!$AE$308</f>
        <v>98.36</v>
      </c>
      <c r="CJ48" s="4" t="s">
        <v>101</v>
      </c>
      <c r="CK48" s="4" t="s">
        <v>102</v>
      </c>
      <c r="CL48" s="18" t="s">
        <v>106</v>
      </c>
      <c r="CM48" s="19" t="s">
        <v>105</v>
      </c>
    </row>
    <row r="49" spans="1:91" s="35" customFormat="1" ht="30" hidden="1">
      <c r="A49" s="108">
        <f t="shared" si="6"/>
        <v>41</v>
      </c>
      <c r="B49" s="368">
        <v>2845</v>
      </c>
      <c r="C49" s="124" t="s">
        <v>71</v>
      </c>
      <c r="D49" s="188" t="s">
        <v>124</v>
      </c>
      <c r="E49" s="312">
        <v>2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368"/>
      <c r="S49" s="368"/>
      <c r="T49" s="106"/>
      <c r="U49" s="106"/>
      <c r="V49" s="106"/>
      <c r="W49" s="305"/>
      <c r="X49" s="106"/>
      <c r="Y49" s="451"/>
      <c r="Z49" s="205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368"/>
      <c r="AW49" s="106"/>
      <c r="AX49" s="106"/>
      <c r="AY49" s="245"/>
      <c r="AZ49" s="273" t="s">
        <v>107</v>
      </c>
      <c r="BA49" s="125">
        <v>2011</v>
      </c>
      <c r="BB49" s="107">
        <v>150</v>
      </c>
      <c r="BC49" s="109">
        <v>28</v>
      </c>
      <c r="BD49" s="110">
        <v>28</v>
      </c>
      <c r="BE49" s="121">
        <f t="shared" si="8"/>
        <v>0</v>
      </c>
      <c r="BF49" s="121">
        <f t="shared" si="9"/>
        <v>0</v>
      </c>
      <c r="BG49" s="111"/>
      <c r="BH49" s="103"/>
      <c r="BI49" s="33"/>
      <c r="BJ49" s="31"/>
      <c r="BK49" s="32"/>
      <c r="BL49" s="30"/>
      <c r="BM49" s="31"/>
      <c r="BN49" s="31"/>
      <c r="BO49" s="31"/>
      <c r="BP49" s="32"/>
      <c r="BQ49" s="30"/>
      <c r="BR49" s="32"/>
      <c r="BS49" s="33"/>
      <c r="BT49" s="31"/>
      <c r="BU49" s="31"/>
      <c r="BV49" s="31"/>
      <c r="BW49" s="31"/>
      <c r="BX49" s="31">
        <v>28</v>
      </c>
      <c r="BY49" s="31"/>
      <c r="BZ49" s="31"/>
      <c r="CA49" s="31"/>
      <c r="CB49" s="31"/>
      <c r="CC49" s="34"/>
      <c r="CD49" s="30"/>
      <c r="CE49" s="32">
        <f>BD49</f>
        <v>28</v>
      </c>
      <c r="CF49" s="33"/>
      <c r="CG49" s="31"/>
      <c r="CH49" s="34"/>
      <c r="CI49" s="40">
        <v>0</v>
      </c>
      <c r="CJ49" s="6" t="s">
        <v>101</v>
      </c>
      <c r="CK49" s="6" t="s">
        <v>102</v>
      </c>
      <c r="CL49" s="36" t="s">
        <v>106</v>
      </c>
      <c r="CM49" s="41" t="s">
        <v>105</v>
      </c>
    </row>
    <row r="50" spans="1:91" s="35" customFormat="1" ht="30" hidden="1">
      <c r="A50" s="108">
        <f t="shared" si="6"/>
        <v>42</v>
      </c>
      <c r="B50" s="368">
        <v>2845</v>
      </c>
      <c r="C50" s="124" t="s">
        <v>72</v>
      </c>
      <c r="D50" s="188" t="s">
        <v>125</v>
      </c>
      <c r="E50" s="106"/>
      <c r="F50" s="312">
        <v>2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368"/>
      <c r="S50" s="368"/>
      <c r="T50" s="106"/>
      <c r="U50" s="106"/>
      <c r="V50" s="106"/>
      <c r="W50" s="305"/>
      <c r="X50" s="106"/>
      <c r="Y50" s="451"/>
      <c r="Z50" s="205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368"/>
      <c r="AW50" s="106"/>
      <c r="AX50" s="106"/>
      <c r="AY50" s="245"/>
      <c r="AZ50" s="273" t="s">
        <v>107</v>
      </c>
      <c r="BA50" s="125">
        <v>2011</v>
      </c>
      <c r="BB50" s="107">
        <v>0</v>
      </c>
      <c r="BC50" s="109">
        <v>21</v>
      </c>
      <c r="BD50" s="110">
        <v>21</v>
      </c>
      <c r="BE50" s="121">
        <f t="shared" si="8"/>
        <v>0</v>
      </c>
      <c r="BF50" s="121">
        <f t="shared" si="9"/>
        <v>0</v>
      </c>
      <c r="BG50" s="111"/>
      <c r="BH50" s="103"/>
      <c r="BI50" s="33"/>
      <c r="BJ50" s="31"/>
      <c r="BK50" s="32"/>
      <c r="BL50" s="30"/>
      <c r="BM50" s="31"/>
      <c r="BN50" s="31"/>
      <c r="BO50" s="31"/>
      <c r="BP50" s="32"/>
      <c r="BQ50" s="30"/>
      <c r="BR50" s="32"/>
      <c r="BS50" s="33"/>
      <c r="BT50" s="31"/>
      <c r="BU50" s="31"/>
      <c r="BV50" s="31"/>
      <c r="BW50" s="31"/>
      <c r="BX50" s="31">
        <v>21</v>
      </c>
      <c r="BY50" s="31"/>
      <c r="BZ50" s="31"/>
      <c r="CA50" s="31"/>
      <c r="CB50" s="31"/>
      <c r="CC50" s="34"/>
      <c r="CD50" s="30"/>
      <c r="CE50" s="32"/>
      <c r="CF50" s="33"/>
      <c r="CG50" s="31"/>
      <c r="CH50" s="34"/>
      <c r="CI50" s="40">
        <v>0</v>
      </c>
      <c r="CJ50" s="6" t="s">
        <v>101</v>
      </c>
      <c r="CK50" s="6" t="s">
        <v>102</v>
      </c>
      <c r="CL50" s="36" t="s">
        <v>106</v>
      </c>
      <c r="CM50" s="41" t="s">
        <v>105</v>
      </c>
    </row>
    <row r="51" spans="1:91" s="35" customFormat="1" ht="30" hidden="1">
      <c r="A51" s="108">
        <f t="shared" si="6"/>
        <v>43</v>
      </c>
      <c r="B51" s="368">
        <v>2845</v>
      </c>
      <c r="C51" s="124" t="s">
        <v>73</v>
      </c>
      <c r="D51" s="188" t="s">
        <v>126</v>
      </c>
      <c r="E51" s="106"/>
      <c r="F51" s="106"/>
      <c r="G51" s="312">
        <v>1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368"/>
      <c r="S51" s="368"/>
      <c r="T51" s="106"/>
      <c r="U51" s="106"/>
      <c r="V51" s="106"/>
      <c r="W51" s="305"/>
      <c r="X51" s="106"/>
      <c r="Y51" s="451"/>
      <c r="Z51" s="205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368"/>
      <c r="AW51" s="106"/>
      <c r="AX51" s="106"/>
      <c r="AY51" s="245"/>
      <c r="AZ51" s="273" t="s">
        <v>107</v>
      </c>
      <c r="BA51" s="125">
        <v>2011</v>
      </c>
      <c r="BB51" s="107">
        <v>0</v>
      </c>
      <c r="BC51" s="109">
        <v>1</v>
      </c>
      <c r="BD51" s="110">
        <v>1</v>
      </c>
      <c r="BE51" s="121">
        <f t="shared" si="8"/>
        <v>0</v>
      </c>
      <c r="BF51" s="121">
        <f t="shared" si="9"/>
        <v>0</v>
      </c>
      <c r="BG51" s="111"/>
      <c r="BH51" s="103"/>
      <c r="BI51" s="33"/>
      <c r="BJ51" s="31"/>
      <c r="BK51" s="32"/>
      <c r="BL51" s="30"/>
      <c r="BM51" s="31"/>
      <c r="BN51" s="31"/>
      <c r="BO51" s="31"/>
      <c r="BP51" s="32"/>
      <c r="BQ51" s="30"/>
      <c r="BR51" s="32"/>
      <c r="BS51" s="33"/>
      <c r="BT51" s="31"/>
      <c r="BU51" s="31"/>
      <c r="BV51" s="31"/>
      <c r="BW51" s="31"/>
      <c r="BX51" s="31">
        <v>1</v>
      </c>
      <c r="BY51" s="31"/>
      <c r="BZ51" s="31"/>
      <c r="CA51" s="31"/>
      <c r="CB51" s="31"/>
      <c r="CC51" s="34"/>
      <c r="CD51" s="30"/>
      <c r="CE51" s="32"/>
      <c r="CF51" s="33"/>
      <c r="CG51" s="31"/>
      <c r="CH51" s="34"/>
      <c r="CI51" s="40">
        <v>0</v>
      </c>
      <c r="CJ51" s="6" t="s">
        <v>101</v>
      </c>
      <c r="CK51" s="6" t="s">
        <v>102</v>
      </c>
      <c r="CL51" s="36" t="s">
        <v>106</v>
      </c>
      <c r="CM51" s="41" t="s">
        <v>105</v>
      </c>
    </row>
    <row r="52" spans="1:91" s="35" customFormat="1" ht="30" hidden="1">
      <c r="A52" s="108">
        <f t="shared" si="6"/>
        <v>44</v>
      </c>
      <c r="B52" s="368">
        <v>2845</v>
      </c>
      <c r="C52" s="124" t="s">
        <v>74</v>
      </c>
      <c r="D52" s="188" t="s">
        <v>127</v>
      </c>
      <c r="E52" s="106"/>
      <c r="F52" s="106"/>
      <c r="G52" s="312">
        <v>1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368"/>
      <c r="S52" s="368"/>
      <c r="T52" s="106"/>
      <c r="U52" s="106"/>
      <c r="V52" s="106"/>
      <c r="W52" s="305"/>
      <c r="X52" s="106"/>
      <c r="Y52" s="452"/>
      <c r="Z52" s="205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368"/>
      <c r="AW52" s="106"/>
      <c r="AX52" s="106"/>
      <c r="AY52" s="245"/>
      <c r="AZ52" s="273" t="s">
        <v>107</v>
      </c>
      <c r="BA52" s="125">
        <v>2011</v>
      </c>
      <c r="BB52" s="107">
        <v>0</v>
      </c>
      <c r="BC52" s="109">
        <v>4</v>
      </c>
      <c r="BD52" s="110">
        <v>4</v>
      </c>
      <c r="BE52" s="121">
        <f t="shared" si="8"/>
        <v>0</v>
      </c>
      <c r="BF52" s="121">
        <f t="shared" si="9"/>
        <v>0</v>
      </c>
      <c r="BG52" s="111"/>
      <c r="BH52" s="103"/>
      <c r="BI52" s="33"/>
      <c r="BJ52" s="31"/>
      <c r="BK52" s="32"/>
      <c r="BL52" s="30"/>
      <c r="BM52" s="31"/>
      <c r="BN52" s="31"/>
      <c r="BO52" s="31"/>
      <c r="BP52" s="32"/>
      <c r="BQ52" s="30"/>
      <c r="BR52" s="32"/>
      <c r="BS52" s="33"/>
      <c r="BT52" s="31"/>
      <c r="BU52" s="31"/>
      <c r="BV52" s="31"/>
      <c r="BW52" s="31"/>
      <c r="BX52" s="31">
        <v>4</v>
      </c>
      <c r="BY52" s="31"/>
      <c r="BZ52" s="31"/>
      <c r="CA52" s="31"/>
      <c r="CB52" s="31"/>
      <c r="CC52" s="34"/>
      <c r="CD52" s="30"/>
      <c r="CE52" s="32"/>
      <c r="CF52" s="33"/>
      <c r="CG52" s="31"/>
      <c r="CH52" s="34"/>
      <c r="CI52" s="40">
        <v>0</v>
      </c>
      <c r="CJ52" s="6" t="s">
        <v>101</v>
      </c>
      <c r="CK52" s="6" t="s">
        <v>102</v>
      </c>
      <c r="CL52" s="36" t="s">
        <v>106</v>
      </c>
      <c r="CM52" s="41" t="s">
        <v>105</v>
      </c>
    </row>
    <row r="53" spans="1:91" s="26" customFormat="1" ht="24.95" hidden="1" customHeight="1">
      <c r="A53" s="89">
        <f t="shared" si="6"/>
        <v>45</v>
      </c>
      <c r="B53" s="90">
        <v>2845</v>
      </c>
      <c r="C53" s="90">
        <v>128</v>
      </c>
      <c r="D53" s="91" t="s">
        <v>48</v>
      </c>
      <c r="E53" s="181"/>
      <c r="F53" s="181"/>
      <c r="G53" s="181"/>
      <c r="H53" s="194">
        <v>4</v>
      </c>
      <c r="I53" s="181"/>
      <c r="J53" s="181"/>
      <c r="K53" s="181"/>
      <c r="L53" s="181"/>
      <c r="M53" s="181"/>
      <c r="N53" s="181"/>
      <c r="O53" s="181"/>
      <c r="P53" s="181"/>
      <c r="Q53" s="181"/>
      <c r="R53" s="199"/>
      <c r="S53" s="199"/>
      <c r="T53" s="181"/>
      <c r="U53" s="181"/>
      <c r="V53" s="181"/>
      <c r="W53" s="301"/>
      <c r="X53" s="181"/>
      <c r="Y53" s="181"/>
      <c r="Z53" s="204"/>
      <c r="AA53" s="181"/>
      <c r="AB53" s="181"/>
      <c r="AC53" s="181"/>
      <c r="AD53" s="221">
        <v>1.5</v>
      </c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99"/>
      <c r="AW53" s="181"/>
      <c r="AX53" s="181"/>
      <c r="AY53" s="243"/>
      <c r="AZ53" s="273" t="s">
        <v>109</v>
      </c>
      <c r="BA53" s="235">
        <v>1982</v>
      </c>
      <c r="BB53" s="104">
        <v>14560.88</v>
      </c>
      <c r="BC53" s="93">
        <f>CD53</f>
        <v>2091.38</v>
      </c>
      <c r="BD53" s="94">
        <f>CE53</f>
        <v>1635.1</v>
      </c>
      <c r="BE53" s="92">
        <f t="shared" si="8"/>
        <v>75.930000000000007</v>
      </c>
      <c r="BF53" s="92">
        <f t="shared" si="9"/>
        <v>380.35</v>
      </c>
      <c r="BG53" s="95">
        <v>1778.49</v>
      </c>
      <c r="BH53" s="105">
        <v>1756.25</v>
      </c>
      <c r="BI53" s="23"/>
      <c r="BJ53" s="24"/>
      <c r="BK53" s="28"/>
      <c r="BL53" s="27"/>
      <c r="BM53" s="24">
        <f>[32]zestawienie!$G$327</f>
        <v>523.88</v>
      </c>
      <c r="BN53" s="24"/>
      <c r="BO53" s="24">
        <f>[32]zestawienie!$I$327</f>
        <v>241.01</v>
      </c>
      <c r="BP53" s="28">
        <f>[32]zestawienie!$J$327</f>
        <v>67.849999999999994</v>
      </c>
      <c r="BQ53" s="27"/>
      <c r="BR53" s="28"/>
      <c r="BS53" s="23">
        <f>[32]zestawienie!$M$327</f>
        <v>128.28</v>
      </c>
      <c r="BT53" s="24">
        <f>[32]zestawienie!$N$327</f>
        <v>221.95</v>
      </c>
      <c r="BU53" s="24"/>
      <c r="BV53" s="24"/>
      <c r="BW53" s="24"/>
      <c r="BX53" s="24">
        <f>[32]zestawienie!$R$327</f>
        <v>452.13</v>
      </c>
      <c r="BY53" s="24">
        <f>[32]zestawienie!$S$327</f>
        <v>75.930000000000007</v>
      </c>
      <c r="BZ53" s="24">
        <f>[32]zestawienie!$T$327</f>
        <v>347.85</v>
      </c>
      <c r="CA53" s="24">
        <f>[32]zestawienie!$U$327</f>
        <v>32.5</v>
      </c>
      <c r="CB53" s="24">
        <f>[32]zestawienie!$W$327</f>
        <v>6097.0549000000037</v>
      </c>
      <c r="CC53" s="25">
        <f>[32]zestawienie!$Y$327</f>
        <v>1311.43</v>
      </c>
      <c r="CD53" s="27">
        <f>SUM(BI53:CA53)</f>
        <v>2091.38</v>
      </c>
      <c r="CE53" s="28">
        <f>SUM(BI53:BX53)</f>
        <v>1635.1</v>
      </c>
      <c r="CF53" s="23"/>
      <c r="CG53" s="24">
        <f>[32]zestawienie!$AC$327</f>
        <v>4.28</v>
      </c>
      <c r="CH53" s="25">
        <f>[32]zestawienie!$AD$327</f>
        <v>2089.2399999999998</v>
      </c>
      <c r="CI53" s="29">
        <f>[32]zestawienie!$AE$327</f>
        <v>2058.88</v>
      </c>
      <c r="CJ53" s="4" t="s">
        <v>101</v>
      </c>
      <c r="CK53" s="4" t="s">
        <v>102</v>
      </c>
      <c r="CL53" s="18" t="s">
        <v>106</v>
      </c>
      <c r="CM53" s="19" t="s">
        <v>105</v>
      </c>
    </row>
    <row r="54" spans="1:91" s="26" customFormat="1" ht="30" hidden="1">
      <c r="A54" s="89">
        <f t="shared" si="6"/>
        <v>46</v>
      </c>
      <c r="B54" s="90">
        <v>2845</v>
      </c>
      <c r="C54" s="90">
        <v>129</v>
      </c>
      <c r="D54" s="195" t="s">
        <v>153</v>
      </c>
      <c r="E54" s="181"/>
      <c r="F54" s="181"/>
      <c r="G54" s="181"/>
      <c r="H54" s="181"/>
      <c r="I54" s="194">
        <v>2</v>
      </c>
      <c r="J54" s="181"/>
      <c r="K54" s="181"/>
      <c r="L54" s="181"/>
      <c r="M54" s="181"/>
      <c r="N54" s="181"/>
      <c r="O54" s="181"/>
      <c r="P54" s="181"/>
      <c r="Q54" s="181"/>
      <c r="R54" s="199"/>
      <c r="S54" s="199"/>
      <c r="T54" s="181"/>
      <c r="U54" s="181"/>
      <c r="V54" s="181"/>
      <c r="W54" s="301"/>
      <c r="X54" s="181"/>
      <c r="Y54" s="181"/>
      <c r="Z54" s="204"/>
      <c r="AA54" s="181"/>
      <c r="AB54" s="181"/>
      <c r="AC54" s="181"/>
      <c r="AD54" s="220"/>
      <c r="AE54" s="181"/>
      <c r="AF54" s="181"/>
      <c r="AG54" s="181"/>
      <c r="AH54" s="181"/>
      <c r="AI54" s="181"/>
      <c r="AJ54" s="181"/>
      <c r="AK54" s="181"/>
      <c r="AL54" s="212">
        <v>0.5</v>
      </c>
      <c r="AM54" s="181"/>
      <c r="AN54" s="181"/>
      <c r="AO54" s="181"/>
      <c r="AP54" s="181"/>
      <c r="AQ54" s="181"/>
      <c r="AR54" s="181"/>
      <c r="AS54" s="181"/>
      <c r="AT54" s="181"/>
      <c r="AU54" s="181"/>
      <c r="AV54" s="199"/>
      <c r="AW54" s="181"/>
      <c r="AX54" s="181"/>
      <c r="AY54" s="243"/>
      <c r="AZ54" s="273" t="s">
        <v>109</v>
      </c>
      <c r="BA54" s="235">
        <v>1978</v>
      </c>
      <c r="BB54" s="104">
        <v>254.69</v>
      </c>
      <c r="BC54" s="93">
        <f>CD54</f>
        <v>54.769999999999996</v>
      </c>
      <c r="BD54" s="94">
        <f>CE54</f>
        <v>52.05</v>
      </c>
      <c r="BE54" s="92">
        <f t="shared" si="8"/>
        <v>0</v>
      </c>
      <c r="BF54" s="92">
        <f t="shared" si="9"/>
        <v>2.72</v>
      </c>
      <c r="BG54" s="95">
        <v>76.430000000000007</v>
      </c>
      <c r="BH54" s="105">
        <v>68.91</v>
      </c>
      <c r="BI54" s="23"/>
      <c r="BJ54" s="24"/>
      <c r="BK54" s="28"/>
      <c r="BL54" s="27"/>
      <c r="BM54" s="24">
        <f>[33]zestawienie!$G$308</f>
        <v>42.83</v>
      </c>
      <c r="BN54" s="24"/>
      <c r="BO54" s="24"/>
      <c r="BP54" s="28"/>
      <c r="BQ54" s="27"/>
      <c r="BR54" s="28"/>
      <c r="BS54" s="23">
        <f>[33]zestawienie!$M$308</f>
        <v>4</v>
      </c>
      <c r="BT54" s="24">
        <f>[33]zestawienie!$N$308</f>
        <v>5.22</v>
      </c>
      <c r="BU54" s="24"/>
      <c r="BV54" s="24"/>
      <c r="BW54" s="24"/>
      <c r="BX54" s="24"/>
      <c r="BY54" s="24"/>
      <c r="BZ54" s="24"/>
      <c r="CA54" s="24">
        <f>[33]zestawienie!$U$308</f>
        <v>2.72</v>
      </c>
      <c r="CB54" s="24">
        <f>[33]zestawienie!$W$308</f>
        <v>84.303799999999995</v>
      </c>
      <c r="CC54" s="25">
        <f>[33]zestawienie!$Y$308</f>
        <v>30.75</v>
      </c>
      <c r="CD54" s="27">
        <f>SUM(BI54:CA54)</f>
        <v>54.769999999999996</v>
      </c>
      <c r="CE54" s="28">
        <f>SUM(BI54:BX54)</f>
        <v>52.05</v>
      </c>
      <c r="CF54" s="23">
        <f>[33]zestawienie!$AB$308</f>
        <v>1.4</v>
      </c>
      <c r="CG54" s="24">
        <f>[33]zestawienie!$AC$308</f>
        <v>1.1100000000000001</v>
      </c>
      <c r="CH54" s="25">
        <f>[33]zestawienie!$AD$308</f>
        <v>54.214999999999996</v>
      </c>
      <c r="CI54" s="29">
        <f>[33]zestawienie!$AE$308</f>
        <v>52.05</v>
      </c>
      <c r="CJ54" s="4" t="s">
        <v>101</v>
      </c>
      <c r="CK54" s="4" t="s">
        <v>102</v>
      </c>
      <c r="CL54" s="18" t="s">
        <v>106</v>
      </c>
      <c r="CM54" s="19" t="s">
        <v>105</v>
      </c>
    </row>
    <row r="55" spans="1:91" s="26" customFormat="1" ht="24.95" hidden="1" customHeight="1">
      <c r="A55" s="89">
        <f t="shared" si="6"/>
        <v>47</v>
      </c>
      <c r="B55" s="90">
        <v>2845</v>
      </c>
      <c r="C55" s="90">
        <v>130</v>
      </c>
      <c r="D55" s="91" t="s">
        <v>75</v>
      </c>
      <c r="E55" s="181"/>
      <c r="F55" s="181"/>
      <c r="G55" s="181"/>
      <c r="H55" s="181"/>
      <c r="I55" s="181"/>
      <c r="J55" s="194">
        <v>3</v>
      </c>
      <c r="K55" s="181"/>
      <c r="L55" s="181"/>
      <c r="M55" s="181"/>
      <c r="N55" s="181"/>
      <c r="O55" s="181"/>
      <c r="P55" s="181"/>
      <c r="Q55" s="181"/>
      <c r="R55" s="199"/>
      <c r="S55" s="199"/>
      <c r="T55" s="181"/>
      <c r="U55" s="181"/>
      <c r="V55" s="181"/>
      <c r="W55" s="301"/>
      <c r="X55" s="181"/>
      <c r="Y55" s="181"/>
      <c r="Z55" s="204"/>
      <c r="AA55" s="181"/>
      <c r="AB55" s="181"/>
      <c r="AC55" s="181"/>
      <c r="AD55" s="222">
        <v>0.25</v>
      </c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99"/>
      <c r="AW55" s="181"/>
      <c r="AX55" s="181"/>
      <c r="AY55" s="243"/>
      <c r="AZ55" s="273" t="s">
        <v>107</v>
      </c>
      <c r="BA55" s="235">
        <v>1955</v>
      </c>
      <c r="BB55" s="104">
        <v>71</v>
      </c>
      <c r="BC55" s="126">
        <v>25</v>
      </c>
      <c r="BD55" s="127">
        <v>25</v>
      </c>
      <c r="BE55" s="92">
        <f t="shared" si="8"/>
        <v>0</v>
      </c>
      <c r="BF55" s="92">
        <f t="shared" si="9"/>
        <v>0</v>
      </c>
      <c r="BG55" s="128"/>
      <c r="BH55" s="105"/>
      <c r="BI55" s="23"/>
      <c r="BJ55" s="24"/>
      <c r="BK55" s="28"/>
      <c r="BL55" s="27"/>
      <c r="BM55" s="24"/>
      <c r="BN55" s="24"/>
      <c r="BO55" s="24"/>
      <c r="BP55" s="28"/>
      <c r="BQ55" s="27"/>
      <c r="BR55" s="28"/>
      <c r="BS55" s="23"/>
      <c r="BT55" s="24"/>
      <c r="BU55" s="24"/>
      <c r="BV55" s="24"/>
      <c r="BW55" s="24"/>
      <c r="BX55" s="31">
        <v>25</v>
      </c>
      <c r="BY55" s="24"/>
      <c r="BZ55" s="24"/>
      <c r="CA55" s="24"/>
      <c r="CB55" s="24"/>
      <c r="CC55" s="25"/>
      <c r="CD55" s="27"/>
      <c r="CE55" s="28"/>
      <c r="CF55" s="23"/>
      <c r="CG55" s="24"/>
      <c r="CH55" s="25"/>
      <c r="CI55" s="29">
        <v>0</v>
      </c>
      <c r="CJ55" s="4" t="s">
        <v>101</v>
      </c>
      <c r="CK55" s="4" t="s">
        <v>102</v>
      </c>
      <c r="CL55" s="18" t="s">
        <v>106</v>
      </c>
      <c r="CM55" s="19" t="s">
        <v>105</v>
      </c>
    </row>
    <row r="56" spans="1:91" s="26" customFormat="1" ht="30" hidden="1">
      <c r="A56" s="89">
        <f t="shared" si="6"/>
        <v>48</v>
      </c>
      <c r="B56" s="90">
        <v>2845</v>
      </c>
      <c r="C56" s="90">
        <v>134</v>
      </c>
      <c r="D56" s="195" t="s">
        <v>44</v>
      </c>
      <c r="E56" s="181"/>
      <c r="F56" s="181"/>
      <c r="G56" s="181"/>
      <c r="H56" s="181"/>
      <c r="I56" s="181"/>
      <c r="J56" s="181"/>
      <c r="K56" s="194">
        <v>2</v>
      </c>
      <c r="L56" s="181"/>
      <c r="M56" s="181"/>
      <c r="N56" s="181"/>
      <c r="O56" s="181"/>
      <c r="P56" s="181"/>
      <c r="Q56" s="181"/>
      <c r="R56" s="199"/>
      <c r="S56" s="199"/>
      <c r="T56" s="181"/>
      <c r="U56" s="181"/>
      <c r="V56" s="181"/>
      <c r="W56" s="301"/>
      <c r="X56" s="181"/>
      <c r="Y56" s="181"/>
      <c r="Z56" s="204"/>
      <c r="AA56" s="181"/>
      <c r="AB56" s="181"/>
      <c r="AC56" s="181"/>
      <c r="AD56" s="181"/>
      <c r="AE56" s="450">
        <v>0.7</v>
      </c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99"/>
      <c r="AW56" s="181"/>
      <c r="AX56" s="181"/>
      <c r="AY56" s="243"/>
      <c r="AZ56" s="273" t="s">
        <v>109</v>
      </c>
      <c r="BA56" s="235">
        <v>1971</v>
      </c>
      <c r="BB56" s="104">
        <v>1194.57</v>
      </c>
      <c r="BC56" s="93">
        <f t="shared" ref="BC56:BD58" si="12">CD56</f>
        <v>392.60000000000008</v>
      </c>
      <c r="BD56" s="94">
        <f t="shared" si="12"/>
        <v>392.60000000000008</v>
      </c>
      <c r="BE56" s="92">
        <f t="shared" si="8"/>
        <v>0</v>
      </c>
      <c r="BF56" s="92">
        <f t="shared" si="9"/>
        <v>0</v>
      </c>
      <c r="BG56" s="95">
        <v>414.47</v>
      </c>
      <c r="BH56" s="105">
        <v>398.18</v>
      </c>
      <c r="BI56" s="23"/>
      <c r="BJ56" s="24"/>
      <c r="BK56" s="28"/>
      <c r="BL56" s="27"/>
      <c r="BM56" s="24"/>
      <c r="BN56" s="24"/>
      <c r="BO56" s="24"/>
      <c r="BP56" s="28"/>
      <c r="BQ56" s="27"/>
      <c r="BR56" s="28"/>
      <c r="BS56" s="23"/>
      <c r="BT56" s="24">
        <f>[34]zestawienie!$N$308</f>
        <v>392.60000000000008</v>
      </c>
      <c r="BU56" s="24"/>
      <c r="BV56" s="24"/>
      <c r="BW56" s="24"/>
      <c r="BX56" s="31"/>
      <c r="BY56" s="24"/>
      <c r="BZ56" s="24"/>
      <c r="CA56" s="24"/>
      <c r="CB56" s="24"/>
      <c r="CC56" s="25"/>
      <c r="CD56" s="27">
        <f>SUM(BI56:CA56)</f>
        <v>392.60000000000008</v>
      </c>
      <c r="CE56" s="28">
        <f>SUM(BI56:BX56)</f>
        <v>392.60000000000008</v>
      </c>
      <c r="CF56" s="23"/>
      <c r="CG56" s="24"/>
      <c r="CH56" s="25">
        <f>[34]zestawienie!$AD$308</f>
        <v>392.60000000000008</v>
      </c>
      <c r="CI56" s="29">
        <f>[34]zestawienie!$AE$308</f>
        <v>392.60000000000008</v>
      </c>
      <c r="CJ56" s="4" t="s">
        <v>101</v>
      </c>
      <c r="CK56" s="4" t="s">
        <v>102</v>
      </c>
      <c r="CL56" s="18" t="s">
        <v>103</v>
      </c>
      <c r="CM56" s="19" t="s">
        <v>104</v>
      </c>
    </row>
    <row r="57" spans="1:91" s="26" customFormat="1" ht="30" hidden="1">
      <c r="A57" s="89">
        <f t="shared" si="6"/>
        <v>49</v>
      </c>
      <c r="B57" s="90">
        <v>2845</v>
      </c>
      <c r="C57" s="90">
        <v>135</v>
      </c>
      <c r="D57" s="195" t="s">
        <v>44</v>
      </c>
      <c r="E57" s="181"/>
      <c r="F57" s="181"/>
      <c r="G57" s="181"/>
      <c r="H57" s="181"/>
      <c r="I57" s="181"/>
      <c r="J57" s="181"/>
      <c r="K57" s="194">
        <v>2</v>
      </c>
      <c r="L57" s="181"/>
      <c r="M57" s="181"/>
      <c r="N57" s="181"/>
      <c r="O57" s="181"/>
      <c r="P57" s="181"/>
      <c r="Q57" s="181"/>
      <c r="R57" s="199"/>
      <c r="S57" s="199"/>
      <c r="T57" s="181"/>
      <c r="U57" s="181"/>
      <c r="V57" s="181"/>
      <c r="W57" s="301"/>
      <c r="X57" s="181"/>
      <c r="Y57" s="181"/>
      <c r="Z57" s="204"/>
      <c r="AA57" s="181"/>
      <c r="AB57" s="181"/>
      <c r="AC57" s="181"/>
      <c r="AD57" s="181"/>
      <c r="AE57" s="452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99"/>
      <c r="AW57" s="181"/>
      <c r="AX57" s="181"/>
      <c r="AY57" s="243"/>
      <c r="AZ57" s="273" t="s">
        <v>109</v>
      </c>
      <c r="BA57" s="235">
        <v>1981</v>
      </c>
      <c r="BB57" s="104">
        <v>1319.26</v>
      </c>
      <c r="BC57" s="93">
        <f t="shared" si="12"/>
        <v>340.34</v>
      </c>
      <c r="BD57" s="94">
        <f t="shared" si="12"/>
        <v>340.34</v>
      </c>
      <c r="BE57" s="92">
        <f t="shared" si="8"/>
        <v>0</v>
      </c>
      <c r="BF57" s="92">
        <f t="shared" si="9"/>
        <v>0</v>
      </c>
      <c r="BG57" s="95">
        <v>363.66</v>
      </c>
      <c r="BH57" s="105">
        <v>348.09</v>
      </c>
      <c r="BI57" s="23"/>
      <c r="BJ57" s="24"/>
      <c r="BK57" s="28"/>
      <c r="BL57" s="27"/>
      <c r="BM57" s="24"/>
      <c r="BN57" s="24"/>
      <c r="BO57" s="24"/>
      <c r="BP57" s="28"/>
      <c r="BQ57" s="27"/>
      <c r="BR57" s="28"/>
      <c r="BS57" s="23"/>
      <c r="BT57" s="24">
        <f>[35]zestawienie!$N$308</f>
        <v>340.34</v>
      </c>
      <c r="BU57" s="24"/>
      <c r="BV57" s="24"/>
      <c r="BW57" s="24"/>
      <c r="BX57" s="31"/>
      <c r="BY57" s="24"/>
      <c r="BZ57" s="24"/>
      <c r="CA57" s="24"/>
      <c r="CB57" s="24"/>
      <c r="CC57" s="25"/>
      <c r="CD57" s="27">
        <f>SUM(BI57:CA57)</f>
        <v>340.34</v>
      </c>
      <c r="CE57" s="28">
        <f>SUM(BI57:BX57)</f>
        <v>340.34</v>
      </c>
      <c r="CF57" s="23"/>
      <c r="CG57" s="24"/>
      <c r="CH57" s="25">
        <f>[35]zestawienie!$AD$308</f>
        <v>340.34</v>
      </c>
      <c r="CI57" s="29">
        <f>[35]zestawienie!$AE$308</f>
        <v>340.34</v>
      </c>
      <c r="CJ57" s="4" t="s">
        <v>101</v>
      </c>
      <c r="CK57" s="4" t="s">
        <v>102</v>
      </c>
      <c r="CL57" s="18" t="s">
        <v>103</v>
      </c>
      <c r="CM57" s="19" t="s">
        <v>104</v>
      </c>
    </row>
    <row r="58" spans="1:91" s="26" customFormat="1" ht="24.95" hidden="1" customHeight="1">
      <c r="A58" s="89">
        <f t="shared" si="6"/>
        <v>50</v>
      </c>
      <c r="B58" s="90">
        <v>2845</v>
      </c>
      <c r="C58" s="90">
        <v>136</v>
      </c>
      <c r="D58" s="91" t="s">
        <v>38</v>
      </c>
      <c r="E58" s="181"/>
      <c r="F58" s="181"/>
      <c r="G58" s="181"/>
      <c r="H58" s="181"/>
      <c r="I58" s="181"/>
      <c r="J58" s="181"/>
      <c r="K58" s="181"/>
      <c r="L58" s="181"/>
      <c r="M58" s="194">
        <v>3</v>
      </c>
      <c r="N58" s="181"/>
      <c r="O58" s="181"/>
      <c r="P58" s="181"/>
      <c r="Q58" s="181"/>
      <c r="R58" s="199"/>
      <c r="S58" s="199"/>
      <c r="T58" s="181"/>
      <c r="U58" s="181"/>
      <c r="V58" s="181"/>
      <c r="W58" s="301"/>
      <c r="X58" s="181"/>
      <c r="Y58" s="181"/>
      <c r="Z58" s="204"/>
      <c r="AA58" s="181"/>
      <c r="AB58" s="181"/>
      <c r="AC58" s="181"/>
      <c r="AD58" s="181"/>
      <c r="AE58" s="181"/>
      <c r="AF58" s="194">
        <v>0.4</v>
      </c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99"/>
      <c r="AW58" s="181"/>
      <c r="AX58" s="181"/>
      <c r="AY58" s="243"/>
      <c r="AZ58" s="273" t="s">
        <v>109</v>
      </c>
      <c r="BA58" s="235">
        <v>1978</v>
      </c>
      <c r="BB58" s="104">
        <v>134.25</v>
      </c>
      <c r="BC58" s="93">
        <f t="shared" si="12"/>
        <v>31.41</v>
      </c>
      <c r="BD58" s="94">
        <f t="shared" si="12"/>
        <v>28.09</v>
      </c>
      <c r="BE58" s="92">
        <f t="shared" si="8"/>
        <v>0</v>
      </c>
      <c r="BF58" s="92">
        <f t="shared" si="9"/>
        <v>3.32</v>
      </c>
      <c r="BG58" s="95">
        <v>55.58</v>
      </c>
      <c r="BH58" s="105">
        <v>40.98</v>
      </c>
      <c r="BI58" s="23"/>
      <c r="BJ58" s="24"/>
      <c r="BK58" s="28"/>
      <c r="BL58" s="27"/>
      <c r="BM58" s="24"/>
      <c r="BN58" s="24"/>
      <c r="BO58" s="24"/>
      <c r="BP58" s="28"/>
      <c r="BQ58" s="27"/>
      <c r="BR58" s="28"/>
      <c r="BS58" s="23">
        <f>[36]zestawienie!$M$308</f>
        <v>1.06</v>
      </c>
      <c r="BT58" s="24">
        <f>[36]zestawienie!$N$308</f>
        <v>20.23</v>
      </c>
      <c r="BU58" s="24"/>
      <c r="BV58" s="24"/>
      <c r="BW58" s="24"/>
      <c r="BX58" s="31">
        <f>[36]zestawienie!$R$308</f>
        <v>6.8000000000000007</v>
      </c>
      <c r="BY58" s="24"/>
      <c r="BZ58" s="24">
        <f>[36]zestawienie!$T$308</f>
        <v>3.32</v>
      </c>
      <c r="CA58" s="24"/>
      <c r="CB58" s="24"/>
      <c r="CC58" s="25"/>
      <c r="CD58" s="27">
        <f>SUM(BI58:CA58)</f>
        <v>31.41</v>
      </c>
      <c r="CE58" s="28">
        <f>SUM(BI58:BX58)</f>
        <v>28.09</v>
      </c>
      <c r="CF58" s="23"/>
      <c r="CG58" s="24"/>
      <c r="CH58" s="25">
        <f>[36]zestawienie!$AD$308</f>
        <v>31.41</v>
      </c>
      <c r="CI58" s="29">
        <f>[36]zestawienie!$AE$308</f>
        <v>31.41</v>
      </c>
      <c r="CJ58" s="4" t="s">
        <v>101</v>
      </c>
      <c r="CK58" s="4" t="s">
        <v>102</v>
      </c>
      <c r="CL58" s="18" t="s">
        <v>103</v>
      </c>
      <c r="CM58" s="19" t="s">
        <v>104</v>
      </c>
    </row>
    <row r="59" spans="1:91" s="26" customFormat="1" ht="30" hidden="1">
      <c r="A59" s="89">
        <f t="shared" si="6"/>
        <v>51</v>
      </c>
      <c r="B59" s="90">
        <v>2845</v>
      </c>
      <c r="C59" s="90">
        <v>138</v>
      </c>
      <c r="D59" s="195" t="s">
        <v>154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94">
        <v>1</v>
      </c>
      <c r="O59" s="181"/>
      <c r="P59" s="181"/>
      <c r="Q59" s="181"/>
      <c r="R59" s="199"/>
      <c r="S59" s="199"/>
      <c r="T59" s="181"/>
      <c r="U59" s="181"/>
      <c r="V59" s="181"/>
      <c r="W59" s="301"/>
      <c r="X59" s="181"/>
      <c r="Y59" s="181"/>
      <c r="Z59" s="575">
        <v>0.5</v>
      </c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99"/>
      <c r="AW59" s="181"/>
      <c r="AX59" s="181"/>
      <c r="AY59" s="243"/>
      <c r="AZ59" s="273" t="s">
        <v>107</v>
      </c>
      <c r="BA59" s="235">
        <v>1968</v>
      </c>
      <c r="BB59" s="104">
        <v>170</v>
      </c>
      <c r="BC59" s="126">
        <v>0</v>
      </c>
      <c r="BD59" s="127">
        <v>0</v>
      </c>
      <c r="BE59" s="92">
        <f t="shared" si="8"/>
        <v>0</v>
      </c>
      <c r="BF59" s="92">
        <f t="shared" si="9"/>
        <v>0</v>
      </c>
      <c r="BG59" s="128"/>
      <c r="BH59" s="105"/>
      <c r="BI59" s="23"/>
      <c r="BJ59" s="24"/>
      <c r="BK59" s="28"/>
      <c r="BL59" s="27"/>
      <c r="BM59" s="24"/>
      <c r="BN59" s="24"/>
      <c r="BO59" s="24"/>
      <c r="BP59" s="28"/>
      <c r="BQ59" s="27"/>
      <c r="BR59" s="28"/>
      <c r="BS59" s="23"/>
      <c r="BT59" s="24"/>
      <c r="BU59" s="24"/>
      <c r="BV59" s="24"/>
      <c r="BW59" s="24"/>
      <c r="BX59" s="31">
        <v>0</v>
      </c>
      <c r="BY59" s="24"/>
      <c r="BZ59" s="24"/>
      <c r="CA59" s="24"/>
      <c r="CB59" s="24"/>
      <c r="CC59" s="25"/>
      <c r="CD59" s="27"/>
      <c r="CE59" s="28"/>
      <c r="CF59" s="23"/>
      <c r="CG59" s="24"/>
      <c r="CH59" s="25"/>
      <c r="CI59" s="29">
        <v>0</v>
      </c>
      <c r="CJ59" s="4" t="s">
        <v>101</v>
      </c>
      <c r="CK59" s="4" t="s">
        <v>102</v>
      </c>
      <c r="CL59" s="18" t="s">
        <v>103</v>
      </c>
      <c r="CM59" s="19" t="s">
        <v>104</v>
      </c>
    </row>
    <row r="60" spans="1:91" s="26" customFormat="1" ht="30" hidden="1">
      <c r="A60" s="89">
        <f t="shared" si="6"/>
        <v>52</v>
      </c>
      <c r="B60" s="90">
        <v>2845</v>
      </c>
      <c r="C60" s="90">
        <v>139</v>
      </c>
      <c r="D60" s="195" t="s">
        <v>155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94">
        <v>1</v>
      </c>
      <c r="O60" s="181"/>
      <c r="P60" s="181"/>
      <c r="Q60" s="181"/>
      <c r="R60" s="199"/>
      <c r="S60" s="199"/>
      <c r="T60" s="181"/>
      <c r="U60" s="181"/>
      <c r="V60" s="181"/>
      <c r="W60" s="301"/>
      <c r="X60" s="181"/>
      <c r="Y60" s="181"/>
      <c r="Z60" s="576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99"/>
      <c r="AW60" s="181"/>
      <c r="AX60" s="181"/>
      <c r="AY60" s="243"/>
      <c r="AZ60" s="273" t="s">
        <v>107</v>
      </c>
      <c r="BA60" s="235">
        <v>1968</v>
      </c>
      <c r="BB60" s="104">
        <v>31</v>
      </c>
      <c r="BC60" s="126">
        <v>7</v>
      </c>
      <c r="BD60" s="127">
        <v>7</v>
      </c>
      <c r="BE60" s="92">
        <f t="shared" si="8"/>
        <v>0</v>
      </c>
      <c r="BF60" s="92">
        <f t="shared" si="9"/>
        <v>0</v>
      </c>
      <c r="BG60" s="128"/>
      <c r="BH60" s="105"/>
      <c r="BI60" s="23"/>
      <c r="BJ60" s="24"/>
      <c r="BK60" s="28"/>
      <c r="BL60" s="27"/>
      <c r="BM60" s="24"/>
      <c r="BN60" s="24"/>
      <c r="BO60" s="24"/>
      <c r="BP60" s="28"/>
      <c r="BQ60" s="27"/>
      <c r="BR60" s="28"/>
      <c r="BS60" s="23"/>
      <c r="BT60" s="24"/>
      <c r="BU60" s="24"/>
      <c r="BV60" s="24"/>
      <c r="BW60" s="24"/>
      <c r="BX60" s="31">
        <v>7</v>
      </c>
      <c r="BY60" s="24"/>
      <c r="BZ60" s="24"/>
      <c r="CA60" s="24"/>
      <c r="CB60" s="24"/>
      <c r="CC60" s="25"/>
      <c r="CD60" s="27"/>
      <c r="CE60" s="28"/>
      <c r="CF60" s="23"/>
      <c r="CG60" s="24"/>
      <c r="CH60" s="25"/>
      <c r="CI60" s="29">
        <v>0</v>
      </c>
      <c r="CJ60" s="4" t="s">
        <v>101</v>
      </c>
      <c r="CK60" s="4" t="s">
        <v>102</v>
      </c>
      <c r="CL60" s="18" t="s">
        <v>103</v>
      </c>
      <c r="CM60" s="19" t="s">
        <v>104</v>
      </c>
    </row>
    <row r="61" spans="1:91" s="26" customFormat="1" ht="30" hidden="1">
      <c r="A61" s="89">
        <f t="shared" si="6"/>
        <v>53</v>
      </c>
      <c r="B61" s="90">
        <v>2845</v>
      </c>
      <c r="C61" s="90">
        <v>142</v>
      </c>
      <c r="D61" s="195" t="s">
        <v>44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94">
        <v>2</v>
      </c>
      <c r="O61" s="181"/>
      <c r="P61" s="181"/>
      <c r="Q61" s="181"/>
      <c r="R61" s="199"/>
      <c r="S61" s="199"/>
      <c r="T61" s="181"/>
      <c r="U61" s="181"/>
      <c r="V61" s="181"/>
      <c r="W61" s="301"/>
      <c r="X61" s="181"/>
      <c r="Y61" s="181"/>
      <c r="Z61" s="577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99"/>
      <c r="AW61" s="181"/>
      <c r="AX61" s="181"/>
      <c r="AY61" s="243"/>
      <c r="AZ61" s="273" t="s">
        <v>109</v>
      </c>
      <c r="BA61" s="235">
        <v>1962</v>
      </c>
      <c r="BB61" s="104">
        <v>141.57</v>
      </c>
      <c r="BC61" s="93">
        <f t="shared" ref="BC61:BD73" si="13">CD61</f>
        <v>30.37</v>
      </c>
      <c r="BD61" s="94">
        <f t="shared" si="13"/>
        <v>30.37</v>
      </c>
      <c r="BE61" s="92">
        <f t="shared" si="8"/>
        <v>0</v>
      </c>
      <c r="BF61" s="92">
        <f t="shared" si="9"/>
        <v>0</v>
      </c>
      <c r="BG61" s="95">
        <v>33.06</v>
      </c>
      <c r="BH61" s="105">
        <v>32.979999999999997</v>
      </c>
      <c r="BI61" s="23"/>
      <c r="BJ61" s="24"/>
      <c r="BK61" s="28"/>
      <c r="BL61" s="27"/>
      <c r="BM61" s="24"/>
      <c r="BN61" s="24"/>
      <c r="BO61" s="24"/>
      <c r="BP61" s="28"/>
      <c r="BQ61" s="27"/>
      <c r="BR61" s="28"/>
      <c r="BS61" s="23"/>
      <c r="BT61" s="24">
        <f>[37]zestawienie!$N$308</f>
        <v>30.37</v>
      </c>
      <c r="BU61" s="24"/>
      <c r="BV61" s="24"/>
      <c r="BW61" s="24"/>
      <c r="BX61" s="24"/>
      <c r="BY61" s="24"/>
      <c r="BZ61" s="24"/>
      <c r="CA61" s="24"/>
      <c r="CB61" s="24"/>
      <c r="CC61" s="25"/>
      <c r="CD61" s="27">
        <f t="shared" ref="CD61:CD73" si="14">SUM(BI61:CA61)</f>
        <v>30.37</v>
      </c>
      <c r="CE61" s="28">
        <f t="shared" ref="CE61:CE73" si="15">SUM(BI61:BX61)</f>
        <v>30.37</v>
      </c>
      <c r="CF61" s="23"/>
      <c r="CG61" s="24">
        <f>[37]zestawienie!$AC$308</f>
        <v>40.67</v>
      </c>
      <c r="CH61" s="25">
        <f>[37]zestawienie!$AD$308</f>
        <v>10.029599999999999</v>
      </c>
      <c r="CI61" s="29">
        <f>[37]zestawienie!$AE$308</f>
        <v>30.37</v>
      </c>
      <c r="CJ61" s="4" t="s">
        <v>101</v>
      </c>
      <c r="CK61" s="4" t="s">
        <v>102</v>
      </c>
      <c r="CL61" s="18" t="s">
        <v>103</v>
      </c>
      <c r="CM61" s="19" t="s">
        <v>104</v>
      </c>
    </row>
    <row r="62" spans="1:91" s="26" customFormat="1" ht="24.95" hidden="1" customHeight="1">
      <c r="A62" s="89">
        <f t="shared" si="6"/>
        <v>54</v>
      </c>
      <c r="B62" s="90">
        <v>2845</v>
      </c>
      <c r="C62" s="90">
        <v>156</v>
      </c>
      <c r="D62" s="91" t="s">
        <v>35</v>
      </c>
      <c r="E62" s="181"/>
      <c r="F62" s="194">
        <v>1</v>
      </c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99"/>
      <c r="S62" s="199"/>
      <c r="T62" s="181"/>
      <c r="U62" s="181"/>
      <c r="V62" s="181"/>
      <c r="W62" s="301"/>
      <c r="X62" s="181"/>
      <c r="Y62" s="181"/>
      <c r="Z62" s="181"/>
      <c r="AA62" s="181"/>
      <c r="AB62" s="181"/>
      <c r="AC62" s="181"/>
      <c r="AD62" s="181"/>
      <c r="AE62" s="181"/>
      <c r="AF62" s="194">
        <v>0.4</v>
      </c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99"/>
      <c r="AW62" s="181"/>
      <c r="AX62" s="181"/>
      <c r="AY62" s="243"/>
      <c r="AZ62" s="273" t="s">
        <v>109</v>
      </c>
      <c r="BA62" s="235">
        <v>1965</v>
      </c>
      <c r="BB62" s="104">
        <v>250.89</v>
      </c>
      <c r="BC62" s="93">
        <f t="shared" si="13"/>
        <v>72.510000000000005</v>
      </c>
      <c r="BD62" s="94">
        <f t="shared" si="13"/>
        <v>72.510000000000005</v>
      </c>
      <c r="BE62" s="92">
        <f t="shared" si="8"/>
        <v>0</v>
      </c>
      <c r="BF62" s="92">
        <f t="shared" si="9"/>
        <v>0</v>
      </c>
      <c r="BG62" s="95">
        <v>100.55</v>
      </c>
      <c r="BH62" s="105">
        <v>89.45</v>
      </c>
      <c r="BI62" s="23"/>
      <c r="BJ62" s="24"/>
      <c r="BK62" s="28"/>
      <c r="BL62" s="27"/>
      <c r="BM62" s="24">
        <f>[38]zestawienie!$G$308</f>
        <v>72.510000000000005</v>
      </c>
      <c r="BN62" s="24"/>
      <c r="BO62" s="24"/>
      <c r="BP62" s="28"/>
      <c r="BQ62" s="27"/>
      <c r="BR62" s="28"/>
      <c r="BS62" s="23"/>
      <c r="BT62" s="24"/>
      <c r="BU62" s="24"/>
      <c r="BV62" s="24"/>
      <c r="BW62" s="24"/>
      <c r="BX62" s="24"/>
      <c r="BY62" s="24"/>
      <c r="BZ62" s="24"/>
      <c r="CA62" s="24"/>
      <c r="CB62" s="24"/>
      <c r="CC62" s="25"/>
      <c r="CD62" s="27">
        <f t="shared" si="14"/>
        <v>72.510000000000005</v>
      </c>
      <c r="CE62" s="28">
        <f t="shared" si="15"/>
        <v>72.510000000000005</v>
      </c>
      <c r="CF62" s="23"/>
      <c r="CG62" s="24"/>
      <c r="CH62" s="25">
        <f>[38]zestawienie!$AD$308</f>
        <v>72.510000000000005</v>
      </c>
      <c r="CI62" s="29">
        <f>[38]zestawienie!$AE$308</f>
        <v>72.510000000000005</v>
      </c>
      <c r="CJ62" s="4" t="s">
        <v>101</v>
      </c>
      <c r="CK62" s="4" t="s">
        <v>102</v>
      </c>
      <c r="CL62" s="18" t="s">
        <v>103</v>
      </c>
      <c r="CM62" s="19" t="s">
        <v>104</v>
      </c>
    </row>
    <row r="63" spans="1:91" s="26" customFormat="1" ht="28.5" hidden="1">
      <c r="A63" s="89">
        <f t="shared" si="6"/>
        <v>55</v>
      </c>
      <c r="B63" s="90">
        <v>2845</v>
      </c>
      <c r="C63" s="90">
        <v>157</v>
      </c>
      <c r="D63" s="214" t="s">
        <v>151</v>
      </c>
      <c r="E63" s="185"/>
      <c r="F63" s="211">
        <v>0.5</v>
      </c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217"/>
      <c r="S63" s="217"/>
      <c r="T63" s="185"/>
      <c r="U63" s="185"/>
      <c r="V63" s="185"/>
      <c r="W63" s="308"/>
      <c r="X63" s="185"/>
      <c r="Y63" s="185"/>
      <c r="Z63" s="185"/>
      <c r="AA63" s="185"/>
      <c r="AB63" s="185"/>
      <c r="AC63" s="185"/>
      <c r="AD63" s="185"/>
      <c r="AE63" s="185"/>
      <c r="AF63" s="211">
        <v>0.5</v>
      </c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217"/>
      <c r="AW63" s="185"/>
      <c r="AX63" s="185"/>
      <c r="AY63" s="247"/>
      <c r="AZ63" s="273" t="s">
        <v>107</v>
      </c>
      <c r="BA63" s="235">
        <v>1965</v>
      </c>
      <c r="BB63" s="104">
        <v>399.44</v>
      </c>
      <c r="BC63" s="93">
        <f t="shared" si="13"/>
        <v>94.360000000000014</v>
      </c>
      <c r="BD63" s="94">
        <f t="shared" si="13"/>
        <v>37.010000000000005</v>
      </c>
      <c r="BE63" s="92">
        <f t="shared" si="8"/>
        <v>0</v>
      </c>
      <c r="BF63" s="92">
        <f t="shared" si="9"/>
        <v>57.35</v>
      </c>
      <c r="BG63" s="95">
        <v>41.49</v>
      </c>
      <c r="BH63" s="105">
        <v>19.5</v>
      </c>
      <c r="BI63" s="23"/>
      <c r="BJ63" s="24"/>
      <c r="BK63" s="28"/>
      <c r="BL63" s="27"/>
      <c r="BM63" s="24"/>
      <c r="BN63" s="24"/>
      <c r="BO63" s="24"/>
      <c r="BP63" s="28"/>
      <c r="BQ63" s="27"/>
      <c r="BR63" s="28"/>
      <c r="BS63" s="23"/>
      <c r="BT63" s="24"/>
      <c r="BU63" s="24"/>
      <c r="BV63" s="24"/>
      <c r="BW63" s="24"/>
      <c r="BX63" s="24">
        <f>[39]zestawienie!$R$308</f>
        <v>37.010000000000005</v>
      </c>
      <c r="BY63" s="24"/>
      <c r="BZ63" s="24"/>
      <c r="CA63" s="24">
        <f>[39]zestawienie!$U$308</f>
        <v>57.35</v>
      </c>
      <c r="CB63" s="24"/>
      <c r="CC63" s="25"/>
      <c r="CD63" s="27">
        <f t="shared" si="14"/>
        <v>94.360000000000014</v>
      </c>
      <c r="CE63" s="28">
        <f t="shared" si="15"/>
        <v>37.010000000000005</v>
      </c>
      <c r="CF63" s="23"/>
      <c r="CG63" s="24"/>
      <c r="CH63" s="25">
        <f>[39]zestawienie!$AD$308</f>
        <v>94.36</v>
      </c>
      <c r="CI63" s="29">
        <v>0</v>
      </c>
      <c r="CJ63" s="4" t="s">
        <v>101</v>
      </c>
      <c r="CK63" s="4" t="s">
        <v>102</v>
      </c>
      <c r="CL63" s="18" t="s">
        <v>103</v>
      </c>
      <c r="CM63" s="19" t="s">
        <v>104</v>
      </c>
    </row>
    <row r="64" spans="1:91" s="26" customFormat="1" ht="24.95" hidden="1" customHeight="1">
      <c r="A64" s="89">
        <f t="shared" si="6"/>
        <v>56</v>
      </c>
      <c r="B64" s="90">
        <v>2845</v>
      </c>
      <c r="C64" s="90">
        <v>184</v>
      </c>
      <c r="D64" s="91" t="s">
        <v>49</v>
      </c>
      <c r="E64" s="181"/>
      <c r="F64" s="194">
        <v>2</v>
      </c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99"/>
      <c r="S64" s="199"/>
      <c r="T64" s="181"/>
      <c r="U64" s="181"/>
      <c r="V64" s="181"/>
      <c r="W64" s="301"/>
      <c r="X64" s="181"/>
      <c r="Y64" s="181"/>
      <c r="Z64" s="203">
        <v>1</v>
      </c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99"/>
      <c r="AW64" s="181"/>
      <c r="AX64" s="181"/>
      <c r="AY64" s="243"/>
      <c r="AZ64" s="273" t="s">
        <v>109</v>
      </c>
      <c r="BA64" s="235">
        <v>1985</v>
      </c>
      <c r="BB64" s="104">
        <v>4067.6</v>
      </c>
      <c r="BC64" s="93">
        <f t="shared" si="13"/>
        <v>667.87</v>
      </c>
      <c r="BD64" s="94">
        <f t="shared" si="13"/>
        <v>626.14</v>
      </c>
      <c r="BE64" s="92">
        <f t="shared" si="8"/>
        <v>13.62</v>
      </c>
      <c r="BF64" s="92">
        <f t="shared" si="9"/>
        <v>28.11</v>
      </c>
      <c r="BG64" s="95">
        <v>660.15</v>
      </c>
      <c r="BH64" s="105">
        <v>656.21</v>
      </c>
      <c r="BI64" s="23"/>
      <c r="BJ64" s="24"/>
      <c r="BK64" s="28"/>
      <c r="BL64" s="27"/>
      <c r="BM64" s="24"/>
      <c r="BN64" s="24"/>
      <c r="BO64" s="24"/>
      <c r="BP64" s="28"/>
      <c r="BQ64" s="27"/>
      <c r="BR64" s="28"/>
      <c r="BS64" s="23">
        <f>[40]zestawienie!$M$309</f>
        <v>6.6999999999999993</v>
      </c>
      <c r="BT64" s="24">
        <v>268.27999999999997</v>
      </c>
      <c r="BU64" s="24"/>
      <c r="BV64" s="24"/>
      <c r="BW64" s="24"/>
      <c r="BX64" s="24">
        <v>351.16</v>
      </c>
      <c r="BY64" s="24">
        <f>[40]zestawienie!$S$309</f>
        <v>13.62</v>
      </c>
      <c r="BZ64" s="24">
        <f>[40]zestawienie!$T$309</f>
        <v>14.530000000000001</v>
      </c>
      <c r="CA64" s="24">
        <f>[40]zestawienie!$U$309</f>
        <v>13.58</v>
      </c>
      <c r="CB64" s="24">
        <f>[40]zestawienie!$W$309</f>
        <v>3378.1505999999999</v>
      </c>
      <c r="CC64" s="25">
        <f>[40]zestawienie!$Y$309</f>
        <v>603.11999999999989</v>
      </c>
      <c r="CD64" s="27">
        <f t="shared" si="14"/>
        <v>667.87</v>
      </c>
      <c r="CE64" s="28">
        <f t="shared" si="15"/>
        <v>626.14</v>
      </c>
      <c r="CF64" s="23"/>
      <c r="CG64" s="24"/>
      <c r="CH64" s="25">
        <f>[40]zestawienie!$AD$309</f>
        <v>667.86999999999989</v>
      </c>
      <c r="CI64" s="29">
        <f>[40]zestawienie!$AE$309</f>
        <v>654.28999999999985</v>
      </c>
      <c r="CJ64" s="4" t="s">
        <v>101</v>
      </c>
      <c r="CK64" s="4" t="s">
        <v>102</v>
      </c>
      <c r="CL64" s="18" t="s">
        <v>103</v>
      </c>
      <c r="CM64" s="19" t="s">
        <v>104</v>
      </c>
    </row>
    <row r="65" spans="1:91" s="26" customFormat="1" ht="24.95" hidden="1" customHeight="1">
      <c r="A65" s="89">
        <f t="shared" si="6"/>
        <v>57</v>
      </c>
      <c r="B65" s="90">
        <v>2845</v>
      </c>
      <c r="C65" s="90">
        <v>195</v>
      </c>
      <c r="D65" s="91" t="s">
        <v>42</v>
      </c>
      <c r="E65" s="181"/>
      <c r="F65" s="194">
        <v>1</v>
      </c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99"/>
      <c r="S65" s="199"/>
      <c r="T65" s="181"/>
      <c r="U65" s="181"/>
      <c r="V65" s="181"/>
      <c r="W65" s="301"/>
      <c r="X65" s="181"/>
      <c r="Y65" s="181"/>
      <c r="Z65" s="181"/>
      <c r="AA65" s="181"/>
      <c r="AB65" s="181"/>
      <c r="AC65" s="181"/>
      <c r="AD65" s="181"/>
      <c r="AE65" s="194">
        <v>0.25</v>
      </c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99"/>
      <c r="AW65" s="181"/>
      <c r="AX65" s="181"/>
      <c r="AY65" s="243"/>
      <c r="AZ65" s="273" t="s">
        <v>107</v>
      </c>
      <c r="BA65" s="235">
        <v>1986</v>
      </c>
      <c r="BB65" s="104">
        <v>299.48</v>
      </c>
      <c r="BC65" s="93">
        <f t="shared" si="13"/>
        <v>95.39</v>
      </c>
      <c r="BD65" s="94">
        <f t="shared" si="13"/>
        <v>95.39</v>
      </c>
      <c r="BE65" s="92">
        <f t="shared" si="8"/>
        <v>0</v>
      </c>
      <c r="BF65" s="92">
        <f t="shared" si="9"/>
        <v>0</v>
      </c>
      <c r="BG65" s="95">
        <v>107.39</v>
      </c>
      <c r="BH65" s="105">
        <v>95.68</v>
      </c>
      <c r="BI65" s="23"/>
      <c r="BJ65" s="24"/>
      <c r="BK65" s="28"/>
      <c r="BL65" s="27"/>
      <c r="BM65" s="24"/>
      <c r="BN65" s="24"/>
      <c r="BO65" s="24"/>
      <c r="BP65" s="28"/>
      <c r="BQ65" s="27"/>
      <c r="BR65" s="28"/>
      <c r="BS65" s="23"/>
      <c r="BT65" s="24"/>
      <c r="BU65" s="24"/>
      <c r="BV65" s="24"/>
      <c r="BW65" s="24"/>
      <c r="BX65" s="24">
        <f>[41]zestawienie!$R$308</f>
        <v>95.39</v>
      </c>
      <c r="BY65" s="24"/>
      <c r="BZ65" s="24"/>
      <c r="CA65" s="24"/>
      <c r="CB65" s="24"/>
      <c r="CC65" s="25"/>
      <c r="CD65" s="27">
        <f t="shared" si="14"/>
        <v>95.39</v>
      </c>
      <c r="CE65" s="28">
        <f t="shared" si="15"/>
        <v>95.39</v>
      </c>
      <c r="CF65" s="23"/>
      <c r="CG65" s="24"/>
      <c r="CH65" s="25">
        <f>[41]zestawienie!$AD$308</f>
        <v>95.39</v>
      </c>
      <c r="CI65" s="29">
        <v>0</v>
      </c>
      <c r="CJ65" s="4" t="s">
        <v>101</v>
      </c>
      <c r="CK65" s="4" t="s">
        <v>102</v>
      </c>
      <c r="CL65" s="18" t="s">
        <v>103</v>
      </c>
      <c r="CM65" s="19" t="s">
        <v>104</v>
      </c>
    </row>
    <row r="66" spans="1:91" s="26" customFormat="1" ht="33" hidden="1" customHeight="1">
      <c r="A66" s="89">
        <f t="shared" si="6"/>
        <v>58</v>
      </c>
      <c r="B66" s="90">
        <v>2845</v>
      </c>
      <c r="C66" s="90">
        <v>199</v>
      </c>
      <c r="D66" s="195" t="s">
        <v>162</v>
      </c>
      <c r="E66" s="181"/>
      <c r="F66" s="194">
        <v>1</v>
      </c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99"/>
      <c r="S66" s="199"/>
      <c r="T66" s="181"/>
      <c r="U66" s="181"/>
      <c r="V66" s="181"/>
      <c r="W66" s="301"/>
      <c r="X66" s="181"/>
      <c r="Y66" s="181"/>
      <c r="Z66" s="181"/>
      <c r="AA66" s="181"/>
      <c r="AB66" s="181"/>
      <c r="AC66" s="181"/>
      <c r="AD66" s="181"/>
      <c r="AE66" s="194">
        <v>0.25</v>
      </c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99"/>
      <c r="AW66" s="181"/>
      <c r="AX66" s="181"/>
      <c r="AY66" s="243"/>
      <c r="AZ66" s="273" t="s">
        <v>107</v>
      </c>
      <c r="BA66" s="235">
        <v>1986</v>
      </c>
      <c r="BB66" s="104">
        <v>191.16</v>
      </c>
      <c r="BC66" s="93">
        <f t="shared" si="13"/>
        <v>43.04</v>
      </c>
      <c r="BD66" s="94">
        <f t="shared" si="13"/>
        <v>43.04</v>
      </c>
      <c r="BE66" s="92">
        <f t="shared" si="8"/>
        <v>0</v>
      </c>
      <c r="BF66" s="92">
        <f t="shared" si="9"/>
        <v>0</v>
      </c>
      <c r="BG66" s="95">
        <v>48.3</v>
      </c>
      <c r="BH66" s="105">
        <v>48.89</v>
      </c>
      <c r="BI66" s="23"/>
      <c r="BJ66" s="24"/>
      <c r="BK66" s="28"/>
      <c r="BL66" s="27"/>
      <c r="BM66" s="24"/>
      <c r="BN66" s="24"/>
      <c r="BO66" s="24"/>
      <c r="BP66" s="28"/>
      <c r="BQ66" s="27"/>
      <c r="BR66" s="28"/>
      <c r="BS66" s="23"/>
      <c r="BT66" s="24"/>
      <c r="BU66" s="24"/>
      <c r="BV66" s="24"/>
      <c r="BW66" s="24"/>
      <c r="BX66" s="24">
        <f>[42]zestawienie!$R$308</f>
        <v>43.04</v>
      </c>
      <c r="BY66" s="24"/>
      <c r="BZ66" s="24"/>
      <c r="CA66" s="24"/>
      <c r="CB66" s="24"/>
      <c r="CC66" s="25"/>
      <c r="CD66" s="27">
        <f t="shared" si="14"/>
        <v>43.04</v>
      </c>
      <c r="CE66" s="28">
        <f t="shared" si="15"/>
        <v>43.04</v>
      </c>
      <c r="CF66" s="23"/>
      <c r="CG66" s="24"/>
      <c r="CH66" s="25">
        <f>[42]zestawienie!$AD$308</f>
        <v>43.04</v>
      </c>
      <c r="CI66" s="29">
        <v>0</v>
      </c>
      <c r="CJ66" s="4" t="s">
        <v>101</v>
      </c>
      <c r="CK66" s="4" t="s">
        <v>102</v>
      </c>
      <c r="CL66" s="18" t="s">
        <v>103</v>
      </c>
      <c r="CM66" s="19" t="s">
        <v>104</v>
      </c>
    </row>
    <row r="67" spans="1:91" s="26" customFormat="1" ht="24.95" hidden="1" customHeight="1">
      <c r="A67" s="89">
        <f t="shared" si="6"/>
        <v>59</v>
      </c>
      <c r="B67" s="90">
        <v>2845</v>
      </c>
      <c r="C67" s="90">
        <v>203</v>
      </c>
      <c r="D67" s="91" t="s">
        <v>51</v>
      </c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94">
        <v>1</v>
      </c>
      <c r="Q67" s="181"/>
      <c r="R67" s="199"/>
      <c r="S67" s="199"/>
      <c r="T67" s="181"/>
      <c r="U67" s="181"/>
      <c r="V67" s="181"/>
      <c r="W67" s="30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203">
        <v>0.9</v>
      </c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99"/>
      <c r="AW67" s="181"/>
      <c r="AX67" s="181"/>
      <c r="AY67" s="243"/>
      <c r="AZ67" s="273" t="s">
        <v>109</v>
      </c>
      <c r="BA67" s="235">
        <v>1987</v>
      </c>
      <c r="BB67" s="104">
        <v>5264.83</v>
      </c>
      <c r="BC67" s="93">
        <f t="shared" si="13"/>
        <v>963.36</v>
      </c>
      <c r="BD67" s="94">
        <f t="shared" si="13"/>
        <v>963.36</v>
      </c>
      <c r="BE67" s="92">
        <f t="shared" si="8"/>
        <v>0</v>
      </c>
      <c r="BF67" s="92">
        <f t="shared" si="9"/>
        <v>0</v>
      </c>
      <c r="BG67" s="95">
        <v>995.52</v>
      </c>
      <c r="BH67" s="105">
        <v>991.17</v>
      </c>
      <c r="BI67" s="23"/>
      <c r="BJ67" s="24"/>
      <c r="BK67" s="28"/>
      <c r="BL67" s="27"/>
      <c r="BM67" s="24"/>
      <c r="BN67" s="24"/>
      <c r="BO67" s="24"/>
      <c r="BP67" s="28"/>
      <c r="BQ67" s="27"/>
      <c r="BR67" s="28"/>
      <c r="BS67" s="23"/>
      <c r="BT67" s="24"/>
      <c r="BU67" s="24">
        <f>[43]zestawienie!$O$308</f>
        <v>963.36</v>
      </c>
      <c r="BV67" s="24"/>
      <c r="BW67" s="24"/>
      <c r="BX67" s="24"/>
      <c r="BY67" s="24"/>
      <c r="BZ67" s="24"/>
      <c r="CA67" s="24"/>
      <c r="CB67" s="24"/>
      <c r="CC67" s="25"/>
      <c r="CD67" s="27">
        <f t="shared" si="14"/>
        <v>963.36</v>
      </c>
      <c r="CE67" s="28">
        <f t="shared" si="15"/>
        <v>963.36</v>
      </c>
      <c r="CF67" s="23"/>
      <c r="CG67" s="24"/>
      <c r="CH67" s="25">
        <f>[43]zestawienie!$AD$308</f>
        <v>963.36</v>
      </c>
      <c r="CI67" s="29">
        <f>[43]zestawienie!$AE$308</f>
        <v>963.36</v>
      </c>
      <c r="CJ67" s="4" t="s">
        <v>101</v>
      </c>
      <c r="CK67" s="4" t="s">
        <v>102</v>
      </c>
      <c r="CL67" s="18" t="s">
        <v>103</v>
      </c>
      <c r="CM67" s="19" t="s">
        <v>104</v>
      </c>
    </row>
    <row r="68" spans="1:91" s="26" customFormat="1" ht="24.95" hidden="1" customHeight="1">
      <c r="A68" s="89">
        <f t="shared" si="6"/>
        <v>60</v>
      </c>
      <c r="B68" s="90">
        <v>2845</v>
      </c>
      <c r="C68" s="90">
        <v>204</v>
      </c>
      <c r="D68" s="91" t="s">
        <v>51</v>
      </c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94">
        <v>1</v>
      </c>
      <c r="Q68" s="181"/>
      <c r="R68" s="199"/>
      <c r="S68" s="199"/>
      <c r="T68" s="181"/>
      <c r="U68" s="181"/>
      <c r="V68" s="181"/>
      <c r="W68" s="30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203">
        <v>0.9</v>
      </c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99"/>
      <c r="AW68" s="181"/>
      <c r="AX68" s="181"/>
      <c r="AY68" s="243"/>
      <c r="AZ68" s="273" t="s">
        <v>109</v>
      </c>
      <c r="BA68" s="235">
        <v>1987</v>
      </c>
      <c r="BB68" s="104">
        <v>5264.83</v>
      </c>
      <c r="BC68" s="93">
        <f t="shared" si="13"/>
        <v>959.57999999999993</v>
      </c>
      <c r="BD68" s="94">
        <f t="shared" si="13"/>
        <v>959.57999999999993</v>
      </c>
      <c r="BE68" s="92">
        <f t="shared" si="8"/>
        <v>0</v>
      </c>
      <c r="BF68" s="92">
        <f t="shared" si="9"/>
        <v>0</v>
      </c>
      <c r="BG68" s="95">
        <v>995.52</v>
      </c>
      <c r="BH68" s="105">
        <v>991.17</v>
      </c>
      <c r="BI68" s="23"/>
      <c r="BJ68" s="24"/>
      <c r="BK68" s="28"/>
      <c r="BL68" s="27"/>
      <c r="BM68" s="24"/>
      <c r="BN68" s="24"/>
      <c r="BO68" s="24"/>
      <c r="BP68" s="28"/>
      <c r="BQ68" s="27"/>
      <c r="BR68" s="28"/>
      <c r="BS68" s="23"/>
      <c r="BT68" s="24"/>
      <c r="BU68" s="24">
        <f>[44]zestawienie!$O$308</f>
        <v>959.57999999999993</v>
      </c>
      <c r="BV68" s="24"/>
      <c r="BW68" s="24"/>
      <c r="BX68" s="24"/>
      <c r="BY68" s="24"/>
      <c r="BZ68" s="24"/>
      <c r="CA68" s="24"/>
      <c r="CB68" s="24"/>
      <c r="CC68" s="25"/>
      <c r="CD68" s="27">
        <f t="shared" si="14"/>
        <v>959.57999999999993</v>
      </c>
      <c r="CE68" s="28">
        <f t="shared" si="15"/>
        <v>959.57999999999993</v>
      </c>
      <c r="CF68" s="23"/>
      <c r="CG68" s="24"/>
      <c r="CH68" s="25">
        <f>[44]zestawienie!$AD$308</f>
        <v>959.57999999999993</v>
      </c>
      <c r="CI68" s="29">
        <f>[44]zestawienie!$AE$308</f>
        <v>959.57999999999993</v>
      </c>
      <c r="CJ68" s="4" t="s">
        <v>101</v>
      </c>
      <c r="CK68" s="4" t="s">
        <v>102</v>
      </c>
      <c r="CL68" s="18" t="s">
        <v>103</v>
      </c>
      <c r="CM68" s="19" t="s">
        <v>104</v>
      </c>
    </row>
    <row r="69" spans="1:91" s="26" customFormat="1" ht="24.95" hidden="1" customHeight="1">
      <c r="A69" s="89">
        <f t="shared" si="6"/>
        <v>61</v>
      </c>
      <c r="B69" s="90">
        <v>2845</v>
      </c>
      <c r="C69" s="90">
        <v>206</v>
      </c>
      <c r="D69" s="91" t="s">
        <v>52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94">
        <v>1</v>
      </c>
      <c r="R69" s="199"/>
      <c r="S69" s="199"/>
      <c r="T69" s="181"/>
      <c r="U69" s="181"/>
      <c r="V69" s="181"/>
      <c r="W69" s="301"/>
      <c r="X69" s="181"/>
      <c r="Y69" s="181"/>
      <c r="Z69" s="181"/>
      <c r="AA69" s="181"/>
      <c r="AB69" s="181"/>
      <c r="AC69" s="181"/>
      <c r="AD69" s="181"/>
      <c r="AE69" s="181"/>
      <c r="AF69" s="181"/>
      <c r="AG69" s="203">
        <v>0.5</v>
      </c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99"/>
      <c r="AW69" s="181"/>
      <c r="AX69" s="181"/>
      <c r="AY69" s="243"/>
      <c r="AZ69" s="273" t="s">
        <v>109</v>
      </c>
      <c r="BA69" s="235">
        <v>1981</v>
      </c>
      <c r="BB69" s="104">
        <v>53.29</v>
      </c>
      <c r="BC69" s="93">
        <f t="shared" si="13"/>
        <v>15.65</v>
      </c>
      <c r="BD69" s="94">
        <f t="shared" si="13"/>
        <v>0</v>
      </c>
      <c r="BE69" s="92">
        <f t="shared" si="8"/>
        <v>15.65</v>
      </c>
      <c r="BF69" s="92">
        <f t="shared" si="9"/>
        <v>0</v>
      </c>
      <c r="BG69" s="95">
        <v>27.53</v>
      </c>
      <c r="BH69" s="105">
        <v>20.11</v>
      </c>
      <c r="BI69" s="23"/>
      <c r="BJ69" s="24"/>
      <c r="BK69" s="28"/>
      <c r="BL69" s="27"/>
      <c r="BM69" s="24"/>
      <c r="BN69" s="24"/>
      <c r="BO69" s="24"/>
      <c r="BP69" s="28"/>
      <c r="BQ69" s="27"/>
      <c r="BR69" s="28"/>
      <c r="BS69" s="23"/>
      <c r="BT69" s="24"/>
      <c r="BU69" s="24"/>
      <c r="BV69" s="24"/>
      <c r="BW69" s="24"/>
      <c r="BX69" s="24"/>
      <c r="BY69" s="24">
        <f>[45]zestawienie!$S$308</f>
        <v>15.65</v>
      </c>
      <c r="BZ69" s="24"/>
      <c r="CA69" s="24"/>
      <c r="CB69" s="24"/>
      <c r="CC69" s="25"/>
      <c r="CD69" s="27">
        <f t="shared" si="14"/>
        <v>15.65</v>
      </c>
      <c r="CE69" s="28">
        <f t="shared" si="15"/>
        <v>0</v>
      </c>
      <c r="CF69" s="23"/>
      <c r="CG69" s="24"/>
      <c r="CH69" s="25">
        <f>[45]zestawienie!$AD$308</f>
        <v>15.65</v>
      </c>
      <c r="CI69" s="29">
        <f>[45]zestawienie!$AE$308</f>
        <v>15.65</v>
      </c>
      <c r="CJ69" s="4" t="s">
        <v>101</v>
      </c>
      <c r="CK69" s="4" t="s">
        <v>102</v>
      </c>
      <c r="CL69" s="18" t="s">
        <v>103</v>
      </c>
      <c r="CM69" s="19" t="s">
        <v>104</v>
      </c>
    </row>
    <row r="70" spans="1:91" s="26" customFormat="1" ht="24.95" hidden="1" customHeight="1">
      <c r="A70" s="89">
        <f t="shared" si="6"/>
        <v>62</v>
      </c>
      <c r="B70" s="90">
        <v>2845</v>
      </c>
      <c r="C70" s="90">
        <v>207</v>
      </c>
      <c r="D70" s="91" t="s">
        <v>49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94">
        <v>1</v>
      </c>
      <c r="R70" s="199"/>
      <c r="S70" s="199"/>
      <c r="T70" s="181"/>
      <c r="U70" s="181"/>
      <c r="V70" s="181"/>
      <c r="W70" s="30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212">
        <v>0.5</v>
      </c>
      <c r="AN70" s="181"/>
      <c r="AO70" s="181"/>
      <c r="AP70" s="181"/>
      <c r="AQ70" s="181"/>
      <c r="AR70" s="181"/>
      <c r="AS70" s="181"/>
      <c r="AT70" s="181"/>
      <c r="AU70" s="181"/>
      <c r="AV70" s="199"/>
      <c r="AW70" s="181"/>
      <c r="AX70" s="181"/>
      <c r="AY70" s="243"/>
      <c r="AZ70" s="273" t="s">
        <v>109</v>
      </c>
      <c r="BA70" s="235">
        <v>1990</v>
      </c>
      <c r="BB70" s="104">
        <v>483.79</v>
      </c>
      <c r="BC70" s="93">
        <f t="shared" si="13"/>
        <v>120.36</v>
      </c>
      <c r="BD70" s="94">
        <f t="shared" si="13"/>
        <v>114.55</v>
      </c>
      <c r="BE70" s="92">
        <f t="shared" si="8"/>
        <v>0</v>
      </c>
      <c r="BF70" s="92">
        <f t="shared" si="9"/>
        <v>5.81</v>
      </c>
      <c r="BG70" s="95">
        <v>89.16</v>
      </c>
      <c r="BH70" s="105">
        <v>94.01</v>
      </c>
      <c r="BI70" s="23"/>
      <c r="BJ70" s="24"/>
      <c r="BK70" s="28"/>
      <c r="BL70" s="27"/>
      <c r="BM70" s="24"/>
      <c r="BN70" s="24"/>
      <c r="BO70" s="24"/>
      <c r="BP70" s="28"/>
      <c r="BQ70" s="27"/>
      <c r="BR70" s="28"/>
      <c r="BS70" s="23">
        <f>[46]zestawienie!$M$308</f>
        <v>3.19</v>
      </c>
      <c r="BT70" s="24"/>
      <c r="BU70" s="24"/>
      <c r="BV70" s="24"/>
      <c r="BW70" s="24"/>
      <c r="BX70" s="24">
        <f>[46]zestawienie!$R$308</f>
        <v>111.36</v>
      </c>
      <c r="BY70" s="24"/>
      <c r="BZ70" s="24">
        <f>[46]zestawienie!$T$308</f>
        <v>5.81</v>
      </c>
      <c r="CA70" s="24"/>
      <c r="CB70" s="24"/>
      <c r="CC70" s="25"/>
      <c r="CD70" s="27">
        <f t="shared" si="14"/>
        <v>120.36</v>
      </c>
      <c r="CE70" s="28">
        <f t="shared" si="15"/>
        <v>114.55</v>
      </c>
      <c r="CF70" s="23"/>
      <c r="CG70" s="24"/>
      <c r="CH70" s="25">
        <f>[46]zestawienie!$AD$308</f>
        <v>120.36</v>
      </c>
      <c r="CI70" s="29">
        <f>[46]zestawienie!$AE$308</f>
        <v>120.36</v>
      </c>
      <c r="CJ70" s="4" t="s">
        <v>101</v>
      </c>
      <c r="CK70" s="4" t="s">
        <v>102</v>
      </c>
      <c r="CL70" s="18" t="s">
        <v>103</v>
      </c>
      <c r="CM70" s="19" t="s">
        <v>104</v>
      </c>
    </row>
    <row r="71" spans="1:91" s="26" customFormat="1" ht="24.95" hidden="1" customHeight="1">
      <c r="A71" s="89">
        <f t="shared" si="6"/>
        <v>63</v>
      </c>
      <c r="B71" s="90">
        <v>2845</v>
      </c>
      <c r="C71" s="90">
        <v>209</v>
      </c>
      <c r="D71" s="91" t="s">
        <v>53</v>
      </c>
      <c r="E71" s="181"/>
      <c r="F71" s="181"/>
      <c r="G71" s="181"/>
      <c r="H71" s="181"/>
      <c r="I71" s="203">
        <v>0.5</v>
      </c>
      <c r="J71" s="181"/>
      <c r="K71" s="181"/>
      <c r="L71" s="181"/>
      <c r="M71" s="181"/>
      <c r="N71" s="181"/>
      <c r="O71" s="181"/>
      <c r="P71" s="181"/>
      <c r="Q71" s="181"/>
      <c r="R71" s="199"/>
      <c r="S71" s="199"/>
      <c r="T71" s="181"/>
      <c r="U71" s="181"/>
      <c r="V71" s="181"/>
      <c r="W71" s="30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212">
        <v>0.25</v>
      </c>
      <c r="AN71" s="181"/>
      <c r="AO71" s="181"/>
      <c r="AP71" s="181"/>
      <c r="AQ71" s="181"/>
      <c r="AR71" s="181"/>
      <c r="AS71" s="181"/>
      <c r="AT71" s="181"/>
      <c r="AU71" s="181"/>
      <c r="AV71" s="199"/>
      <c r="AW71" s="181"/>
      <c r="AX71" s="181"/>
      <c r="AY71" s="243"/>
      <c r="AZ71" s="273" t="s">
        <v>107</v>
      </c>
      <c r="BA71" s="235">
        <v>1995</v>
      </c>
      <c r="BB71" s="104">
        <v>1706.95</v>
      </c>
      <c r="BC71" s="93">
        <f t="shared" si="13"/>
        <v>515.5</v>
      </c>
      <c r="BD71" s="94">
        <f t="shared" si="13"/>
        <v>515.5</v>
      </c>
      <c r="BE71" s="92">
        <f t="shared" si="8"/>
        <v>0</v>
      </c>
      <c r="BF71" s="92">
        <f t="shared" si="9"/>
        <v>0</v>
      </c>
      <c r="BG71" s="95">
        <v>624.16999999999996</v>
      </c>
      <c r="BH71" s="105">
        <v>556.66</v>
      </c>
      <c r="BI71" s="23"/>
      <c r="BJ71" s="24"/>
      <c r="BK71" s="28"/>
      <c r="BL71" s="27"/>
      <c r="BM71" s="24"/>
      <c r="BN71" s="24"/>
      <c r="BO71" s="24"/>
      <c r="BP71" s="28"/>
      <c r="BQ71" s="27"/>
      <c r="BR71" s="28"/>
      <c r="BS71" s="23"/>
      <c r="BT71" s="24"/>
      <c r="BU71" s="24"/>
      <c r="BV71" s="24"/>
      <c r="BW71" s="24"/>
      <c r="BX71" s="24">
        <f>[47]zestawienie!$R$308</f>
        <v>515.5</v>
      </c>
      <c r="BY71" s="24"/>
      <c r="BZ71" s="24"/>
      <c r="CA71" s="24"/>
      <c r="CB71" s="24"/>
      <c r="CC71" s="25"/>
      <c r="CD71" s="27">
        <f t="shared" si="14"/>
        <v>515.5</v>
      </c>
      <c r="CE71" s="28">
        <f t="shared" si="15"/>
        <v>515.5</v>
      </c>
      <c r="CF71" s="23"/>
      <c r="CG71" s="24"/>
      <c r="CH71" s="25">
        <f>[47]zestawienie!$AD$308</f>
        <v>515.5</v>
      </c>
      <c r="CI71" s="29">
        <v>0</v>
      </c>
      <c r="CJ71" s="4" t="s">
        <v>101</v>
      </c>
      <c r="CK71" s="4" t="s">
        <v>102</v>
      </c>
      <c r="CL71" s="18" t="s">
        <v>106</v>
      </c>
      <c r="CM71" s="19" t="s">
        <v>105</v>
      </c>
    </row>
    <row r="72" spans="1:91" s="26" customFormat="1" ht="24.95" hidden="1" customHeight="1">
      <c r="A72" s="89">
        <f t="shared" si="6"/>
        <v>64</v>
      </c>
      <c r="B72" s="90">
        <v>2845</v>
      </c>
      <c r="C72" s="90">
        <v>212</v>
      </c>
      <c r="D72" s="91" t="s">
        <v>42</v>
      </c>
      <c r="E72" s="181"/>
      <c r="F72" s="181"/>
      <c r="G72" s="181"/>
      <c r="H72" s="181"/>
      <c r="I72" s="203">
        <v>0.5</v>
      </c>
      <c r="J72" s="181"/>
      <c r="K72" s="181"/>
      <c r="L72" s="181"/>
      <c r="M72" s="181"/>
      <c r="N72" s="181"/>
      <c r="O72" s="181"/>
      <c r="P72" s="181"/>
      <c r="Q72" s="181"/>
      <c r="R72" s="199"/>
      <c r="S72" s="199"/>
      <c r="T72" s="181"/>
      <c r="U72" s="181"/>
      <c r="V72" s="181"/>
      <c r="W72" s="301"/>
      <c r="X72" s="181"/>
      <c r="Y72" s="181"/>
      <c r="Z72" s="181"/>
      <c r="AA72" s="181"/>
      <c r="AB72" s="181"/>
      <c r="AC72" s="181"/>
      <c r="AD72" s="194">
        <v>0.25</v>
      </c>
      <c r="AE72" s="181"/>
      <c r="AF72" s="181"/>
      <c r="AG72" s="181"/>
      <c r="AH72" s="181"/>
      <c r="AI72" s="181"/>
      <c r="AJ72" s="181"/>
      <c r="AK72" s="181"/>
      <c r="AL72" s="181"/>
      <c r="AM72" s="213"/>
      <c r="AN72" s="181"/>
      <c r="AO72" s="181"/>
      <c r="AP72" s="181"/>
      <c r="AQ72" s="181"/>
      <c r="AR72" s="181"/>
      <c r="AS72" s="181"/>
      <c r="AT72" s="181"/>
      <c r="AU72" s="181"/>
      <c r="AV72" s="199"/>
      <c r="AW72" s="181"/>
      <c r="AX72" s="181"/>
      <c r="AY72" s="243"/>
      <c r="AZ72" s="273" t="s">
        <v>107</v>
      </c>
      <c r="BA72" s="235">
        <v>1991</v>
      </c>
      <c r="BB72" s="104">
        <v>204.21</v>
      </c>
      <c r="BC72" s="93">
        <f t="shared" si="13"/>
        <v>48.78</v>
      </c>
      <c r="BD72" s="94">
        <f t="shared" si="13"/>
        <v>48.78</v>
      </c>
      <c r="BE72" s="92">
        <f t="shared" si="8"/>
        <v>0</v>
      </c>
      <c r="BF72" s="92">
        <f t="shared" si="9"/>
        <v>0</v>
      </c>
      <c r="BG72" s="95">
        <v>60.12</v>
      </c>
      <c r="BH72" s="105">
        <v>52.23</v>
      </c>
      <c r="BI72" s="23"/>
      <c r="BJ72" s="24"/>
      <c r="BK72" s="28"/>
      <c r="BL72" s="27"/>
      <c r="BM72" s="24"/>
      <c r="BN72" s="24"/>
      <c r="BO72" s="24"/>
      <c r="BP72" s="28"/>
      <c r="BQ72" s="27"/>
      <c r="BR72" s="28"/>
      <c r="BS72" s="23"/>
      <c r="BT72" s="24"/>
      <c r="BU72" s="24"/>
      <c r="BV72" s="24"/>
      <c r="BW72" s="24"/>
      <c r="BX72" s="24">
        <f>[48]zestawienie!$R$308</f>
        <v>48.78</v>
      </c>
      <c r="BY72" s="24"/>
      <c r="BZ72" s="24"/>
      <c r="CA72" s="24"/>
      <c r="CB72" s="24"/>
      <c r="CC72" s="25"/>
      <c r="CD72" s="27">
        <f t="shared" si="14"/>
        <v>48.78</v>
      </c>
      <c r="CE72" s="28">
        <f t="shared" si="15"/>
        <v>48.78</v>
      </c>
      <c r="CF72" s="23"/>
      <c r="CG72" s="24"/>
      <c r="CH72" s="25">
        <f>[48]zestawienie!$AD$308</f>
        <v>48.78</v>
      </c>
      <c r="CI72" s="29">
        <v>0</v>
      </c>
      <c r="CJ72" s="4" t="s">
        <v>101</v>
      </c>
      <c r="CK72" s="4" t="s">
        <v>102</v>
      </c>
      <c r="CL72" s="18" t="s">
        <v>106</v>
      </c>
      <c r="CM72" s="19" t="s">
        <v>105</v>
      </c>
    </row>
    <row r="73" spans="1:91" s="26" customFormat="1" ht="24.95" hidden="1" customHeight="1">
      <c r="A73" s="89">
        <f t="shared" si="6"/>
        <v>65</v>
      </c>
      <c r="B73" s="90">
        <v>2845</v>
      </c>
      <c r="C73" s="90">
        <v>213</v>
      </c>
      <c r="D73" s="91" t="s">
        <v>161</v>
      </c>
      <c r="E73" s="181"/>
      <c r="F73" s="181"/>
      <c r="G73" s="181"/>
      <c r="H73" s="181"/>
      <c r="I73" s="203">
        <v>0.5</v>
      </c>
      <c r="J73" s="181"/>
      <c r="K73" s="181"/>
      <c r="L73" s="181"/>
      <c r="M73" s="181"/>
      <c r="N73" s="181"/>
      <c r="O73" s="181"/>
      <c r="P73" s="181"/>
      <c r="Q73" s="181"/>
      <c r="R73" s="199"/>
      <c r="S73" s="199"/>
      <c r="T73" s="181"/>
      <c r="U73" s="181"/>
      <c r="V73" s="181"/>
      <c r="W73" s="301"/>
      <c r="X73" s="181"/>
      <c r="Y73" s="181"/>
      <c r="Z73" s="181"/>
      <c r="AA73" s="181"/>
      <c r="AB73" s="181"/>
      <c r="AC73" s="181"/>
      <c r="AD73" s="181"/>
      <c r="AE73" s="181"/>
      <c r="AF73" s="181"/>
      <c r="AG73" s="212">
        <v>0.25</v>
      </c>
      <c r="AH73" s="181"/>
      <c r="AI73" s="181"/>
      <c r="AJ73" s="181"/>
      <c r="AK73" s="181"/>
      <c r="AL73" s="181"/>
      <c r="AM73" s="213"/>
      <c r="AN73" s="181"/>
      <c r="AO73" s="181"/>
      <c r="AP73" s="181"/>
      <c r="AQ73" s="181"/>
      <c r="AR73" s="181"/>
      <c r="AS73" s="181"/>
      <c r="AT73" s="181"/>
      <c r="AU73" s="181"/>
      <c r="AV73" s="199"/>
      <c r="AW73" s="181"/>
      <c r="AX73" s="181"/>
      <c r="AY73" s="243"/>
      <c r="AZ73" s="273" t="s">
        <v>107</v>
      </c>
      <c r="BA73" s="235">
        <v>2004</v>
      </c>
      <c r="BB73" s="107">
        <f>BC73*47%</f>
        <v>28.547799999999999</v>
      </c>
      <c r="BC73" s="93">
        <f t="shared" si="13"/>
        <v>60.74</v>
      </c>
      <c r="BD73" s="94">
        <f t="shared" si="13"/>
        <v>60.74</v>
      </c>
      <c r="BE73" s="92">
        <f t="shared" si="8"/>
        <v>0</v>
      </c>
      <c r="BF73" s="92">
        <f t="shared" si="9"/>
        <v>0</v>
      </c>
      <c r="BG73" s="95">
        <v>0</v>
      </c>
      <c r="BH73" s="105">
        <v>60.74</v>
      </c>
      <c r="BI73" s="23"/>
      <c r="BJ73" s="24"/>
      <c r="BK73" s="28"/>
      <c r="BL73" s="27"/>
      <c r="BM73" s="24"/>
      <c r="BN73" s="24"/>
      <c r="BO73" s="24"/>
      <c r="BP73" s="28"/>
      <c r="BQ73" s="27"/>
      <c r="BR73" s="28"/>
      <c r="BS73" s="23"/>
      <c r="BT73" s="24"/>
      <c r="BU73" s="24"/>
      <c r="BV73" s="24"/>
      <c r="BW73" s="24"/>
      <c r="BX73" s="24">
        <f>[49]zestawienie!$R$308</f>
        <v>60.74</v>
      </c>
      <c r="BY73" s="24"/>
      <c r="BZ73" s="24"/>
      <c r="CA73" s="24"/>
      <c r="CB73" s="24"/>
      <c r="CC73" s="25"/>
      <c r="CD73" s="27">
        <f t="shared" si="14"/>
        <v>60.74</v>
      </c>
      <c r="CE73" s="28">
        <f t="shared" si="15"/>
        <v>60.74</v>
      </c>
      <c r="CF73" s="23"/>
      <c r="CG73" s="24"/>
      <c r="CH73" s="25">
        <f>[49]zestawienie!$AD$308</f>
        <v>60.74</v>
      </c>
      <c r="CI73" s="29">
        <v>0</v>
      </c>
      <c r="CJ73" s="4" t="s">
        <v>101</v>
      </c>
      <c r="CK73" s="4" t="s">
        <v>102</v>
      </c>
      <c r="CL73" s="18" t="s">
        <v>103</v>
      </c>
      <c r="CM73" s="19" t="s">
        <v>104</v>
      </c>
    </row>
    <row r="74" spans="1:91" s="35" customFormat="1" ht="24.95" hidden="1" customHeight="1">
      <c r="A74" s="108">
        <f t="shared" si="6"/>
        <v>66</v>
      </c>
      <c r="B74" s="368">
        <v>2845</v>
      </c>
      <c r="C74" s="368">
        <v>214</v>
      </c>
      <c r="D74" s="106" t="s">
        <v>146</v>
      </c>
      <c r="E74" s="183"/>
      <c r="F74" s="183"/>
      <c r="G74" s="183"/>
      <c r="H74" s="183"/>
      <c r="I74" s="203">
        <v>0.5</v>
      </c>
      <c r="J74" s="183"/>
      <c r="K74" s="183"/>
      <c r="L74" s="183"/>
      <c r="M74" s="183"/>
      <c r="N74" s="183"/>
      <c r="O74" s="183"/>
      <c r="P74" s="183"/>
      <c r="Q74" s="183"/>
      <c r="R74" s="199"/>
      <c r="S74" s="124"/>
      <c r="T74" s="183"/>
      <c r="U74" s="183"/>
      <c r="V74" s="183"/>
      <c r="W74" s="303"/>
      <c r="X74" s="183"/>
      <c r="Y74" s="183"/>
      <c r="Z74" s="183"/>
      <c r="AA74" s="183"/>
      <c r="AB74" s="183"/>
      <c r="AC74" s="183"/>
      <c r="AD74" s="183"/>
      <c r="AE74" s="183"/>
      <c r="AF74" s="183"/>
      <c r="AG74" s="223">
        <v>0.25</v>
      </c>
      <c r="AH74" s="183"/>
      <c r="AI74" s="183"/>
      <c r="AJ74" s="183"/>
      <c r="AK74" s="183"/>
      <c r="AL74" s="183"/>
      <c r="AM74" s="230"/>
      <c r="AN74" s="183"/>
      <c r="AO74" s="183"/>
      <c r="AP74" s="183"/>
      <c r="AQ74" s="183"/>
      <c r="AR74" s="183"/>
      <c r="AS74" s="183"/>
      <c r="AT74" s="183"/>
      <c r="AU74" s="183"/>
      <c r="AV74" s="124"/>
      <c r="AW74" s="183"/>
      <c r="AX74" s="183"/>
      <c r="AY74" s="245"/>
      <c r="AZ74" s="273" t="s">
        <v>107</v>
      </c>
      <c r="BA74" s="125">
        <v>1981</v>
      </c>
      <c r="BB74" s="107">
        <v>10</v>
      </c>
      <c r="BC74" s="109">
        <v>0</v>
      </c>
      <c r="BD74" s="110">
        <v>0</v>
      </c>
      <c r="BE74" s="121">
        <f t="shared" si="8"/>
        <v>0</v>
      </c>
      <c r="BF74" s="121">
        <f t="shared" si="9"/>
        <v>0</v>
      </c>
      <c r="BG74" s="111"/>
      <c r="BH74" s="103"/>
      <c r="BI74" s="33"/>
      <c r="BJ74" s="31"/>
      <c r="BK74" s="32"/>
      <c r="BL74" s="30"/>
      <c r="BM74" s="31"/>
      <c r="BN74" s="31"/>
      <c r="BO74" s="31"/>
      <c r="BP74" s="32"/>
      <c r="BQ74" s="30"/>
      <c r="BR74" s="32"/>
      <c r="BS74" s="33"/>
      <c r="BT74" s="31"/>
      <c r="BU74" s="31"/>
      <c r="BV74" s="31"/>
      <c r="BW74" s="31"/>
      <c r="BX74" s="31">
        <v>0</v>
      </c>
      <c r="BY74" s="31"/>
      <c r="BZ74" s="31"/>
      <c r="CA74" s="31"/>
      <c r="CB74" s="31"/>
      <c r="CC74" s="34"/>
      <c r="CD74" s="30"/>
      <c r="CE74" s="32"/>
      <c r="CF74" s="33"/>
      <c r="CG74" s="31"/>
      <c r="CH74" s="34"/>
      <c r="CI74" s="40">
        <v>0</v>
      </c>
      <c r="CJ74" s="6" t="s">
        <v>101</v>
      </c>
      <c r="CK74" s="6" t="s">
        <v>102</v>
      </c>
      <c r="CL74" s="36" t="s">
        <v>103</v>
      </c>
      <c r="CM74" s="41" t="s">
        <v>104</v>
      </c>
    </row>
    <row r="75" spans="1:91" s="26" customFormat="1" ht="30" hidden="1">
      <c r="A75" s="89">
        <f t="shared" ref="A75:A137" si="16">A74+1</f>
        <v>67</v>
      </c>
      <c r="B75" s="90">
        <v>2845</v>
      </c>
      <c r="C75" s="90">
        <v>215</v>
      </c>
      <c r="D75" s="188" t="s">
        <v>142</v>
      </c>
      <c r="E75" s="181"/>
      <c r="F75" s="181"/>
      <c r="G75" s="181"/>
      <c r="H75" s="181"/>
      <c r="I75" s="203">
        <v>0.5</v>
      </c>
      <c r="J75" s="181"/>
      <c r="K75" s="181"/>
      <c r="L75" s="181"/>
      <c r="M75" s="181"/>
      <c r="N75" s="181"/>
      <c r="O75" s="181"/>
      <c r="P75" s="181"/>
      <c r="Q75" s="181"/>
      <c r="R75" s="199"/>
      <c r="S75" s="199"/>
      <c r="T75" s="181"/>
      <c r="U75" s="181"/>
      <c r="V75" s="181"/>
      <c r="W75" s="301"/>
      <c r="X75" s="181"/>
      <c r="Y75" s="194">
        <v>0.2</v>
      </c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213"/>
      <c r="AN75" s="181"/>
      <c r="AO75" s="181"/>
      <c r="AP75" s="181"/>
      <c r="AQ75" s="181"/>
      <c r="AR75" s="181"/>
      <c r="AS75" s="181"/>
      <c r="AT75" s="181"/>
      <c r="AU75" s="181"/>
      <c r="AV75" s="199"/>
      <c r="AW75" s="181"/>
      <c r="AX75" s="181"/>
      <c r="AY75" s="243"/>
      <c r="AZ75" s="273" t="s">
        <v>107</v>
      </c>
      <c r="BA75" s="235">
        <v>1994</v>
      </c>
      <c r="BB75" s="104">
        <v>77.459999999999994</v>
      </c>
      <c r="BC75" s="93">
        <f>CD75</f>
        <v>18.93</v>
      </c>
      <c r="BD75" s="94">
        <f>CE75</f>
        <v>18.93</v>
      </c>
      <c r="BE75" s="92">
        <f t="shared" si="8"/>
        <v>0</v>
      </c>
      <c r="BF75" s="92">
        <f t="shared" si="9"/>
        <v>0</v>
      </c>
      <c r="BG75" s="95">
        <v>29.06</v>
      </c>
      <c r="BH75" s="105">
        <v>44.26</v>
      </c>
      <c r="BI75" s="23"/>
      <c r="BJ75" s="24"/>
      <c r="BK75" s="28"/>
      <c r="BL75" s="27"/>
      <c r="BM75" s="24"/>
      <c r="BN75" s="24"/>
      <c r="BO75" s="24"/>
      <c r="BP75" s="28"/>
      <c r="BQ75" s="27"/>
      <c r="BR75" s="28"/>
      <c r="BS75" s="23"/>
      <c r="BT75" s="24"/>
      <c r="BU75" s="24"/>
      <c r="BV75" s="24"/>
      <c r="BW75" s="24"/>
      <c r="BX75" s="24">
        <f>[50]zestawienie!$R$308</f>
        <v>18.93</v>
      </c>
      <c r="BY75" s="24"/>
      <c r="BZ75" s="24"/>
      <c r="CA75" s="24"/>
      <c r="CB75" s="24"/>
      <c r="CC75" s="25"/>
      <c r="CD75" s="27">
        <f>SUM(BI75:CA75)</f>
        <v>18.93</v>
      </c>
      <c r="CE75" s="28">
        <f>SUM(BI75:BX75)</f>
        <v>18.93</v>
      </c>
      <c r="CF75" s="23">
        <f>[50]zestawienie!$AB$308</f>
        <v>19.420000000000002</v>
      </c>
      <c r="CG75" s="24">
        <f>[50]zestawienie!$AC$308</f>
        <v>10.130000000000001</v>
      </c>
      <c r="CH75" s="25">
        <f>[50]zestawienie!$AD$308</f>
        <v>13.864999999999998</v>
      </c>
      <c r="CI75" s="29">
        <v>0</v>
      </c>
      <c r="CJ75" s="4" t="s">
        <v>101</v>
      </c>
      <c r="CK75" s="4" t="s">
        <v>102</v>
      </c>
      <c r="CL75" s="18" t="s">
        <v>106</v>
      </c>
      <c r="CM75" s="19" t="s">
        <v>105</v>
      </c>
    </row>
    <row r="76" spans="1:91" s="26" customFormat="1" ht="24.95" hidden="1" customHeight="1">
      <c r="A76" s="89">
        <f t="shared" si="16"/>
        <v>68</v>
      </c>
      <c r="B76" s="90">
        <v>2845</v>
      </c>
      <c r="C76" s="90">
        <v>216</v>
      </c>
      <c r="D76" s="91" t="s">
        <v>76</v>
      </c>
      <c r="E76" s="181"/>
      <c r="F76" s="181"/>
      <c r="G76" s="181"/>
      <c r="H76" s="181"/>
      <c r="I76" s="203">
        <v>0.5</v>
      </c>
      <c r="J76" s="181"/>
      <c r="K76" s="181"/>
      <c r="L76" s="181"/>
      <c r="M76" s="181"/>
      <c r="N76" s="181"/>
      <c r="O76" s="181"/>
      <c r="P76" s="181"/>
      <c r="Q76" s="181"/>
      <c r="R76" s="199"/>
      <c r="S76" s="199"/>
      <c r="T76" s="181"/>
      <c r="U76" s="181"/>
      <c r="V76" s="181"/>
      <c r="W76" s="301"/>
      <c r="X76" s="181"/>
      <c r="Y76" s="181"/>
      <c r="Z76" s="181"/>
      <c r="AA76" s="181"/>
      <c r="AB76" s="181"/>
      <c r="AC76" s="181"/>
      <c r="AD76" s="181"/>
      <c r="AE76" s="181"/>
      <c r="AF76" s="181"/>
      <c r="AG76" s="203">
        <v>0.6</v>
      </c>
      <c r="AH76" s="181"/>
      <c r="AI76" s="181"/>
      <c r="AJ76" s="181"/>
      <c r="AK76" s="181"/>
      <c r="AL76" s="181"/>
      <c r="AM76" s="213"/>
      <c r="AN76" s="181"/>
      <c r="AO76" s="181"/>
      <c r="AP76" s="181"/>
      <c r="AQ76" s="181"/>
      <c r="AR76" s="181"/>
      <c r="AS76" s="181"/>
      <c r="AT76" s="181"/>
      <c r="AU76" s="181"/>
      <c r="AV76" s="199"/>
      <c r="AW76" s="181"/>
      <c r="AX76" s="181"/>
      <c r="AY76" s="243"/>
      <c r="AZ76" s="273" t="s">
        <v>107</v>
      </c>
      <c r="BA76" s="235">
        <v>1933</v>
      </c>
      <c r="BB76" s="104">
        <v>20146</v>
      </c>
      <c r="BC76" s="126">
        <v>13431</v>
      </c>
      <c r="BD76" s="127">
        <v>13431</v>
      </c>
      <c r="BE76" s="92">
        <f t="shared" si="8"/>
        <v>0</v>
      </c>
      <c r="BF76" s="92">
        <f t="shared" si="9"/>
        <v>0</v>
      </c>
      <c r="BG76" s="128"/>
      <c r="BH76" s="105"/>
      <c r="BI76" s="23"/>
      <c r="BJ76" s="24"/>
      <c r="BK76" s="28"/>
      <c r="BL76" s="27"/>
      <c r="BM76" s="24"/>
      <c r="BN76" s="24"/>
      <c r="BO76" s="24"/>
      <c r="BP76" s="28"/>
      <c r="BQ76" s="27"/>
      <c r="BR76" s="28"/>
      <c r="BS76" s="23"/>
      <c r="BT76" s="24"/>
      <c r="BU76" s="24"/>
      <c r="BV76" s="24"/>
      <c r="BW76" s="24"/>
      <c r="BX76" s="31">
        <v>13431</v>
      </c>
      <c r="BY76" s="24"/>
      <c r="BZ76" s="24"/>
      <c r="CA76" s="24"/>
      <c r="CB76" s="24"/>
      <c r="CC76" s="25"/>
      <c r="CD76" s="27"/>
      <c r="CE76" s="28"/>
      <c r="CF76" s="23"/>
      <c r="CG76" s="24"/>
      <c r="CH76" s="25"/>
      <c r="CI76" s="29">
        <v>0</v>
      </c>
      <c r="CJ76" s="4" t="s">
        <v>101</v>
      </c>
      <c r="CK76" s="4" t="s">
        <v>102</v>
      </c>
      <c r="CL76" s="18" t="s">
        <v>106</v>
      </c>
      <c r="CM76" s="19" t="s">
        <v>105</v>
      </c>
    </row>
    <row r="77" spans="1:91" s="26" customFormat="1" ht="24.95" hidden="1" customHeight="1">
      <c r="A77" s="89">
        <f t="shared" si="16"/>
        <v>69</v>
      </c>
      <c r="B77" s="90">
        <v>2845</v>
      </c>
      <c r="C77" s="90">
        <v>217</v>
      </c>
      <c r="D77" s="91" t="s">
        <v>145</v>
      </c>
      <c r="E77" s="181"/>
      <c r="F77" s="181"/>
      <c r="G77" s="181"/>
      <c r="H77" s="181"/>
      <c r="I77" s="203">
        <v>0.5</v>
      </c>
      <c r="J77" s="181"/>
      <c r="K77" s="181"/>
      <c r="L77" s="181"/>
      <c r="M77" s="181"/>
      <c r="N77" s="181"/>
      <c r="O77" s="181"/>
      <c r="P77" s="181"/>
      <c r="Q77" s="181"/>
      <c r="R77" s="199"/>
      <c r="S77" s="199"/>
      <c r="T77" s="181"/>
      <c r="U77" s="181"/>
      <c r="V77" s="181"/>
      <c r="W77" s="30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212">
        <v>0.25</v>
      </c>
      <c r="AM77" s="213"/>
      <c r="AN77" s="181"/>
      <c r="AO77" s="181"/>
      <c r="AP77" s="181"/>
      <c r="AQ77" s="181"/>
      <c r="AR77" s="181"/>
      <c r="AS77" s="181"/>
      <c r="AT77" s="181"/>
      <c r="AU77" s="181"/>
      <c r="AV77" s="199"/>
      <c r="AW77" s="181"/>
      <c r="AX77" s="181"/>
      <c r="AY77" s="243"/>
      <c r="AZ77" s="273" t="s">
        <v>107</v>
      </c>
      <c r="BA77" s="235">
        <v>1993</v>
      </c>
      <c r="BB77" s="104">
        <v>121.35</v>
      </c>
      <c r="BC77" s="93">
        <f>CD77</f>
        <v>34.369999999999997</v>
      </c>
      <c r="BD77" s="94">
        <f>CE77</f>
        <v>34.369999999999997</v>
      </c>
      <c r="BE77" s="92">
        <f t="shared" si="8"/>
        <v>0</v>
      </c>
      <c r="BF77" s="92">
        <f t="shared" si="9"/>
        <v>0</v>
      </c>
      <c r="BG77" s="95">
        <v>66.709999999999994</v>
      </c>
      <c r="BH77" s="105">
        <v>49.73</v>
      </c>
      <c r="BI77" s="23"/>
      <c r="BJ77" s="24"/>
      <c r="BK77" s="28"/>
      <c r="BL77" s="27"/>
      <c r="BM77" s="24"/>
      <c r="BN77" s="24"/>
      <c r="BO77" s="24"/>
      <c r="BP77" s="28"/>
      <c r="BQ77" s="27"/>
      <c r="BR77" s="28"/>
      <c r="BS77" s="23"/>
      <c r="BT77" s="24"/>
      <c r="BU77" s="24"/>
      <c r="BV77" s="24"/>
      <c r="BW77" s="24"/>
      <c r="BX77" s="24">
        <f>[51]zestawienie!$R$308</f>
        <v>34.369999999999997</v>
      </c>
      <c r="BY77" s="24"/>
      <c r="BZ77" s="24"/>
      <c r="CA77" s="24"/>
      <c r="CB77" s="24"/>
      <c r="CC77" s="25"/>
      <c r="CD77" s="27">
        <f t="shared" ref="CD77:CD102" si="17">SUM(BI77:CA77)</f>
        <v>34.369999999999997</v>
      </c>
      <c r="CE77" s="28">
        <f t="shared" ref="CE77:CE102" si="18">SUM(BI77:BX77)</f>
        <v>34.369999999999997</v>
      </c>
      <c r="CF77" s="23"/>
      <c r="CG77" s="24">
        <f>[51]zestawienie!$AC$308</f>
        <v>5.99</v>
      </c>
      <c r="CH77" s="25">
        <f>[51]zestawienie!$AD$308</f>
        <v>31.374999999999996</v>
      </c>
      <c r="CI77" s="29">
        <v>0</v>
      </c>
      <c r="CJ77" s="4" t="s">
        <v>101</v>
      </c>
      <c r="CK77" s="4" t="s">
        <v>102</v>
      </c>
      <c r="CL77" s="18" t="s">
        <v>106</v>
      </c>
      <c r="CM77" s="19" t="s">
        <v>105</v>
      </c>
    </row>
    <row r="78" spans="1:91" s="35" customFormat="1" ht="24.95" hidden="1" customHeight="1">
      <c r="A78" s="108">
        <f t="shared" si="16"/>
        <v>70</v>
      </c>
      <c r="B78" s="368">
        <v>2845</v>
      </c>
      <c r="C78" s="368">
        <v>218</v>
      </c>
      <c r="D78" s="106" t="s">
        <v>77</v>
      </c>
      <c r="E78" s="183"/>
      <c r="F78" s="183"/>
      <c r="G78" s="183"/>
      <c r="H78" s="183"/>
      <c r="I78" s="203">
        <v>0.5</v>
      </c>
      <c r="J78" s="183"/>
      <c r="K78" s="183"/>
      <c r="L78" s="183"/>
      <c r="M78" s="183"/>
      <c r="N78" s="183"/>
      <c r="O78" s="183"/>
      <c r="P78" s="183"/>
      <c r="Q78" s="183"/>
      <c r="R78" s="199"/>
      <c r="S78" s="124"/>
      <c r="T78" s="183"/>
      <c r="U78" s="183"/>
      <c r="V78" s="183"/>
      <c r="W78" s="303"/>
      <c r="X78" s="183"/>
      <c r="Y78" s="183"/>
      <c r="Z78" s="183"/>
      <c r="AA78" s="183"/>
      <c r="AB78" s="183"/>
      <c r="AC78" s="183"/>
      <c r="AD78" s="183"/>
      <c r="AE78" s="183"/>
      <c r="AF78" s="453">
        <v>0.5</v>
      </c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24"/>
      <c r="AW78" s="183"/>
      <c r="AX78" s="183"/>
      <c r="AY78" s="245"/>
      <c r="AZ78" s="273" t="s">
        <v>107</v>
      </c>
      <c r="BA78" s="125">
        <v>1975</v>
      </c>
      <c r="BB78" s="107">
        <v>25</v>
      </c>
      <c r="BC78" s="109">
        <v>0</v>
      </c>
      <c r="BD78" s="110">
        <v>0</v>
      </c>
      <c r="BE78" s="121">
        <f t="shared" si="8"/>
        <v>0</v>
      </c>
      <c r="BF78" s="121">
        <f t="shared" si="9"/>
        <v>0</v>
      </c>
      <c r="BG78" s="111"/>
      <c r="BH78" s="103"/>
      <c r="BI78" s="33"/>
      <c r="BJ78" s="31"/>
      <c r="BK78" s="32"/>
      <c r="BL78" s="30"/>
      <c r="BM78" s="31"/>
      <c r="BN78" s="31"/>
      <c r="BO78" s="31"/>
      <c r="BP78" s="32"/>
      <c r="BQ78" s="30"/>
      <c r="BR78" s="32"/>
      <c r="BS78" s="33"/>
      <c r="BT78" s="31"/>
      <c r="BU78" s="31"/>
      <c r="BV78" s="31"/>
      <c r="BW78" s="31"/>
      <c r="BX78" s="31">
        <v>0</v>
      </c>
      <c r="BY78" s="31"/>
      <c r="BZ78" s="31"/>
      <c r="CA78" s="31"/>
      <c r="CB78" s="31"/>
      <c r="CC78" s="34"/>
      <c r="CD78" s="30">
        <f t="shared" si="17"/>
        <v>0</v>
      </c>
      <c r="CE78" s="32">
        <f t="shared" si="18"/>
        <v>0</v>
      </c>
      <c r="CF78" s="33"/>
      <c r="CG78" s="31"/>
      <c r="CH78" s="34"/>
      <c r="CI78" s="40">
        <v>0</v>
      </c>
      <c r="CJ78" s="6" t="s">
        <v>101</v>
      </c>
      <c r="CK78" s="6" t="s">
        <v>102</v>
      </c>
      <c r="CL78" s="36" t="s">
        <v>103</v>
      </c>
      <c r="CM78" s="41" t="s">
        <v>104</v>
      </c>
    </row>
    <row r="79" spans="1:91" s="35" customFormat="1" ht="24.95" hidden="1" customHeight="1">
      <c r="A79" s="108">
        <f t="shared" si="16"/>
        <v>71</v>
      </c>
      <c r="B79" s="368">
        <v>2845</v>
      </c>
      <c r="C79" s="368">
        <v>219</v>
      </c>
      <c r="D79" s="106" t="s">
        <v>77</v>
      </c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203">
        <v>0.5</v>
      </c>
      <c r="S79" s="124"/>
      <c r="T79" s="183"/>
      <c r="U79" s="183"/>
      <c r="V79" s="183"/>
      <c r="W79" s="303"/>
      <c r="X79" s="183"/>
      <c r="Y79" s="183"/>
      <c r="Z79" s="183"/>
      <c r="AA79" s="183"/>
      <c r="AB79" s="183"/>
      <c r="AC79" s="183"/>
      <c r="AD79" s="183"/>
      <c r="AE79" s="183"/>
      <c r="AF79" s="574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24"/>
      <c r="AW79" s="183"/>
      <c r="AX79" s="183"/>
      <c r="AY79" s="245"/>
      <c r="AZ79" s="273" t="s">
        <v>107</v>
      </c>
      <c r="BA79" s="125">
        <v>1975</v>
      </c>
      <c r="BB79" s="107">
        <v>25</v>
      </c>
      <c r="BC79" s="109">
        <v>0</v>
      </c>
      <c r="BD79" s="110">
        <v>0</v>
      </c>
      <c r="BE79" s="121">
        <f t="shared" si="8"/>
        <v>0</v>
      </c>
      <c r="BF79" s="121">
        <f t="shared" si="9"/>
        <v>0</v>
      </c>
      <c r="BG79" s="111"/>
      <c r="BH79" s="103"/>
      <c r="BI79" s="33"/>
      <c r="BJ79" s="31"/>
      <c r="BK79" s="32"/>
      <c r="BL79" s="30"/>
      <c r="BM79" s="31"/>
      <c r="BN79" s="31"/>
      <c r="BO79" s="31"/>
      <c r="BP79" s="32"/>
      <c r="BQ79" s="30"/>
      <c r="BR79" s="32"/>
      <c r="BS79" s="33"/>
      <c r="BT79" s="31"/>
      <c r="BU79" s="31"/>
      <c r="BV79" s="31"/>
      <c r="BW79" s="31"/>
      <c r="BX79" s="31">
        <v>0</v>
      </c>
      <c r="BY79" s="31"/>
      <c r="BZ79" s="31"/>
      <c r="CA79" s="31"/>
      <c r="CB79" s="31"/>
      <c r="CC79" s="34"/>
      <c r="CD79" s="30">
        <f t="shared" si="17"/>
        <v>0</v>
      </c>
      <c r="CE79" s="32">
        <f t="shared" si="18"/>
        <v>0</v>
      </c>
      <c r="CF79" s="33"/>
      <c r="CG79" s="31"/>
      <c r="CH79" s="34"/>
      <c r="CI79" s="40">
        <v>0</v>
      </c>
      <c r="CJ79" s="6" t="s">
        <v>101</v>
      </c>
      <c r="CK79" s="6" t="s">
        <v>102</v>
      </c>
      <c r="CL79" s="36" t="s">
        <v>103</v>
      </c>
      <c r="CM79" s="41" t="s">
        <v>104</v>
      </c>
    </row>
    <row r="80" spans="1:91" s="35" customFormat="1" ht="24.95" hidden="1" customHeight="1">
      <c r="A80" s="108">
        <f t="shared" si="16"/>
        <v>72</v>
      </c>
      <c r="B80" s="368">
        <v>2845</v>
      </c>
      <c r="C80" s="368">
        <v>220</v>
      </c>
      <c r="D80" s="106" t="s">
        <v>77</v>
      </c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203">
        <v>0.5</v>
      </c>
      <c r="S80" s="124"/>
      <c r="T80" s="183"/>
      <c r="U80" s="183"/>
      <c r="V80" s="183"/>
      <c r="W80" s="303"/>
      <c r="X80" s="183"/>
      <c r="Y80" s="183"/>
      <c r="Z80" s="183"/>
      <c r="AA80" s="183"/>
      <c r="AB80" s="183"/>
      <c r="AC80" s="183"/>
      <c r="AD80" s="183"/>
      <c r="AE80" s="183"/>
      <c r="AF80" s="574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24"/>
      <c r="AW80" s="183"/>
      <c r="AX80" s="183"/>
      <c r="AY80" s="245"/>
      <c r="AZ80" s="273" t="s">
        <v>107</v>
      </c>
      <c r="BA80" s="125">
        <v>1975</v>
      </c>
      <c r="BB80" s="107">
        <v>25</v>
      </c>
      <c r="BC80" s="109">
        <v>0</v>
      </c>
      <c r="BD80" s="110">
        <v>0</v>
      </c>
      <c r="BE80" s="121">
        <f t="shared" si="8"/>
        <v>0</v>
      </c>
      <c r="BF80" s="121">
        <f t="shared" si="9"/>
        <v>0</v>
      </c>
      <c r="BG80" s="111"/>
      <c r="BH80" s="103"/>
      <c r="BI80" s="33"/>
      <c r="BJ80" s="31"/>
      <c r="BK80" s="32"/>
      <c r="BL80" s="30"/>
      <c r="BM80" s="31"/>
      <c r="BN80" s="31"/>
      <c r="BO80" s="31"/>
      <c r="BP80" s="32"/>
      <c r="BQ80" s="30"/>
      <c r="BR80" s="32"/>
      <c r="BS80" s="33"/>
      <c r="BT80" s="31"/>
      <c r="BU80" s="31"/>
      <c r="BV80" s="31"/>
      <c r="BW80" s="31"/>
      <c r="BX80" s="31">
        <v>0</v>
      </c>
      <c r="BY80" s="31"/>
      <c r="BZ80" s="31"/>
      <c r="CA80" s="31"/>
      <c r="CB80" s="31"/>
      <c r="CC80" s="34"/>
      <c r="CD80" s="30">
        <f t="shared" si="17"/>
        <v>0</v>
      </c>
      <c r="CE80" s="32">
        <f t="shared" si="18"/>
        <v>0</v>
      </c>
      <c r="CF80" s="33"/>
      <c r="CG80" s="31"/>
      <c r="CH80" s="34"/>
      <c r="CI80" s="40">
        <v>0</v>
      </c>
      <c r="CJ80" s="6" t="s">
        <v>101</v>
      </c>
      <c r="CK80" s="6" t="s">
        <v>102</v>
      </c>
      <c r="CL80" s="36" t="s">
        <v>103</v>
      </c>
      <c r="CM80" s="41" t="s">
        <v>104</v>
      </c>
    </row>
    <row r="81" spans="1:91" s="35" customFormat="1" ht="24.95" hidden="1" customHeight="1">
      <c r="A81" s="108">
        <f t="shared" si="16"/>
        <v>73</v>
      </c>
      <c r="B81" s="368">
        <v>2845</v>
      </c>
      <c r="C81" s="368">
        <v>221</v>
      </c>
      <c r="D81" s="106" t="s">
        <v>77</v>
      </c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203">
        <v>0.5</v>
      </c>
      <c r="S81" s="124"/>
      <c r="T81" s="183"/>
      <c r="U81" s="183"/>
      <c r="V81" s="183"/>
      <c r="W81" s="303"/>
      <c r="X81" s="183"/>
      <c r="Y81" s="183"/>
      <c r="Z81" s="183"/>
      <c r="AA81" s="183"/>
      <c r="AB81" s="183"/>
      <c r="AC81" s="183"/>
      <c r="AD81" s="183"/>
      <c r="AE81" s="183"/>
      <c r="AF81" s="574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24"/>
      <c r="AW81" s="183"/>
      <c r="AX81" s="183"/>
      <c r="AY81" s="245"/>
      <c r="AZ81" s="273" t="s">
        <v>107</v>
      </c>
      <c r="BA81" s="125">
        <v>1975</v>
      </c>
      <c r="BB81" s="107">
        <v>25</v>
      </c>
      <c r="BC81" s="109">
        <v>0</v>
      </c>
      <c r="BD81" s="110">
        <v>0</v>
      </c>
      <c r="BE81" s="121">
        <f t="shared" si="8"/>
        <v>0</v>
      </c>
      <c r="BF81" s="121">
        <f t="shared" si="9"/>
        <v>0</v>
      </c>
      <c r="BG81" s="111"/>
      <c r="BH81" s="103"/>
      <c r="BI81" s="33"/>
      <c r="BJ81" s="31"/>
      <c r="BK81" s="32"/>
      <c r="BL81" s="30"/>
      <c r="BM81" s="31"/>
      <c r="BN81" s="31"/>
      <c r="BO81" s="31"/>
      <c r="BP81" s="32"/>
      <c r="BQ81" s="30"/>
      <c r="BR81" s="32"/>
      <c r="BS81" s="33"/>
      <c r="BT81" s="31"/>
      <c r="BU81" s="31"/>
      <c r="BV81" s="31"/>
      <c r="BW81" s="31"/>
      <c r="BX81" s="31">
        <v>0</v>
      </c>
      <c r="BY81" s="31"/>
      <c r="BZ81" s="31"/>
      <c r="CA81" s="31"/>
      <c r="CB81" s="31"/>
      <c r="CC81" s="34"/>
      <c r="CD81" s="30">
        <f t="shared" si="17"/>
        <v>0</v>
      </c>
      <c r="CE81" s="32">
        <f t="shared" si="18"/>
        <v>0</v>
      </c>
      <c r="CF81" s="33"/>
      <c r="CG81" s="31"/>
      <c r="CH81" s="34"/>
      <c r="CI81" s="40">
        <v>0</v>
      </c>
      <c r="CJ81" s="6" t="s">
        <v>101</v>
      </c>
      <c r="CK81" s="6" t="s">
        <v>102</v>
      </c>
      <c r="CL81" s="36" t="s">
        <v>103</v>
      </c>
      <c r="CM81" s="41" t="s">
        <v>104</v>
      </c>
    </row>
    <row r="82" spans="1:91" s="35" customFormat="1" ht="24.95" hidden="1" customHeight="1">
      <c r="A82" s="108">
        <f t="shared" si="16"/>
        <v>74</v>
      </c>
      <c r="B82" s="368">
        <v>2845</v>
      </c>
      <c r="C82" s="368">
        <v>222</v>
      </c>
      <c r="D82" s="106" t="s">
        <v>77</v>
      </c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203">
        <v>0.5</v>
      </c>
      <c r="S82" s="124"/>
      <c r="T82" s="183"/>
      <c r="U82" s="183"/>
      <c r="V82" s="183"/>
      <c r="W82" s="303"/>
      <c r="X82" s="183"/>
      <c r="Y82" s="183"/>
      <c r="Z82" s="183"/>
      <c r="AA82" s="183"/>
      <c r="AB82" s="183"/>
      <c r="AC82" s="183"/>
      <c r="AD82" s="183"/>
      <c r="AE82" s="183"/>
      <c r="AF82" s="574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24"/>
      <c r="AW82" s="183"/>
      <c r="AX82" s="183"/>
      <c r="AY82" s="245"/>
      <c r="AZ82" s="273" t="s">
        <v>107</v>
      </c>
      <c r="BA82" s="125">
        <v>1975</v>
      </c>
      <c r="BB82" s="107">
        <v>25</v>
      </c>
      <c r="BC82" s="109">
        <v>0</v>
      </c>
      <c r="BD82" s="110">
        <v>0</v>
      </c>
      <c r="BE82" s="121">
        <f t="shared" si="8"/>
        <v>0</v>
      </c>
      <c r="BF82" s="121">
        <f t="shared" si="9"/>
        <v>0</v>
      </c>
      <c r="BG82" s="111"/>
      <c r="BH82" s="103"/>
      <c r="BI82" s="33"/>
      <c r="BJ82" s="31"/>
      <c r="BK82" s="32"/>
      <c r="BL82" s="30"/>
      <c r="BM82" s="31"/>
      <c r="BN82" s="31"/>
      <c r="BO82" s="31"/>
      <c r="BP82" s="32"/>
      <c r="BQ82" s="30"/>
      <c r="BR82" s="32"/>
      <c r="BS82" s="33"/>
      <c r="BT82" s="31"/>
      <c r="BU82" s="31"/>
      <c r="BV82" s="31"/>
      <c r="BW82" s="31"/>
      <c r="BX82" s="31">
        <v>0</v>
      </c>
      <c r="BY82" s="31"/>
      <c r="BZ82" s="31"/>
      <c r="CA82" s="31"/>
      <c r="CB82" s="31"/>
      <c r="CC82" s="34"/>
      <c r="CD82" s="30">
        <f t="shared" si="17"/>
        <v>0</v>
      </c>
      <c r="CE82" s="32">
        <f t="shared" si="18"/>
        <v>0</v>
      </c>
      <c r="CF82" s="33"/>
      <c r="CG82" s="31"/>
      <c r="CH82" s="34"/>
      <c r="CI82" s="40">
        <v>0</v>
      </c>
      <c r="CJ82" s="6" t="s">
        <v>101</v>
      </c>
      <c r="CK82" s="6" t="s">
        <v>102</v>
      </c>
      <c r="CL82" s="36" t="s">
        <v>103</v>
      </c>
      <c r="CM82" s="41" t="s">
        <v>104</v>
      </c>
    </row>
    <row r="83" spans="1:91" s="35" customFormat="1" ht="24.95" hidden="1" customHeight="1">
      <c r="A83" s="108">
        <f t="shared" si="16"/>
        <v>75</v>
      </c>
      <c r="B83" s="368">
        <v>2845</v>
      </c>
      <c r="C83" s="368">
        <v>223</v>
      </c>
      <c r="D83" s="106" t="s">
        <v>77</v>
      </c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203">
        <v>0.5</v>
      </c>
      <c r="S83" s="124"/>
      <c r="T83" s="183"/>
      <c r="U83" s="183"/>
      <c r="V83" s="183"/>
      <c r="W83" s="303"/>
      <c r="X83" s="183"/>
      <c r="Y83" s="183"/>
      <c r="Z83" s="183"/>
      <c r="AA83" s="183"/>
      <c r="AB83" s="183"/>
      <c r="AC83" s="183"/>
      <c r="AD83" s="183"/>
      <c r="AE83" s="183"/>
      <c r="AF83" s="454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24"/>
      <c r="AW83" s="183"/>
      <c r="AX83" s="183"/>
      <c r="AY83" s="245"/>
      <c r="AZ83" s="273" t="s">
        <v>107</v>
      </c>
      <c r="BA83" s="125">
        <v>1975</v>
      </c>
      <c r="BB83" s="107">
        <v>25</v>
      </c>
      <c r="BC83" s="109">
        <v>0</v>
      </c>
      <c r="BD83" s="110">
        <v>0</v>
      </c>
      <c r="BE83" s="121">
        <f t="shared" ref="BE83:BE102" si="19">BY83</f>
        <v>0</v>
      </c>
      <c r="BF83" s="121">
        <f t="shared" ref="BF83:BF104" si="20">BZ83+CA83</f>
        <v>0</v>
      </c>
      <c r="BG83" s="111"/>
      <c r="BH83" s="103"/>
      <c r="BI83" s="33"/>
      <c r="BJ83" s="31"/>
      <c r="BK83" s="32"/>
      <c r="BL83" s="30"/>
      <c r="BM83" s="31"/>
      <c r="BN83" s="31"/>
      <c r="BO83" s="31"/>
      <c r="BP83" s="32"/>
      <c r="BQ83" s="30"/>
      <c r="BR83" s="32"/>
      <c r="BS83" s="33"/>
      <c r="BT83" s="31"/>
      <c r="BU83" s="31"/>
      <c r="BV83" s="31"/>
      <c r="BW83" s="31"/>
      <c r="BX83" s="31">
        <v>0</v>
      </c>
      <c r="BY83" s="31"/>
      <c r="BZ83" s="31"/>
      <c r="CA83" s="31"/>
      <c r="CB83" s="31"/>
      <c r="CC83" s="34"/>
      <c r="CD83" s="30">
        <f t="shared" si="17"/>
        <v>0</v>
      </c>
      <c r="CE83" s="32">
        <f t="shared" si="18"/>
        <v>0</v>
      </c>
      <c r="CF83" s="33"/>
      <c r="CG83" s="31"/>
      <c r="CH83" s="34"/>
      <c r="CI83" s="40">
        <v>0</v>
      </c>
      <c r="CJ83" s="6" t="s">
        <v>101</v>
      </c>
      <c r="CK83" s="6" t="s">
        <v>102</v>
      </c>
      <c r="CL83" s="36" t="s">
        <v>103</v>
      </c>
      <c r="CM83" s="41" t="s">
        <v>104</v>
      </c>
    </row>
    <row r="84" spans="1:91" s="35" customFormat="1" ht="24.95" hidden="1" customHeight="1">
      <c r="A84" s="108">
        <f t="shared" si="16"/>
        <v>76</v>
      </c>
      <c r="B84" s="368">
        <v>2845</v>
      </c>
      <c r="C84" s="368">
        <v>224</v>
      </c>
      <c r="D84" s="106" t="s">
        <v>77</v>
      </c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203">
        <v>0.5</v>
      </c>
      <c r="S84" s="124"/>
      <c r="T84" s="183"/>
      <c r="U84" s="183"/>
      <c r="V84" s="183"/>
      <c r="W84" s="571">
        <v>0.5</v>
      </c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24"/>
      <c r="AW84" s="183"/>
      <c r="AX84" s="183"/>
      <c r="AY84" s="245"/>
      <c r="AZ84" s="273" t="s">
        <v>107</v>
      </c>
      <c r="BA84" s="125">
        <v>1975</v>
      </c>
      <c r="BB84" s="107">
        <v>15</v>
      </c>
      <c r="BC84" s="109">
        <v>0</v>
      </c>
      <c r="BD84" s="110">
        <v>0</v>
      </c>
      <c r="BE84" s="121">
        <f t="shared" si="19"/>
        <v>0</v>
      </c>
      <c r="BF84" s="121">
        <f t="shared" si="20"/>
        <v>0</v>
      </c>
      <c r="BG84" s="111"/>
      <c r="BH84" s="103"/>
      <c r="BI84" s="33"/>
      <c r="BJ84" s="31"/>
      <c r="BK84" s="32"/>
      <c r="BL84" s="30"/>
      <c r="BM84" s="31"/>
      <c r="BN84" s="31"/>
      <c r="BO84" s="31"/>
      <c r="BP84" s="32"/>
      <c r="BQ84" s="30"/>
      <c r="BR84" s="32"/>
      <c r="BS84" s="33"/>
      <c r="BT84" s="31"/>
      <c r="BU84" s="31"/>
      <c r="BV84" s="31"/>
      <c r="BW84" s="31"/>
      <c r="BX84" s="31">
        <v>0</v>
      </c>
      <c r="BY84" s="31"/>
      <c r="BZ84" s="31"/>
      <c r="CA84" s="31"/>
      <c r="CB84" s="31"/>
      <c r="CC84" s="34"/>
      <c r="CD84" s="30">
        <f t="shared" si="17"/>
        <v>0</v>
      </c>
      <c r="CE84" s="32">
        <f t="shared" si="18"/>
        <v>0</v>
      </c>
      <c r="CF84" s="33"/>
      <c r="CG84" s="31"/>
      <c r="CH84" s="34"/>
      <c r="CI84" s="40">
        <v>0</v>
      </c>
      <c r="CJ84" s="6" t="s">
        <v>101</v>
      </c>
      <c r="CK84" s="6" t="s">
        <v>102</v>
      </c>
      <c r="CL84" s="36" t="s">
        <v>103</v>
      </c>
      <c r="CM84" s="41" t="s">
        <v>104</v>
      </c>
    </row>
    <row r="85" spans="1:91" s="35" customFormat="1" ht="24.95" hidden="1" customHeight="1">
      <c r="A85" s="108">
        <f t="shared" si="16"/>
        <v>77</v>
      </c>
      <c r="B85" s="368">
        <v>2845</v>
      </c>
      <c r="C85" s="368">
        <v>225</v>
      </c>
      <c r="D85" s="106" t="s">
        <v>77</v>
      </c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203">
        <v>0.5</v>
      </c>
      <c r="S85" s="124"/>
      <c r="T85" s="183"/>
      <c r="U85" s="183"/>
      <c r="V85" s="183"/>
      <c r="W85" s="572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24"/>
      <c r="AW85" s="183"/>
      <c r="AX85" s="183"/>
      <c r="AY85" s="245"/>
      <c r="AZ85" s="273" t="s">
        <v>107</v>
      </c>
      <c r="BA85" s="125">
        <v>1975</v>
      </c>
      <c r="BB85" s="107">
        <v>15</v>
      </c>
      <c r="BC85" s="109">
        <v>0</v>
      </c>
      <c r="BD85" s="110">
        <v>0</v>
      </c>
      <c r="BE85" s="121">
        <f t="shared" si="19"/>
        <v>0</v>
      </c>
      <c r="BF85" s="121">
        <f t="shared" si="20"/>
        <v>0</v>
      </c>
      <c r="BG85" s="111"/>
      <c r="BH85" s="103"/>
      <c r="BI85" s="33"/>
      <c r="BJ85" s="31"/>
      <c r="BK85" s="32"/>
      <c r="BL85" s="30"/>
      <c r="BM85" s="31"/>
      <c r="BN85" s="31"/>
      <c r="BO85" s="31"/>
      <c r="BP85" s="32"/>
      <c r="BQ85" s="30"/>
      <c r="BR85" s="32"/>
      <c r="BS85" s="33"/>
      <c r="BT85" s="31"/>
      <c r="BU85" s="31"/>
      <c r="BV85" s="31"/>
      <c r="BW85" s="31"/>
      <c r="BX85" s="31">
        <v>0</v>
      </c>
      <c r="BY85" s="31"/>
      <c r="BZ85" s="31"/>
      <c r="CA85" s="31"/>
      <c r="CB85" s="31"/>
      <c r="CC85" s="34"/>
      <c r="CD85" s="30">
        <f t="shared" si="17"/>
        <v>0</v>
      </c>
      <c r="CE85" s="32">
        <f t="shared" si="18"/>
        <v>0</v>
      </c>
      <c r="CF85" s="33"/>
      <c r="CG85" s="31"/>
      <c r="CH85" s="34"/>
      <c r="CI85" s="40">
        <v>0</v>
      </c>
      <c r="CJ85" s="6" t="s">
        <v>101</v>
      </c>
      <c r="CK85" s="6" t="s">
        <v>102</v>
      </c>
      <c r="CL85" s="36" t="s">
        <v>103</v>
      </c>
      <c r="CM85" s="41" t="s">
        <v>104</v>
      </c>
    </row>
    <row r="86" spans="1:91" s="35" customFormat="1" ht="24.95" hidden="1" customHeight="1">
      <c r="A86" s="108">
        <f t="shared" si="16"/>
        <v>78</v>
      </c>
      <c r="B86" s="368">
        <v>2845</v>
      </c>
      <c r="C86" s="368">
        <v>226</v>
      </c>
      <c r="D86" s="106" t="s">
        <v>77</v>
      </c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203">
        <v>0.5</v>
      </c>
      <c r="S86" s="124"/>
      <c r="T86" s="183"/>
      <c r="U86" s="183"/>
      <c r="V86" s="183"/>
      <c r="W86" s="572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24"/>
      <c r="AW86" s="183"/>
      <c r="AX86" s="183"/>
      <c r="AY86" s="245"/>
      <c r="AZ86" s="273" t="s">
        <v>107</v>
      </c>
      <c r="BA86" s="125">
        <v>1975</v>
      </c>
      <c r="BB86" s="107">
        <v>25</v>
      </c>
      <c r="BC86" s="109">
        <v>0</v>
      </c>
      <c r="BD86" s="110">
        <v>0</v>
      </c>
      <c r="BE86" s="121">
        <f t="shared" si="19"/>
        <v>0</v>
      </c>
      <c r="BF86" s="121">
        <f t="shared" si="20"/>
        <v>0</v>
      </c>
      <c r="BG86" s="111"/>
      <c r="BH86" s="103"/>
      <c r="BI86" s="33"/>
      <c r="BJ86" s="31"/>
      <c r="BK86" s="32"/>
      <c r="BL86" s="30"/>
      <c r="BM86" s="31"/>
      <c r="BN86" s="31"/>
      <c r="BO86" s="31"/>
      <c r="BP86" s="32"/>
      <c r="BQ86" s="30"/>
      <c r="BR86" s="32"/>
      <c r="BS86" s="33"/>
      <c r="BT86" s="31"/>
      <c r="BU86" s="31"/>
      <c r="BV86" s="31"/>
      <c r="BW86" s="31"/>
      <c r="BX86" s="31">
        <v>0</v>
      </c>
      <c r="BY86" s="31"/>
      <c r="BZ86" s="31"/>
      <c r="CA86" s="31"/>
      <c r="CB86" s="31"/>
      <c r="CC86" s="34"/>
      <c r="CD86" s="30">
        <f t="shared" si="17"/>
        <v>0</v>
      </c>
      <c r="CE86" s="32">
        <f t="shared" si="18"/>
        <v>0</v>
      </c>
      <c r="CF86" s="33"/>
      <c r="CG86" s="31"/>
      <c r="CH86" s="34"/>
      <c r="CI86" s="40">
        <v>0</v>
      </c>
      <c r="CJ86" s="6" t="s">
        <v>101</v>
      </c>
      <c r="CK86" s="6" t="s">
        <v>102</v>
      </c>
      <c r="CL86" s="36" t="s">
        <v>103</v>
      </c>
      <c r="CM86" s="41" t="s">
        <v>104</v>
      </c>
    </row>
    <row r="87" spans="1:91" s="35" customFormat="1" ht="24.95" hidden="1" customHeight="1">
      <c r="A87" s="108">
        <f t="shared" si="16"/>
        <v>79</v>
      </c>
      <c r="B87" s="368">
        <v>2845</v>
      </c>
      <c r="C87" s="368">
        <v>227</v>
      </c>
      <c r="D87" s="106" t="s">
        <v>77</v>
      </c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203">
        <v>0.5</v>
      </c>
      <c r="S87" s="124"/>
      <c r="T87" s="183"/>
      <c r="U87" s="183"/>
      <c r="V87" s="183"/>
      <c r="W87" s="572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24"/>
      <c r="AW87" s="183"/>
      <c r="AX87" s="183"/>
      <c r="AY87" s="245"/>
      <c r="AZ87" s="273" t="s">
        <v>107</v>
      </c>
      <c r="BA87" s="125">
        <v>1975</v>
      </c>
      <c r="BB87" s="107">
        <v>25</v>
      </c>
      <c r="BC87" s="109">
        <v>0</v>
      </c>
      <c r="BD87" s="110">
        <v>0</v>
      </c>
      <c r="BE87" s="121">
        <f t="shared" si="19"/>
        <v>0</v>
      </c>
      <c r="BF87" s="121">
        <f t="shared" si="20"/>
        <v>0</v>
      </c>
      <c r="BG87" s="111"/>
      <c r="BH87" s="103"/>
      <c r="BI87" s="33"/>
      <c r="BJ87" s="31"/>
      <c r="BK87" s="32"/>
      <c r="BL87" s="30"/>
      <c r="BM87" s="31"/>
      <c r="BN87" s="31"/>
      <c r="BO87" s="31"/>
      <c r="BP87" s="32"/>
      <c r="BQ87" s="30"/>
      <c r="BR87" s="32"/>
      <c r="BS87" s="33"/>
      <c r="BT87" s="31"/>
      <c r="BU87" s="31"/>
      <c r="BV87" s="31"/>
      <c r="BW87" s="31"/>
      <c r="BX87" s="31">
        <v>0</v>
      </c>
      <c r="BY87" s="31"/>
      <c r="BZ87" s="31"/>
      <c r="CA87" s="31"/>
      <c r="CB87" s="31"/>
      <c r="CC87" s="34"/>
      <c r="CD87" s="30">
        <f t="shared" si="17"/>
        <v>0</v>
      </c>
      <c r="CE87" s="32">
        <f t="shared" si="18"/>
        <v>0</v>
      </c>
      <c r="CF87" s="33"/>
      <c r="CG87" s="31"/>
      <c r="CH87" s="34"/>
      <c r="CI87" s="40">
        <v>0</v>
      </c>
      <c r="CJ87" s="6" t="s">
        <v>101</v>
      </c>
      <c r="CK87" s="6" t="s">
        <v>102</v>
      </c>
      <c r="CL87" s="36" t="s">
        <v>103</v>
      </c>
      <c r="CM87" s="41" t="s">
        <v>104</v>
      </c>
    </row>
    <row r="88" spans="1:91" s="35" customFormat="1" ht="24.95" hidden="1" customHeight="1">
      <c r="A88" s="108">
        <f t="shared" si="16"/>
        <v>80</v>
      </c>
      <c r="B88" s="368">
        <v>2845</v>
      </c>
      <c r="C88" s="368">
        <v>228</v>
      </c>
      <c r="D88" s="106" t="s">
        <v>77</v>
      </c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208">
        <v>0.5</v>
      </c>
      <c r="S88" s="124"/>
      <c r="T88" s="183"/>
      <c r="U88" s="183"/>
      <c r="V88" s="183"/>
      <c r="W88" s="57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24"/>
      <c r="AW88" s="183"/>
      <c r="AX88" s="183"/>
      <c r="AY88" s="245"/>
      <c r="AZ88" s="273" t="s">
        <v>107</v>
      </c>
      <c r="BA88" s="125">
        <v>1975</v>
      </c>
      <c r="BB88" s="107">
        <v>54</v>
      </c>
      <c r="BC88" s="109">
        <v>0</v>
      </c>
      <c r="BD88" s="110">
        <v>0</v>
      </c>
      <c r="BE88" s="121">
        <f t="shared" si="19"/>
        <v>0</v>
      </c>
      <c r="BF88" s="121">
        <f t="shared" si="20"/>
        <v>0</v>
      </c>
      <c r="BG88" s="111"/>
      <c r="BH88" s="103"/>
      <c r="BI88" s="33"/>
      <c r="BJ88" s="31"/>
      <c r="BK88" s="32"/>
      <c r="BL88" s="30"/>
      <c r="BM88" s="31"/>
      <c r="BN88" s="31"/>
      <c r="BO88" s="31"/>
      <c r="BP88" s="32"/>
      <c r="BQ88" s="30"/>
      <c r="BR88" s="32"/>
      <c r="BS88" s="33"/>
      <c r="BT88" s="31"/>
      <c r="BU88" s="31"/>
      <c r="BV88" s="31"/>
      <c r="BW88" s="31"/>
      <c r="BX88" s="31">
        <v>0</v>
      </c>
      <c r="BY88" s="31"/>
      <c r="BZ88" s="31"/>
      <c r="CA88" s="31"/>
      <c r="CB88" s="31"/>
      <c r="CC88" s="34"/>
      <c r="CD88" s="30">
        <f t="shared" si="17"/>
        <v>0</v>
      </c>
      <c r="CE88" s="32">
        <f t="shared" si="18"/>
        <v>0</v>
      </c>
      <c r="CF88" s="33"/>
      <c r="CG88" s="31"/>
      <c r="CH88" s="34"/>
      <c r="CI88" s="40">
        <v>0</v>
      </c>
      <c r="CJ88" s="6" t="s">
        <v>101</v>
      </c>
      <c r="CK88" s="6" t="s">
        <v>102</v>
      </c>
      <c r="CL88" s="36" t="s">
        <v>103</v>
      </c>
      <c r="CM88" s="41" t="s">
        <v>104</v>
      </c>
    </row>
    <row r="89" spans="1:91" s="35" customFormat="1" ht="30" hidden="1">
      <c r="A89" s="108">
        <f t="shared" si="16"/>
        <v>81</v>
      </c>
      <c r="B89" s="368">
        <v>2845</v>
      </c>
      <c r="C89" s="368">
        <v>229</v>
      </c>
      <c r="D89" s="188" t="s">
        <v>159</v>
      </c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24"/>
      <c r="S89" s="208">
        <v>0.5</v>
      </c>
      <c r="T89" s="183"/>
      <c r="U89" s="183"/>
      <c r="V89" s="183"/>
      <c r="W89" s="30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96">
        <v>0.2</v>
      </c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24"/>
      <c r="AW89" s="183"/>
      <c r="AX89" s="183"/>
      <c r="AY89" s="245"/>
      <c r="AZ89" s="273" t="s">
        <v>107</v>
      </c>
      <c r="BA89" s="125">
        <v>1986</v>
      </c>
      <c r="BB89" s="107">
        <v>27</v>
      </c>
      <c r="BC89" s="109">
        <v>9</v>
      </c>
      <c r="BD89" s="110">
        <v>9</v>
      </c>
      <c r="BE89" s="121">
        <f t="shared" si="19"/>
        <v>0</v>
      </c>
      <c r="BF89" s="121">
        <f t="shared" si="20"/>
        <v>0</v>
      </c>
      <c r="BG89" s="111"/>
      <c r="BH89" s="103"/>
      <c r="BI89" s="33"/>
      <c r="BJ89" s="31"/>
      <c r="BK89" s="32"/>
      <c r="BL89" s="30"/>
      <c r="BM89" s="31"/>
      <c r="BN89" s="31"/>
      <c r="BO89" s="31"/>
      <c r="BP89" s="32"/>
      <c r="BQ89" s="30"/>
      <c r="BR89" s="32"/>
      <c r="BS89" s="33"/>
      <c r="BT89" s="31"/>
      <c r="BU89" s="31"/>
      <c r="BV89" s="31"/>
      <c r="BW89" s="31"/>
      <c r="BX89" s="31">
        <v>0</v>
      </c>
      <c r="BY89" s="31"/>
      <c r="BZ89" s="31"/>
      <c r="CA89" s="31"/>
      <c r="CB89" s="31"/>
      <c r="CC89" s="34"/>
      <c r="CD89" s="30">
        <f t="shared" si="17"/>
        <v>0</v>
      </c>
      <c r="CE89" s="32">
        <f t="shared" si="18"/>
        <v>0</v>
      </c>
      <c r="CF89" s="33"/>
      <c r="CG89" s="31"/>
      <c r="CH89" s="34"/>
      <c r="CI89" s="40">
        <v>0</v>
      </c>
      <c r="CJ89" s="6" t="s">
        <v>101</v>
      </c>
      <c r="CK89" s="6" t="s">
        <v>102</v>
      </c>
      <c r="CL89" s="36" t="s">
        <v>103</v>
      </c>
      <c r="CM89" s="41" t="s">
        <v>104</v>
      </c>
    </row>
    <row r="90" spans="1:91" s="35" customFormat="1" ht="30" hidden="1">
      <c r="A90" s="108">
        <f t="shared" si="16"/>
        <v>82</v>
      </c>
      <c r="B90" s="368">
        <v>2845</v>
      </c>
      <c r="C90" s="368">
        <v>230</v>
      </c>
      <c r="D90" s="188" t="s">
        <v>160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24"/>
      <c r="S90" s="208">
        <v>0.5</v>
      </c>
      <c r="T90" s="183"/>
      <c r="U90" s="183"/>
      <c r="V90" s="183"/>
      <c r="W90" s="30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96">
        <v>0.25</v>
      </c>
      <c r="AN90" s="183"/>
      <c r="AO90" s="183"/>
      <c r="AP90" s="183"/>
      <c r="AQ90" s="183"/>
      <c r="AR90" s="183"/>
      <c r="AS90" s="183"/>
      <c r="AT90" s="183"/>
      <c r="AU90" s="183"/>
      <c r="AV90" s="124"/>
      <c r="AW90" s="183"/>
      <c r="AX90" s="183"/>
      <c r="AY90" s="245"/>
      <c r="AZ90" s="273" t="s">
        <v>107</v>
      </c>
      <c r="BA90" s="125">
        <v>1997</v>
      </c>
      <c r="BB90" s="107">
        <v>9</v>
      </c>
      <c r="BC90" s="109">
        <v>0</v>
      </c>
      <c r="BD90" s="110">
        <v>0</v>
      </c>
      <c r="BE90" s="121">
        <f t="shared" si="19"/>
        <v>0</v>
      </c>
      <c r="BF90" s="121">
        <f t="shared" si="20"/>
        <v>0</v>
      </c>
      <c r="BG90" s="111"/>
      <c r="BH90" s="103"/>
      <c r="BI90" s="33"/>
      <c r="BJ90" s="31"/>
      <c r="BK90" s="32"/>
      <c r="BL90" s="30"/>
      <c r="BM90" s="31"/>
      <c r="BN90" s="31"/>
      <c r="BO90" s="31"/>
      <c r="BP90" s="32"/>
      <c r="BQ90" s="30"/>
      <c r="BR90" s="32"/>
      <c r="BS90" s="33"/>
      <c r="BT90" s="31"/>
      <c r="BU90" s="31"/>
      <c r="BV90" s="31"/>
      <c r="BW90" s="31"/>
      <c r="BX90" s="31">
        <v>0</v>
      </c>
      <c r="BY90" s="31"/>
      <c r="BZ90" s="31"/>
      <c r="CA90" s="31"/>
      <c r="CB90" s="31"/>
      <c r="CC90" s="34"/>
      <c r="CD90" s="30">
        <f t="shared" si="17"/>
        <v>0</v>
      </c>
      <c r="CE90" s="32">
        <f t="shared" si="18"/>
        <v>0</v>
      </c>
      <c r="CF90" s="33"/>
      <c r="CG90" s="31"/>
      <c r="CH90" s="34"/>
      <c r="CI90" s="40">
        <v>0</v>
      </c>
      <c r="CJ90" s="6" t="s">
        <v>101</v>
      </c>
      <c r="CK90" s="6" t="s">
        <v>102</v>
      </c>
      <c r="CL90" s="36" t="s">
        <v>106</v>
      </c>
      <c r="CM90" s="41" t="s">
        <v>105</v>
      </c>
    </row>
    <row r="91" spans="1:91" s="35" customFormat="1" ht="30" hidden="1">
      <c r="A91" s="108">
        <f t="shared" si="16"/>
        <v>83</v>
      </c>
      <c r="B91" s="368">
        <v>2845</v>
      </c>
      <c r="C91" s="368">
        <v>231</v>
      </c>
      <c r="D91" s="188" t="s">
        <v>142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24"/>
      <c r="S91" s="208">
        <v>0.5</v>
      </c>
      <c r="T91" s="183"/>
      <c r="U91" s="183"/>
      <c r="V91" s="183"/>
      <c r="W91" s="303"/>
      <c r="X91" s="183"/>
      <c r="Y91" s="196">
        <v>0.2</v>
      </c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24"/>
      <c r="AW91" s="183"/>
      <c r="AX91" s="183"/>
      <c r="AY91" s="245"/>
      <c r="AZ91" s="273" t="s">
        <v>107</v>
      </c>
      <c r="BA91" s="125">
        <v>1994</v>
      </c>
      <c r="BB91" s="107">
        <v>77.459999999999994</v>
      </c>
      <c r="BC91" s="119">
        <f>CD91</f>
        <v>18.93</v>
      </c>
      <c r="BD91" s="120">
        <f>CE91</f>
        <v>18.93</v>
      </c>
      <c r="BE91" s="121">
        <f t="shared" si="19"/>
        <v>0</v>
      </c>
      <c r="BF91" s="121">
        <f t="shared" si="20"/>
        <v>0</v>
      </c>
      <c r="BG91" s="122">
        <v>29.06</v>
      </c>
      <c r="BH91" s="103">
        <v>44.26</v>
      </c>
      <c r="BI91" s="33"/>
      <c r="BJ91" s="31"/>
      <c r="BK91" s="32"/>
      <c r="BL91" s="30"/>
      <c r="BM91" s="31"/>
      <c r="BN91" s="31"/>
      <c r="BO91" s="31"/>
      <c r="BP91" s="32"/>
      <c r="BQ91" s="30"/>
      <c r="BR91" s="32"/>
      <c r="BS91" s="33"/>
      <c r="BT91" s="31"/>
      <c r="BU91" s="31"/>
      <c r="BV91" s="31"/>
      <c r="BW91" s="31"/>
      <c r="BX91" s="31">
        <f>[52]zestawienie!$R$308</f>
        <v>18.93</v>
      </c>
      <c r="BY91" s="31"/>
      <c r="BZ91" s="31"/>
      <c r="CA91" s="31"/>
      <c r="CB91" s="31"/>
      <c r="CC91" s="34"/>
      <c r="CD91" s="30">
        <f t="shared" si="17"/>
        <v>18.93</v>
      </c>
      <c r="CE91" s="32">
        <f t="shared" si="18"/>
        <v>18.93</v>
      </c>
      <c r="CF91" s="33">
        <f>[52]zestawienie!$AB$308</f>
        <v>19.420000000000002</v>
      </c>
      <c r="CG91" s="31">
        <f>[52]zestawienie!$AC$308</f>
        <v>10.130000000000001</v>
      </c>
      <c r="CH91" s="34">
        <f>[52]zestawienie!$AD$308</f>
        <v>13.864999999999998</v>
      </c>
      <c r="CI91" s="40">
        <v>0</v>
      </c>
      <c r="CJ91" s="6" t="s">
        <v>101</v>
      </c>
      <c r="CK91" s="6" t="s">
        <v>102</v>
      </c>
      <c r="CL91" s="36" t="s">
        <v>106</v>
      </c>
      <c r="CM91" s="41" t="s">
        <v>105</v>
      </c>
    </row>
    <row r="92" spans="1:91" s="35" customFormat="1" ht="45" hidden="1">
      <c r="A92" s="108">
        <f t="shared" si="16"/>
        <v>84</v>
      </c>
      <c r="B92" s="368">
        <v>2845</v>
      </c>
      <c r="C92" s="368">
        <v>232</v>
      </c>
      <c r="D92" s="188" t="s">
        <v>156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24"/>
      <c r="S92" s="208">
        <v>0.5</v>
      </c>
      <c r="T92" s="183"/>
      <c r="U92" s="183"/>
      <c r="V92" s="183"/>
      <c r="W92" s="303"/>
      <c r="X92" s="183"/>
      <c r="Y92" s="183"/>
      <c r="Z92" s="183"/>
      <c r="AA92" s="183"/>
      <c r="AB92" s="183"/>
      <c r="AC92" s="183"/>
      <c r="AD92" s="183"/>
      <c r="AE92" s="196">
        <v>0.25</v>
      </c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24"/>
      <c r="AW92" s="183"/>
      <c r="AX92" s="183"/>
      <c r="AY92" s="245"/>
      <c r="AZ92" s="273" t="s">
        <v>107</v>
      </c>
      <c r="BA92" s="125">
        <v>2006</v>
      </c>
      <c r="BB92" s="107">
        <v>3</v>
      </c>
      <c r="BC92" s="109">
        <v>3</v>
      </c>
      <c r="BD92" s="110">
        <v>3</v>
      </c>
      <c r="BE92" s="121">
        <f t="shared" si="19"/>
        <v>0</v>
      </c>
      <c r="BF92" s="121">
        <f t="shared" si="20"/>
        <v>0</v>
      </c>
      <c r="BG92" s="111"/>
      <c r="BH92" s="103"/>
      <c r="BI92" s="33"/>
      <c r="BJ92" s="31"/>
      <c r="BK92" s="32"/>
      <c r="BL92" s="30"/>
      <c r="BM92" s="31"/>
      <c r="BN92" s="31"/>
      <c r="BO92" s="31"/>
      <c r="BP92" s="32"/>
      <c r="BQ92" s="30"/>
      <c r="BR92" s="32"/>
      <c r="BS92" s="33"/>
      <c r="BT92" s="31"/>
      <c r="BU92" s="31"/>
      <c r="BV92" s="31"/>
      <c r="BW92" s="31"/>
      <c r="BX92" s="31">
        <v>3</v>
      </c>
      <c r="BY92" s="31"/>
      <c r="BZ92" s="31"/>
      <c r="CA92" s="31"/>
      <c r="CB92" s="31"/>
      <c r="CC92" s="34"/>
      <c r="CD92" s="30">
        <f t="shared" si="17"/>
        <v>3</v>
      </c>
      <c r="CE92" s="32">
        <f t="shared" si="18"/>
        <v>3</v>
      </c>
      <c r="CF92" s="33">
        <v>3</v>
      </c>
      <c r="CG92" s="31"/>
      <c r="CH92" s="34"/>
      <c r="CI92" s="40">
        <v>0</v>
      </c>
      <c r="CJ92" s="6" t="s">
        <v>101</v>
      </c>
      <c r="CK92" s="6" t="s">
        <v>102</v>
      </c>
      <c r="CL92" s="36" t="s">
        <v>103</v>
      </c>
      <c r="CM92" s="41" t="s">
        <v>104</v>
      </c>
    </row>
    <row r="93" spans="1:91" s="35" customFormat="1" ht="45" hidden="1">
      <c r="A93" s="108">
        <f t="shared" si="16"/>
        <v>85</v>
      </c>
      <c r="B93" s="368">
        <v>2845</v>
      </c>
      <c r="C93" s="368">
        <v>233</v>
      </c>
      <c r="D93" s="188" t="s">
        <v>158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24"/>
      <c r="S93" s="208">
        <v>0.5</v>
      </c>
      <c r="T93" s="183"/>
      <c r="U93" s="183"/>
      <c r="V93" s="183"/>
      <c r="W93" s="303"/>
      <c r="X93" s="183"/>
      <c r="Y93" s="183"/>
      <c r="Z93" s="183"/>
      <c r="AA93" s="183"/>
      <c r="AB93" s="183"/>
      <c r="AC93" s="183"/>
      <c r="AD93" s="183"/>
      <c r="AE93" s="183"/>
      <c r="AF93" s="183"/>
      <c r="AG93" s="223">
        <v>0.2</v>
      </c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24"/>
      <c r="AW93" s="183"/>
      <c r="AX93" s="183"/>
      <c r="AY93" s="245"/>
      <c r="AZ93" s="273" t="s">
        <v>107</v>
      </c>
      <c r="BA93" s="125">
        <v>2006</v>
      </c>
      <c r="BB93" s="107">
        <v>3</v>
      </c>
      <c r="BC93" s="109">
        <v>3</v>
      </c>
      <c r="BD93" s="110">
        <v>3</v>
      </c>
      <c r="BE93" s="121">
        <f t="shared" si="19"/>
        <v>0</v>
      </c>
      <c r="BF93" s="121">
        <f t="shared" si="20"/>
        <v>0</v>
      </c>
      <c r="BG93" s="111"/>
      <c r="BH93" s="103"/>
      <c r="BI93" s="33"/>
      <c r="BJ93" s="31"/>
      <c r="BK93" s="32"/>
      <c r="BL93" s="30"/>
      <c r="BM93" s="31"/>
      <c r="BN93" s="31"/>
      <c r="BO93" s="31"/>
      <c r="BP93" s="32"/>
      <c r="BQ93" s="30"/>
      <c r="BR93" s="32"/>
      <c r="BS93" s="33"/>
      <c r="BT93" s="31"/>
      <c r="BU93" s="31"/>
      <c r="BV93" s="31"/>
      <c r="BW93" s="31"/>
      <c r="BX93" s="31">
        <v>3</v>
      </c>
      <c r="BY93" s="31"/>
      <c r="BZ93" s="31"/>
      <c r="CA93" s="31"/>
      <c r="CB93" s="31"/>
      <c r="CC93" s="34"/>
      <c r="CD93" s="30">
        <f t="shared" si="17"/>
        <v>3</v>
      </c>
      <c r="CE93" s="32">
        <f t="shared" si="18"/>
        <v>3</v>
      </c>
      <c r="CF93" s="33">
        <v>3</v>
      </c>
      <c r="CG93" s="31"/>
      <c r="CH93" s="34"/>
      <c r="CI93" s="40">
        <v>0</v>
      </c>
      <c r="CJ93" s="6" t="s">
        <v>101</v>
      </c>
      <c r="CK93" s="6" t="s">
        <v>102</v>
      </c>
      <c r="CL93" s="36" t="s">
        <v>103</v>
      </c>
      <c r="CM93" s="41" t="s">
        <v>104</v>
      </c>
    </row>
    <row r="94" spans="1:91" s="35" customFormat="1" ht="30" hidden="1">
      <c r="A94" s="108">
        <f t="shared" si="16"/>
        <v>86</v>
      </c>
      <c r="B94" s="368">
        <v>2845</v>
      </c>
      <c r="C94" s="368">
        <v>234</v>
      </c>
      <c r="D94" s="188" t="s">
        <v>157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24"/>
      <c r="S94" s="208">
        <v>0.5</v>
      </c>
      <c r="T94" s="183"/>
      <c r="U94" s="183"/>
      <c r="V94" s="183"/>
      <c r="W94" s="303"/>
      <c r="X94" s="183"/>
      <c r="Y94" s="183"/>
      <c r="Z94" s="183"/>
      <c r="AA94" s="183"/>
      <c r="AB94" s="183"/>
      <c r="AC94" s="183"/>
      <c r="AD94" s="183"/>
      <c r="AE94" s="183"/>
      <c r="AF94" s="183"/>
      <c r="AG94" s="223">
        <v>0.2</v>
      </c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24"/>
      <c r="AW94" s="183"/>
      <c r="AX94" s="183"/>
      <c r="AY94" s="245"/>
      <c r="AZ94" s="273" t="s">
        <v>107</v>
      </c>
      <c r="BA94" s="125">
        <v>2006</v>
      </c>
      <c r="BB94" s="107">
        <v>25</v>
      </c>
      <c r="BC94" s="109">
        <v>7</v>
      </c>
      <c r="BD94" s="110">
        <v>7</v>
      </c>
      <c r="BE94" s="121">
        <f t="shared" si="19"/>
        <v>0</v>
      </c>
      <c r="BF94" s="121">
        <f t="shared" si="20"/>
        <v>0</v>
      </c>
      <c r="BG94" s="111"/>
      <c r="BH94" s="103"/>
      <c r="BI94" s="33"/>
      <c r="BJ94" s="31"/>
      <c r="BK94" s="32"/>
      <c r="BL94" s="30"/>
      <c r="BM94" s="31"/>
      <c r="BN94" s="31"/>
      <c r="BO94" s="31"/>
      <c r="BP94" s="32"/>
      <c r="BQ94" s="30"/>
      <c r="BR94" s="32"/>
      <c r="BS94" s="33"/>
      <c r="BT94" s="31"/>
      <c r="BU94" s="31"/>
      <c r="BV94" s="31"/>
      <c r="BW94" s="31"/>
      <c r="BX94" s="31">
        <v>7</v>
      </c>
      <c r="BY94" s="31"/>
      <c r="BZ94" s="31"/>
      <c r="CA94" s="31"/>
      <c r="CB94" s="31"/>
      <c r="CC94" s="34"/>
      <c r="CD94" s="30">
        <f t="shared" si="17"/>
        <v>7</v>
      </c>
      <c r="CE94" s="32">
        <f t="shared" si="18"/>
        <v>7</v>
      </c>
      <c r="CF94" s="33">
        <v>7</v>
      </c>
      <c r="CG94" s="31"/>
      <c r="CH94" s="34"/>
      <c r="CI94" s="40">
        <v>0</v>
      </c>
      <c r="CJ94" s="6" t="s">
        <v>101</v>
      </c>
      <c r="CK94" s="6" t="s">
        <v>102</v>
      </c>
      <c r="CL94" s="36" t="s">
        <v>103</v>
      </c>
      <c r="CM94" s="41" t="s">
        <v>104</v>
      </c>
    </row>
    <row r="95" spans="1:91" s="35" customFormat="1" ht="30" hidden="1">
      <c r="A95" s="108">
        <f t="shared" si="16"/>
        <v>87</v>
      </c>
      <c r="B95" s="368">
        <v>2845</v>
      </c>
      <c r="C95" s="368">
        <v>235</v>
      </c>
      <c r="D95" s="188" t="s">
        <v>143</v>
      </c>
      <c r="E95" s="183"/>
      <c r="F95" s="183"/>
      <c r="G95" s="183"/>
      <c r="H95" s="183"/>
      <c r="I95" s="453">
        <v>0.5</v>
      </c>
      <c r="J95" s="183"/>
      <c r="K95" s="183"/>
      <c r="L95" s="183"/>
      <c r="M95" s="183"/>
      <c r="N95" s="183"/>
      <c r="O95" s="586"/>
      <c r="P95" s="183"/>
      <c r="Q95" s="183"/>
      <c r="R95" s="124"/>
      <c r="S95" s="124"/>
      <c r="T95" s="583"/>
      <c r="U95" s="183"/>
      <c r="V95" s="183"/>
      <c r="W95" s="303"/>
      <c r="X95" s="183"/>
      <c r="Y95" s="183"/>
      <c r="Z95" s="183"/>
      <c r="AA95" s="183"/>
      <c r="AB95" s="183"/>
      <c r="AC95" s="183"/>
      <c r="AD95" s="183"/>
      <c r="AE95" s="453">
        <v>0.3</v>
      </c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24"/>
      <c r="AW95" s="183"/>
      <c r="AX95" s="183"/>
      <c r="AY95" s="245"/>
      <c r="AZ95" s="273" t="s">
        <v>107</v>
      </c>
      <c r="BA95" s="125">
        <v>1992</v>
      </c>
      <c r="BB95" s="107">
        <v>1</v>
      </c>
      <c r="BC95" s="109">
        <v>0</v>
      </c>
      <c r="BD95" s="110">
        <v>0</v>
      </c>
      <c r="BE95" s="121">
        <f t="shared" si="19"/>
        <v>0</v>
      </c>
      <c r="BF95" s="121">
        <f t="shared" si="20"/>
        <v>0</v>
      </c>
      <c r="BG95" s="111"/>
      <c r="BH95" s="103"/>
      <c r="BI95" s="33"/>
      <c r="BJ95" s="31"/>
      <c r="BK95" s="32"/>
      <c r="BL95" s="30"/>
      <c r="BM95" s="31"/>
      <c r="BN95" s="31"/>
      <c r="BO95" s="31"/>
      <c r="BP95" s="32"/>
      <c r="BQ95" s="30"/>
      <c r="BR95" s="32"/>
      <c r="BS95" s="33"/>
      <c r="BT95" s="31"/>
      <c r="BU95" s="31"/>
      <c r="BV95" s="31"/>
      <c r="BW95" s="31"/>
      <c r="BX95" s="31">
        <v>0</v>
      </c>
      <c r="BY95" s="31"/>
      <c r="BZ95" s="31"/>
      <c r="CA95" s="31"/>
      <c r="CB95" s="31"/>
      <c r="CC95" s="34"/>
      <c r="CD95" s="30">
        <f t="shared" si="17"/>
        <v>0</v>
      </c>
      <c r="CE95" s="32">
        <f t="shared" si="18"/>
        <v>0</v>
      </c>
      <c r="CF95" s="33"/>
      <c r="CG95" s="31"/>
      <c r="CH95" s="34"/>
      <c r="CI95" s="40">
        <v>0</v>
      </c>
      <c r="CJ95" s="6" t="s">
        <v>101</v>
      </c>
      <c r="CK95" s="6" t="s">
        <v>102</v>
      </c>
      <c r="CL95" s="36" t="s">
        <v>103</v>
      </c>
      <c r="CM95" s="41" t="s">
        <v>104</v>
      </c>
    </row>
    <row r="96" spans="1:91" s="35" customFormat="1" ht="30" hidden="1">
      <c r="A96" s="108">
        <f t="shared" si="16"/>
        <v>88</v>
      </c>
      <c r="B96" s="368">
        <v>2845</v>
      </c>
      <c r="C96" s="368">
        <v>236</v>
      </c>
      <c r="D96" s="188" t="s">
        <v>143</v>
      </c>
      <c r="E96" s="183"/>
      <c r="F96" s="183"/>
      <c r="G96" s="183"/>
      <c r="H96" s="183"/>
      <c r="I96" s="574"/>
      <c r="J96" s="183"/>
      <c r="K96" s="183"/>
      <c r="L96" s="183"/>
      <c r="M96" s="183"/>
      <c r="N96" s="183"/>
      <c r="O96" s="586"/>
      <c r="P96" s="183"/>
      <c r="Q96" s="183"/>
      <c r="R96" s="124"/>
      <c r="S96" s="124"/>
      <c r="T96" s="584"/>
      <c r="U96" s="183"/>
      <c r="V96" s="183"/>
      <c r="W96" s="303"/>
      <c r="X96" s="183"/>
      <c r="Y96" s="183"/>
      <c r="Z96" s="183"/>
      <c r="AA96" s="183"/>
      <c r="AB96" s="183"/>
      <c r="AC96" s="183"/>
      <c r="AD96" s="183"/>
      <c r="AE96" s="574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24"/>
      <c r="AW96" s="183"/>
      <c r="AX96" s="183"/>
      <c r="AY96" s="245"/>
      <c r="AZ96" s="273" t="s">
        <v>107</v>
      </c>
      <c r="BA96" s="125">
        <v>1992</v>
      </c>
      <c r="BB96" s="107">
        <v>1</v>
      </c>
      <c r="BC96" s="109">
        <v>0</v>
      </c>
      <c r="BD96" s="110">
        <v>0</v>
      </c>
      <c r="BE96" s="121">
        <f t="shared" si="19"/>
        <v>0</v>
      </c>
      <c r="BF96" s="121">
        <f t="shared" si="20"/>
        <v>0</v>
      </c>
      <c r="BG96" s="111"/>
      <c r="BH96" s="103"/>
      <c r="BI96" s="33"/>
      <c r="BJ96" s="31"/>
      <c r="BK96" s="32"/>
      <c r="BL96" s="30"/>
      <c r="BM96" s="31"/>
      <c r="BN96" s="31"/>
      <c r="BO96" s="31"/>
      <c r="BP96" s="32"/>
      <c r="BQ96" s="30"/>
      <c r="BR96" s="32"/>
      <c r="BS96" s="33"/>
      <c r="BT96" s="31"/>
      <c r="BU96" s="31"/>
      <c r="BV96" s="31"/>
      <c r="BW96" s="31"/>
      <c r="BX96" s="31">
        <v>0</v>
      </c>
      <c r="BY96" s="31"/>
      <c r="BZ96" s="31"/>
      <c r="CA96" s="31"/>
      <c r="CB96" s="31"/>
      <c r="CC96" s="34"/>
      <c r="CD96" s="30">
        <f t="shared" si="17"/>
        <v>0</v>
      </c>
      <c r="CE96" s="32">
        <f t="shared" si="18"/>
        <v>0</v>
      </c>
      <c r="CF96" s="33"/>
      <c r="CG96" s="31"/>
      <c r="CH96" s="34"/>
      <c r="CI96" s="40">
        <v>0</v>
      </c>
      <c r="CJ96" s="6" t="s">
        <v>101</v>
      </c>
      <c r="CK96" s="6" t="s">
        <v>102</v>
      </c>
      <c r="CL96" s="36" t="s">
        <v>103</v>
      </c>
      <c r="CM96" s="41" t="s">
        <v>104</v>
      </c>
    </row>
    <row r="97" spans="1:92" s="35" customFormat="1" ht="30" hidden="1">
      <c r="A97" s="108">
        <f t="shared" si="16"/>
        <v>89</v>
      </c>
      <c r="B97" s="368">
        <v>2845</v>
      </c>
      <c r="C97" s="368">
        <v>237</v>
      </c>
      <c r="D97" s="188" t="s">
        <v>143</v>
      </c>
      <c r="E97" s="183"/>
      <c r="F97" s="183"/>
      <c r="G97" s="183"/>
      <c r="H97" s="183"/>
      <c r="I97" s="574"/>
      <c r="J97" s="183"/>
      <c r="K97" s="183"/>
      <c r="L97" s="183"/>
      <c r="M97" s="183"/>
      <c r="N97" s="183"/>
      <c r="O97" s="586"/>
      <c r="P97" s="183"/>
      <c r="Q97" s="183"/>
      <c r="R97" s="124"/>
      <c r="S97" s="124"/>
      <c r="T97" s="584"/>
      <c r="U97" s="183"/>
      <c r="V97" s="183"/>
      <c r="W97" s="303"/>
      <c r="X97" s="183"/>
      <c r="Y97" s="183"/>
      <c r="Z97" s="183"/>
      <c r="AA97" s="183"/>
      <c r="AB97" s="183"/>
      <c r="AC97" s="183"/>
      <c r="AD97" s="183"/>
      <c r="AE97" s="574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24"/>
      <c r="AW97" s="183"/>
      <c r="AX97" s="183"/>
      <c r="AY97" s="245"/>
      <c r="AZ97" s="273" t="s">
        <v>107</v>
      </c>
      <c r="BA97" s="125">
        <v>1992</v>
      </c>
      <c r="BB97" s="107">
        <v>1</v>
      </c>
      <c r="BC97" s="109">
        <v>0</v>
      </c>
      <c r="BD97" s="110">
        <v>0</v>
      </c>
      <c r="BE97" s="121">
        <f t="shared" si="19"/>
        <v>0</v>
      </c>
      <c r="BF97" s="121">
        <f t="shared" si="20"/>
        <v>0</v>
      </c>
      <c r="BG97" s="111"/>
      <c r="BH97" s="103"/>
      <c r="BI97" s="33"/>
      <c r="BJ97" s="31"/>
      <c r="BK97" s="32"/>
      <c r="BL97" s="30"/>
      <c r="BM97" s="31"/>
      <c r="BN97" s="31"/>
      <c r="BO97" s="31"/>
      <c r="BP97" s="32"/>
      <c r="BQ97" s="30"/>
      <c r="BR97" s="32"/>
      <c r="BS97" s="33"/>
      <c r="BT97" s="31"/>
      <c r="BU97" s="31"/>
      <c r="BV97" s="31"/>
      <c r="BW97" s="31"/>
      <c r="BX97" s="31">
        <v>0</v>
      </c>
      <c r="BY97" s="31"/>
      <c r="BZ97" s="31"/>
      <c r="CA97" s="31"/>
      <c r="CB97" s="31"/>
      <c r="CC97" s="34"/>
      <c r="CD97" s="30">
        <f t="shared" si="17"/>
        <v>0</v>
      </c>
      <c r="CE97" s="32">
        <f t="shared" si="18"/>
        <v>0</v>
      </c>
      <c r="CF97" s="33"/>
      <c r="CG97" s="31"/>
      <c r="CH97" s="34"/>
      <c r="CI97" s="40">
        <v>0</v>
      </c>
      <c r="CJ97" s="6" t="s">
        <v>101</v>
      </c>
      <c r="CK97" s="6" t="s">
        <v>102</v>
      </c>
      <c r="CL97" s="36" t="s">
        <v>103</v>
      </c>
      <c r="CM97" s="41" t="s">
        <v>104</v>
      </c>
    </row>
    <row r="98" spans="1:92" s="35" customFormat="1" ht="30" hidden="1">
      <c r="A98" s="108">
        <f t="shared" si="16"/>
        <v>90</v>
      </c>
      <c r="B98" s="368">
        <v>2845</v>
      </c>
      <c r="C98" s="368">
        <v>238</v>
      </c>
      <c r="D98" s="188" t="s">
        <v>143</v>
      </c>
      <c r="E98" s="183"/>
      <c r="F98" s="183"/>
      <c r="G98" s="183"/>
      <c r="H98" s="183"/>
      <c r="I98" s="454"/>
      <c r="J98" s="183"/>
      <c r="K98" s="183"/>
      <c r="L98" s="183"/>
      <c r="M98" s="183"/>
      <c r="N98" s="183"/>
      <c r="O98" s="586"/>
      <c r="P98" s="183"/>
      <c r="Q98" s="183"/>
      <c r="R98" s="124"/>
      <c r="S98" s="124"/>
      <c r="T98" s="585"/>
      <c r="U98" s="183"/>
      <c r="V98" s="183"/>
      <c r="W98" s="303"/>
      <c r="X98" s="183"/>
      <c r="Y98" s="183"/>
      <c r="Z98" s="183"/>
      <c r="AA98" s="183"/>
      <c r="AB98" s="183"/>
      <c r="AC98" s="183"/>
      <c r="AD98" s="183"/>
      <c r="AE98" s="454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24"/>
      <c r="AW98" s="183"/>
      <c r="AX98" s="183"/>
      <c r="AY98" s="245"/>
      <c r="AZ98" s="273" t="s">
        <v>107</v>
      </c>
      <c r="BA98" s="125">
        <v>1992</v>
      </c>
      <c r="BB98" s="107">
        <v>1</v>
      </c>
      <c r="BC98" s="109">
        <v>0</v>
      </c>
      <c r="BD98" s="110">
        <v>0</v>
      </c>
      <c r="BE98" s="121">
        <f t="shared" si="19"/>
        <v>0</v>
      </c>
      <c r="BF98" s="121">
        <f t="shared" si="20"/>
        <v>0</v>
      </c>
      <c r="BG98" s="111"/>
      <c r="BH98" s="103"/>
      <c r="BI98" s="33"/>
      <c r="BJ98" s="31"/>
      <c r="BK98" s="32"/>
      <c r="BL98" s="30"/>
      <c r="BM98" s="31"/>
      <c r="BN98" s="31"/>
      <c r="BO98" s="31"/>
      <c r="BP98" s="32"/>
      <c r="BQ98" s="30"/>
      <c r="BR98" s="32"/>
      <c r="BS98" s="33"/>
      <c r="BT98" s="31"/>
      <c r="BU98" s="31"/>
      <c r="BV98" s="31"/>
      <c r="BW98" s="31"/>
      <c r="BX98" s="31">
        <v>0</v>
      </c>
      <c r="BY98" s="31"/>
      <c r="BZ98" s="31"/>
      <c r="CA98" s="31"/>
      <c r="CB98" s="31"/>
      <c r="CC98" s="34"/>
      <c r="CD98" s="30">
        <f t="shared" si="17"/>
        <v>0</v>
      </c>
      <c r="CE98" s="32">
        <f t="shared" si="18"/>
        <v>0</v>
      </c>
      <c r="CF98" s="33"/>
      <c r="CG98" s="31"/>
      <c r="CH98" s="34"/>
      <c r="CI98" s="40">
        <v>0</v>
      </c>
      <c r="CJ98" s="6" t="s">
        <v>101</v>
      </c>
      <c r="CK98" s="6" t="s">
        <v>102</v>
      </c>
      <c r="CL98" s="36" t="s">
        <v>103</v>
      </c>
      <c r="CM98" s="41" t="s">
        <v>104</v>
      </c>
    </row>
    <row r="99" spans="1:92" s="35" customFormat="1" ht="30" hidden="1">
      <c r="A99" s="108">
        <f t="shared" si="16"/>
        <v>91</v>
      </c>
      <c r="B99" s="368">
        <v>2845</v>
      </c>
      <c r="C99" s="368">
        <v>239</v>
      </c>
      <c r="D99" s="188" t="s">
        <v>152</v>
      </c>
      <c r="E99" s="183"/>
      <c r="F99" s="183"/>
      <c r="G99" s="196">
        <v>0.5</v>
      </c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24"/>
      <c r="S99" s="124"/>
      <c r="T99" s="183"/>
      <c r="U99" s="183"/>
      <c r="V99" s="183"/>
      <c r="W99" s="303"/>
      <c r="X99" s="183"/>
      <c r="Y99" s="183"/>
      <c r="Z99" s="183"/>
      <c r="AA99" s="183"/>
      <c r="AB99" s="183"/>
      <c r="AC99" s="183"/>
      <c r="AD99" s="183"/>
      <c r="AE99" s="183"/>
      <c r="AF99" s="196">
        <v>0.2</v>
      </c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24"/>
      <c r="AW99" s="183"/>
      <c r="AX99" s="183"/>
      <c r="AY99" s="245"/>
      <c r="AZ99" s="273" t="s">
        <v>107</v>
      </c>
      <c r="BA99" s="125">
        <v>2007</v>
      </c>
      <c r="BB99" s="107">
        <v>13</v>
      </c>
      <c r="BC99" s="109">
        <v>34</v>
      </c>
      <c r="BD99" s="110">
        <v>34</v>
      </c>
      <c r="BE99" s="121">
        <f t="shared" si="19"/>
        <v>0</v>
      </c>
      <c r="BF99" s="121">
        <f t="shared" si="20"/>
        <v>0</v>
      </c>
      <c r="BG99" s="111"/>
      <c r="BH99" s="103"/>
      <c r="BI99" s="33"/>
      <c r="BJ99" s="31"/>
      <c r="BK99" s="32"/>
      <c r="BL99" s="30"/>
      <c r="BM99" s="31"/>
      <c r="BN99" s="31"/>
      <c r="BO99" s="31"/>
      <c r="BP99" s="32"/>
      <c r="BQ99" s="30"/>
      <c r="BR99" s="32"/>
      <c r="BS99" s="33"/>
      <c r="BT99" s="31"/>
      <c r="BU99" s="31"/>
      <c r="BV99" s="31"/>
      <c r="BW99" s="31"/>
      <c r="BX99" s="31">
        <v>0</v>
      </c>
      <c r="BY99" s="31"/>
      <c r="BZ99" s="31"/>
      <c r="CA99" s="31"/>
      <c r="CB99" s="31"/>
      <c r="CC99" s="34"/>
      <c r="CD99" s="30">
        <f t="shared" si="17"/>
        <v>0</v>
      </c>
      <c r="CE99" s="32">
        <f t="shared" si="18"/>
        <v>0</v>
      </c>
      <c r="CF99" s="33"/>
      <c r="CG99" s="31"/>
      <c r="CH99" s="34"/>
      <c r="CI99" s="40">
        <v>0</v>
      </c>
      <c r="CJ99" s="6" t="s">
        <v>101</v>
      </c>
      <c r="CK99" s="6" t="s">
        <v>102</v>
      </c>
      <c r="CL99" s="36" t="s">
        <v>103</v>
      </c>
      <c r="CM99" s="41" t="s">
        <v>104</v>
      </c>
    </row>
    <row r="100" spans="1:92" s="42" customFormat="1" ht="24.95" hidden="1" customHeight="1">
      <c r="A100" s="89">
        <f t="shared" si="16"/>
        <v>92</v>
      </c>
      <c r="B100" s="90">
        <v>2845</v>
      </c>
      <c r="C100" s="90">
        <v>240</v>
      </c>
      <c r="D100" s="91" t="s">
        <v>150</v>
      </c>
      <c r="E100" s="181"/>
      <c r="F100" s="181"/>
      <c r="G100" s="196">
        <v>0.5</v>
      </c>
      <c r="H100" s="183"/>
      <c r="I100" s="181"/>
      <c r="J100" s="183"/>
      <c r="K100" s="181"/>
      <c r="L100" s="181"/>
      <c r="M100" s="181"/>
      <c r="N100" s="181"/>
      <c r="O100" s="181"/>
      <c r="P100" s="181"/>
      <c r="Q100" s="181"/>
      <c r="R100" s="199"/>
      <c r="S100" s="199"/>
      <c r="T100" s="181"/>
      <c r="U100" s="181"/>
      <c r="V100" s="183"/>
      <c r="W100" s="301"/>
      <c r="X100" s="181"/>
      <c r="Y100" s="181"/>
      <c r="Z100" s="181"/>
      <c r="AA100" s="181"/>
      <c r="AB100" s="181"/>
      <c r="AC100" s="181"/>
      <c r="AD100" s="181"/>
      <c r="AE100" s="194">
        <v>0.25</v>
      </c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199"/>
      <c r="AW100" s="181"/>
      <c r="AX100" s="181"/>
      <c r="AY100" s="243"/>
      <c r="AZ100" s="273" t="s">
        <v>107</v>
      </c>
      <c r="BA100" s="235">
        <v>2011</v>
      </c>
      <c r="BB100" s="104">
        <v>33.75</v>
      </c>
      <c r="BC100" s="93">
        <f t="shared" ref="BC100:BD102" si="21">CD100</f>
        <v>13.49</v>
      </c>
      <c r="BD100" s="94">
        <f t="shared" si="21"/>
        <v>13.49</v>
      </c>
      <c r="BE100" s="92">
        <f t="shared" si="19"/>
        <v>0</v>
      </c>
      <c r="BF100" s="92">
        <f t="shared" si="20"/>
        <v>0</v>
      </c>
      <c r="BG100" s="95">
        <v>14.35</v>
      </c>
      <c r="BH100" s="105">
        <v>14.28</v>
      </c>
      <c r="BI100" s="23"/>
      <c r="BJ100" s="24"/>
      <c r="BK100" s="28"/>
      <c r="BL100" s="27"/>
      <c r="BM100" s="24"/>
      <c r="BN100" s="24"/>
      <c r="BO100" s="24"/>
      <c r="BP100" s="28"/>
      <c r="BQ100" s="27"/>
      <c r="BR100" s="28"/>
      <c r="BS100" s="23"/>
      <c r="BT100" s="24"/>
      <c r="BU100" s="24"/>
      <c r="BV100" s="24"/>
      <c r="BW100" s="24"/>
      <c r="BX100" s="24">
        <f>[53]zestawienie!$U$308</f>
        <v>13.49</v>
      </c>
      <c r="BY100" s="24"/>
      <c r="BZ100" s="24"/>
      <c r="CA100" s="24"/>
      <c r="CB100" s="24"/>
      <c r="CC100" s="25"/>
      <c r="CD100" s="27">
        <f t="shared" si="17"/>
        <v>13.49</v>
      </c>
      <c r="CE100" s="28">
        <f t="shared" si="18"/>
        <v>13.49</v>
      </c>
      <c r="CF100" s="23"/>
      <c r="CG100" s="24"/>
      <c r="CH100" s="25">
        <f>[53]zestawienie!$AD$308</f>
        <v>13.49</v>
      </c>
      <c r="CI100" s="29">
        <v>0</v>
      </c>
      <c r="CJ100" s="4" t="s">
        <v>101</v>
      </c>
      <c r="CK100" s="4" t="s">
        <v>102</v>
      </c>
      <c r="CL100" s="18" t="s">
        <v>103</v>
      </c>
      <c r="CM100" s="19" t="s">
        <v>104</v>
      </c>
    </row>
    <row r="101" spans="1:92" s="45" customFormat="1" ht="24.95" hidden="1" customHeight="1">
      <c r="A101" s="89">
        <f t="shared" si="16"/>
        <v>93</v>
      </c>
      <c r="B101" s="365">
        <v>2845</v>
      </c>
      <c r="C101" s="365">
        <v>241</v>
      </c>
      <c r="D101" s="129" t="s">
        <v>149</v>
      </c>
      <c r="E101" s="184"/>
      <c r="F101" s="184"/>
      <c r="G101" s="196">
        <v>0.5</v>
      </c>
      <c r="H101" s="183"/>
      <c r="I101" s="184"/>
      <c r="J101" s="183"/>
      <c r="K101" s="184"/>
      <c r="L101" s="184"/>
      <c r="M101" s="184"/>
      <c r="N101" s="184"/>
      <c r="O101" s="184"/>
      <c r="P101" s="184"/>
      <c r="Q101" s="184"/>
      <c r="R101" s="202"/>
      <c r="S101" s="201">
        <v>0.2</v>
      </c>
      <c r="T101" s="184"/>
      <c r="U101" s="184"/>
      <c r="V101" s="183"/>
      <c r="W101" s="30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202"/>
      <c r="AW101" s="184"/>
      <c r="AX101" s="184"/>
      <c r="AY101" s="246"/>
      <c r="AZ101" s="273" t="s">
        <v>107</v>
      </c>
      <c r="BA101" s="237">
        <v>2011</v>
      </c>
      <c r="BB101" s="92">
        <v>43.29</v>
      </c>
      <c r="BC101" s="93">
        <f t="shared" si="21"/>
        <v>11.1</v>
      </c>
      <c r="BD101" s="94">
        <f t="shared" si="21"/>
        <v>11.1</v>
      </c>
      <c r="BE101" s="92">
        <f t="shared" si="19"/>
        <v>0</v>
      </c>
      <c r="BF101" s="92">
        <f t="shared" si="20"/>
        <v>0</v>
      </c>
      <c r="BG101" s="95">
        <v>11.53</v>
      </c>
      <c r="BH101" s="96">
        <v>11.1</v>
      </c>
      <c r="BI101" s="43"/>
      <c r="BJ101" s="21"/>
      <c r="BK101" s="22"/>
      <c r="BL101" s="20"/>
      <c r="BM101" s="21"/>
      <c r="BN101" s="21"/>
      <c r="BO101" s="21"/>
      <c r="BP101" s="22"/>
      <c r="BQ101" s="20"/>
      <c r="BR101" s="22"/>
      <c r="BS101" s="43"/>
      <c r="BT101" s="21"/>
      <c r="BU101" s="21"/>
      <c r="BV101" s="21"/>
      <c r="BW101" s="21"/>
      <c r="BX101" s="21">
        <f>[54]zestawienie!$R$308</f>
        <v>11.1</v>
      </c>
      <c r="BY101" s="21"/>
      <c r="BZ101" s="21"/>
      <c r="CA101" s="21"/>
      <c r="CB101" s="21"/>
      <c r="CC101" s="44"/>
      <c r="CD101" s="27">
        <f t="shared" si="17"/>
        <v>11.1</v>
      </c>
      <c r="CE101" s="28">
        <f t="shared" si="18"/>
        <v>11.1</v>
      </c>
      <c r="CF101" s="43"/>
      <c r="CG101" s="21"/>
      <c r="CH101" s="44">
        <f>[54]zestawienie!$AD$308</f>
        <v>11.1</v>
      </c>
      <c r="CI101" s="29">
        <v>0</v>
      </c>
      <c r="CJ101" s="4" t="s">
        <v>101</v>
      </c>
      <c r="CK101" s="4" t="s">
        <v>102</v>
      </c>
      <c r="CL101" s="18" t="s">
        <v>103</v>
      </c>
      <c r="CM101" s="19" t="s">
        <v>104</v>
      </c>
      <c r="CN101" s="45" t="s">
        <v>95</v>
      </c>
    </row>
    <row r="102" spans="1:92" s="45" customFormat="1" ht="30" hidden="1">
      <c r="A102" s="89">
        <f t="shared" si="16"/>
        <v>94</v>
      </c>
      <c r="B102" s="365">
        <v>2845</v>
      </c>
      <c r="C102" s="90">
        <v>242</v>
      </c>
      <c r="D102" s="195" t="s">
        <v>147</v>
      </c>
      <c r="E102" s="181"/>
      <c r="F102" s="181"/>
      <c r="G102" s="196">
        <v>0.5</v>
      </c>
      <c r="H102" s="183"/>
      <c r="I102" s="181"/>
      <c r="J102" s="183"/>
      <c r="K102" s="181"/>
      <c r="L102" s="181"/>
      <c r="M102" s="181"/>
      <c r="N102" s="181"/>
      <c r="O102" s="181"/>
      <c r="P102" s="181"/>
      <c r="Q102" s="181"/>
      <c r="R102" s="199"/>
      <c r="S102" s="199"/>
      <c r="T102" s="181"/>
      <c r="U102" s="181"/>
      <c r="V102" s="183"/>
      <c r="W102" s="301"/>
      <c r="X102" s="181"/>
      <c r="Y102" s="181"/>
      <c r="Z102" s="181"/>
      <c r="AA102" s="194">
        <v>0.2</v>
      </c>
      <c r="AB102" s="181"/>
      <c r="AC102" s="181"/>
      <c r="AD102" s="181"/>
      <c r="AE102" s="181"/>
      <c r="AF102" s="181"/>
      <c r="AG102" s="213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99"/>
      <c r="AW102" s="181"/>
      <c r="AX102" s="181"/>
      <c r="AY102" s="243"/>
      <c r="AZ102" s="273" t="s">
        <v>107</v>
      </c>
      <c r="BA102" s="235">
        <v>2011</v>
      </c>
      <c r="BB102" s="104">
        <v>83.45</v>
      </c>
      <c r="BC102" s="93">
        <f t="shared" si="21"/>
        <v>18.71</v>
      </c>
      <c r="BD102" s="94">
        <f t="shared" si="21"/>
        <v>18.71</v>
      </c>
      <c r="BE102" s="92">
        <f t="shared" si="19"/>
        <v>0</v>
      </c>
      <c r="BF102" s="92">
        <f t="shared" si="20"/>
        <v>0</v>
      </c>
      <c r="BG102" s="95">
        <v>19.39</v>
      </c>
      <c r="BH102" s="105">
        <v>18.71</v>
      </c>
      <c r="BI102" s="23"/>
      <c r="BJ102" s="24"/>
      <c r="BK102" s="28"/>
      <c r="BL102" s="27"/>
      <c r="BM102" s="24"/>
      <c r="BN102" s="24"/>
      <c r="BO102" s="24"/>
      <c r="BP102" s="28"/>
      <c r="BQ102" s="27"/>
      <c r="BR102" s="28"/>
      <c r="BS102" s="23"/>
      <c r="BT102" s="24"/>
      <c r="BU102" s="24"/>
      <c r="BV102" s="24"/>
      <c r="BW102" s="24"/>
      <c r="BX102" s="24">
        <f>[55]zestawienie!$R$308</f>
        <v>18.71</v>
      </c>
      <c r="BY102" s="24"/>
      <c r="BZ102" s="24"/>
      <c r="CA102" s="24"/>
      <c r="CB102" s="24"/>
      <c r="CC102" s="25"/>
      <c r="CD102" s="27">
        <f t="shared" si="17"/>
        <v>18.71</v>
      </c>
      <c r="CE102" s="28">
        <f t="shared" si="18"/>
        <v>18.71</v>
      </c>
      <c r="CF102" s="23"/>
      <c r="CG102" s="24"/>
      <c r="CH102" s="28">
        <f>[55]zestawienie!$AD$308</f>
        <v>18.71</v>
      </c>
      <c r="CI102" s="29">
        <v>0</v>
      </c>
      <c r="CJ102" s="4" t="s">
        <v>101</v>
      </c>
      <c r="CK102" s="4" t="s">
        <v>102</v>
      </c>
      <c r="CL102" s="18" t="s">
        <v>103</v>
      </c>
      <c r="CM102" s="19" t="s">
        <v>104</v>
      </c>
    </row>
    <row r="103" spans="1:92" s="45" customFormat="1" ht="30" hidden="1">
      <c r="A103" s="89">
        <f t="shared" si="16"/>
        <v>95</v>
      </c>
      <c r="B103" s="365">
        <v>2845</v>
      </c>
      <c r="C103" s="90">
        <v>243</v>
      </c>
      <c r="D103" s="195" t="s">
        <v>144</v>
      </c>
      <c r="E103" s="181"/>
      <c r="F103" s="181"/>
      <c r="G103" s="196">
        <v>0.5</v>
      </c>
      <c r="H103" s="183"/>
      <c r="I103" s="181"/>
      <c r="J103" s="183"/>
      <c r="K103" s="181"/>
      <c r="L103" s="181"/>
      <c r="M103" s="181"/>
      <c r="N103" s="181"/>
      <c r="O103" s="181"/>
      <c r="P103" s="181"/>
      <c r="Q103" s="203">
        <v>0.2</v>
      </c>
      <c r="R103" s="199"/>
      <c r="S103" s="199"/>
      <c r="T103" s="181"/>
      <c r="U103" s="199"/>
      <c r="V103" s="183"/>
      <c r="W103" s="30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213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99"/>
      <c r="AW103" s="181"/>
      <c r="AX103" s="181"/>
      <c r="AY103" s="243"/>
      <c r="AZ103" s="277" t="s">
        <v>107</v>
      </c>
      <c r="BA103" s="235">
        <v>2013</v>
      </c>
      <c r="BB103" s="104">
        <v>0</v>
      </c>
      <c r="BC103" s="93">
        <v>1</v>
      </c>
      <c r="BD103" s="94">
        <v>0</v>
      </c>
      <c r="BE103" s="121">
        <v>1</v>
      </c>
      <c r="BF103" s="92">
        <f t="shared" si="20"/>
        <v>0</v>
      </c>
      <c r="BG103" s="95">
        <v>0</v>
      </c>
      <c r="BH103" s="105">
        <v>1</v>
      </c>
      <c r="BI103" s="23"/>
      <c r="BJ103" s="24"/>
      <c r="BK103" s="28"/>
      <c r="BL103" s="27"/>
      <c r="BM103" s="24"/>
      <c r="BN103" s="24"/>
      <c r="BO103" s="24"/>
      <c r="BP103" s="28"/>
      <c r="BQ103" s="27"/>
      <c r="BR103" s="28"/>
      <c r="BS103" s="23"/>
      <c r="BT103" s="24"/>
      <c r="BU103" s="24"/>
      <c r="BV103" s="24"/>
      <c r="BW103" s="24"/>
      <c r="BX103" s="24"/>
      <c r="BY103" s="24"/>
      <c r="BZ103" s="24"/>
      <c r="CA103" s="24"/>
      <c r="CB103" s="24"/>
      <c r="CC103" s="25"/>
      <c r="CD103" s="27">
        <v>1</v>
      </c>
      <c r="CE103" s="28"/>
      <c r="CF103" s="23"/>
      <c r="CG103" s="24"/>
      <c r="CH103" s="28"/>
      <c r="CI103" s="29">
        <v>0</v>
      </c>
      <c r="CJ103" s="4" t="s">
        <v>101</v>
      </c>
      <c r="CK103" s="4" t="s">
        <v>102</v>
      </c>
      <c r="CL103" s="18" t="s">
        <v>103</v>
      </c>
      <c r="CM103" s="19" t="s">
        <v>104</v>
      </c>
    </row>
    <row r="104" spans="1:92" s="45" customFormat="1" ht="30" hidden="1">
      <c r="A104" s="89">
        <f t="shared" si="16"/>
        <v>96</v>
      </c>
      <c r="B104" s="90">
        <v>2845</v>
      </c>
      <c r="C104" s="90">
        <v>244</v>
      </c>
      <c r="D104" s="195" t="s">
        <v>148</v>
      </c>
      <c r="E104" s="181"/>
      <c r="F104" s="181"/>
      <c r="G104" s="196">
        <v>0.5</v>
      </c>
      <c r="H104" s="183"/>
      <c r="I104" s="181"/>
      <c r="J104" s="183"/>
      <c r="K104" s="181"/>
      <c r="L104" s="181"/>
      <c r="M104" s="181"/>
      <c r="N104" s="181"/>
      <c r="O104" s="181"/>
      <c r="P104" s="181"/>
      <c r="Q104" s="181"/>
      <c r="R104" s="199"/>
      <c r="S104" s="199"/>
      <c r="T104" s="181"/>
      <c r="U104" s="181"/>
      <c r="V104" s="183"/>
      <c r="W104" s="301"/>
      <c r="X104" s="181"/>
      <c r="Y104" s="181"/>
      <c r="Z104" s="181"/>
      <c r="AA104" s="194">
        <v>0.2</v>
      </c>
      <c r="AB104" s="181"/>
      <c r="AC104" s="181"/>
      <c r="AD104" s="181"/>
      <c r="AE104" s="181"/>
      <c r="AF104" s="181"/>
      <c r="AG104" s="213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99"/>
      <c r="AW104" s="181"/>
      <c r="AX104" s="181"/>
      <c r="AY104" s="243"/>
      <c r="AZ104" s="277" t="s">
        <v>107</v>
      </c>
      <c r="BA104" s="235">
        <v>2014</v>
      </c>
      <c r="BB104" s="104">
        <v>57</v>
      </c>
      <c r="BC104" s="93">
        <v>24</v>
      </c>
      <c r="BD104" s="94">
        <v>24</v>
      </c>
      <c r="BE104" s="121">
        <v>0</v>
      </c>
      <c r="BF104" s="92">
        <f t="shared" si="20"/>
        <v>0</v>
      </c>
      <c r="BG104" s="122">
        <v>24</v>
      </c>
      <c r="BH104" s="105">
        <v>24</v>
      </c>
      <c r="BI104" s="23"/>
      <c r="BJ104" s="24"/>
      <c r="BK104" s="28"/>
      <c r="BL104" s="27"/>
      <c r="BM104" s="24"/>
      <c r="BN104" s="24"/>
      <c r="BO104" s="24"/>
      <c r="BP104" s="28"/>
      <c r="BQ104" s="27"/>
      <c r="BR104" s="28"/>
      <c r="BS104" s="23"/>
      <c r="BT104" s="24"/>
      <c r="BU104" s="24"/>
      <c r="BV104" s="24"/>
      <c r="BW104" s="24"/>
      <c r="BX104" s="24"/>
      <c r="BY104" s="24"/>
      <c r="BZ104" s="24"/>
      <c r="CA104" s="24"/>
      <c r="CB104" s="24"/>
      <c r="CC104" s="25"/>
      <c r="CD104" s="27">
        <v>24</v>
      </c>
      <c r="CE104" s="28">
        <v>24</v>
      </c>
      <c r="CF104" s="23"/>
      <c r="CG104" s="24"/>
      <c r="CH104" s="28"/>
      <c r="CI104" s="29">
        <v>0</v>
      </c>
      <c r="CJ104" s="4" t="s">
        <v>101</v>
      </c>
      <c r="CK104" s="4" t="s">
        <v>102</v>
      </c>
      <c r="CL104" s="18" t="s">
        <v>103</v>
      </c>
      <c r="CM104" s="19" t="s">
        <v>104</v>
      </c>
    </row>
    <row r="105" spans="1:92" s="45" customFormat="1" ht="25.5" hidden="1" customHeight="1">
      <c r="A105" s="89">
        <f t="shared" si="16"/>
        <v>97</v>
      </c>
      <c r="B105" s="90">
        <v>2845</v>
      </c>
      <c r="C105" s="90"/>
      <c r="D105" s="195" t="s">
        <v>163</v>
      </c>
      <c r="E105" s="181"/>
      <c r="F105" s="181"/>
      <c r="G105" s="181"/>
      <c r="H105" s="181"/>
      <c r="I105" s="181"/>
      <c r="J105" s="181"/>
      <c r="K105" s="181"/>
      <c r="L105" s="181"/>
      <c r="M105" s="194">
        <v>1</v>
      </c>
      <c r="N105" s="181"/>
      <c r="O105" s="181"/>
      <c r="P105" s="181"/>
      <c r="Q105" s="181"/>
      <c r="R105" s="199"/>
      <c r="S105" s="199"/>
      <c r="T105" s="181"/>
      <c r="U105" s="181"/>
      <c r="V105" s="181"/>
      <c r="W105" s="30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213"/>
      <c r="AH105" s="181"/>
      <c r="AI105" s="450">
        <v>2</v>
      </c>
      <c r="AJ105" s="450">
        <v>2</v>
      </c>
      <c r="AK105" s="220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99"/>
      <c r="AW105" s="181"/>
      <c r="AX105" s="181"/>
      <c r="AY105" s="243"/>
      <c r="AZ105" s="277"/>
      <c r="BA105" s="235"/>
      <c r="BB105" s="104"/>
      <c r="BC105" s="93"/>
      <c r="BD105" s="94"/>
      <c r="BE105" s="121"/>
      <c r="BF105" s="92"/>
      <c r="BG105" s="122"/>
      <c r="BH105" s="105"/>
      <c r="BI105" s="23"/>
      <c r="BJ105" s="24"/>
      <c r="BK105" s="28"/>
      <c r="BL105" s="27"/>
      <c r="BM105" s="24"/>
      <c r="BN105" s="24"/>
      <c r="BO105" s="24"/>
      <c r="BP105" s="28"/>
      <c r="BQ105" s="27"/>
      <c r="BR105" s="28"/>
      <c r="BS105" s="23"/>
      <c r="BT105" s="24"/>
      <c r="BU105" s="24"/>
      <c r="BV105" s="24"/>
      <c r="BW105" s="24"/>
      <c r="BX105" s="24"/>
      <c r="BY105" s="24"/>
      <c r="BZ105" s="24"/>
      <c r="CA105" s="24"/>
      <c r="CB105" s="24"/>
      <c r="CC105" s="25"/>
      <c r="CD105" s="27"/>
      <c r="CE105" s="28"/>
      <c r="CF105" s="23"/>
      <c r="CG105" s="24"/>
      <c r="CH105" s="28"/>
      <c r="CI105" s="29"/>
      <c r="CJ105" s="4"/>
      <c r="CK105" s="4"/>
      <c r="CL105" s="18"/>
      <c r="CM105" s="19"/>
    </row>
    <row r="106" spans="1:92" s="45" customFormat="1" ht="23.25" hidden="1" customHeight="1">
      <c r="A106" s="89">
        <f t="shared" si="16"/>
        <v>98</v>
      </c>
      <c r="B106" s="90">
        <v>2845</v>
      </c>
      <c r="C106" s="90"/>
      <c r="D106" s="195" t="s">
        <v>164</v>
      </c>
      <c r="E106" s="181"/>
      <c r="F106" s="181"/>
      <c r="G106" s="181"/>
      <c r="H106" s="181"/>
      <c r="I106" s="181"/>
      <c r="J106" s="181"/>
      <c r="K106" s="181"/>
      <c r="L106" s="181"/>
      <c r="M106" s="194">
        <v>1</v>
      </c>
      <c r="N106" s="181"/>
      <c r="O106" s="181"/>
      <c r="P106" s="181"/>
      <c r="Q106" s="181"/>
      <c r="R106" s="199"/>
      <c r="S106" s="199"/>
      <c r="T106" s="181"/>
      <c r="U106" s="181"/>
      <c r="V106" s="181"/>
      <c r="W106" s="30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213"/>
      <c r="AH106" s="181"/>
      <c r="AI106" s="452"/>
      <c r="AJ106" s="452"/>
      <c r="AK106" s="220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99"/>
      <c r="AW106" s="181"/>
      <c r="AX106" s="181"/>
      <c r="AY106" s="243"/>
      <c r="AZ106" s="277"/>
      <c r="BA106" s="235"/>
      <c r="BB106" s="104"/>
      <c r="BC106" s="93"/>
      <c r="BD106" s="94"/>
      <c r="BE106" s="121"/>
      <c r="BF106" s="92"/>
      <c r="BG106" s="122"/>
      <c r="BH106" s="105"/>
      <c r="BI106" s="23"/>
      <c r="BJ106" s="24"/>
      <c r="BK106" s="28"/>
      <c r="BL106" s="27"/>
      <c r="BM106" s="24"/>
      <c r="BN106" s="24"/>
      <c r="BO106" s="24"/>
      <c r="BP106" s="28"/>
      <c r="BQ106" s="27"/>
      <c r="BR106" s="28"/>
      <c r="BS106" s="23"/>
      <c r="BT106" s="24"/>
      <c r="BU106" s="24"/>
      <c r="BV106" s="24"/>
      <c r="BW106" s="24"/>
      <c r="BX106" s="24"/>
      <c r="BY106" s="24"/>
      <c r="BZ106" s="24"/>
      <c r="CA106" s="24"/>
      <c r="CB106" s="24"/>
      <c r="CC106" s="25"/>
      <c r="CD106" s="27"/>
      <c r="CE106" s="28"/>
      <c r="CF106" s="23"/>
      <c r="CG106" s="24"/>
      <c r="CH106" s="28"/>
      <c r="CI106" s="29"/>
      <c r="CJ106" s="4"/>
      <c r="CK106" s="4"/>
      <c r="CL106" s="18"/>
      <c r="CM106" s="19"/>
    </row>
    <row r="107" spans="1:92" s="45" customFormat="1" ht="23.25" hidden="1" customHeight="1">
      <c r="A107" s="89">
        <f t="shared" si="16"/>
        <v>99</v>
      </c>
      <c r="B107" s="90">
        <v>2845</v>
      </c>
      <c r="C107" s="90"/>
      <c r="D107" s="195" t="s">
        <v>165</v>
      </c>
      <c r="E107" s="181"/>
      <c r="F107" s="181"/>
      <c r="G107" s="181"/>
      <c r="H107" s="181"/>
      <c r="I107" s="181"/>
      <c r="J107" s="181"/>
      <c r="K107" s="181"/>
      <c r="L107" s="181"/>
      <c r="M107" s="194">
        <v>1</v>
      </c>
      <c r="N107" s="181"/>
      <c r="O107" s="181"/>
      <c r="P107" s="181"/>
      <c r="Q107" s="181"/>
      <c r="R107" s="199"/>
      <c r="S107" s="199"/>
      <c r="T107" s="181"/>
      <c r="U107" s="181"/>
      <c r="V107" s="181"/>
      <c r="W107" s="30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213"/>
      <c r="AH107" s="181"/>
      <c r="AI107" s="199"/>
      <c r="AJ107" s="199"/>
      <c r="AK107" s="203">
        <v>2</v>
      </c>
      <c r="AL107" s="181"/>
      <c r="AM107" s="181"/>
      <c r="AN107" s="181"/>
      <c r="AO107" s="181"/>
      <c r="AP107" s="181"/>
      <c r="AQ107" s="181"/>
      <c r="AR107" s="181"/>
      <c r="AS107" s="181"/>
      <c r="AT107" s="181"/>
      <c r="AU107" s="181"/>
      <c r="AV107" s="199"/>
      <c r="AW107" s="181"/>
      <c r="AX107" s="181"/>
      <c r="AY107" s="243"/>
      <c r="AZ107" s="277"/>
      <c r="BA107" s="235"/>
      <c r="BB107" s="104"/>
      <c r="BC107" s="93"/>
      <c r="BD107" s="94"/>
      <c r="BE107" s="121"/>
      <c r="BF107" s="92"/>
      <c r="BG107" s="122"/>
      <c r="BH107" s="105"/>
      <c r="BI107" s="23"/>
      <c r="BJ107" s="24"/>
      <c r="BK107" s="28"/>
      <c r="BL107" s="27"/>
      <c r="BM107" s="24"/>
      <c r="BN107" s="24"/>
      <c r="BO107" s="24"/>
      <c r="BP107" s="28"/>
      <c r="BQ107" s="27"/>
      <c r="BR107" s="28"/>
      <c r="BS107" s="23"/>
      <c r="BT107" s="24"/>
      <c r="BU107" s="24"/>
      <c r="BV107" s="24"/>
      <c r="BW107" s="24"/>
      <c r="BX107" s="24"/>
      <c r="BY107" s="24"/>
      <c r="BZ107" s="24"/>
      <c r="CA107" s="24"/>
      <c r="CB107" s="24"/>
      <c r="CC107" s="25"/>
      <c r="CD107" s="27"/>
      <c r="CE107" s="28"/>
      <c r="CF107" s="23"/>
      <c r="CG107" s="24"/>
      <c r="CH107" s="28"/>
      <c r="CI107" s="29"/>
      <c r="CJ107" s="4"/>
      <c r="CK107" s="4"/>
      <c r="CL107" s="18"/>
      <c r="CM107" s="19"/>
    </row>
    <row r="108" spans="1:92" s="45" customFormat="1" ht="30" hidden="1">
      <c r="A108" s="89">
        <f t="shared" si="16"/>
        <v>100</v>
      </c>
      <c r="B108" s="90">
        <v>2845</v>
      </c>
      <c r="C108" s="90"/>
      <c r="D108" s="195" t="s">
        <v>169</v>
      </c>
      <c r="E108" s="450">
        <v>2</v>
      </c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99"/>
      <c r="S108" s="199"/>
      <c r="T108" s="181"/>
      <c r="U108" s="181"/>
      <c r="V108" s="181"/>
      <c r="W108" s="30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213"/>
      <c r="AH108" s="181"/>
      <c r="AI108" s="181"/>
      <c r="AJ108" s="181"/>
      <c r="AK108" s="181"/>
      <c r="AL108" s="231">
        <v>1.25</v>
      </c>
      <c r="AM108" s="199"/>
      <c r="AN108" s="181"/>
      <c r="AO108" s="181"/>
      <c r="AP108" s="181"/>
      <c r="AQ108" s="181"/>
      <c r="AR108" s="181"/>
      <c r="AS108" s="181"/>
      <c r="AT108" s="181"/>
      <c r="AU108" s="181"/>
      <c r="AV108" s="199"/>
      <c r="AW108" s="181"/>
      <c r="AX108" s="181"/>
      <c r="AY108" s="243"/>
      <c r="AZ108" s="277"/>
      <c r="BA108" s="235"/>
      <c r="BB108" s="104"/>
      <c r="BC108" s="93"/>
      <c r="BD108" s="94"/>
      <c r="BE108" s="121"/>
      <c r="BF108" s="92"/>
      <c r="BG108" s="122"/>
      <c r="BH108" s="105"/>
      <c r="BI108" s="23"/>
      <c r="BJ108" s="24"/>
      <c r="BK108" s="28"/>
      <c r="BL108" s="27"/>
      <c r="BM108" s="24"/>
      <c r="BN108" s="24"/>
      <c r="BO108" s="24"/>
      <c r="BP108" s="28"/>
      <c r="BQ108" s="27"/>
      <c r="BR108" s="28"/>
      <c r="BS108" s="23"/>
      <c r="BT108" s="24"/>
      <c r="BU108" s="24"/>
      <c r="BV108" s="24"/>
      <c r="BW108" s="24"/>
      <c r="BX108" s="24"/>
      <c r="BY108" s="24"/>
      <c r="BZ108" s="24"/>
      <c r="CA108" s="24"/>
      <c r="CB108" s="24"/>
      <c r="CC108" s="25"/>
      <c r="CD108" s="27"/>
      <c r="CE108" s="28"/>
      <c r="CF108" s="23"/>
      <c r="CG108" s="24"/>
      <c r="CH108" s="28"/>
      <c r="CI108" s="29"/>
      <c r="CJ108" s="4"/>
      <c r="CK108" s="4"/>
      <c r="CL108" s="18"/>
      <c r="CM108" s="19"/>
    </row>
    <row r="109" spans="1:92" s="45" customFormat="1" ht="26.25" hidden="1" customHeight="1">
      <c r="A109" s="89">
        <f t="shared" si="16"/>
        <v>101</v>
      </c>
      <c r="B109" s="90">
        <v>2845</v>
      </c>
      <c r="C109" s="90"/>
      <c r="D109" s="195" t="s">
        <v>170</v>
      </c>
      <c r="E109" s="452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99"/>
      <c r="S109" s="199"/>
      <c r="T109" s="181"/>
      <c r="U109" s="181"/>
      <c r="V109" s="181"/>
      <c r="W109" s="30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213"/>
      <c r="AH109" s="181"/>
      <c r="AI109" s="181"/>
      <c r="AJ109" s="181"/>
      <c r="AK109" s="181"/>
      <c r="AL109" s="199"/>
      <c r="AM109" s="203">
        <v>1</v>
      </c>
      <c r="AN109" s="181"/>
      <c r="AO109" s="181"/>
      <c r="AP109" s="181"/>
      <c r="AQ109" s="181"/>
      <c r="AR109" s="181"/>
      <c r="AS109" s="181"/>
      <c r="AT109" s="181"/>
      <c r="AU109" s="181"/>
      <c r="AV109" s="199"/>
      <c r="AW109" s="181"/>
      <c r="AX109" s="181"/>
      <c r="AY109" s="243"/>
      <c r="AZ109" s="277"/>
      <c r="BA109" s="235"/>
      <c r="BB109" s="104"/>
      <c r="BC109" s="93"/>
      <c r="BD109" s="94"/>
      <c r="BE109" s="121"/>
      <c r="BF109" s="92"/>
      <c r="BG109" s="122"/>
      <c r="BH109" s="105"/>
      <c r="BI109" s="23"/>
      <c r="BJ109" s="24"/>
      <c r="BK109" s="28"/>
      <c r="BL109" s="27"/>
      <c r="BM109" s="24"/>
      <c r="BN109" s="24"/>
      <c r="BO109" s="24"/>
      <c r="BP109" s="28"/>
      <c r="BQ109" s="27"/>
      <c r="BR109" s="28"/>
      <c r="BS109" s="23"/>
      <c r="BT109" s="24"/>
      <c r="BU109" s="24"/>
      <c r="BV109" s="24"/>
      <c r="BW109" s="24"/>
      <c r="BX109" s="24"/>
      <c r="BY109" s="24"/>
      <c r="BZ109" s="24"/>
      <c r="CA109" s="24"/>
      <c r="CB109" s="24"/>
      <c r="CC109" s="25"/>
      <c r="CD109" s="27"/>
      <c r="CE109" s="28"/>
      <c r="CF109" s="23"/>
      <c r="CG109" s="24"/>
      <c r="CH109" s="28"/>
      <c r="CI109" s="29"/>
      <c r="CJ109" s="4"/>
      <c r="CK109" s="4"/>
      <c r="CL109" s="18"/>
      <c r="CM109" s="19"/>
    </row>
    <row r="110" spans="1:92" s="47" customFormat="1" ht="24.95" customHeight="1">
      <c r="A110" s="592" t="s">
        <v>94</v>
      </c>
      <c r="B110" s="593"/>
      <c r="C110" s="593"/>
      <c r="D110" s="594"/>
      <c r="E110" s="370">
        <f>SUM(E9:E109)</f>
        <v>15</v>
      </c>
      <c r="F110" s="370">
        <f t="shared" ref="F110:AM110" si="22">SUM(F9:F109)</f>
        <v>9.5</v>
      </c>
      <c r="G110" s="370">
        <f t="shared" si="22"/>
        <v>7</v>
      </c>
      <c r="H110" s="370">
        <f t="shared" si="22"/>
        <v>10</v>
      </c>
      <c r="I110" s="370">
        <f t="shared" si="22"/>
        <v>8.5</v>
      </c>
      <c r="J110" s="370">
        <f t="shared" si="22"/>
        <v>11</v>
      </c>
      <c r="K110" s="370">
        <f t="shared" si="22"/>
        <v>9</v>
      </c>
      <c r="L110" s="370">
        <f t="shared" si="22"/>
        <v>7</v>
      </c>
      <c r="M110" s="370">
        <f t="shared" si="22"/>
        <v>12</v>
      </c>
      <c r="N110" s="370">
        <f t="shared" si="22"/>
        <v>9</v>
      </c>
      <c r="O110" s="370">
        <f t="shared" si="22"/>
        <v>10</v>
      </c>
      <c r="P110" s="370">
        <f t="shared" si="22"/>
        <v>11.8</v>
      </c>
      <c r="Q110" s="370">
        <f t="shared" si="22"/>
        <v>9.6999999999999993</v>
      </c>
      <c r="R110" s="370">
        <f t="shared" si="22"/>
        <v>10</v>
      </c>
      <c r="S110" s="370">
        <f t="shared" si="22"/>
        <v>8</v>
      </c>
      <c r="T110" s="370">
        <f t="shared" si="22"/>
        <v>0</v>
      </c>
      <c r="U110" s="370">
        <f t="shared" si="22"/>
        <v>0</v>
      </c>
      <c r="V110" s="370">
        <f t="shared" si="22"/>
        <v>0</v>
      </c>
      <c r="W110" s="370">
        <f t="shared" si="22"/>
        <v>2</v>
      </c>
      <c r="X110" s="370">
        <f t="shared" si="22"/>
        <v>2</v>
      </c>
      <c r="Y110" s="370">
        <f t="shared" si="22"/>
        <v>2</v>
      </c>
      <c r="Z110" s="370">
        <f t="shared" si="22"/>
        <v>2</v>
      </c>
      <c r="AA110" s="370">
        <f t="shared" si="22"/>
        <v>2</v>
      </c>
      <c r="AB110" s="370">
        <f t="shared" si="22"/>
        <v>2</v>
      </c>
      <c r="AC110" s="370">
        <f t="shared" si="22"/>
        <v>2</v>
      </c>
      <c r="AD110" s="370">
        <f t="shared" si="22"/>
        <v>2</v>
      </c>
      <c r="AE110" s="370">
        <f t="shared" si="22"/>
        <v>2</v>
      </c>
      <c r="AF110" s="370">
        <f t="shared" si="22"/>
        <v>2</v>
      </c>
      <c r="AG110" s="370">
        <f t="shared" si="22"/>
        <v>2</v>
      </c>
      <c r="AH110" s="370">
        <f t="shared" si="22"/>
        <v>2</v>
      </c>
      <c r="AI110" s="370">
        <f t="shared" si="22"/>
        <v>2</v>
      </c>
      <c r="AJ110" s="370">
        <f t="shared" si="22"/>
        <v>2</v>
      </c>
      <c r="AK110" s="370">
        <f t="shared" si="22"/>
        <v>2</v>
      </c>
      <c r="AL110" s="371">
        <f t="shared" si="22"/>
        <v>2</v>
      </c>
      <c r="AM110" s="370">
        <f t="shared" si="22"/>
        <v>2</v>
      </c>
      <c r="AN110" s="370"/>
      <c r="AO110" s="370"/>
      <c r="AP110" s="370"/>
      <c r="AQ110" s="370"/>
      <c r="AR110" s="370"/>
      <c r="AS110" s="370"/>
      <c r="AT110" s="370"/>
      <c r="AU110" s="370"/>
      <c r="AV110" s="371"/>
      <c r="AW110" s="370"/>
      <c r="AX110" s="370"/>
      <c r="AY110" s="372"/>
      <c r="AZ110" s="373"/>
      <c r="BA110" s="374"/>
      <c r="BB110" s="375">
        <f t="shared" ref="BB110:CI110" si="23">SUM(BB9:BB109)</f>
        <v>344652.1078</v>
      </c>
      <c r="BC110" s="376">
        <f t="shared" si="23"/>
        <v>85859.93</v>
      </c>
      <c r="BD110" s="376">
        <f t="shared" si="23"/>
        <v>73784.84</v>
      </c>
      <c r="BE110" s="376">
        <f t="shared" si="23"/>
        <v>1796.13</v>
      </c>
      <c r="BF110" s="376">
        <f t="shared" si="23"/>
        <v>10241.359999999997</v>
      </c>
      <c r="BG110" s="375">
        <f t="shared" si="23"/>
        <v>36004.209999999992</v>
      </c>
      <c r="BH110" s="377">
        <f t="shared" si="23"/>
        <v>34068.23000000001</v>
      </c>
      <c r="BI110" s="378">
        <f t="shared" si="23"/>
        <v>7244.26</v>
      </c>
      <c r="BJ110" s="379">
        <f t="shared" si="23"/>
        <v>1607.17</v>
      </c>
      <c r="BK110" s="379">
        <f t="shared" si="23"/>
        <v>3365.1700000000005</v>
      </c>
      <c r="BL110" s="379">
        <f t="shared" si="23"/>
        <v>6313.71</v>
      </c>
      <c r="BM110" s="379">
        <f t="shared" si="23"/>
        <v>3933.96</v>
      </c>
      <c r="BN110" s="379">
        <f t="shared" si="23"/>
        <v>462.38</v>
      </c>
      <c r="BO110" s="379">
        <f t="shared" si="23"/>
        <v>2167.0616</v>
      </c>
      <c r="BP110" s="379">
        <f t="shared" si="23"/>
        <v>598.67000000000007</v>
      </c>
      <c r="BQ110" s="379">
        <f t="shared" si="23"/>
        <v>3075.96</v>
      </c>
      <c r="BR110" s="379">
        <f t="shared" si="23"/>
        <v>590.15</v>
      </c>
      <c r="BS110" s="379">
        <f t="shared" si="23"/>
        <v>1455.7800000000002</v>
      </c>
      <c r="BT110" s="379">
        <f t="shared" si="23"/>
        <v>7507.99</v>
      </c>
      <c r="BU110" s="379">
        <f t="shared" si="23"/>
        <v>1922.94</v>
      </c>
      <c r="BV110" s="379">
        <f t="shared" si="23"/>
        <v>725.6400000000001</v>
      </c>
      <c r="BW110" s="379">
        <f t="shared" si="23"/>
        <v>1249.82</v>
      </c>
      <c r="BX110" s="379">
        <f t="shared" si="23"/>
        <v>26016.400000000001</v>
      </c>
      <c r="BY110" s="379">
        <f t="shared" si="23"/>
        <v>1795.13</v>
      </c>
      <c r="BZ110" s="379">
        <f t="shared" si="23"/>
        <v>7856.9699999999984</v>
      </c>
      <c r="CA110" s="379">
        <f t="shared" si="23"/>
        <v>2406.3399999999992</v>
      </c>
      <c r="CB110" s="379">
        <f t="shared" si="23"/>
        <v>102885.0821</v>
      </c>
      <c r="CC110" s="379">
        <f t="shared" si="23"/>
        <v>30231.96</v>
      </c>
      <c r="CD110" s="379">
        <f t="shared" si="23"/>
        <v>59037.350000000006</v>
      </c>
      <c r="CE110" s="379">
        <f t="shared" si="23"/>
        <v>60130.91</v>
      </c>
      <c r="CF110" s="379">
        <f t="shared" si="23"/>
        <v>1379.1900000000003</v>
      </c>
      <c r="CG110" s="379">
        <f t="shared" si="23"/>
        <v>3116.940000000001</v>
      </c>
      <c r="CH110" s="379">
        <f t="shared" si="23"/>
        <v>50015.189599999991</v>
      </c>
      <c r="CI110" s="379">
        <f t="shared" si="23"/>
        <v>68311.289999999994</v>
      </c>
      <c r="CJ110" s="380"/>
      <c r="CK110" s="381"/>
      <c r="CL110" s="382"/>
      <c r="CM110" s="383"/>
    </row>
    <row r="111" spans="1:92" s="47" customFormat="1" ht="24.95" hidden="1" customHeight="1">
      <c r="A111" s="91">
        <f>A109+1</f>
        <v>102</v>
      </c>
      <c r="B111" s="91"/>
      <c r="C111" s="91" t="s">
        <v>186</v>
      </c>
      <c r="D111" s="91" t="s">
        <v>185</v>
      </c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90"/>
      <c r="AM111" s="329"/>
      <c r="AN111" s="329"/>
      <c r="AO111" s="329"/>
      <c r="AP111" s="329"/>
      <c r="AQ111" s="329"/>
      <c r="AR111" s="329"/>
      <c r="AS111" s="329"/>
      <c r="AT111" s="329"/>
      <c r="AU111" s="329"/>
      <c r="AV111" s="90"/>
      <c r="AW111" s="329"/>
      <c r="AX111" s="329"/>
      <c r="AY111" s="329"/>
      <c r="AZ111" s="51" t="s">
        <v>109</v>
      </c>
      <c r="BA111" s="220">
        <v>1966</v>
      </c>
      <c r="BB111" s="126">
        <v>17468.63</v>
      </c>
      <c r="BC111" s="126"/>
      <c r="BD111" s="126">
        <v>4673.38</v>
      </c>
      <c r="BE111" s="126"/>
      <c r="BF111" s="126"/>
      <c r="BG111" s="126"/>
      <c r="BH111" s="126">
        <v>611.67999999999995</v>
      </c>
      <c r="BI111" s="330"/>
      <c r="BJ111" s="330"/>
      <c r="BK111" s="330"/>
      <c r="BL111" s="330"/>
      <c r="BM111" s="330"/>
      <c r="BN111" s="330"/>
      <c r="BO111" s="330"/>
      <c r="BP111" s="330"/>
      <c r="BQ111" s="330"/>
      <c r="BR111" s="330"/>
      <c r="BS111" s="330"/>
      <c r="BT111" s="330"/>
      <c r="BU111" s="330"/>
      <c r="BV111" s="330"/>
      <c r="BW111" s="330"/>
      <c r="BX111" s="330"/>
      <c r="BY111" s="330"/>
      <c r="BZ111" s="330"/>
      <c r="CA111" s="330"/>
      <c r="CB111" s="330"/>
      <c r="CC111" s="330"/>
      <c r="CD111" s="330"/>
      <c r="CE111" s="330"/>
      <c r="CF111" s="330"/>
      <c r="CG111" s="330"/>
      <c r="CH111" s="330"/>
      <c r="CI111" s="330"/>
      <c r="CJ111" s="190" t="s">
        <v>101</v>
      </c>
      <c r="CK111" s="190" t="s">
        <v>187</v>
      </c>
      <c r="CL111" s="331"/>
      <c r="CM111" s="50" t="s">
        <v>188</v>
      </c>
    </row>
    <row r="112" spans="1:92" s="47" customFormat="1" ht="24.95" hidden="1" customHeight="1">
      <c r="A112" s="445" t="s">
        <v>189</v>
      </c>
      <c r="B112" s="445"/>
      <c r="C112" s="445"/>
      <c r="D112" s="445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18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18"/>
      <c r="AW112" s="209"/>
      <c r="AX112" s="209"/>
      <c r="AY112" s="209"/>
      <c r="AZ112" s="325"/>
      <c r="BA112" s="326"/>
      <c r="BB112" s="130">
        <f>BB111</f>
        <v>17468.63</v>
      </c>
      <c r="BC112" s="130"/>
      <c r="BD112" s="130">
        <f>BD111</f>
        <v>4673.38</v>
      </c>
      <c r="BE112" s="130"/>
      <c r="BF112" s="130"/>
      <c r="BG112" s="130"/>
      <c r="BH112" s="130">
        <f>BH111</f>
        <v>611.67999999999995</v>
      </c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46"/>
      <c r="CK112" s="446"/>
      <c r="CL112" s="446"/>
      <c r="CM112" s="446"/>
    </row>
    <row r="113" spans="1:91" s="47" customFormat="1" ht="24.95" hidden="1" customHeight="1">
      <c r="A113" s="445" t="s">
        <v>93</v>
      </c>
      <c r="B113" s="445"/>
      <c r="C113" s="445"/>
      <c r="D113" s="445"/>
      <c r="E113" s="360"/>
      <c r="F113" s="360"/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60"/>
      <c r="R113" s="218"/>
      <c r="S113" s="218"/>
      <c r="T113" s="360"/>
      <c r="U113" s="360"/>
      <c r="V113" s="360"/>
      <c r="W113" s="360"/>
      <c r="X113" s="360"/>
      <c r="Y113" s="360"/>
      <c r="Z113" s="360"/>
      <c r="AA113" s="360"/>
      <c r="AB113" s="360"/>
      <c r="AC113" s="360"/>
      <c r="AD113" s="360"/>
      <c r="AE113" s="360"/>
      <c r="AF113" s="360"/>
      <c r="AG113" s="360"/>
      <c r="AH113" s="360"/>
      <c r="AI113" s="360"/>
      <c r="AJ113" s="360"/>
      <c r="AK113" s="360"/>
      <c r="AL113" s="360"/>
      <c r="AM113" s="360"/>
      <c r="AN113" s="360"/>
      <c r="AO113" s="332"/>
      <c r="AP113" s="360"/>
      <c r="AQ113" s="360"/>
      <c r="AR113" s="360"/>
      <c r="AS113" s="360"/>
      <c r="AT113" s="360"/>
      <c r="AU113" s="360"/>
      <c r="AV113" s="218"/>
      <c r="AW113" s="360"/>
      <c r="AX113" s="360"/>
      <c r="AY113" s="360"/>
      <c r="AZ113" s="325"/>
      <c r="BA113" s="218"/>
      <c r="BB113" s="130"/>
      <c r="BC113" s="130"/>
      <c r="BD113" s="130"/>
      <c r="BE113" s="130"/>
      <c r="BF113" s="130"/>
      <c r="BG113" s="130"/>
      <c r="BH113" s="130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361"/>
      <c r="CK113" s="361"/>
      <c r="CL113" s="327"/>
      <c r="CM113" s="328"/>
    </row>
    <row r="114" spans="1:91" s="48" customFormat="1" ht="24.95" hidden="1" customHeight="1">
      <c r="A114" s="108">
        <f>A111+1</f>
        <v>103</v>
      </c>
      <c r="B114" s="132">
        <v>3856</v>
      </c>
      <c r="C114" s="368">
        <v>6</v>
      </c>
      <c r="D114" s="133" t="s">
        <v>41</v>
      </c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76"/>
      <c r="S114" s="176"/>
      <c r="T114" s="313">
        <v>2</v>
      </c>
      <c r="U114" s="186"/>
      <c r="V114" s="186"/>
      <c r="W114" s="309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233">
        <v>1</v>
      </c>
      <c r="AT114" s="186"/>
      <c r="AU114" s="186"/>
      <c r="AV114" s="176"/>
      <c r="AW114" s="186"/>
      <c r="AX114" s="186"/>
      <c r="AY114" s="248"/>
      <c r="AZ114" s="279" t="s">
        <v>109</v>
      </c>
      <c r="BA114" s="125">
        <v>1970</v>
      </c>
      <c r="BB114" s="134">
        <v>484</v>
      </c>
      <c r="BC114" s="368">
        <v>153</v>
      </c>
      <c r="BD114" s="125">
        <v>110</v>
      </c>
      <c r="BE114" s="121">
        <f t="shared" ref="BE114:BE138" si="24">BY114</f>
        <v>0</v>
      </c>
      <c r="BF114" s="121">
        <f t="shared" ref="BF114:BF138" si="25">BZ114+CA114</f>
        <v>43</v>
      </c>
      <c r="BG114" s="135"/>
      <c r="BH114" s="88"/>
      <c r="BI114" s="33"/>
      <c r="BJ114" s="31"/>
      <c r="BK114" s="32"/>
      <c r="BL114" s="30"/>
      <c r="BM114" s="31"/>
      <c r="BN114" s="31"/>
      <c r="BO114" s="31"/>
      <c r="BP114" s="32"/>
      <c r="BQ114" s="30"/>
      <c r="BR114" s="32"/>
      <c r="BS114" s="33"/>
      <c r="BT114" s="31"/>
      <c r="BU114" s="31"/>
      <c r="BV114" s="31"/>
      <c r="BW114" s="31"/>
      <c r="BX114" s="31">
        <v>110</v>
      </c>
      <c r="BY114" s="31"/>
      <c r="BZ114" s="31">
        <v>43</v>
      </c>
      <c r="CA114" s="31"/>
      <c r="CB114" s="31"/>
      <c r="CC114" s="34"/>
      <c r="CD114" s="30">
        <f>SUM(BI114:CA114)</f>
        <v>153</v>
      </c>
      <c r="CE114" s="32">
        <f>SUM(BI114:BX114)</f>
        <v>110</v>
      </c>
      <c r="CF114" s="33"/>
      <c r="CG114" s="31"/>
      <c r="CH114" s="68">
        <v>110</v>
      </c>
      <c r="CI114" s="56">
        <v>110</v>
      </c>
      <c r="CJ114" s="6" t="s">
        <v>112</v>
      </c>
      <c r="CK114" s="6" t="s">
        <v>116</v>
      </c>
      <c r="CL114" s="36" t="s">
        <v>114</v>
      </c>
      <c r="CM114" s="41" t="s">
        <v>115</v>
      </c>
    </row>
    <row r="115" spans="1:91" s="48" customFormat="1" ht="30" hidden="1">
      <c r="A115" s="108">
        <f t="shared" si="16"/>
        <v>104</v>
      </c>
      <c r="B115" s="368">
        <v>3856</v>
      </c>
      <c r="C115" s="368">
        <v>7</v>
      </c>
      <c r="D115" s="188" t="s">
        <v>175</v>
      </c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24"/>
      <c r="S115" s="124"/>
      <c r="T115" s="196">
        <v>0.5</v>
      </c>
      <c r="U115" s="183"/>
      <c r="V115" s="183"/>
      <c r="W115" s="30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223">
        <v>0.25</v>
      </c>
      <c r="AT115" s="183"/>
      <c r="AU115" s="183"/>
      <c r="AV115" s="124"/>
      <c r="AW115" s="183"/>
      <c r="AX115" s="183"/>
      <c r="AY115" s="245"/>
      <c r="AZ115" s="279" t="s">
        <v>107</v>
      </c>
      <c r="BA115" s="125">
        <v>1960</v>
      </c>
      <c r="BB115" s="134">
        <v>9</v>
      </c>
      <c r="BC115" s="368">
        <v>2</v>
      </c>
      <c r="BD115" s="125">
        <v>2</v>
      </c>
      <c r="BE115" s="121">
        <f t="shared" si="24"/>
        <v>0</v>
      </c>
      <c r="BF115" s="121">
        <f t="shared" si="25"/>
        <v>0</v>
      </c>
      <c r="BG115" s="135"/>
      <c r="BH115" s="88"/>
      <c r="BI115" s="33"/>
      <c r="BJ115" s="31"/>
      <c r="BK115" s="32"/>
      <c r="BL115" s="30"/>
      <c r="BM115" s="31"/>
      <c r="BN115" s="31"/>
      <c r="BO115" s="31"/>
      <c r="BP115" s="32"/>
      <c r="BQ115" s="30"/>
      <c r="BR115" s="32"/>
      <c r="BS115" s="33"/>
      <c r="BT115" s="31"/>
      <c r="BU115" s="31"/>
      <c r="BV115" s="31"/>
      <c r="BW115" s="31"/>
      <c r="BX115" s="31">
        <v>2</v>
      </c>
      <c r="BY115" s="31"/>
      <c r="BZ115" s="31"/>
      <c r="CA115" s="31"/>
      <c r="CB115" s="31"/>
      <c r="CC115" s="34"/>
      <c r="CD115" s="30">
        <f>SUM(BI115:CA115)</f>
        <v>2</v>
      </c>
      <c r="CE115" s="32">
        <f>SUM(BI115:BX115)</f>
        <v>2</v>
      </c>
      <c r="CF115" s="33">
        <v>2</v>
      </c>
      <c r="CG115" s="31"/>
      <c r="CH115" s="69"/>
      <c r="CI115" s="57">
        <v>0</v>
      </c>
      <c r="CJ115" s="6" t="s">
        <v>112</v>
      </c>
      <c r="CK115" s="6" t="s">
        <v>116</v>
      </c>
      <c r="CL115" s="36" t="s">
        <v>114</v>
      </c>
      <c r="CM115" s="41" t="s">
        <v>115</v>
      </c>
    </row>
    <row r="116" spans="1:91" s="45" customFormat="1" ht="24.95" hidden="1" customHeight="1">
      <c r="A116" s="89">
        <f t="shared" si="16"/>
        <v>105</v>
      </c>
      <c r="B116" s="90">
        <v>3856</v>
      </c>
      <c r="C116" s="90">
        <v>8</v>
      </c>
      <c r="D116" s="91" t="s">
        <v>54</v>
      </c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99"/>
      <c r="S116" s="199"/>
      <c r="T116" s="194">
        <v>2</v>
      </c>
      <c r="U116" s="181"/>
      <c r="V116" s="181"/>
      <c r="W116" s="30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203">
        <v>0.5</v>
      </c>
      <c r="AS116" s="181"/>
      <c r="AT116" s="181"/>
      <c r="AU116" s="181"/>
      <c r="AV116" s="199"/>
      <c r="AW116" s="181"/>
      <c r="AX116" s="181"/>
      <c r="AY116" s="243"/>
      <c r="AZ116" s="277" t="s">
        <v>109</v>
      </c>
      <c r="BA116" s="235">
        <v>1976</v>
      </c>
      <c r="BB116" s="104">
        <v>224.55</v>
      </c>
      <c r="BC116" s="126">
        <v>62.96</v>
      </c>
      <c r="BD116" s="127">
        <v>62.96</v>
      </c>
      <c r="BE116" s="92">
        <f t="shared" si="24"/>
        <v>0</v>
      </c>
      <c r="BF116" s="92">
        <f t="shared" si="25"/>
        <v>0</v>
      </c>
      <c r="BG116" s="128">
        <v>154.88999999999999</v>
      </c>
      <c r="BH116" s="105">
        <v>75.13</v>
      </c>
      <c r="BI116" s="23"/>
      <c r="BJ116" s="24"/>
      <c r="BK116" s="28"/>
      <c r="BL116" s="27"/>
      <c r="BM116" s="24"/>
      <c r="BN116" s="24"/>
      <c r="BO116" s="24"/>
      <c r="BP116" s="28"/>
      <c r="BQ116" s="27"/>
      <c r="BR116" s="28"/>
      <c r="BS116" s="23"/>
      <c r="BT116" s="24"/>
      <c r="BU116" s="24"/>
      <c r="BV116" s="24"/>
      <c r="BW116" s="24"/>
      <c r="BX116" s="24">
        <f>[56]zestawienie!$R$308</f>
        <v>62.96</v>
      </c>
      <c r="BY116" s="24"/>
      <c r="BZ116" s="24"/>
      <c r="CA116" s="24"/>
      <c r="CB116" s="24"/>
      <c r="CC116" s="25"/>
      <c r="CD116" s="27">
        <f>SUM(BI116:CA116)</f>
        <v>62.96</v>
      </c>
      <c r="CE116" s="28">
        <f>SUM(BI116:BX116)</f>
        <v>62.96</v>
      </c>
      <c r="CF116" s="23"/>
      <c r="CG116" s="24"/>
      <c r="CH116" s="25">
        <f>[56]zestawienie!$AD$308</f>
        <v>62.96</v>
      </c>
      <c r="CI116" s="40">
        <f>SUM(BI116:BZ116)</f>
        <v>62.96</v>
      </c>
      <c r="CJ116" s="4" t="s">
        <v>112</v>
      </c>
      <c r="CK116" s="4" t="s">
        <v>116</v>
      </c>
      <c r="CL116" s="18" t="s">
        <v>114</v>
      </c>
      <c r="CM116" s="19" t="s">
        <v>115</v>
      </c>
    </row>
    <row r="117" spans="1:91" s="45" customFormat="1" ht="24.95" hidden="1" customHeight="1">
      <c r="A117" s="89">
        <f t="shared" si="16"/>
        <v>106</v>
      </c>
      <c r="B117" s="90">
        <v>3856</v>
      </c>
      <c r="C117" s="90">
        <v>9</v>
      </c>
      <c r="D117" s="91" t="s">
        <v>55</v>
      </c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99"/>
      <c r="S117" s="199"/>
      <c r="T117" s="194">
        <v>3</v>
      </c>
      <c r="U117" s="181"/>
      <c r="V117" s="181"/>
      <c r="W117" s="30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  <c r="AN117" s="181"/>
      <c r="AO117" s="181"/>
      <c r="AP117" s="181"/>
      <c r="AQ117" s="181"/>
      <c r="AR117" s="181"/>
      <c r="AS117" s="181"/>
      <c r="AT117" s="203">
        <v>2</v>
      </c>
      <c r="AU117" s="181"/>
      <c r="AV117" s="199"/>
      <c r="AW117" s="181"/>
      <c r="AX117" s="181"/>
      <c r="AY117" s="243"/>
      <c r="AZ117" s="277" t="s">
        <v>109</v>
      </c>
      <c r="BA117" s="235">
        <v>1938</v>
      </c>
      <c r="BB117" s="104">
        <v>1014.87</v>
      </c>
      <c r="BC117" s="126">
        <v>224.89</v>
      </c>
      <c r="BD117" s="127">
        <v>179.65</v>
      </c>
      <c r="BE117" s="92">
        <f t="shared" si="24"/>
        <v>1.81</v>
      </c>
      <c r="BF117" s="92">
        <f t="shared" si="25"/>
        <v>43.43</v>
      </c>
      <c r="BG117" s="128">
        <v>278.91000000000003</v>
      </c>
      <c r="BH117" s="105">
        <v>158.06</v>
      </c>
      <c r="BI117" s="23"/>
      <c r="BJ117" s="24"/>
      <c r="BK117" s="28"/>
      <c r="BL117" s="27"/>
      <c r="BM117" s="24"/>
      <c r="BN117" s="24"/>
      <c r="BO117" s="24"/>
      <c r="BP117" s="28"/>
      <c r="BQ117" s="27">
        <v>57.35</v>
      </c>
      <c r="BR117" s="28"/>
      <c r="BS117" s="23">
        <v>17.829999999999998</v>
      </c>
      <c r="BT117" s="24"/>
      <c r="BU117" s="24"/>
      <c r="BV117" s="24"/>
      <c r="BW117" s="24"/>
      <c r="BX117" s="24">
        <v>104.47</v>
      </c>
      <c r="BY117" s="24">
        <f>[57]zestawienie!$S$309</f>
        <v>1.81</v>
      </c>
      <c r="BZ117" s="24">
        <f>[57]zestawienie!$T$309</f>
        <v>36.18</v>
      </c>
      <c r="CA117" s="24">
        <f>[57]zestawienie!$U$309</f>
        <v>7.25</v>
      </c>
      <c r="CB117" s="24">
        <f>[57]zestawienie!$W$309</f>
        <v>498.4221</v>
      </c>
      <c r="CC117" s="25">
        <f>[57]zestawienie!$Y$309</f>
        <v>190.71</v>
      </c>
      <c r="CD117" s="27">
        <f>SUM(BI117:CA117)</f>
        <v>224.89000000000001</v>
      </c>
      <c r="CE117" s="28">
        <f>SUM(BI117:BX117)</f>
        <v>179.65</v>
      </c>
      <c r="CF117" s="23">
        <f>[57]zestawienie!$AB$309</f>
        <v>12.719999999999999</v>
      </c>
      <c r="CG117" s="24">
        <f>[57]zestawienie!$AC$309</f>
        <v>24.401999999999997</v>
      </c>
      <c r="CH117" s="25">
        <f>[57]zestawienie!$AD$309</f>
        <v>212.68900000000002</v>
      </c>
      <c r="CI117" s="29">
        <f>SUM(BI117:BZ117)</f>
        <v>217.64000000000001</v>
      </c>
      <c r="CJ117" s="4" t="s">
        <v>112</v>
      </c>
      <c r="CK117" s="4" t="s">
        <v>116</v>
      </c>
      <c r="CL117" s="18" t="s">
        <v>114</v>
      </c>
      <c r="CM117" s="19" t="s">
        <v>115</v>
      </c>
    </row>
    <row r="118" spans="1:91" s="45" customFormat="1" ht="24.95" hidden="1" customHeight="1">
      <c r="A118" s="89">
        <f t="shared" si="16"/>
        <v>107</v>
      </c>
      <c r="B118" s="90">
        <v>3856</v>
      </c>
      <c r="C118" s="90">
        <v>10</v>
      </c>
      <c r="D118" s="91" t="s">
        <v>56</v>
      </c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99"/>
      <c r="S118" s="199"/>
      <c r="T118" s="194">
        <v>3</v>
      </c>
      <c r="U118" s="181"/>
      <c r="V118" s="181"/>
      <c r="W118" s="30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  <c r="AN118" s="181"/>
      <c r="AO118" s="181"/>
      <c r="AP118" s="181"/>
      <c r="AQ118" s="181"/>
      <c r="AR118" s="181"/>
      <c r="AS118" s="181"/>
      <c r="AT118" s="199"/>
      <c r="AU118" s="203">
        <v>2</v>
      </c>
      <c r="AV118" s="199"/>
      <c r="AW118" s="181"/>
      <c r="AX118" s="181"/>
      <c r="AY118" s="243"/>
      <c r="AZ118" s="277" t="s">
        <v>109</v>
      </c>
      <c r="BA118" s="235">
        <v>1981</v>
      </c>
      <c r="BB118" s="104">
        <v>2739.22</v>
      </c>
      <c r="BC118" s="126">
        <v>737.67</v>
      </c>
      <c r="BD118" s="127">
        <v>535.48</v>
      </c>
      <c r="BE118" s="92">
        <f t="shared" si="24"/>
        <v>21.259999999999998</v>
      </c>
      <c r="BF118" s="92">
        <f t="shared" si="25"/>
        <v>180.93</v>
      </c>
      <c r="BG118" s="128">
        <v>491.86</v>
      </c>
      <c r="BH118" s="105">
        <v>334.31</v>
      </c>
      <c r="BI118" s="23"/>
      <c r="BJ118" s="24"/>
      <c r="BK118" s="28"/>
      <c r="BL118" s="27"/>
      <c r="BM118" s="24"/>
      <c r="BN118" s="24"/>
      <c r="BO118" s="24"/>
      <c r="BP118" s="28"/>
      <c r="BQ118" s="27"/>
      <c r="BR118" s="28"/>
      <c r="BS118" s="23">
        <f>[58]zestawienie!$M$313</f>
        <v>21.05</v>
      </c>
      <c r="BT118" s="24"/>
      <c r="BU118" s="24"/>
      <c r="BV118" s="24"/>
      <c r="BW118" s="24"/>
      <c r="BX118" s="24">
        <f>[58]zestawienie!$R$313</f>
        <v>514.42999999999995</v>
      </c>
      <c r="BY118" s="24">
        <f>[58]zestawienie!$S$313</f>
        <v>21.259999999999998</v>
      </c>
      <c r="BZ118" s="24">
        <f>[58]zestawienie!$T$313</f>
        <v>112.92</v>
      </c>
      <c r="CA118" s="24">
        <f>[58]zestawienie!$U$313</f>
        <v>68.010000000000005</v>
      </c>
      <c r="CB118" s="24">
        <f>[58]zestawienie!$W$313</f>
        <v>1708.3409000000004</v>
      </c>
      <c r="CC118" s="25">
        <f>[58]zestawienie!$AA$313</f>
        <v>535.4799999999999</v>
      </c>
      <c r="CD118" s="27">
        <f>SUM(BI118:CA118)</f>
        <v>737.66999999999985</v>
      </c>
      <c r="CE118" s="28">
        <f>SUM(BI118:BX118)</f>
        <v>535.4799999999999</v>
      </c>
      <c r="CF118" s="23">
        <f>[58]zestawienie!$AB$313</f>
        <v>122.39000000000001</v>
      </c>
      <c r="CG118" s="24">
        <f>[58]zestawienie!$AC$313</f>
        <v>54.089999999999989</v>
      </c>
      <c r="CH118" s="25">
        <f>[58]zestawienie!$AD$313</f>
        <v>710.60000000000014</v>
      </c>
      <c r="CI118" s="29">
        <f>SUM(BI118:BZ118)</f>
        <v>669.65999999999985</v>
      </c>
      <c r="CJ118" s="4" t="s">
        <v>112</v>
      </c>
      <c r="CK118" s="4" t="s">
        <v>116</v>
      </c>
      <c r="CL118" s="18" t="s">
        <v>114</v>
      </c>
      <c r="CM118" s="19" t="s">
        <v>115</v>
      </c>
    </row>
    <row r="119" spans="1:91" s="45" customFormat="1" ht="24.95" hidden="1" customHeight="1">
      <c r="A119" s="89">
        <f t="shared" si="16"/>
        <v>108</v>
      </c>
      <c r="B119" s="90">
        <v>3856</v>
      </c>
      <c r="C119" s="90">
        <v>11</v>
      </c>
      <c r="D119" s="91" t="s">
        <v>87</v>
      </c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99"/>
      <c r="S119" s="199"/>
      <c r="T119" s="194">
        <v>3</v>
      </c>
      <c r="U119" s="181"/>
      <c r="V119" s="181"/>
      <c r="W119" s="30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  <c r="AN119" s="181"/>
      <c r="AO119" s="181"/>
      <c r="AP119" s="181"/>
      <c r="AQ119" s="181"/>
      <c r="AR119" s="231">
        <v>1.25</v>
      </c>
      <c r="AS119" s="181"/>
      <c r="AT119" s="181"/>
      <c r="AU119" s="181"/>
      <c r="AV119" s="199"/>
      <c r="AW119" s="181"/>
      <c r="AX119" s="181"/>
      <c r="AY119" s="243"/>
      <c r="AZ119" s="277" t="s">
        <v>109</v>
      </c>
      <c r="BA119" s="235">
        <v>2013</v>
      </c>
      <c r="BB119" s="104">
        <v>11671</v>
      </c>
      <c r="BC119" s="126">
        <v>1334</v>
      </c>
      <c r="BD119" s="127">
        <v>1334</v>
      </c>
      <c r="BE119" s="92">
        <f t="shared" si="24"/>
        <v>0</v>
      </c>
      <c r="BF119" s="92">
        <f t="shared" si="25"/>
        <v>0</v>
      </c>
      <c r="BG119" s="128">
        <v>1575.6</v>
      </c>
      <c r="BH119" s="103">
        <f>60.2*25</f>
        <v>1505</v>
      </c>
      <c r="BI119" s="23"/>
      <c r="BJ119" s="24"/>
      <c r="BK119" s="28"/>
      <c r="BL119" s="27"/>
      <c r="BM119" s="24"/>
      <c r="BN119" s="24"/>
      <c r="BO119" s="24"/>
      <c r="BP119" s="28"/>
      <c r="BQ119" s="27"/>
      <c r="BR119" s="28"/>
      <c r="BS119" s="23"/>
      <c r="BT119" s="24"/>
      <c r="BU119" s="24"/>
      <c r="BV119" s="24"/>
      <c r="BW119" s="24"/>
      <c r="BX119" s="24"/>
      <c r="BY119" s="24"/>
      <c r="BZ119" s="24"/>
      <c r="CA119" s="24"/>
      <c r="CB119" s="24"/>
      <c r="CC119" s="25"/>
      <c r="CD119" s="27"/>
      <c r="CE119" s="28"/>
      <c r="CF119" s="23"/>
      <c r="CG119" s="24"/>
      <c r="CH119" s="25"/>
      <c r="CI119" s="29"/>
      <c r="CJ119" s="4" t="s">
        <v>112</v>
      </c>
      <c r="CK119" s="4" t="s">
        <v>116</v>
      </c>
      <c r="CL119" s="18" t="s">
        <v>114</v>
      </c>
      <c r="CM119" s="19" t="s">
        <v>115</v>
      </c>
    </row>
    <row r="120" spans="1:91" s="45" customFormat="1" ht="30" hidden="1">
      <c r="A120" s="89">
        <f t="shared" si="16"/>
        <v>109</v>
      </c>
      <c r="B120" s="90">
        <v>3856</v>
      </c>
      <c r="C120" s="90">
        <v>29</v>
      </c>
      <c r="D120" s="195" t="s">
        <v>57</v>
      </c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99"/>
      <c r="S120" s="199"/>
      <c r="T120" s="181"/>
      <c r="U120" s="194">
        <v>1</v>
      </c>
      <c r="V120" s="181"/>
      <c r="W120" s="30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  <c r="AN120" s="181"/>
      <c r="AO120" s="181"/>
      <c r="AP120" s="450">
        <v>2</v>
      </c>
      <c r="AQ120" s="181"/>
      <c r="AR120" s="181"/>
      <c r="AS120" s="181"/>
      <c r="AT120" s="181"/>
      <c r="AU120" s="181"/>
      <c r="AV120" s="199"/>
      <c r="AW120" s="181"/>
      <c r="AX120" s="181"/>
      <c r="AY120" s="243"/>
      <c r="AZ120" s="277" t="s">
        <v>109</v>
      </c>
      <c r="BA120" s="235">
        <v>1984</v>
      </c>
      <c r="BB120" s="104">
        <v>2012.34</v>
      </c>
      <c r="BC120" s="126">
        <v>351.85</v>
      </c>
      <c r="BD120" s="127">
        <v>351.85</v>
      </c>
      <c r="BE120" s="92">
        <f t="shared" si="24"/>
        <v>0</v>
      </c>
      <c r="BF120" s="92">
        <f t="shared" si="25"/>
        <v>0</v>
      </c>
      <c r="BG120" s="128">
        <v>456.7</v>
      </c>
      <c r="BH120" s="105">
        <v>371.62</v>
      </c>
      <c r="BI120" s="23"/>
      <c r="BJ120" s="24"/>
      <c r="BK120" s="28"/>
      <c r="BL120" s="27"/>
      <c r="BM120" s="24"/>
      <c r="BN120" s="24"/>
      <c r="BO120" s="24"/>
      <c r="BP120" s="28"/>
      <c r="BQ120" s="27"/>
      <c r="BR120" s="28"/>
      <c r="BS120" s="23"/>
      <c r="BT120" s="24">
        <f>[59]zestawienie!$N$308</f>
        <v>312.51</v>
      </c>
      <c r="BU120" s="24"/>
      <c r="BV120" s="24"/>
      <c r="BW120" s="24"/>
      <c r="BX120" s="24">
        <f>[59]zestawienie!$R$308</f>
        <v>39.339999999999996</v>
      </c>
      <c r="BY120" s="24"/>
      <c r="BZ120" s="24"/>
      <c r="CA120" s="24"/>
      <c r="CB120" s="24"/>
      <c r="CC120" s="25"/>
      <c r="CD120" s="27">
        <f>SUM(BI120:CA120)</f>
        <v>351.84999999999997</v>
      </c>
      <c r="CE120" s="28">
        <f>SUM(BI120:BX120)</f>
        <v>351.84999999999997</v>
      </c>
      <c r="CF120" s="23"/>
      <c r="CG120" s="24"/>
      <c r="CH120" s="25">
        <f>[59]zestawienie!$AD$308</f>
        <v>351.85</v>
      </c>
      <c r="CI120" s="29">
        <f>SUM(BI120:BZ120)</f>
        <v>351.84999999999997</v>
      </c>
      <c r="CJ120" s="6" t="s">
        <v>101</v>
      </c>
      <c r="CK120" s="6" t="s">
        <v>117</v>
      </c>
      <c r="CL120" s="36" t="s">
        <v>106</v>
      </c>
      <c r="CM120" s="41" t="s">
        <v>118</v>
      </c>
    </row>
    <row r="121" spans="1:91" s="45" customFormat="1" ht="30" hidden="1">
      <c r="A121" s="89">
        <f t="shared" si="16"/>
        <v>110</v>
      </c>
      <c r="B121" s="90">
        <v>3856</v>
      </c>
      <c r="C121" s="90">
        <v>30</v>
      </c>
      <c r="D121" s="195" t="s">
        <v>44</v>
      </c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99"/>
      <c r="S121" s="199"/>
      <c r="T121" s="181"/>
      <c r="U121" s="194">
        <v>1</v>
      </c>
      <c r="V121" s="181"/>
      <c r="W121" s="30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451"/>
      <c r="AQ121" s="181"/>
      <c r="AR121" s="181"/>
      <c r="AS121" s="181"/>
      <c r="AT121" s="181"/>
      <c r="AU121" s="181"/>
      <c r="AV121" s="199"/>
      <c r="AW121" s="181"/>
      <c r="AX121" s="181"/>
      <c r="AY121" s="243"/>
      <c r="AZ121" s="277" t="s">
        <v>109</v>
      </c>
      <c r="BA121" s="235">
        <v>1984</v>
      </c>
      <c r="BB121" s="104">
        <v>3326.14</v>
      </c>
      <c r="BC121" s="126">
        <v>519.36</v>
      </c>
      <c r="BD121" s="127">
        <v>519.36</v>
      </c>
      <c r="BE121" s="92">
        <f t="shared" si="24"/>
        <v>0</v>
      </c>
      <c r="BF121" s="92">
        <f t="shared" si="25"/>
        <v>0</v>
      </c>
      <c r="BG121" s="128">
        <v>564.57000000000005</v>
      </c>
      <c r="BH121" s="105">
        <v>556.21</v>
      </c>
      <c r="BI121" s="23"/>
      <c r="BJ121" s="24"/>
      <c r="BK121" s="28"/>
      <c r="BL121" s="27"/>
      <c r="BM121" s="24"/>
      <c r="BN121" s="24"/>
      <c r="BO121" s="24"/>
      <c r="BP121" s="28"/>
      <c r="BQ121" s="27"/>
      <c r="BR121" s="28"/>
      <c r="BS121" s="23"/>
      <c r="BT121" s="24">
        <f>[60]zestawienie!$N$308</f>
        <v>519.36</v>
      </c>
      <c r="BU121" s="24"/>
      <c r="BV121" s="24"/>
      <c r="BW121" s="24"/>
      <c r="BX121" s="24"/>
      <c r="BY121" s="24"/>
      <c r="BZ121" s="24"/>
      <c r="CA121" s="24"/>
      <c r="CB121" s="24"/>
      <c r="CC121" s="25"/>
      <c r="CD121" s="27">
        <f>SUM(BI121:CA121)</f>
        <v>519.36</v>
      </c>
      <c r="CE121" s="28">
        <f>SUM(BI121:BX121)</f>
        <v>519.36</v>
      </c>
      <c r="CF121" s="23"/>
      <c r="CG121" s="24"/>
      <c r="CH121" s="25">
        <f>[60]zestawienie!$AD$308</f>
        <v>519.36</v>
      </c>
      <c r="CI121" s="29">
        <f>SUM(BI121:BZ121)</f>
        <v>519.36</v>
      </c>
      <c r="CJ121" s="6" t="s">
        <v>101</v>
      </c>
      <c r="CK121" s="6" t="s">
        <v>117</v>
      </c>
      <c r="CL121" s="36" t="s">
        <v>106</v>
      </c>
      <c r="CM121" s="41" t="s">
        <v>118</v>
      </c>
    </row>
    <row r="122" spans="1:91" s="45" customFormat="1" ht="30" hidden="1">
      <c r="A122" s="89">
        <f t="shared" si="16"/>
        <v>111</v>
      </c>
      <c r="B122" s="90">
        <v>3856</v>
      </c>
      <c r="C122" s="90">
        <v>31</v>
      </c>
      <c r="D122" s="195" t="s">
        <v>57</v>
      </c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99"/>
      <c r="S122" s="199"/>
      <c r="T122" s="181"/>
      <c r="U122" s="194">
        <v>1</v>
      </c>
      <c r="V122" s="181"/>
      <c r="W122" s="30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  <c r="AM122" s="181"/>
      <c r="AN122" s="181"/>
      <c r="AO122" s="181"/>
      <c r="AP122" s="452"/>
      <c r="AQ122" s="181"/>
      <c r="AR122" s="181"/>
      <c r="AS122" s="181"/>
      <c r="AT122" s="181"/>
      <c r="AU122" s="181"/>
      <c r="AV122" s="199"/>
      <c r="AW122" s="181"/>
      <c r="AX122" s="181"/>
      <c r="AY122" s="243"/>
      <c r="AZ122" s="277" t="s">
        <v>109</v>
      </c>
      <c r="BA122" s="235">
        <v>1984</v>
      </c>
      <c r="BB122" s="104">
        <v>1833.07</v>
      </c>
      <c r="BC122" s="126">
        <v>308.79000000000002</v>
      </c>
      <c r="BD122" s="127">
        <v>308.79000000000002</v>
      </c>
      <c r="BE122" s="92">
        <f t="shared" si="24"/>
        <v>0</v>
      </c>
      <c r="BF122" s="92">
        <f t="shared" si="25"/>
        <v>0</v>
      </c>
      <c r="BG122" s="128">
        <v>342.13</v>
      </c>
      <c r="BH122" s="105">
        <v>338.83</v>
      </c>
      <c r="BI122" s="23"/>
      <c r="BJ122" s="24"/>
      <c r="BK122" s="28"/>
      <c r="BL122" s="27"/>
      <c r="BM122" s="24"/>
      <c r="BN122" s="24"/>
      <c r="BO122" s="24"/>
      <c r="BP122" s="28"/>
      <c r="BQ122" s="27"/>
      <c r="BR122" s="28"/>
      <c r="BS122" s="23"/>
      <c r="BT122" s="24">
        <f>[61]zestawienie!$N$308</f>
        <v>308.79000000000002</v>
      </c>
      <c r="BU122" s="24"/>
      <c r="BV122" s="24"/>
      <c r="BW122" s="24"/>
      <c r="BX122" s="24"/>
      <c r="BY122" s="24"/>
      <c r="BZ122" s="24"/>
      <c r="CA122" s="24"/>
      <c r="CB122" s="24"/>
      <c r="CC122" s="25"/>
      <c r="CD122" s="27">
        <f>SUM(BI122:CA122)</f>
        <v>308.79000000000002</v>
      </c>
      <c r="CE122" s="28">
        <f>SUM(BI122:BX122)</f>
        <v>308.79000000000002</v>
      </c>
      <c r="CF122" s="23"/>
      <c r="CG122" s="24"/>
      <c r="CH122" s="25">
        <f>[61]zestawienie!$AD$308</f>
        <v>308.79000000000002</v>
      </c>
      <c r="CI122" s="29">
        <f>SUM(BI122:BZ122)</f>
        <v>308.79000000000002</v>
      </c>
      <c r="CJ122" s="6" t="s">
        <v>101</v>
      </c>
      <c r="CK122" s="6" t="s">
        <v>117</v>
      </c>
      <c r="CL122" s="36" t="s">
        <v>106</v>
      </c>
      <c r="CM122" s="41" t="s">
        <v>118</v>
      </c>
    </row>
    <row r="123" spans="1:91" s="48" customFormat="1" ht="24.95" hidden="1" customHeight="1">
      <c r="A123" s="108">
        <f t="shared" si="16"/>
        <v>112</v>
      </c>
      <c r="B123" s="368">
        <v>3856</v>
      </c>
      <c r="C123" s="368">
        <v>32</v>
      </c>
      <c r="D123" s="106" t="s">
        <v>35</v>
      </c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24"/>
      <c r="S123" s="124"/>
      <c r="T123" s="183"/>
      <c r="U123" s="196">
        <v>2</v>
      </c>
      <c r="V123" s="183"/>
      <c r="W123" s="30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234">
        <v>1.25</v>
      </c>
      <c r="AR123" s="183"/>
      <c r="AS123" s="183"/>
      <c r="AT123" s="183"/>
      <c r="AU123" s="183"/>
      <c r="AV123" s="124"/>
      <c r="AW123" s="183"/>
      <c r="AX123" s="183"/>
      <c r="AY123" s="245"/>
      <c r="AZ123" s="277" t="s">
        <v>109</v>
      </c>
      <c r="BA123" s="125">
        <v>1984</v>
      </c>
      <c r="BB123" s="107">
        <v>9590</v>
      </c>
      <c r="BC123" s="109">
        <v>1544</v>
      </c>
      <c r="BD123" s="110">
        <v>1196</v>
      </c>
      <c r="BE123" s="92">
        <f t="shared" si="24"/>
        <v>77</v>
      </c>
      <c r="BF123" s="92">
        <f t="shared" si="25"/>
        <v>330.92</v>
      </c>
      <c r="BG123" s="111"/>
      <c r="BH123" s="103"/>
      <c r="BI123" s="33"/>
      <c r="BJ123" s="31"/>
      <c r="BK123" s="32"/>
      <c r="BL123" s="30">
        <f>206.1+215.5</f>
        <v>421.6</v>
      </c>
      <c r="BM123" s="31">
        <f>48.9+49.7+50+49.6+65.8</f>
        <v>264</v>
      </c>
      <c r="BN123" s="31"/>
      <c r="BO123" s="31">
        <v>112.5</v>
      </c>
      <c r="BP123" s="32">
        <f>15.7+15.9+15.8+13.1</f>
        <v>60.500000000000007</v>
      </c>
      <c r="BQ123" s="30"/>
      <c r="BR123" s="32"/>
      <c r="BS123" s="33">
        <v>33.1</v>
      </c>
      <c r="BT123" s="31"/>
      <c r="BU123" s="31"/>
      <c r="BV123" s="31"/>
      <c r="BW123" s="31"/>
      <c r="BX123" s="31">
        <f>114.5+87</f>
        <v>201.5</v>
      </c>
      <c r="BY123" s="31">
        <v>77</v>
      </c>
      <c r="BZ123" s="31">
        <v>293.12</v>
      </c>
      <c r="CA123" s="31">
        <v>37.799999999999997</v>
      </c>
      <c r="CB123" s="31"/>
      <c r="CC123" s="34"/>
      <c r="CD123" s="30">
        <f>SUM(BI123:CA123)</f>
        <v>1501.1200000000001</v>
      </c>
      <c r="CE123" s="32">
        <f>SUM(BI123:BX123)</f>
        <v>1093.2</v>
      </c>
      <c r="CF123" s="33"/>
      <c r="CG123" s="31"/>
      <c r="CH123" s="34"/>
      <c r="CI123" s="40">
        <f>CD123-CA123</f>
        <v>1463.3200000000002</v>
      </c>
      <c r="CJ123" s="6" t="s">
        <v>101</v>
      </c>
      <c r="CK123" s="6" t="s">
        <v>117</v>
      </c>
      <c r="CL123" s="36" t="s">
        <v>106</v>
      </c>
      <c r="CM123" s="41" t="s">
        <v>118</v>
      </c>
    </row>
    <row r="124" spans="1:91" s="45" customFormat="1" ht="24.95" hidden="1" customHeight="1">
      <c r="A124" s="89">
        <f t="shared" si="16"/>
        <v>113</v>
      </c>
      <c r="B124" s="90">
        <v>3856</v>
      </c>
      <c r="C124" s="90">
        <v>38</v>
      </c>
      <c r="D124" s="91" t="s">
        <v>53</v>
      </c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99"/>
      <c r="S124" s="199"/>
      <c r="T124" s="181"/>
      <c r="U124" s="194">
        <v>2</v>
      </c>
      <c r="V124" s="181"/>
      <c r="W124" s="30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  <c r="AN124" s="181"/>
      <c r="AO124" s="181"/>
      <c r="AP124" s="181"/>
      <c r="AQ124" s="181"/>
      <c r="AR124" s="181"/>
      <c r="AS124" s="181"/>
      <c r="AT124" s="181"/>
      <c r="AU124" s="181"/>
      <c r="AV124" s="203">
        <v>1</v>
      </c>
      <c r="AW124" s="181"/>
      <c r="AX124" s="181"/>
      <c r="AY124" s="243"/>
      <c r="AZ124" s="277" t="s">
        <v>109</v>
      </c>
      <c r="BA124" s="235" t="s">
        <v>61</v>
      </c>
      <c r="BB124" s="104">
        <v>5035.97</v>
      </c>
      <c r="BC124" s="126">
        <v>1030.8599999999999</v>
      </c>
      <c r="BD124" s="127">
        <v>824.04</v>
      </c>
      <c r="BE124" s="92">
        <f t="shared" si="24"/>
        <v>0</v>
      </c>
      <c r="BF124" s="92">
        <f t="shared" si="25"/>
        <v>206.82</v>
      </c>
      <c r="BG124" s="128">
        <v>1174.4000000000001</v>
      </c>
      <c r="BH124" s="105">
        <v>671.46</v>
      </c>
      <c r="BI124" s="23"/>
      <c r="BJ124" s="24"/>
      <c r="BK124" s="28"/>
      <c r="BL124" s="27"/>
      <c r="BM124" s="24"/>
      <c r="BN124" s="24"/>
      <c r="BO124" s="24"/>
      <c r="BP124" s="28"/>
      <c r="BQ124" s="27"/>
      <c r="BR124" s="28"/>
      <c r="BS124" s="23"/>
      <c r="BT124" s="24">
        <f>[62]zestawienie!$N$308</f>
        <v>501.61</v>
      </c>
      <c r="BU124" s="24"/>
      <c r="BV124" s="24"/>
      <c r="BW124" s="24"/>
      <c r="BX124" s="24">
        <f>[62]zestawienie!$R$308</f>
        <v>322.43000000000006</v>
      </c>
      <c r="BY124" s="24"/>
      <c r="BZ124" s="24">
        <f>[62]zestawienie!$T$308</f>
        <v>202.68</v>
      </c>
      <c r="CA124" s="24">
        <f>[62]zestawienie!$U$308</f>
        <v>4.1399999999999997</v>
      </c>
      <c r="CB124" s="24">
        <f>[62]zestawienie!$W$308</f>
        <v>35.777999999999999</v>
      </c>
      <c r="CC124" s="25">
        <f>[62]zestawienie!$Y$308</f>
        <v>10.68</v>
      </c>
      <c r="CD124" s="27">
        <f>SUM(BI124:CA124)</f>
        <v>1030.8600000000001</v>
      </c>
      <c r="CE124" s="28">
        <f>SUM(BI124:BX124)</f>
        <v>824.04000000000008</v>
      </c>
      <c r="CF124" s="23">
        <f>[62]zestawienie!$AB$308</f>
        <v>84.460000000000008</v>
      </c>
      <c r="CG124" s="24">
        <f>[62]zestawienie!$AC$308</f>
        <v>78.28</v>
      </c>
      <c r="CH124" s="25">
        <f>[62]zestawienie!$AD$308</f>
        <v>991.72</v>
      </c>
      <c r="CI124" s="29">
        <f>SUM(BI124:BZ124)</f>
        <v>1026.72</v>
      </c>
      <c r="CJ124" s="4" t="s">
        <v>112</v>
      </c>
      <c r="CK124" s="4" t="s">
        <v>116</v>
      </c>
      <c r="CL124" s="18" t="s">
        <v>114</v>
      </c>
      <c r="CM124" s="19" t="s">
        <v>115</v>
      </c>
    </row>
    <row r="125" spans="1:91" s="48" customFormat="1" ht="24.95" hidden="1" customHeight="1">
      <c r="A125" s="108">
        <f t="shared" si="16"/>
        <v>114</v>
      </c>
      <c r="B125" s="368">
        <v>3856</v>
      </c>
      <c r="C125" s="368">
        <v>46</v>
      </c>
      <c r="D125" s="106" t="s">
        <v>78</v>
      </c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24"/>
      <c r="S125" s="124"/>
      <c r="T125" s="183"/>
      <c r="U125" s="196">
        <v>1</v>
      </c>
      <c r="V125" s="183"/>
      <c r="W125" s="30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223">
        <v>0.75</v>
      </c>
      <c r="AT125" s="183"/>
      <c r="AU125" s="183"/>
      <c r="AV125" s="124"/>
      <c r="AW125" s="183"/>
      <c r="AX125" s="183"/>
      <c r="AY125" s="245"/>
      <c r="AZ125" s="279" t="s">
        <v>109</v>
      </c>
      <c r="BA125" s="125">
        <v>1981</v>
      </c>
      <c r="BB125" s="107">
        <v>100</v>
      </c>
      <c r="BC125" s="109">
        <v>0</v>
      </c>
      <c r="BD125" s="110">
        <v>0</v>
      </c>
      <c r="BE125" s="121">
        <f t="shared" si="24"/>
        <v>0</v>
      </c>
      <c r="BF125" s="121">
        <f t="shared" si="25"/>
        <v>0</v>
      </c>
      <c r="BG125" s="111"/>
      <c r="BH125" s="103"/>
      <c r="BI125" s="33"/>
      <c r="BJ125" s="31"/>
      <c r="BK125" s="32"/>
      <c r="BL125" s="30"/>
      <c r="BM125" s="31"/>
      <c r="BN125" s="31"/>
      <c r="BO125" s="31"/>
      <c r="BP125" s="32"/>
      <c r="BQ125" s="30"/>
      <c r="BR125" s="32"/>
      <c r="BS125" s="33"/>
      <c r="BT125" s="31"/>
      <c r="BU125" s="31"/>
      <c r="BV125" s="31"/>
      <c r="BW125" s="31"/>
      <c r="BX125" s="31"/>
      <c r="BY125" s="31"/>
      <c r="BZ125" s="31"/>
      <c r="CA125" s="31"/>
      <c r="CB125" s="31"/>
      <c r="CC125" s="34"/>
      <c r="CD125" s="30">
        <v>0</v>
      </c>
      <c r="CE125" s="32">
        <v>0</v>
      </c>
      <c r="CF125" s="33"/>
      <c r="CG125" s="31"/>
      <c r="CH125" s="34"/>
      <c r="CI125" s="40">
        <v>0</v>
      </c>
      <c r="CJ125" s="6" t="s">
        <v>112</v>
      </c>
      <c r="CK125" s="6" t="s">
        <v>116</v>
      </c>
      <c r="CL125" s="36" t="s">
        <v>114</v>
      </c>
      <c r="CM125" s="41" t="s">
        <v>115</v>
      </c>
    </row>
    <row r="126" spans="1:91" s="45" customFormat="1" ht="24.95" hidden="1" customHeight="1">
      <c r="A126" s="89">
        <f t="shared" si="16"/>
        <v>115</v>
      </c>
      <c r="B126" s="90">
        <v>3856</v>
      </c>
      <c r="C126" s="90">
        <v>47</v>
      </c>
      <c r="D126" s="91" t="s">
        <v>42</v>
      </c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99"/>
      <c r="S126" s="199"/>
      <c r="T126" s="181"/>
      <c r="U126" s="194">
        <v>0.5</v>
      </c>
      <c r="V126" s="181"/>
      <c r="W126" s="30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1"/>
      <c r="AK126" s="181"/>
      <c r="AL126" s="181"/>
      <c r="AM126" s="181"/>
      <c r="AN126" s="181"/>
      <c r="AO126" s="181"/>
      <c r="AP126" s="181"/>
      <c r="AQ126" s="181"/>
      <c r="AR126" s="231">
        <v>0.25</v>
      </c>
      <c r="AS126" s="181"/>
      <c r="AT126" s="181"/>
      <c r="AU126" s="91"/>
      <c r="AV126" s="42"/>
      <c r="AW126" s="181"/>
      <c r="AX126" s="181"/>
      <c r="AY126" s="243"/>
      <c r="AZ126" s="277" t="s">
        <v>109</v>
      </c>
      <c r="BA126" s="235">
        <v>1978</v>
      </c>
      <c r="BB126" s="104">
        <v>63.69</v>
      </c>
      <c r="BC126" s="126">
        <v>21.03</v>
      </c>
      <c r="BD126" s="127">
        <v>21.03</v>
      </c>
      <c r="BE126" s="92">
        <f t="shared" si="24"/>
        <v>0</v>
      </c>
      <c r="BF126" s="92">
        <f t="shared" si="25"/>
        <v>0</v>
      </c>
      <c r="BG126" s="128">
        <v>30.5</v>
      </c>
      <c r="BH126" s="105">
        <v>27.65</v>
      </c>
      <c r="BI126" s="23"/>
      <c r="BJ126" s="24"/>
      <c r="BK126" s="28"/>
      <c r="BL126" s="27"/>
      <c r="BM126" s="24"/>
      <c r="BN126" s="24"/>
      <c r="BO126" s="24"/>
      <c r="BP126" s="28"/>
      <c r="BQ126" s="27"/>
      <c r="BR126" s="28"/>
      <c r="BS126" s="23"/>
      <c r="BT126" s="24"/>
      <c r="BU126" s="24"/>
      <c r="BV126" s="24"/>
      <c r="BW126" s="24"/>
      <c r="BX126" s="24">
        <f>[63]zestawienie!$R$308</f>
        <v>21.03</v>
      </c>
      <c r="BY126" s="24"/>
      <c r="BZ126" s="24"/>
      <c r="CA126" s="24"/>
      <c r="CB126" s="24"/>
      <c r="CC126" s="25"/>
      <c r="CD126" s="27">
        <f t="shared" ref="CD126:CD131" si="26">SUM(BI126:CA126)</f>
        <v>21.03</v>
      </c>
      <c r="CE126" s="28">
        <f t="shared" ref="CE126:CE138" si="27">SUM(BI126:BX126)</f>
        <v>21.03</v>
      </c>
      <c r="CF126" s="23"/>
      <c r="CG126" s="24"/>
      <c r="CH126" s="25">
        <f>[63]zestawienie!$AD$308</f>
        <v>15.565000000000001</v>
      </c>
      <c r="CI126" s="29">
        <f>CH126</f>
        <v>15.565000000000001</v>
      </c>
      <c r="CJ126" s="4" t="s">
        <v>112</v>
      </c>
      <c r="CK126" s="4" t="s">
        <v>116</v>
      </c>
      <c r="CL126" s="18" t="s">
        <v>114</v>
      </c>
      <c r="CM126" s="19" t="s">
        <v>115</v>
      </c>
    </row>
    <row r="127" spans="1:91" s="45" customFormat="1" ht="24.95" hidden="1" customHeight="1">
      <c r="A127" s="89">
        <f t="shared" si="16"/>
        <v>116</v>
      </c>
      <c r="B127" s="90">
        <v>3856</v>
      </c>
      <c r="C127" s="90">
        <v>48</v>
      </c>
      <c r="D127" s="91" t="s">
        <v>177</v>
      </c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99"/>
      <c r="S127" s="199"/>
      <c r="T127" s="181"/>
      <c r="U127" s="194">
        <v>0.1</v>
      </c>
      <c r="V127" s="181"/>
      <c r="W127" s="30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1"/>
      <c r="AS127" s="181"/>
      <c r="AT127" s="181"/>
      <c r="AU127" s="181"/>
      <c r="AV127" s="199"/>
      <c r="AW127" s="450">
        <v>2</v>
      </c>
      <c r="AX127" s="181"/>
      <c r="AY127" s="243"/>
      <c r="AZ127" s="277" t="s">
        <v>109</v>
      </c>
      <c r="BA127" s="235">
        <v>1994</v>
      </c>
      <c r="BB127" s="104">
        <v>65.63</v>
      </c>
      <c r="BC127" s="126">
        <v>15.13</v>
      </c>
      <c r="BD127" s="127">
        <v>15.13</v>
      </c>
      <c r="BE127" s="92">
        <f t="shared" si="24"/>
        <v>0</v>
      </c>
      <c r="BF127" s="92">
        <f t="shared" si="25"/>
        <v>0</v>
      </c>
      <c r="BG127" s="128">
        <v>43.38</v>
      </c>
      <c r="BH127" s="105">
        <v>21.8</v>
      </c>
      <c r="BI127" s="23"/>
      <c r="BJ127" s="24"/>
      <c r="BK127" s="28"/>
      <c r="BL127" s="27"/>
      <c r="BM127" s="24"/>
      <c r="BN127" s="24"/>
      <c r="BO127" s="24"/>
      <c r="BP127" s="28"/>
      <c r="BQ127" s="27"/>
      <c r="BR127" s="28"/>
      <c r="BS127" s="23">
        <f>[64]zestawienie!$M$308</f>
        <v>15.129999999999999</v>
      </c>
      <c r="BT127" s="24"/>
      <c r="BU127" s="24"/>
      <c r="BV127" s="24"/>
      <c r="BW127" s="24"/>
      <c r="BX127" s="24"/>
      <c r="BY127" s="24"/>
      <c r="BZ127" s="24"/>
      <c r="CA127" s="24"/>
      <c r="CB127" s="24"/>
      <c r="CC127" s="25"/>
      <c r="CD127" s="27">
        <f t="shared" si="26"/>
        <v>15.129999999999999</v>
      </c>
      <c r="CE127" s="28">
        <f t="shared" si="27"/>
        <v>15.129999999999999</v>
      </c>
      <c r="CF127" s="23"/>
      <c r="CG127" s="24"/>
      <c r="CH127" s="25">
        <f>[64]zestawienie!$AD$308</f>
        <v>15.129999999999999</v>
      </c>
      <c r="CI127" s="29">
        <f>SUM(BI127:BZ127)</f>
        <v>15.129999999999999</v>
      </c>
      <c r="CJ127" s="4" t="s">
        <v>112</v>
      </c>
      <c r="CK127" s="4" t="s">
        <v>116</v>
      </c>
      <c r="CL127" s="18" t="s">
        <v>114</v>
      </c>
      <c r="CM127" s="19" t="s">
        <v>115</v>
      </c>
    </row>
    <row r="128" spans="1:91" s="45" customFormat="1" ht="24.95" hidden="1" customHeight="1">
      <c r="A128" s="89">
        <f t="shared" si="16"/>
        <v>117</v>
      </c>
      <c r="B128" s="90">
        <v>3856</v>
      </c>
      <c r="C128" s="90">
        <v>49</v>
      </c>
      <c r="D128" s="91" t="s">
        <v>58</v>
      </c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99"/>
      <c r="S128" s="199"/>
      <c r="T128" s="181"/>
      <c r="U128" s="194">
        <v>1</v>
      </c>
      <c r="V128" s="181"/>
      <c r="W128" s="30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1"/>
      <c r="AK128" s="181"/>
      <c r="AL128" s="181"/>
      <c r="AM128" s="181"/>
      <c r="AN128" s="181"/>
      <c r="AO128" s="181"/>
      <c r="AP128" s="181"/>
      <c r="AQ128" s="181"/>
      <c r="AR128" s="181"/>
      <c r="AS128" s="181"/>
      <c r="AT128" s="181"/>
      <c r="AU128" s="181"/>
      <c r="AV128" s="199"/>
      <c r="AW128" s="451"/>
      <c r="AX128" s="181"/>
      <c r="AY128" s="243"/>
      <c r="AZ128" s="277" t="s">
        <v>109</v>
      </c>
      <c r="BA128" s="235">
        <v>1972</v>
      </c>
      <c r="BB128" s="104">
        <v>29.27</v>
      </c>
      <c r="BC128" s="126">
        <v>2.35</v>
      </c>
      <c r="BD128" s="127">
        <v>0</v>
      </c>
      <c r="BE128" s="92">
        <f t="shared" si="24"/>
        <v>2.35</v>
      </c>
      <c r="BF128" s="92">
        <f t="shared" si="25"/>
        <v>0</v>
      </c>
      <c r="BG128" s="128">
        <v>20.399999999999999</v>
      </c>
      <c r="BH128" s="105">
        <v>4.72</v>
      </c>
      <c r="BI128" s="23"/>
      <c r="BJ128" s="24"/>
      <c r="BK128" s="28"/>
      <c r="BL128" s="27"/>
      <c r="BM128" s="24"/>
      <c r="BN128" s="24"/>
      <c r="BO128" s="24"/>
      <c r="BP128" s="28"/>
      <c r="BQ128" s="27"/>
      <c r="BR128" s="28"/>
      <c r="BS128" s="23"/>
      <c r="BT128" s="24"/>
      <c r="BU128" s="24"/>
      <c r="BV128" s="24"/>
      <c r="BW128" s="24"/>
      <c r="BX128" s="24"/>
      <c r="BY128" s="24">
        <f>[65]zestawienie!$S$308</f>
        <v>2.35</v>
      </c>
      <c r="BZ128" s="24"/>
      <c r="CA128" s="24"/>
      <c r="CB128" s="24"/>
      <c r="CC128" s="25"/>
      <c r="CD128" s="27">
        <f t="shared" si="26"/>
        <v>2.35</v>
      </c>
      <c r="CE128" s="28">
        <f t="shared" si="27"/>
        <v>0</v>
      </c>
      <c r="CF128" s="23"/>
      <c r="CG128" s="24">
        <f>[65]zestawienie!$AC$308</f>
        <v>1.57</v>
      </c>
      <c r="CH128" s="25">
        <f>[65]zestawienie!$AD$308</f>
        <v>1.5649999999999999</v>
      </c>
      <c r="CI128" s="29">
        <f>SUM(BI128:BZ128)</f>
        <v>2.35</v>
      </c>
      <c r="CJ128" s="4" t="s">
        <v>112</v>
      </c>
      <c r="CK128" s="4" t="s">
        <v>116</v>
      </c>
      <c r="CL128" s="18" t="s">
        <v>114</v>
      </c>
      <c r="CM128" s="19" t="s">
        <v>115</v>
      </c>
    </row>
    <row r="129" spans="1:91" s="45" customFormat="1" ht="24.95" hidden="1" customHeight="1">
      <c r="A129" s="89">
        <f t="shared" si="16"/>
        <v>118</v>
      </c>
      <c r="B129" s="90">
        <v>3856</v>
      </c>
      <c r="C129" s="90">
        <v>50</v>
      </c>
      <c r="D129" s="91" t="s">
        <v>36</v>
      </c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99"/>
      <c r="S129" s="199"/>
      <c r="T129" s="181"/>
      <c r="U129" s="194">
        <v>1</v>
      </c>
      <c r="V129" s="181"/>
      <c r="W129" s="30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99"/>
      <c r="AW129" s="451"/>
      <c r="AX129" s="181"/>
      <c r="AY129" s="243"/>
      <c r="AZ129" s="277" t="s">
        <v>109</v>
      </c>
      <c r="BA129" s="235">
        <v>1994</v>
      </c>
      <c r="BB129" s="104">
        <v>69.53</v>
      </c>
      <c r="BC129" s="126">
        <v>18.940000000000001</v>
      </c>
      <c r="BD129" s="127">
        <v>18.940000000000001</v>
      </c>
      <c r="BE129" s="92">
        <f t="shared" si="24"/>
        <v>0</v>
      </c>
      <c r="BF129" s="92">
        <f t="shared" si="25"/>
        <v>0</v>
      </c>
      <c r="BG129" s="128">
        <v>65.75</v>
      </c>
      <c r="BH129" s="105">
        <v>29.46</v>
      </c>
      <c r="BI129" s="23"/>
      <c r="BJ129" s="24"/>
      <c r="BK129" s="28"/>
      <c r="BL129" s="27"/>
      <c r="BM129" s="24"/>
      <c r="BN129" s="24"/>
      <c r="BO129" s="24"/>
      <c r="BP129" s="28"/>
      <c r="BQ129" s="27"/>
      <c r="BR129" s="28"/>
      <c r="BS129" s="23"/>
      <c r="BT129" s="24"/>
      <c r="BU129" s="24"/>
      <c r="BV129" s="24"/>
      <c r="BW129" s="24"/>
      <c r="BX129" s="24">
        <f>[66]zestawienie!$R$308</f>
        <v>18.940000000000001</v>
      </c>
      <c r="BY129" s="24"/>
      <c r="BZ129" s="24"/>
      <c r="CA129" s="24"/>
      <c r="CB129" s="24"/>
      <c r="CC129" s="25"/>
      <c r="CD129" s="27">
        <f t="shared" si="26"/>
        <v>18.940000000000001</v>
      </c>
      <c r="CE129" s="28">
        <f t="shared" si="27"/>
        <v>18.940000000000001</v>
      </c>
      <c r="CF129" s="23"/>
      <c r="CG129" s="24">
        <f>[66]zestawienie!$AC$308</f>
        <v>2.46</v>
      </c>
      <c r="CH129" s="25">
        <f>[66]zestawienie!$AD$308</f>
        <v>17.71</v>
      </c>
      <c r="CI129" s="29">
        <f>CG129/2+CH129</f>
        <v>18.940000000000001</v>
      </c>
      <c r="CJ129" s="4" t="s">
        <v>112</v>
      </c>
      <c r="CK129" s="4" t="s">
        <v>116</v>
      </c>
      <c r="CL129" s="18" t="s">
        <v>114</v>
      </c>
      <c r="CM129" s="19" t="s">
        <v>115</v>
      </c>
    </row>
    <row r="130" spans="1:91" s="45" customFormat="1" ht="24.95" hidden="1" customHeight="1">
      <c r="A130" s="89">
        <f t="shared" si="16"/>
        <v>119</v>
      </c>
      <c r="B130" s="90">
        <v>3856</v>
      </c>
      <c r="C130" s="90">
        <v>51</v>
      </c>
      <c r="D130" s="91" t="s">
        <v>42</v>
      </c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99"/>
      <c r="S130" s="199"/>
      <c r="T130" s="181"/>
      <c r="U130" s="181"/>
      <c r="V130" s="194">
        <v>0.5</v>
      </c>
      <c r="W130" s="30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99"/>
      <c r="AW130" s="451"/>
      <c r="AX130" s="181"/>
      <c r="AY130" s="243"/>
      <c r="AZ130" s="277" t="s">
        <v>109</v>
      </c>
      <c r="BA130" s="235">
        <v>1994</v>
      </c>
      <c r="BB130" s="104">
        <v>274.8</v>
      </c>
      <c r="BC130" s="126">
        <v>77.180000000000007</v>
      </c>
      <c r="BD130" s="127">
        <v>77.180000000000007</v>
      </c>
      <c r="BE130" s="92">
        <f t="shared" si="24"/>
        <v>0</v>
      </c>
      <c r="BF130" s="92">
        <f t="shared" si="25"/>
        <v>0</v>
      </c>
      <c r="BG130" s="128">
        <v>147.53</v>
      </c>
      <c r="BH130" s="105">
        <v>46.23</v>
      </c>
      <c r="BI130" s="23"/>
      <c r="BJ130" s="24"/>
      <c r="BK130" s="28"/>
      <c r="BL130" s="27"/>
      <c r="BM130" s="24"/>
      <c r="BN130" s="24"/>
      <c r="BO130" s="24"/>
      <c r="BP130" s="28"/>
      <c r="BQ130" s="27"/>
      <c r="BR130" s="28"/>
      <c r="BS130" s="23"/>
      <c r="BT130" s="24"/>
      <c r="BU130" s="24"/>
      <c r="BV130" s="24"/>
      <c r="BW130" s="24"/>
      <c r="BX130" s="24">
        <f>[67]zestawienie!$R$308</f>
        <v>77.180000000000007</v>
      </c>
      <c r="BY130" s="24"/>
      <c r="BZ130" s="24"/>
      <c r="CA130" s="24"/>
      <c r="CB130" s="24"/>
      <c r="CC130" s="25"/>
      <c r="CD130" s="27">
        <f t="shared" si="26"/>
        <v>77.180000000000007</v>
      </c>
      <c r="CE130" s="28">
        <f t="shared" si="27"/>
        <v>77.180000000000007</v>
      </c>
      <c r="CF130" s="23"/>
      <c r="CG130" s="24">
        <f>[67]zestawienie!$AC$308</f>
        <v>23.15</v>
      </c>
      <c r="CH130" s="25">
        <f>[67]zestawienie!$AD$308</f>
        <v>65.605000000000004</v>
      </c>
      <c r="CI130" s="29">
        <f t="shared" ref="CI130:CI131" si="28">CG130/2+CH130</f>
        <v>77.180000000000007</v>
      </c>
      <c r="CJ130" s="4" t="s">
        <v>112</v>
      </c>
      <c r="CK130" s="4" t="s">
        <v>116</v>
      </c>
      <c r="CL130" s="18" t="s">
        <v>114</v>
      </c>
      <c r="CM130" s="19" t="s">
        <v>115</v>
      </c>
    </row>
    <row r="131" spans="1:91" s="45" customFormat="1" ht="24.95" hidden="1" customHeight="1">
      <c r="A131" s="89">
        <f t="shared" si="16"/>
        <v>120</v>
      </c>
      <c r="B131" s="90">
        <v>3856</v>
      </c>
      <c r="C131" s="90">
        <v>52</v>
      </c>
      <c r="D131" s="91" t="s">
        <v>42</v>
      </c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99"/>
      <c r="S131" s="199"/>
      <c r="T131" s="181"/>
      <c r="U131" s="181"/>
      <c r="V131" s="194">
        <v>0.5</v>
      </c>
      <c r="W131" s="30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99"/>
      <c r="AW131" s="452"/>
      <c r="AX131" s="181"/>
      <c r="AY131" s="243"/>
      <c r="AZ131" s="277" t="s">
        <v>109</v>
      </c>
      <c r="BA131" s="235">
        <v>1994</v>
      </c>
      <c r="BB131" s="104">
        <v>1777.08</v>
      </c>
      <c r="BC131" s="126">
        <v>495.66</v>
      </c>
      <c r="BD131" s="127">
        <v>495.66</v>
      </c>
      <c r="BE131" s="92">
        <f t="shared" si="24"/>
        <v>0</v>
      </c>
      <c r="BF131" s="92">
        <f t="shared" si="25"/>
        <v>0</v>
      </c>
      <c r="BG131" s="128">
        <v>787.59</v>
      </c>
      <c r="BH131" s="105">
        <v>499.18</v>
      </c>
      <c r="BI131" s="23"/>
      <c r="BJ131" s="24"/>
      <c r="BK131" s="28"/>
      <c r="BL131" s="27"/>
      <c r="BM131" s="24"/>
      <c r="BN131" s="24"/>
      <c r="BO131" s="24"/>
      <c r="BP131" s="28"/>
      <c r="BQ131" s="27"/>
      <c r="BR131" s="28"/>
      <c r="BS131" s="23"/>
      <c r="BT131" s="24"/>
      <c r="BU131" s="24"/>
      <c r="BV131" s="24"/>
      <c r="BW131" s="24"/>
      <c r="BX131" s="24">
        <f>[68]zestawienie!$R$308</f>
        <v>495.66</v>
      </c>
      <c r="BY131" s="24"/>
      <c r="BZ131" s="24"/>
      <c r="CA131" s="24"/>
      <c r="CB131" s="24"/>
      <c r="CC131" s="25"/>
      <c r="CD131" s="27">
        <f t="shared" si="26"/>
        <v>495.66</v>
      </c>
      <c r="CE131" s="28">
        <f t="shared" si="27"/>
        <v>495.66</v>
      </c>
      <c r="CF131" s="23"/>
      <c r="CG131" s="24"/>
      <c r="CH131" s="25">
        <f>[68]zestawienie!$AD$308</f>
        <v>495.66</v>
      </c>
      <c r="CI131" s="29">
        <f t="shared" si="28"/>
        <v>495.66</v>
      </c>
      <c r="CJ131" s="4" t="s">
        <v>112</v>
      </c>
      <c r="CK131" s="4" t="s">
        <v>116</v>
      </c>
      <c r="CL131" s="18" t="s">
        <v>114</v>
      </c>
      <c r="CM131" s="19" t="s">
        <v>115</v>
      </c>
    </row>
    <row r="132" spans="1:91" s="48" customFormat="1" ht="24.95" hidden="1" customHeight="1">
      <c r="A132" s="108">
        <f t="shared" si="16"/>
        <v>121</v>
      </c>
      <c r="B132" s="368">
        <v>3856</v>
      </c>
      <c r="C132" s="368">
        <v>53</v>
      </c>
      <c r="D132" s="106" t="s">
        <v>36</v>
      </c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24"/>
      <c r="S132" s="124"/>
      <c r="T132" s="183"/>
      <c r="U132" s="183"/>
      <c r="V132" s="196">
        <v>1</v>
      </c>
      <c r="W132" s="30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234">
        <v>0.25</v>
      </c>
      <c r="AW132" s="183"/>
      <c r="AX132" s="183"/>
      <c r="AY132" s="245"/>
      <c r="AZ132" s="277" t="s">
        <v>109</v>
      </c>
      <c r="BA132" s="125">
        <v>1934</v>
      </c>
      <c r="BB132" s="107">
        <v>582</v>
      </c>
      <c r="BC132" s="109">
        <v>153</v>
      </c>
      <c r="BD132" s="110">
        <v>153</v>
      </c>
      <c r="BE132" s="92">
        <f t="shared" si="24"/>
        <v>0</v>
      </c>
      <c r="BF132" s="92">
        <f t="shared" si="25"/>
        <v>0</v>
      </c>
      <c r="BG132" s="111"/>
      <c r="BH132" s="103"/>
      <c r="BI132" s="33"/>
      <c r="BJ132" s="31"/>
      <c r="BK132" s="32"/>
      <c r="BL132" s="30"/>
      <c r="BM132" s="31"/>
      <c r="BN132" s="31"/>
      <c r="BO132" s="31"/>
      <c r="BP132" s="32"/>
      <c r="BQ132" s="30"/>
      <c r="BR132" s="32"/>
      <c r="BS132" s="33"/>
      <c r="BT132" s="31"/>
      <c r="BU132" s="31"/>
      <c r="BV132" s="31"/>
      <c r="BW132" s="31"/>
      <c r="BX132" s="31">
        <v>153</v>
      </c>
      <c r="BY132" s="31"/>
      <c r="BZ132" s="31"/>
      <c r="CA132" s="31"/>
      <c r="CB132" s="31"/>
      <c r="CC132" s="34"/>
      <c r="CD132" s="30">
        <v>153</v>
      </c>
      <c r="CE132" s="28">
        <f t="shared" si="27"/>
        <v>153</v>
      </c>
      <c r="CF132" s="33"/>
      <c r="CG132" s="31"/>
      <c r="CH132" s="34">
        <v>153</v>
      </c>
      <c r="CI132" s="40">
        <v>153</v>
      </c>
      <c r="CJ132" s="4" t="s">
        <v>112</v>
      </c>
      <c r="CK132" s="4" t="s">
        <v>116</v>
      </c>
      <c r="CL132" s="18" t="s">
        <v>114</v>
      </c>
      <c r="CM132" s="19" t="s">
        <v>115</v>
      </c>
    </row>
    <row r="133" spans="1:91" s="48" customFormat="1" ht="24.95" hidden="1" customHeight="1">
      <c r="A133" s="108">
        <f t="shared" si="16"/>
        <v>122</v>
      </c>
      <c r="B133" s="368">
        <v>3856</v>
      </c>
      <c r="C133" s="368">
        <v>55</v>
      </c>
      <c r="D133" s="106" t="s">
        <v>79</v>
      </c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24"/>
      <c r="S133" s="124"/>
      <c r="T133" s="183"/>
      <c r="U133" s="183"/>
      <c r="V133" s="196">
        <v>1</v>
      </c>
      <c r="W133" s="30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234">
        <v>0.25</v>
      </c>
      <c r="AW133" s="183"/>
      <c r="AX133" s="183"/>
      <c r="AY133" s="245"/>
      <c r="AZ133" s="279" t="s">
        <v>107</v>
      </c>
      <c r="BA133" s="125">
        <v>1934</v>
      </c>
      <c r="BB133" s="107">
        <v>747</v>
      </c>
      <c r="BC133" s="109">
        <v>237</v>
      </c>
      <c r="BD133" s="110">
        <v>237</v>
      </c>
      <c r="BE133" s="92">
        <f t="shared" si="24"/>
        <v>0</v>
      </c>
      <c r="BF133" s="92">
        <f t="shared" si="25"/>
        <v>0</v>
      </c>
      <c r="BG133" s="111"/>
      <c r="BH133" s="103"/>
      <c r="BI133" s="33"/>
      <c r="BJ133" s="31"/>
      <c r="BK133" s="32"/>
      <c r="BL133" s="30"/>
      <c r="BM133" s="31"/>
      <c r="BN133" s="31"/>
      <c r="BO133" s="31"/>
      <c r="BP133" s="32"/>
      <c r="BQ133" s="30"/>
      <c r="BR133" s="32"/>
      <c r="BS133" s="33"/>
      <c r="BT133" s="31"/>
      <c r="BU133" s="31"/>
      <c r="BV133" s="31"/>
      <c r="BW133" s="31"/>
      <c r="BX133" s="31">
        <v>237</v>
      </c>
      <c r="BY133" s="31"/>
      <c r="BZ133" s="31"/>
      <c r="CA133" s="31"/>
      <c r="CB133" s="31"/>
      <c r="CC133" s="34"/>
      <c r="CD133" s="30">
        <v>237</v>
      </c>
      <c r="CE133" s="28">
        <f t="shared" si="27"/>
        <v>237</v>
      </c>
      <c r="CF133" s="33">
        <v>237</v>
      </c>
      <c r="CG133" s="31"/>
      <c r="CH133" s="34"/>
      <c r="CI133" s="40">
        <v>0</v>
      </c>
      <c r="CJ133" s="4" t="s">
        <v>112</v>
      </c>
      <c r="CK133" s="4" t="s">
        <v>116</v>
      </c>
      <c r="CL133" s="18" t="s">
        <v>114</v>
      </c>
      <c r="CM133" s="19" t="s">
        <v>115</v>
      </c>
    </row>
    <row r="134" spans="1:91" s="67" customFormat="1" ht="32.25" hidden="1" customHeight="1">
      <c r="A134" s="136">
        <f t="shared" si="16"/>
        <v>123</v>
      </c>
      <c r="B134" s="137">
        <v>3856</v>
      </c>
      <c r="C134" s="137">
        <v>66</v>
      </c>
      <c r="D134" s="138" t="s">
        <v>58</v>
      </c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219"/>
      <c r="S134" s="219"/>
      <c r="T134" s="187"/>
      <c r="U134" s="187"/>
      <c r="V134" s="196">
        <v>1</v>
      </c>
      <c r="W134" s="303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219"/>
      <c r="AO134" s="187"/>
      <c r="AP134" s="292"/>
      <c r="AQ134" s="187"/>
      <c r="AR134" s="187"/>
      <c r="AS134" s="187"/>
      <c r="AT134" s="187"/>
      <c r="AU134" s="187"/>
      <c r="AV134" s="453">
        <v>0.5</v>
      </c>
      <c r="AW134" s="187"/>
      <c r="AX134" s="187"/>
      <c r="AY134" s="249"/>
      <c r="AZ134" s="280" t="s">
        <v>110</v>
      </c>
      <c r="BA134" s="238">
        <v>1970</v>
      </c>
      <c r="BB134" s="139">
        <v>185</v>
      </c>
      <c r="BC134" s="140">
        <v>43</v>
      </c>
      <c r="BD134" s="141">
        <v>43</v>
      </c>
      <c r="BE134" s="142">
        <f t="shared" si="24"/>
        <v>43</v>
      </c>
      <c r="BF134" s="142">
        <f t="shared" si="25"/>
        <v>0</v>
      </c>
      <c r="BG134" s="143"/>
      <c r="BH134" s="144"/>
      <c r="BI134" s="63"/>
      <c r="BJ134" s="61"/>
      <c r="BK134" s="62"/>
      <c r="BL134" s="60"/>
      <c r="BM134" s="61"/>
      <c r="BN134" s="61"/>
      <c r="BO134" s="61"/>
      <c r="BP134" s="62"/>
      <c r="BQ134" s="60"/>
      <c r="BR134" s="62"/>
      <c r="BS134" s="63"/>
      <c r="BT134" s="61"/>
      <c r="BU134" s="61"/>
      <c r="BV134" s="61"/>
      <c r="BW134" s="61"/>
      <c r="BX134" s="61"/>
      <c r="BY134" s="61">
        <v>43</v>
      </c>
      <c r="BZ134" s="61"/>
      <c r="CA134" s="61"/>
      <c r="CB134" s="61"/>
      <c r="CC134" s="64"/>
      <c r="CD134" s="60">
        <v>43</v>
      </c>
      <c r="CE134" s="28">
        <f t="shared" si="27"/>
        <v>0</v>
      </c>
      <c r="CF134" s="63"/>
      <c r="CG134" s="61"/>
      <c r="CH134" s="64">
        <v>43</v>
      </c>
      <c r="CI134" s="58">
        <v>43</v>
      </c>
      <c r="CJ134" s="55" t="s">
        <v>112</v>
      </c>
      <c r="CK134" s="55" t="s">
        <v>116</v>
      </c>
      <c r="CL134" s="65" t="s">
        <v>119</v>
      </c>
      <c r="CM134" s="66" t="s">
        <v>120</v>
      </c>
    </row>
    <row r="135" spans="1:91" s="67" customFormat="1" ht="32.25" hidden="1" customHeight="1">
      <c r="A135" s="136">
        <f t="shared" si="16"/>
        <v>124</v>
      </c>
      <c r="B135" s="137">
        <v>3856</v>
      </c>
      <c r="C135" s="137">
        <v>67</v>
      </c>
      <c r="D135" s="138" t="s">
        <v>50</v>
      </c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219"/>
      <c r="S135" s="219"/>
      <c r="T135" s="187"/>
      <c r="U135" s="187"/>
      <c r="V135" s="196">
        <v>1</v>
      </c>
      <c r="W135" s="303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219"/>
      <c r="AO135" s="187"/>
      <c r="AP135" s="292"/>
      <c r="AQ135" s="187"/>
      <c r="AR135" s="187"/>
      <c r="AS135" s="187"/>
      <c r="AT135" s="187"/>
      <c r="AU135" s="187"/>
      <c r="AV135" s="454"/>
      <c r="AW135" s="187"/>
      <c r="AX135" s="187"/>
      <c r="AY135" s="249"/>
      <c r="AZ135" s="280" t="s">
        <v>111</v>
      </c>
      <c r="BA135" s="238">
        <v>1970</v>
      </c>
      <c r="BB135" s="139">
        <v>0</v>
      </c>
      <c r="BC135" s="140">
        <v>0</v>
      </c>
      <c r="BD135" s="141">
        <v>0</v>
      </c>
      <c r="BE135" s="142">
        <f t="shared" si="24"/>
        <v>0</v>
      </c>
      <c r="BF135" s="142">
        <f t="shared" si="25"/>
        <v>0</v>
      </c>
      <c r="BG135" s="143"/>
      <c r="BH135" s="144"/>
      <c r="BI135" s="63"/>
      <c r="BJ135" s="61"/>
      <c r="BK135" s="62"/>
      <c r="BL135" s="60"/>
      <c r="BM135" s="61"/>
      <c r="BN135" s="61"/>
      <c r="BO135" s="61"/>
      <c r="BP135" s="62"/>
      <c r="BQ135" s="60"/>
      <c r="BR135" s="62"/>
      <c r="BS135" s="63"/>
      <c r="BT135" s="61"/>
      <c r="BU135" s="61"/>
      <c r="BV135" s="61"/>
      <c r="BW135" s="61"/>
      <c r="BX135" s="61"/>
      <c r="BY135" s="61"/>
      <c r="BZ135" s="61"/>
      <c r="CA135" s="61"/>
      <c r="CB135" s="61"/>
      <c r="CC135" s="64"/>
      <c r="CD135" s="60">
        <v>0</v>
      </c>
      <c r="CE135" s="28">
        <f t="shared" si="27"/>
        <v>0</v>
      </c>
      <c r="CF135" s="63"/>
      <c r="CG135" s="61"/>
      <c r="CH135" s="64"/>
      <c r="CI135" s="58">
        <v>0</v>
      </c>
      <c r="CJ135" s="55" t="s">
        <v>112</v>
      </c>
      <c r="CK135" s="55" t="s">
        <v>116</v>
      </c>
      <c r="CL135" s="65" t="s">
        <v>119</v>
      </c>
      <c r="CM135" s="66" t="s">
        <v>121</v>
      </c>
    </row>
    <row r="136" spans="1:91" s="48" customFormat="1" ht="30" hidden="1">
      <c r="A136" s="108">
        <f t="shared" si="16"/>
        <v>125</v>
      </c>
      <c r="B136" s="368">
        <v>3856</v>
      </c>
      <c r="C136" s="368">
        <v>68</v>
      </c>
      <c r="D136" s="188" t="s">
        <v>176</v>
      </c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24"/>
      <c r="S136" s="124"/>
      <c r="T136" s="183"/>
      <c r="U136" s="183"/>
      <c r="V136" s="196">
        <v>0.5</v>
      </c>
      <c r="W136" s="30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223">
        <v>0.25</v>
      </c>
      <c r="AR136" s="183"/>
      <c r="AS136" s="183"/>
      <c r="AT136" s="183"/>
      <c r="AU136" s="183"/>
      <c r="AV136" s="124"/>
      <c r="AW136" s="183"/>
      <c r="AX136" s="183"/>
      <c r="AY136" s="245"/>
      <c r="AZ136" s="279" t="s">
        <v>107</v>
      </c>
      <c r="BA136" s="125">
        <v>1984</v>
      </c>
      <c r="BB136" s="107">
        <v>100</v>
      </c>
      <c r="BC136" s="109">
        <v>0</v>
      </c>
      <c r="BD136" s="110">
        <v>0</v>
      </c>
      <c r="BE136" s="121">
        <f t="shared" si="24"/>
        <v>0</v>
      </c>
      <c r="BF136" s="121">
        <f t="shared" si="25"/>
        <v>0</v>
      </c>
      <c r="BG136" s="111"/>
      <c r="BH136" s="103"/>
      <c r="BI136" s="33"/>
      <c r="BJ136" s="31"/>
      <c r="BK136" s="32"/>
      <c r="BL136" s="30"/>
      <c r="BM136" s="31"/>
      <c r="BN136" s="31"/>
      <c r="BO136" s="31"/>
      <c r="BP136" s="32"/>
      <c r="BQ136" s="30"/>
      <c r="BR136" s="32"/>
      <c r="BS136" s="33"/>
      <c r="BT136" s="31"/>
      <c r="BU136" s="31"/>
      <c r="BV136" s="31"/>
      <c r="BW136" s="31"/>
      <c r="BX136" s="31"/>
      <c r="BY136" s="31"/>
      <c r="BZ136" s="31"/>
      <c r="CA136" s="31"/>
      <c r="CB136" s="31"/>
      <c r="CC136" s="34"/>
      <c r="CD136" s="30">
        <v>0</v>
      </c>
      <c r="CE136" s="28">
        <f t="shared" si="27"/>
        <v>0</v>
      </c>
      <c r="CF136" s="33"/>
      <c r="CG136" s="31"/>
      <c r="CH136" s="34"/>
      <c r="CI136" s="40">
        <v>0</v>
      </c>
      <c r="CJ136" s="6" t="s">
        <v>101</v>
      </c>
      <c r="CK136" s="6" t="s">
        <v>117</v>
      </c>
      <c r="CL136" s="36" t="s">
        <v>106</v>
      </c>
      <c r="CM136" s="41" t="s">
        <v>118</v>
      </c>
    </row>
    <row r="137" spans="1:91" s="48" customFormat="1" ht="24.95" hidden="1" customHeight="1">
      <c r="A137" s="108">
        <f t="shared" si="16"/>
        <v>126</v>
      </c>
      <c r="B137" s="368">
        <v>3856</v>
      </c>
      <c r="C137" s="368">
        <v>69</v>
      </c>
      <c r="D137" s="106" t="s">
        <v>38</v>
      </c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24"/>
      <c r="S137" s="124"/>
      <c r="T137" s="183"/>
      <c r="U137" s="183"/>
      <c r="V137" s="196">
        <v>1</v>
      </c>
      <c r="W137" s="30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453">
        <v>0.5</v>
      </c>
      <c r="AR137" s="183"/>
      <c r="AS137" s="183"/>
      <c r="AT137" s="183"/>
      <c r="AU137" s="183"/>
      <c r="AV137" s="124"/>
      <c r="AW137" s="183"/>
      <c r="AX137" s="183"/>
      <c r="AY137" s="245"/>
      <c r="AZ137" s="279" t="s">
        <v>109</v>
      </c>
      <c r="BA137" s="125">
        <v>1980</v>
      </c>
      <c r="BB137" s="107">
        <v>4114</v>
      </c>
      <c r="BC137" s="109">
        <v>716</v>
      </c>
      <c r="BD137" s="110">
        <v>716</v>
      </c>
      <c r="BE137" s="121">
        <f t="shared" si="24"/>
        <v>0</v>
      </c>
      <c r="BF137" s="121">
        <f t="shared" si="25"/>
        <v>0</v>
      </c>
      <c r="BG137" s="111"/>
      <c r="BH137" s="103"/>
      <c r="BI137" s="33"/>
      <c r="BJ137" s="31"/>
      <c r="BK137" s="32"/>
      <c r="BL137" s="30"/>
      <c r="BM137" s="31"/>
      <c r="BN137" s="31"/>
      <c r="BO137" s="31"/>
      <c r="BP137" s="32"/>
      <c r="BQ137" s="30"/>
      <c r="BR137" s="32"/>
      <c r="BS137" s="33"/>
      <c r="BT137" s="31">
        <v>716</v>
      </c>
      <c r="BU137" s="31"/>
      <c r="BV137" s="31"/>
      <c r="BW137" s="31"/>
      <c r="BX137" s="31"/>
      <c r="BY137" s="31"/>
      <c r="BZ137" s="31"/>
      <c r="CA137" s="31"/>
      <c r="CB137" s="31"/>
      <c r="CC137" s="34"/>
      <c r="CD137" s="30">
        <v>717</v>
      </c>
      <c r="CE137" s="28">
        <f t="shared" si="27"/>
        <v>716</v>
      </c>
      <c r="CF137" s="33"/>
      <c r="CG137" s="31"/>
      <c r="CH137" s="34">
        <v>717</v>
      </c>
      <c r="CI137" s="40">
        <v>716</v>
      </c>
      <c r="CJ137" s="6" t="s">
        <v>101</v>
      </c>
      <c r="CK137" s="6" t="s">
        <v>117</v>
      </c>
      <c r="CL137" s="36" t="s">
        <v>106</v>
      </c>
      <c r="CM137" s="41" t="s">
        <v>118</v>
      </c>
    </row>
    <row r="138" spans="1:91" s="48" customFormat="1" ht="24.95" hidden="1" customHeight="1">
      <c r="A138" s="108">
        <f>A136+1</f>
        <v>126</v>
      </c>
      <c r="B138" s="368">
        <v>3856</v>
      </c>
      <c r="C138" s="368">
        <v>70</v>
      </c>
      <c r="D138" s="106" t="s">
        <v>123</v>
      </c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24"/>
      <c r="S138" s="124"/>
      <c r="T138" s="183"/>
      <c r="U138" s="183"/>
      <c r="V138" s="196">
        <v>1</v>
      </c>
      <c r="W138" s="30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454"/>
      <c r="AR138" s="183"/>
      <c r="AS138" s="183"/>
      <c r="AT138" s="183"/>
      <c r="AU138" s="183"/>
      <c r="AV138" s="124"/>
      <c r="AW138" s="183"/>
      <c r="AX138" s="183"/>
      <c r="AY138" s="245"/>
      <c r="AZ138" s="279" t="s">
        <v>109</v>
      </c>
      <c r="BA138" s="125">
        <v>1980</v>
      </c>
      <c r="BB138" s="107">
        <v>147</v>
      </c>
      <c r="BC138" s="109">
        <v>49</v>
      </c>
      <c r="BD138" s="110">
        <v>49</v>
      </c>
      <c r="BE138" s="121">
        <f t="shared" si="24"/>
        <v>46</v>
      </c>
      <c r="BF138" s="121">
        <f t="shared" si="25"/>
        <v>0</v>
      </c>
      <c r="BG138" s="111"/>
      <c r="BH138" s="103"/>
      <c r="BI138" s="33"/>
      <c r="BJ138" s="31"/>
      <c r="BK138" s="32"/>
      <c r="BL138" s="30"/>
      <c r="BM138" s="31"/>
      <c r="BN138" s="31"/>
      <c r="BO138" s="31"/>
      <c r="BP138" s="32"/>
      <c r="BQ138" s="30"/>
      <c r="BR138" s="32"/>
      <c r="BS138" s="33"/>
      <c r="BT138" s="31"/>
      <c r="BU138" s="31"/>
      <c r="BV138" s="31"/>
      <c r="BW138" s="31"/>
      <c r="BX138" s="31"/>
      <c r="BY138" s="31">
        <v>46</v>
      </c>
      <c r="BZ138" s="31"/>
      <c r="CA138" s="31"/>
      <c r="CB138" s="31"/>
      <c r="CC138" s="34"/>
      <c r="CD138" s="30">
        <v>46</v>
      </c>
      <c r="CE138" s="28">
        <f t="shared" si="27"/>
        <v>0</v>
      </c>
      <c r="CF138" s="33"/>
      <c r="CG138" s="31"/>
      <c r="CH138" s="34">
        <v>46</v>
      </c>
      <c r="CI138" s="40">
        <v>46</v>
      </c>
      <c r="CJ138" s="6" t="s">
        <v>101</v>
      </c>
      <c r="CK138" s="6" t="s">
        <v>117</v>
      </c>
      <c r="CL138" s="36" t="s">
        <v>106</v>
      </c>
      <c r="CM138" s="41" t="s">
        <v>118</v>
      </c>
    </row>
    <row r="139" spans="1:91" s="48" customFormat="1" ht="33" hidden="1" customHeight="1">
      <c r="A139" s="108">
        <f t="shared" ref="A139:A142" si="29">A137+1</f>
        <v>127</v>
      </c>
      <c r="B139" s="368"/>
      <c r="C139" s="368"/>
      <c r="D139" s="188" t="s">
        <v>171</v>
      </c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24"/>
      <c r="S139" s="124"/>
      <c r="T139" s="183"/>
      <c r="U139" s="183"/>
      <c r="V139" s="196">
        <v>2</v>
      </c>
      <c r="W139" s="30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24"/>
      <c r="AW139" s="183"/>
      <c r="AX139" s="208">
        <v>1</v>
      </c>
      <c r="AY139" s="88"/>
      <c r="AZ139" s="279"/>
      <c r="BA139" s="125"/>
      <c r="BB139" s="107"/>
      <c r="BC139" s="109"/>
      <c r="BD139" s="110"/>
      <c r="BE139" s="121"/>
      <c r="BF139" s="121"/>
      <c r="BG139" s="111"/>
      <c r="BH139" s="103"/>
      <c r="BI139" s="33"/>
      <c r="BJ139" s="31"/>
      <c r="BK139" s="32"/>
      <c r="BL139" s="30"/>
      <c r="BM139" s="31"/>
      <c r="BN139" s="31"/>
      <c r="BO139" s="31"/>
      <c r="BP139" s="32"/>
      <c r="BQ139" s="30"/>
      <c r="BR139" s="32"/>
      <c r="BS139" s="33"/>
      <c r="BT139" s="31"/>
      <c r="BU139" s="31"/>
      <c r="BV139" s="31"/>
      <c r="BW139" s="31"/>
      <c r="BX139" s="31"/>
      <c r="BY139" s="31"/>
      <c r="BZ139" s="31"/>
      <c r="CA139" s="31"/>
      <c r="CB139" s="31"/>
      <c r="CC139" s="34"/>
      <c r="CD139" s="30"/>
      <c r="CE139" s="28"/>
      <c r="CF139" s="33"/>
      <c r="CG139" s="31"/>
      <c r="CH139" s="34"/>
      <c r="CI139" s="40"/>
      <c r="CJ139" s="6"/>
      <c r="CK139" s="6"/>
      <c r="CL139" s="36"/>
      <c r="CM139" s="41"/>
    </row>
    <row r="140" spans="1:91" s="48" customFormat="1" ht="42" hidden="1" customHeight="1">
      <c r="A140" s="108">
        <f t="shared" si="29"/>
        <v>127</v>
      </c>
      <c r="B140" s="368"/>
      <c r="C140" s="368"/>
      <c r="D140" s="188" t="s">
        <v>173</v>
      </c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24"/>
      <c r="S140" s="124"/>
      <c r="T140" s="183"/>
      <c r="U140" s="196">
        <v>2</v>
      </c>
      <c r="V140" s="183"/>
      <c r="W140" s="30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24"/>
      <c r="AW140" s="183"/>
      <c r="AX140" s="208">
        <v>1</v>
      </c>
      <c r="AY140" s="88"/>
      <c r="AZ140" s="279"/>
      <c r="BA140" s="125"/>
      <c r="BB140" s="107"/>
      <c r="BC140" s="109"/>
      <c r="BD140" s="110"/>
      <c r="BE140" s="121"/>
      <c r="BF140" s="121"/>
      <c r="BG140" s="111"/>
      <c r="BH140" s="103"/>
      <c r="BI140" s="33"/>
      <c r="BJ140" s="31"/>
      <c r="BK140" s="32"/>
      <c r="BL140" s="30"/>
      <c r="BM140" s="31"/>
      <c r="BN140" s="31"/>
      <c r="BO140" s="31"/>
      <c r="BP140" s="32"/>
      <c r="BQ140" s="30"/>
      <c r="BR140" s="32"/>
      <c r="BS140" s="33"/>
      <c r="BT140" s="31"/>
      <c r="BU140" s="31"/>
      <c r="BV140" s="31"/>
      <c r="BW140" s="31"/>
      <c r="BX140" s="31"/>
      <c r="BY140" s="31"/>
      <c r="BZ140" s="31"/>
      <c r="CA140" s="31"/>
      <c r="CB140" s="31"/>
      <c r="CC140" s="34"/>
      <c r="CD140" s="30"/>
      <c r="CE140" s="28"/>
      <c r="CF140" s="33"/>
      <c r="CG140" s="31"/>
      <c r="CH140" s="34"/>
      <c r="CI140" s="40"/>
      <c r="CJ140" s="6"/>
      <c r="CK140" s="6"/>
      <c r="CL140" s="36"/>
      <c r="CM140" s="41"/>
    </row>
    <row r="141" spans="1:91" s="48" customFormat="1" ht="30" hidden="1">
      <c r="A141" s="108">
        <f t="shared" si="29"/>
        <v>128</v>
      </c>
      <c r="B141" s="368"/>
      <c r="C141" s="368"/>
      <c r="D141" s="188" t="s">
        <v>172</v>
      </c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24"/>
      <c r="S141" s="124"/>
      <c r="T141" s="183"/>
      <c r="U141" s="183"/>
      <c r="V141" s="196">
        <v>2</v>
      </c>
      <c r="W141" s="30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24"/>
      <c r="AW141" s="183"/>
      <c r="AX141" s="124"/>
      <c r="AY141" s="250">
        <v>1</v>
      </c>
      <c r="AZ141" s="279"/>
      <c r="BA141" s="125"/>
      <c r="BB141" s="107"/>
      <c r="BC141" s="109"/>
      <c r="BD141" s="110"/>
      <c r="BE141" s="121"/>
      <c r="BF141" s="121"/>
      <c r="BG141" s="111"/>
      <c r="BH141" s="103"/>
      <c r="BI141" s="33"/>
      <c r="BJ141" s="31"/>
      <c r="BK141" s="32"/>
      <c r="BL141" s="30"/>
      <c r="BM141" s="31"/>
      <c r="BN141" s="31"/>
      <c r="BO141" s="31"/>
      <c r="BP141" s="32"/>
      <c r="BQ141" s="30"/>
      <c r="BR141" s="32"/>
      <c r="BS141" s="33"/>
      <c r="BT141" s="31"/>
      <c r="BU141" s="31"/>
      <c r="BV141" s="31"/>
      <c r="BW141" s="31"/>
      <c r="BX141" s="31"/>
      <c r="BY141" s="31"/>
      <c r="BZ141" s="31"/>
      <c r="CA141" s="31"/>
      <c r="CB141" s="31"/>
      <c r="CC141" s="34"/>
      <c r="CD141" s="30"/>
      <c r="CE141" s="28"/>
      <c r="CF141" s="33"/>
      <c r="CG141" s="31"/>
      <c r="CH141" s="34"/>
      <c r="CI141" s="40"/>
      <c r="CJ141" s="6"/>
      <c r="CK141" s="6"/>
      <c r="CL141" s="36"/>
      <c r="CM141" s="41"/>
    </row>
    <row r="142" spans="1:91" s="48" customFormat="1" ht="30" hidden="1">
      <c r="A142" s="108">
        <f t="shared" si="29"/>
        <v>128</v>
      </c>
      <c r="B142" s="368"/>
      <c r="C142" s="368"/>
      <c r="D142" s="188" t="s">
        <v>174</v>
      </c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24"/>
      <c r="S142" s="124"/>
      <c r="T142" s="183"/>
      <c r="U142" s="183"/>
      <c r="V142" s="196">
        <v>2</v>
      </c>
      <c r="W142" s="30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24"/>
      <c r="AW142" s="183"/>
      <c r="AX142" s="124"/>
      <c r="AY142" s="250">
        <v>1</v>
      </c>
      <c r="AZ142" s="279"/>
      <c r="BA142" s="125"/>
      <c r="BB142" s="107"/>
      <c r="BC142" s="109"/>
      <c r="BD142" s="110"/>
      <c r="BE142" s="121"/>
      <c r="BF142" s="121"/>
      <c r="BG142" s="111"/>
      <c r="BH142" s="103"/>
      <c r="BI142" s="33"/>
      <c r="BJ142" s="31"/>
      <c r="BK142" s="32"/>
      <c r="BL142" s="30"/>
      <c r="BM142" s="31"/>
      <c r="BN142" s="31"/>
      <c r="BO142" s="31"/>
      <c r="BP142" s="32"/>
      <c r="BQ142" s="30"/>
      <c r="BR142" s="32"/>
      <c r="BS142" s="33"/>
      <c r="BT142" s="31"/>
      <c r="BU142" s="31"/>
      <c r="BV142" s="31"/>
      <c r="BW142" s="31"/>
      <c r="BX142" s="31"/>
      <c r="BY142" s="31"/>
      <c r="BZ142" s="31"/>
      <c r="CA142" s="31"/>
      <c r="CB142" s="31"/>
      <c r="CC142" s="34"/>
      <c r="CD142" s="30"/>
      <c r="CE142" s="28"/>
      <c r="CF142" s="33"/>
      <c r="CG142" s="31"/>
      <c r="CH142" s="34"/>
      <c r="CI142" s="40"/>
      <c r="CJ142" s="6"/>
      <c r="CK142" s="6"/>
      <c r="CL142" s="36"/>
      <c r="CM142" s="41"/>
    </row>
    <row r="143" spans="1:91" s="49" customFormat="1" ht="24.95" hidden="1" customHeight="1" thickBot="1">
      <c r="A143" s="458" t="s">
        <v>122</v>
      </c>
      <c r="B143" s="459"/>
      <c r="C143" s="459"/>
      <c r="D143" s="460"/>
      <c r="E143" s="269">
        <f>SUM(E114:E142)</f>
        <v>0</v>
      </c>
      <c r="F143" s="269">
        <f t="shared" ref="F143:V143" si="30">SUM(F114:F142)</f>
        <v>0</v>
      </c>
      <c r="G143" s="269">
        <f t="shared" si="30"/>
        <v>0</v>
      </c>
      <c r="H143" s="269">
        <f t="shared" si="30"/>
        <v>0</v>
      </c>
      <c r="I143" s="269">
        <f t="shared" si="30"/>
        <v>0</v>
      </c>
      <c r="J143" s="269">
        <f t="shared" si="30"/>
        <v>0</v>
      </c>
      <c r="K143" s="269">
        <f t="shared" si="30"/>
        <v>0</v>
      </c>
      <c r="L143" s="269">
        <f t="shared" si="30"/>
        <v>0</v>
      </c>
      <c r="M143" s="269">
        <f t="shared" si="30"/>
        <v>0</v>
      </c>
      <c r="N143" s="269">
        <f t="shared" si="30"/>
        <v>0</v>
      </c>
      <c r="O143" s="269">
        <f t="shared" si="30"/>
        <v>0</v>
      </c>
      <c r="P143" s="269">
        <f t="shared" si="30"/>
        <v>0</v>
      </c>
      <c r="Q143" s="269">
        <f t="shared" si="30"/>
        <v>0</v>
      </c>
      <c r="R143" s="269">
        <f t="shared" si="30"/>
        <v>0</v>
      </c>
      <c r="S143" s="269">
        <f t="shared" si="30"/>
        <v>0</v>
      </c>
      <c r="T143" s="269">
        <f t="shared" si="30"/>
        <v>13.5</v>
      </c>
      <c r="U143" s="269">
        <f t="shared" si="30"/>
        <v>12.6</v>
      </c>
      <c r="V143" s="269">
        <f t="shared" si="30"/>
        <v>13.5</v>
      </c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69"/>
      <c r="AN143" s="253"/>
      <c r="AO143" s="253"/>
      <c r="AP143" s="253">
        <f t="shared" ref="AP143:AY143" si="31">SUM(AP114:AP142)</f>
        <v>2</v>
      </c>
      <c r="AQ143" s="253">
        <f t="shared" si="31"/>
        <v>2</v>
      </c>
      <c r="AR143" s="253">
        <f t="shared" si="31"/>
        <v>2</v>
      </c>
      <c r="AS143" s="253">
        <f t="shared" si="31"/>
        <v>2</v>
      </c>
      <c r="AT143" s="253">
        <f t="shared" si="31"/>
        <v>2</v>
      </c>
      <c r="AU143" s="253">
        <f t="shared" si="31"/>
        <v>2</v>
      </c>
      <c r="AV143" s="253">
        <f t="shared" si="31"/>
        <v>2</v>
      </c>
      <c r="AW143" s="253">
        <f t="shared" si="31"/>
        <v>2</v>
      </c>
      <c r="AX143" s="253">
        <f t="shared" si="31"/>
        <v>2</v>
      </c>
      <c r="AY143" s="270">
        <f t="shared" si="31"/>
        <v>2</v>
      </c>
      <c r="AZ143" s="281"/>
      <c r="BA143" s="145"/>
      <c r="BB143" s="146">
        <f>SUM(BB114:BB142)</f>
        <v>46195.16</v>
      </c>
      <c r="BC143" s="147">
        <f>SUM(BC114:BC142)</f>
        <v>8097.67</v>
      </c>
      <c r="BD143" s="147">
        <f>SUM(BD114:BD142)</f>
        <v>7250.07</v>
      </c>
      <c r="BE143" s="147">
        <f>SUM(BE114:BE142)</f>
        <v>191.42</v>
      </c>
      <c r="BF143" s="147"/>
      <c r="BG143" s="146">
        <f t="shared" ref="BG143:CI143" si="32">SUM(BG114:BG142)</f>
        <v>6134.21</v>
      </c>
      <c r="BH143" s="148">
        <f t="shared" si="32"/>
        <v>4639.66</v>
      </c>
      <c r="BI143" s="72">
        <f t="shared" si="32"/>
        <v>0</v>
      </c>
      <c r="BJ143" s="73">
        <f t="shared" si="32"/>
        <v>0</v>
      </c>
      <c r="BK143" s="73">
        <f t="shared" si="32"/>
        <v>0</v>
      </c>
      <c r="BL143" s="73">
        <f t="shared" si="32"/>
        <v>421.6</v>
      </c>
      <c r="BM143" s="73">
        <f t="shared" si="32"/>
        <v>264</v>
      </c>
      <c r="BN143" s="73">
        <f t="shared" si="32"/>
        <v>0</v>
      </c>
      <c r="BO143" s="73">
        <f t="shared" si="32"/>
        <v>112.5</v>
      </c>
      <c r="BP143" s="73">
        <f t="shared" si="32"/>
        <v>60.500000000000007</v>
      </c>
      <c r="BQ143" s="73">
        <f t="shared" si="32"/>
        <v>57.35</v>
      </c>
      <c r="BR143" s="73">
        <f t="shared" si="32"/>
        <v>0</v>
      </c>
      <c r="BS143" s="73">
        <f t="shared" si="32"/>
        <v>87.109999999999985</v>
      </c>
      <c r="BT143" s="73">
        <f t="shared" si="32"/>
        <v>2358.27</v>
      </c>
      <c r="BU143" s="73">
        <f t="shared" si="32"/>
        <v>0</v>
      </c>
      <c r="BV143" s="73">
        <f t="shared" si="32"/>
        <v>0</v>
      </c>
      <c r="BW143" s="73">
        <f t="shared" si="32"/>
        <v>0</v>
      </c>
      <c r="BX143" s="73">
        <f t="shared" si="32"/>
        <v>2359.94</v>
      </c>
      <c r="BY143" s="73">
        <f t="shared" si="32"/>
        <v>191.42</v>
      </c>
      <c r="BZ143" s="73">
        <f t="shared" si="32"/>
        <v>687.90000000000009</v>
      </c>
      <c r="CA143" s="73">
        <f t="shared" si="32"/>
        <v>117.2</v>
      </c>
      <c r="CB143" s="73">
        <f t="shared" si="32"/>
        <v>2242.5410000000002</v>
      </c>
      <c r="CC143" s="73">
        <f t="shared" si="32"/>
        <v>736.86999999999989</v>
      </c>
      <c r="CD143" s="73">
        <f t="shared" si="32"/>
        <v>6718.79</v>
      </c>
      <c r="CE143" s="73">
        <f t="shared" si="32"/>
        <v>5721.27</v>
      </c>
      <c r="CF143" s="73">
        <f t="shared" si="32"/>
        <v>458.57000000000005</v>
      </c>
      <c r="CG143" s="73">
        <f t="shared" si="32"/>
        <v>183.952</v>
      </c>
      <c r="CH143" s="73">
        <f t="shared" si="32"/>
        <v>4838.2039999999997</v>
      </c>
      <c r="CI143" s="73">
        <f t="shared" si="32"/>
        <v>6313.125</v>
      </c>
      <c r="CJ143" s="74"/>
      <c r="CK143" s="74"/>
      <c r="CL143" s="75"/>
      <c r="CM143" s="76"/>
    </row>
    <row r="144" spans="1:91" s="49" customFormat="1" ht="24.95" customHeight="1" thickBot="1">
      <c r="A144" s="566" t="s">
        <v>178</v>
      </c>
      <c r="B144" s="567"/>
      <c r="C144" s="567"/>
      <c r="D144" s="568"/>
      <c r="E144" s="255"/>
      <c r="F144" s="255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6"/>
      <c r="AO144" s="256"/>
      <c r="AP144" s="256"/>
      <c r="AQ144" s="256"/>
      <c r="AR144" s="256"/>
      <c r="AS144" s="256"/>
      <c r="AT144" s="256"/>
      <c r="AU144" s="256"/>
      <c r="AV144" s="256"/>
      <c r="AW144" s="256"/>
      <c r="AX144" s="256"/>
      <c r="AY144" s="131"/>
      <c r="AZ144" s="278"/>
      <c r="BA144" s="257"/>
      <c r="BB144" s="258"/>
      <c r="BC144" s="259"/>
      <c r="BD144" s="259"/>
      <c r="BE144" s="258"/>
      <c r="BF144" s="258"/>
      <c r="BG144" s="258"/>
      <c r="BH144" s="260"/>
      <c r="BI144" s="261"/>
      <c r="BJ144" s="262"/>
      <c r="BK144" s="262"/>
      <c r="BL144" s="262"/>
      <c r="BM144" s="262"/>
      <c r="BN144" s="262"/>
      <c r="BO144" s="262"/>
      <c r="BP144" s="262"/>
      <c r="BQ144" s="262"/>
      <c r="BR144" s="262"/>
      <c r="BS144" s="262"/>
      <c r="BT144" s="262"/>
      <c r="BU144" s="262"/>
      <c r="BV144" s="262"/>
      <c r="BW144" s="262"/>
      <c r="BX144" s="262"/>
      <c r="BY144" s="262"/>
      <c r="BZ144" s="262"/>
      <c r="CA144" s="262"/>
      <c r="CB144" s="262"/>
      <c r="CC144" s="262"/>
      <c r="CD144" s="263"/>
      <c r="CE144" s="264"/>
      <c r="CF144" s="262"/>
      <c r="CG144" s="262"/>
      <c r="CH144" s="262"/>
      <c r="CI144" s="265"/>
      <c r="CJ144" s="266"/>
      <c r="CK144" s="266"/>
      <c r="CL144" s="267"/>
      <c r="CM144" s="268"/>
    </row>
    <row r="145" spans="1:92" s="51" customFormat="1" ht="30" customHeight="1" thickBot="1">
      <c r="A145" s="149">
        <f>A142+1</f>
        <v>129</v>
      </c>
      <c r="B145" s="151" t="s">
        <v>113</v>
      </c>
      <c r="C145" s="365">
        <v>1</v>
      </c>
      <c r="D145" s="129" t="s">
        <v>89</v>
      </c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202"/>
      <c r="S145" s="202"/>
      <c r="T145" s="184"/>
      <c r="U145" s="184"/>
      <c r="V145" s="184"/>
      <c r="W145" s="30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97"/>
      <c r="AO145" s="197"/>
      <c r="AP145" s="184"/>
      <c r="AQ145" s="184"/>
      <c r="AR145" s="184"/>
      <c r="AS145" s="184"/>
      <c r="AT145" s="184"/>
      <c r="AU145" s="184"/>
      <c r="AV145" s="202"/>
      <c r="AW145" s="184"/>
      <c r="AX145" s="184"/>
      <c r="AY145" s="246"/>
      <c r="AZ145" s="385" t="s">
        <v>109</v>
      </c>
      <c r="BA145" s="386">
        <v>1937</v>
      </c>
      <c r="BB145" s="387">
        <v>34085</v>
      </c>
      <c r="BC145" s="388">
        <v>5301.15</v>
      </c>
      <c r="BD145" s="388">
        <v>3637.9</v>
      </c>
      <c r="BE145" s="389">
        <f>BY145</f>
        <v>204.81</v>
      </c>
      <c r="BF145" s="389">
        <f>BZ145+CA145</f>
        <v>1458.44</v>
      </c>
      <c r="BG145" s="389">
        <v>2873.62</v>
      </c>
      <c r="BH145" s="390">
        <v>1788.43</v>
      </c>
      <c r="BI145" s="391"/>
      <c r="BJ145" s="392"/>
      <c r="BK145" s="392"/>
      <c r="BL145" s="392"/>
      <c r="BM145" s="392">
        <v>48.61</v>
      </c>
      <c r="BN145" s="392"/>
      <c r="BO145" s="392"/>
      <c r="BP145" s="392"/>
      <c r="BQ145" s="392">
        <v>165.8</v>
      </c>
      <c r="BR145" s="392"/>
      <c r="BS145" s="392">
        <v>353.05</v>
      </c>
      <c r="BT145" s="392">
        <v>794.88</v>
      </c>
      <c r="BU145" s="392"/>
      <c r="BV145" s="392">
        <v>163.61000000000001</v>
      </c>
      <c r="BW145" s="392">
        <v>53.28</v>
      </c>
      <c r="BX145" s="392">
        <v>2058.67</v>
      </c>
      <c r="BY145" s="392">
        <v>204.81</v>
      </c>
      <c r="BZ145" s="392">
        <v>1125.1600000000001</v>
      </c>
      <c r="CA145" s="392">
        <v>333.28</v>
      </c>
      <c r="CB145" s="392">
        <v>10676.86</v>
      </c>
      <c r="CC145" s="392">
        <v>3683.56</v>
      </c>
      <c r="CD145" s="393">
        <f>SUM(BI145:CA145)</f>
        <v>5301.1500000000005</v>
      </c>
      <c r="CE145" s="394">
        <f>SUM(BI145:BX145)</f>
        <v>3637.9000000000005</v>
      </c>
      <c r="CF145" s="392">
        <v>84.36</v>
      </c>
      <c r="CG145" s="392">
        <v>570.19000000000005</v>
      </c>
      <c r="CH145" s="392">
        <v>5015.87</v>
      </c>
      <c r="CI145" s="395">
        <f>SUM(BI145:BZ145)</f>
        <v>4967.8700000000008</v>
      </c>
      <c r="CJ145" s="396" t="s">
        <v>113</v>
      </c>
      <c r="CK145" s="397"/>
      <c r="CL145" s="396" t="s">
        <v>113</v>
      </c>
      <c r="CM145" s="398" t="s">
        <v>137</v>
      </c>
      <c r="CN145" s="53"/>
    </row>
    <row r="146" spans="1:92" s="51" customFormat="1" ht="30" hidden="1" customHeight="1">
      <c r="A146" s="89">
        <f>A145+1</f>
        <v>130</v>
      </c>
      <c r="B146" s="151" t="s">
        <v>113</v>
      </c>
      <c r="C146" s="90">
        <v>2</v>
      </c>
      <c r="D146" s="91" t="s">
        <v>91</v>
      </c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99"/>
      <c r="S146" s="199"/>
      <c r="T146" s="181"/>
      <c r="U146" s="181"/>
      <c r="V146" s="181"/>
      <c r="W146" s="30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1"/>
      <c r="AK146" s="181"/>
      <c r="AL146" s="181"/>
      <c r="AM146" s="181"/>
      <c r="AN146" s="194"/>
      <c r="AO146" s="194"/>
      <c r="AP146" s="181"/>
      <c r="AQ146" s="181"/>
      <c r="AR146" s="181"/>
      <c r="AS146" s="181"/>
      <c r="AT146" s="181"/>
      <c r="AU146" s="181"/>
      <c r="AV146" s="199"/>
      <c r="AW146" s="181"/>
      <c r="AX146" s="181"/>
      <c r="AY146" s="243"/>
      <c r="AZ146" s="282" t="s">
        <v>109</v>
      </c>
      <c r="BA146" s="237">
        <v>1937</v>
      </c>
      <c r="BB146" s="92">
        <v>2537.2800000000002</v>
      </c>
      <c r="BC146" s="93">
        <v>513.27</v>
      </c>
      <c r="BD146" s="93">
        <v>411.52</v>
      </c>
      <c r="BE146" s="92">
        <f>BY146</f>
        <v>65.849999999999994</v>
      </c>
      <c r="BF146" s="92">
        <f>BZ146+CA146</f>
        <v>35.9</v>
      </c>
      <c r="BG146" s="92">
        <v>566.94000000000005</v>
      </c>
      <c r="BH146" s="96">
        <v>380.74</v>
      </c>
      <c r="BI146" s="153"/>
      <c r="BJ146" s="154"/>
      <c r="BK146" s="154"/>
      <c r="BL146" s="154"/>
      <c r="BM146" s="154"/>
      <c r="BN146" s="154"/>
      <c r="BO146" s="154"/>
      <c r="BP146" s="154"/>
      <c r="BQ146" s="154">
        <v>110.78</v>
      </c>
      <c r="BR146" s="154"/>
      <c r="BS146" s="154">
        <v>12.29</v>
      </c>
      <c r="BT146" s="154"/>
      <c r="BU146" s="154">
        <v>106.77</v>
      </c>
      <c r="BV146" s="154"/>
      <c r="BW146" s="154"/>
      <c r="BX146" s="154">
        <v>181.68</v>
      </c>
      <c r="BY146" s="154">
        <v>65.849999999999994</v>
      </c>
      <c r="BZ146" s="154">
        <v>35.9</v>
      </c>
      <c r="CA146" s="154"/>
      <c r="CB146" s="154">
        <v>346.75</v>
      </c>
      <c r="CC146" s="154">
        <v>135.03</v>
      </c>
      <c r="CD146" s="20">
        <f>SUM(BI146:CA146)</f>
        <v>513.27</v>
      </c>
      <c r="CE146" s="22">
        <f>SUM(BI146:BX146)</f>
        <v>411.52</v>
      </c>
      <c r="CF146" s="154">
        <v>72.319999999999993</v>
      </c>
      <c r="CG146" s="154">
        <v>49.02</v>
      </c>
      <c r="CH146" s="154">
        <v>488.78</v>
      </c>
      <c r="CI146" s="384">
        <f>SUM(BI146:BZ146)</f>
        <v>513.27</v>
      </c>
      <c r="CJ146" s="70" t="s">
        <v>113</v>
      </c>
      <c r="CK146" s="189"/>
      <c r="CL146" s="70" t="s">
        <v>113</v>
      </c>
      <c r="CM146" s="71"/>
      <c r="CN146" s="53"/>
    </row>
    <row r="147" spans="1:92" s="51" customFormat="1" ht="30" hidden="1" customHeight="1">
      <c r="A147" s="89">
        <f t="shared" ref="A147:A152" si="33">A146+1</f>
        <v>131</v>
      </c>
      <c r="B147" s="151" t="s">
        <v>113</v>
      </c>
      <c r="C147" s="90">
        <v>3</v>
      </c>
      <c r="D147" s="91" t="s">
        <v>80</v>
      </c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99"/>
      <c r="S147" s="199"/>
      <c r="T147" s="181"/>
      <c r="U147" s="181"/>
      <c r="V147" s="181"/>
      <c r="W147" s="30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94"/>
      <c r="AO147" s="194"/>
      <c r="AP147" s="181"/>
      <c r="AQ147" s="181"/>
      <c r="AR147" s="181"/>
      <c r="AS147" s="181"/>
      <c r="AT147" s="181"/>
      <c r="AU147" s="181"/>
      <c r="AV147" s="199"/>
      <c r="AW147" s="181"/>
      <c r="AX147" s="181"/>
      <c r="AY147" s="243"/>
      <c r="AZ147" s="283" t="s">
        <v>107</v>
      </c>
      <c r="BA147" s="235">
        <v>1955</v>
      </c>
      <c r="BB147" s="104">
        <v>88</v>
      </c>
      <c r="BC147" s="126">
        <v>35</v>
      </c>
      <c r="BD147" s="126">
        <v>35</v>
      </c>
      <c r="BE147" s="92">
        <f>BY147</f>
        <v>0</v>
      </c>
      <c r="BF147" s="92">
        <f>BZ147+CA147</f>
        <v>0</v>
      </c>
      <c r="BG147" s="104">
        <v>35</v>
      </c>
      <c r="BH147" s="105">
        <v>35</v>
      </c>
      <c r="BI147" s="155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>
        <v>35</v>
      </c>
      <c r="BU147" s="156"/>
      <c r="BV147" s="156"/>
      <c r="BW147" s="156"/>
      <c r="BX147" s="156"/>
      <c r="BY147" s="156"/>
      <c r="BZ147" s="156"/>
      <c r="CA147" s="156"/>
      <c r="CB147" s="156"/>
      <c r="CC147" s="156"/>
      <c r="CD147" s="27">
        <f>SUM(BI147:CA147)</f>
        <v>35</v>
      </c>
      <c r="CE147" s="28">
        <f>SUM(BI147:BX147)</f>
        <v>35</v>
      </c>
      <c r="CF147" s="156"/>
      <c r="CG147" s="156"/>
      <c r="CH147" s="156"/>
      <c r="CI147" s="29">
        <f>SUM(BI147:BZ147)</f>
        <v>35</v>
      </c>
      <c r="CJ147" s="59" t="s">
        <v>113</v>
      </c>
      <c r="CK147" s="190"/>
      <c r="CL147" s="59" t="s">
        <v>113</v>
      </c>
      <c r="CM147" s="50"/>
      <c r="CN147" s="53"/>
    </row>
    <row r="148" spans="1:92" s="52" customFormat="1" ht="30" hidden="1" customHeight="1">
      <c r="A148" s="89">
        <f t="shared" si="33"/>
        <v>132</v>
      </c>
      <c r="B148" s="224" t="s">
        <v>113</v>
      </c>
      <c r="C148" s="90">
        <v>4</v>
      </c>
      <c r="D148" s="91" t="s">
        <v>79</v>
      </c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99"/>
      <c r="S148" s="199"/>
      <c r="T148" s="181"/>
      <c r="U148" s="181"/>
      <c r="V148" s="181"/>
      <c r="W148" s="301"/>
      <c r="X148" s="181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1"/>
      <c r="AK148" s="181"/>
      <c r="AL148" s="181"/>
      <c r="AM148" s="181"/>
      <c r="AN148" s="194"/>
      <c r="AO148" s="194"/>
      <c r="AP148" s="181"/>
      <c r="AQ148" s="181"/>
      <c r="AR148" s="181"/>
      <c r="AS148" s="181"/>
      <c r="AT148" s="181"/>
      <c r="AU148" s="181"/>
      <c r="AV148" s="199"/>
      <c r="AW148" s="181"/>
      <c r="AX148" s="181"/>
      <c r="AY148" s="243"/>
      <c r="AZ148" s="283" t="s">
        <v>107</v>
      </c>
      <c r="BA148" s="235">
        <v>1936</v>
      </c>
      <c r="BB148" s="104">
        <v>26.86</v>
      </c>
      <c r="BC148" s="126">
        <v>3.08</v>
      </c>
      <c r="BD148" s="126">
        <v>3.08</v>
      </c>
      <c r="BE148" s="104">
        <f>BY148</f>
        <v>0</v>
      </c>
      <c r="BF148" s="104">
        <f>BZ148+CA148</f>
        <v>3.08</v>
      </c>
      <c r="BG148" s="104">
        <v>12.21</v>
      </c>
      <c r="BH148" s="105">
        <v>12.21</v>
      </c>
      <c r="BI148" s="155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>
        <v>3.08</v>
      </c>
      <c r="CB148" s="156"/>
      <c r="CC148" s="156"/>
      <c r="CD148" s="27">
        <f>SUM(BI148:CA148)</f>
        <v>3.08</v>
      </c>
      <c r="CE148" s="28">
        <f>SUM(BI148:BX148)</f>
        <v>0</v>
      </c>
      <c r="CF148" s="156"/>
      <c r="CG148" s="156">
        <v>6.15</v>
      </c>
      <c r="CH148" s="156"/>
      <c r="CI148" s="29">
        <f>SUM(BI148:BZ148)</f>
        <v>0</v>
      </c>
      <c r="CJ148" s="59" t="s">
        <v>113</v>
      </c>
      <c r="CK148" s="190"/>
      <c r="CL148" s="59" t="s">
        <v>113</v>
      </c>
      <c r="CM148" s="50"/>
    </row>
    <row r="149" spans="1:92" s="52" customFormat="1" ht="30" hidden="1" customHeight="1">
      <c r="A149" s="89">
        <f t="shared" si="33"/>
        <v>133</v>
      </c>
      <c r="B149" s="224" t="s">
        <v>113</v>
      </c>
      <c r="C149" s="90"/>
      <c r="D149" s="91" t="s">
        <v>163</v>
      </c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0"/>
      <c r="S149" s="90"/>
      <c r="T149" s="91"/>
      <c r="U149" s="91"/>
      <c r="V149" s="91"/>
      <c r="W149" s="310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229"/>
      <c r="AO149" s="229"/>
      <c r="AP149" s="91"/>
      <c r="AQ149" s="91"/>
      <c r="AR149" s="91"/>
      <c r="AS149" s="91"/>
      <c r="AT149" s="91"/>
      <c r="AU149" s="91"/>
      <c r="AV149" s="90"/>
      <c r="AW149" s="91"/>
      <c r="AX149" s="91"/>
      <c r="AY149" s="243"/>
      <c r="AZ149" s="283"/>
      <c r="BA149" s="239"/>
      <c r="BB149" s="126"/>
      <c r="BC149" s="126"/>
      <c r="BD149" s="126"/>
      <c r="BE149" s="126"/>
      <c r="BF149" s="126"/>
      <c r="BG149" s="126"/>
      <c r="BH149" s="12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24"/>
      <c r="CE149" s="24"/>
      <c r="CF149" s="156"/>
      <c r="CG149" s="156"/>
      <c r="CH149" s="156"/>
      <c r="CI149" s="24"/>
      <c r="CJ149" s="59"/>
      <c r="CK149" s="190"/>
      <c r="CL149" s="59"/>
      <c r="CM149" s="50"/>
    </row>
    <row r="150" spans="1:92" s="52" customFormat="1" ht="30" hidden="1" customHeight="1">
      <c r="A150" s="89">
        <f t="shared" si="33"/>
        <v>134</v>
      </c>
      <c r="B150" s="224" t="s">
        <v>113</v>
      </c>
      <c r="C150" s="90"/>
      <c r="D150" s="91" t="s">
        <v>166</v>
      </c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0"/>
      <c r="S150" s="90"/>
      <c r="T150" s="91"/>
      <c r="U150" s="91"/>
      <c r="V150" s="91"/>
      <c r="W150" s="310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229"/>
      <c r="AO150" s="229"/>
      <c r="AP150" s="91"/>
      <c r="AQ150" s="91"/>
      <c r="AR150" s="91"/>
      <c r="AS150" s="91"/>
      <c r="AT150" s="91"/>
      <c r="AU150" s="91"/>
      <c r="AV150" s="90"/>
      <c r="AW150" s="91"/>
      <c r="AX150" s="91"/>
      <c r="AY150" s="243"/>
      <c r="AZ150" s="283"/>
      <c r="BA150" s="239"/>
      <c r="BB150" s="126"/>
      <c r="BC150" s="126"/>
      <c r="BD150" s="126"/>
      <c r="BE150" s="126"/>
      <c r="BF150" s="126"/>
      <c r="BG150" s="126"/>
      <c r="BH150" s="12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6"/>
      <c r="CB150" s="156"/>
      <c r="CC150" s="156"/>
      <c r="CD150" s="24"/>
      <c r="CE150" s="24"/>
      <c r="CF150" s="156"/>
      <c r="CG150" s="156"/>
      <c r="CH150" s="156"/>
      <c r="CI150" s="24"/>
      <c r="CJ150" s="59"/>
      <c r="CK150" s="190"/>
      <c r="CL150" s="59"/>
      <c r="CM150" s="50"/>
    </row>
    <row r="151" spans="1:92" s="52" customFormat="1" ht="30" hidden="1" customHeight="1">
      <c r="A151" s="89">
        <f t="shared" si="33"/>
        <v>135</v>
      </c>
      <c r="B151" s="224" t="s">
        <v>113</v>
      </c>
      <c r="C151" s="90"/>
      <c r="D151" s="91" t="s">
        <v>167</v>
      </c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0"/>
      <c r="S151" s="90"/>
      <c r="T151" s="91"/>
      <c r="U151" s="91"/>
      <c r="V151" s="91"/>
      <c r="W151" s="310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229"/>
      <c r="AO151" s="229"/>
      <c r="AP151" s="91"/>
      <c r="AQ151" s="91"/>
      <c r="AR151" s="91"/>
      <c r="AS151" s="91"/>
      <c r="AT151" s="91"/>
      <c r="AU151" s="91"/>
      <c r="AV151" s="90"/>
      <c r="AW151" s="91"/>
      <c r="AX151" s="91"/>
      <c r="AY151" s="243"/>
      <c r="AZ151" s="283"/>
      <c r="BA151" s="239"/>
      <c r="BB151" s="126"/>
      <c r="BC151" s="126"/>
      <c r="BD151" s="126"/>
      <c r="BE151" s="126"/>
      <c r="BF151" s="126"/>
      <c r="BG151" s="126"/>
      <c r="BH151" s="12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24"/>
      <c r="CE151" s="24"/>
      <c r="CF151" s="156"/>
      <c r="CG151" s="156"/>
      <c r="CH151" s="156"/>
      <c r="CI151" s="24"/>
      <c r="CJ151" s="59"/>
      <c r="CK151" s="190"/>
      <c r="CL151" s="59"/>
      <c r="CM151" s="50"/>
    </row>
    <row r="152" spans="1:92" s="52" customFormat="1" ht="30" hidden="1" customHeight="1">
      <c r="A152" s="89">
        <f t="shared" si="33"/>
        <v>136</v>
      </c>
      <c r="B152" s="224" t="s">
        <v>113</v>
      </c>
      <c r="C152" s="90"/>
      <c r="D152" s="91" t="s">
        <v>168</v>
      </c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0"/>
      <c r="S152" s="90"/>
      <c r="T152" s="91"/>
      <c r="U152" s="91"/>
      <c r="V152" s="91"/>
      <c r="W152" s="310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229"/>
      <c r="AO152" s="229"/>
      <c r="AP152" s="91"/>
      <c r="AQ152" s="91"/>
      <c r="AR152" s="91"/>
      <c r="AS152" s="91"/>
      <c r="AT152" s="91"/>
      <c r="AU152" s="91"/>
      <c r="AV152" s="90"/>
      <c r="AW152" s="91"/>
      <c r="AX152" s="91"/>
      <c r="AY152" s="243"/>
      <c r="AZ152" s="283"/>
      <c r="BA152" s="239"/>
      <c r="BB152" s="126"/>
      <c r="BC152" s="126"/>
      <c r="BD152" s="126"/>
      <c r="BE152" s="126"/>
      <c r="BF152" s="126"/>
      <c r="BG152" s="126"/>
      <c r="BH152" s="12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24"/>
      <c r="CE152" s="24"/>
      <c r="CF152" s="156"/>
      <c r="CG152" s="156"/>
      <c r="CH152" s="156"/>
      <c r="CI152" s="24"/>
      <c r="CJ152" s="59"/>
      <c r="CK152" s="190"/>
      <c r="CL152" s="59"/>
      <c r="CM152" s="50"/>
    </row>
    <row r="153" spans="1:92" s="49" customFormat="1" ht="24.95" customHeight="1" thickBot="1">
      <c r="A153" s="455" t="s">
        <v>90</v>
      </c>
      <c r="B153" s="456"/>
      <c r="C153" s="456"/>
      <c r="D153" s="457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2"/>
      <c r="AO153" s="252"/>
      <c r="AP153" s="251"/>
      <c r="AQ153" s="251"/>
      <c r="AR153" s="251"/>
      <c r="AS153" s="251"/>
      <c r="AT153" s="251"/>
      <c r="AU153" s="251"/>
      <c r="AV153" s="253"/>
      <c r="AW153" s="251"/>
      <c r="AX153" s="251"/>
      <c r="AY153" s="254"/>
      <c r="AZ153" s="284"/>
      <c r="BA153" s="150"/>
      <c r="BB153" s="225">
        <f>SUM(BB145:BB152)</f>
        <v>36737.14</v>
      </c>
      <c r="BC153" s="225">
        <f t="shared" ref="BC153:CI153" si="34">SUM(BC145:BC152)</f>
        <v>5852.5</v>
      </c>
      <c r="BD153" s="225">
        <f t="shared" si="34"/>
        <v>4087.5</v>
      </c>
      <c r="BE153" s="225">
        <f t="shared" si="34"/>
        <v>270.65999999999997</v>
      </c>
      <c r="BF153" s="225">
        <f t="shared" si="34"/>
        <v>1497.42</v>
      </c>
      <c r="BG153" s="225">
        <f t="shared" si="34"/>
        <v>3487.77</v>
      </c>
      <c r="BH153" s="226">
        <f t="shared" si="34"/>
        <v>2216.38</v>
      </c>
      <c r="BI153" s="227">
        <f t="shared" si="34"/>
        <v>0</v>
      </c>
      <c r="BJ153" s="227">
        <f t="shared" si="34"/>
        <v>0</v>
      </c>
      <c r="BK153" s="227">
        <f t="shared" si="34"/>
        <v>0</v>
      </c>
      <c r="BL153" s="227">
        <f t="shared" si="34"/>
        <v>0</v>
      </c>
      <c r="BM153" s="227">
        <f t="shared" si="34"/>
        <v>48.61</v>
      </c>
      <c r="BN153" s="227">
        <f t="shared" si="34"/>
        <v>0</v>
      </c>
      <c r="BO153" s="227">
        <f t="shared" si="34"/>
        <v>0</v>
      </c>
      <c r="BP153" s="227">
        <f t="shared" si="34"/>
        <v>0</v>
      </c>
      <c r="BQ153" s="227">
        <f t="shared" si="34"/>
        <v>276.58000000000004</v>
      </c>
      <c r="BR153" s="227">
        <f t="shared" si="34"/>
        <v>0</v>
      </c>
      <c r="BS153" s="227">
        <f t="shared" si="34"/>
        <v>365.34000000000003</v>
      </c>
      <c r="BT153" s="227">
        <f t="shared" si="34"/>
        <v>829.88</v>
      </c>
      <c r="BU153" s="227">
        <f t="shared" si="34"/>
        <v>106.77</v>
      </c>
      <c r="BV153" s="227">
        <f t="shared" si="34"/>
        <v>163.61000000000001</v>
      </c>
      <c r="BW153" s="227">
        <f t="shared" si="34"/>
        <v>53.28</v>
      </c>
      <c r="BX153" s="227">
        <f t="shared" si="34"/>
        <v>2240.35</v>
      </c>
      <c r="BY153" s="227">
        <f t="shared" si="34"/>
        <v>270.65999999999997</v>
      </c>
      <c r="BZ153" s="227">
        <f t="shared" si="34"/>
        <v>1161.0600000000002</v>
      </c>
      <c r="CA153" s="227">
        <f t="shared" si="34"/>
        <v>336.35999999999996</v>
      </c>
      <c r="CB153" s="227">
        <f t="shared" si="34"/>
        <v>11023.61</v>
      </c>
      <c r="CC153" s="227">
        <f t="shared" si="34"/>
        <v>3818.59</v>
      </c>
      <c r="CD153" s="227">
        <f t="shared" si="34"/>
        <v>5852.5</v>
      </c>
      <c r="CE153" s="227">
        <f t="shared" si="34"/>
        <v>4084.4200000000005</v>
      </c>
      <c r="CF153" s="227">
        <f t="shared" si="34"/>
        <v>156.68</v>
      </c>
      <c r="CG153" s="227">
        <f t="shared" si="34"/>
        <v>625.36</v>
      </c>
      <c r="CH153" s="227">
        <f t="shared" si="34"/>
        <v>5504.65</v>
      </c>
      <c r="CI153" s="227">
        <f t="shared" si="34"/>
        <v>5516.1400000000012</v>
      </c>
      <c r="CJ153" s="228"/>
      <c r="CK153" s="228"/>
      <c r="CL153" s="228"/>
      <c r="CM153" s="228"/>
    </row>
  </sheetData>
  <mergeCells count="140">
    <mergeCell ref="A1:CM1"/>
    <mergeCell ref="A2:A7"/>
    <mergeCell ref="B2:B7"/>
    <mergeCell ref="C2:C7"/>
    <mergeCell ref="D2:D7"/>
    <mergeCell ref="E2:AY2"/>
    <mergeCell ref="AZ2:AZ7"/>
    <mergeCell ref="BA2:BA7"/>
    <mergeCell ref="BB2:BB7"/>
    <mergeCell ref="BC2:BC7"/>
    <mergeCell ref="CK3:CM3"/>
    <mergeCell ref="E4:E5"/>
    <mergeCell ref="F4:F5"/>
    <mergeCell ref="G4:G5"/>
    <mergeCell ref="H4:H5"/>
    <mergeCell ref="I4:I5"/>
    <mergeCell ref="J4:J5"/>
    <mergeCell ref="K4:K5"/>
    <mergeCell ref="L4:L5"/>
    <mergeCell ref="CD3:CD7"/>
    <mergeCell ref="CE3:CE7"/>
    <mergeCell ref="CF3:CH3"/>
    <mergeCell ref="CI3:CI7"/>
    <mergeCell ref="CK4:CK7"/>
    <mergeCell ref="CA6:CA7"/>
    <mergeCell ref="BI2:CA2"/>
    <mergeCell ref="BT6:BT7"/>
    <mergeCell ref="BU6:BU7"/>
    <mergeCell ref="BV6:BV7"/>
    <mergeCell ref="BW6:BW7"/>
    <mergeCell ref="CL4:CL7"/>
    <mergeCell ref="CM4:CM7"/>
    <mergeCell ref="E6:E7"/>
    <mergeCell ref="F6:F7"/>
    <mergeCell ref="G6:G7"/>
    <mergeCell ref="H6:H7"/>
    <mergeCell ref="I6:I7"/>
    <mergeCell ref="S4:S5"/>
    <mergeCell ref="T4:T5"/>
    <mergeCell ref="U4:U5"/>
    <mergeCell ref="V4:V5"/>
    <mergeCell ref="BY4:BY7"/>
    <mergeCell ref="CF4:CF7"/>
    <mergeCell ref="V6:V7"/>
    <mergeCell ref="W6:W7"/>
    <mergeCell ref="X6:X7"/>
    <mergeCell ref="Y6:Y7"/>
    <mergeCell ref="M4:M5"/>
    <mergeCell ref="N4:N5"/>
    <mergeCell ref="CB2:CB7"/>
    <mergeCell ref="CC2:CC7"/>
    <mergeCell ref="CD2:CE2"/>
    <mergeCell ref="CF2:CI2"/>
    <mergeCell ref="CJ2:CM2"/>
    <mergeCell ref="CJ3:CJ7"/>
    <mergeCell ref="J6:J7"/>
    <mergeCell ref="K6:K7"/>
    <mergeCell ref="L6:L7"/>
    <mergeCell ref="M6:M7"/>
    <mergeCell ref="N6:N7"/>
    <mergeCell ref="O6:O7"/>
    <mergeCell ref="CG4:CG7"/>
    <mergeCell ref="CH4:CH7"/>
    <mergeCell ref="AC6:AC7"/>
    <mergeCell ref="AD6:AD7"/>
    <mergeCell ref="AE6:AE7"/>
    <mergeCell ref="P6:P7"/>
    <mergeCell ref="Q6:Q7"/>
    <mergeCell ref="R6:R7"/>
    <mergeCell ref="S6:S7"/>
    <mergeCell ref="T6:T7"/>
    <mergeCell ref="U6:U7"/>
    <mergeCell ref="BX6:BX7"/>
    <mergeCell ref="BZ6:BZ7"/>
    <mergeCell ref="BD2:BD7"/>
    <mergeCell ref="BE2:BE7"/>
    <mergeCell ref="BF2:BF7"/>
    <mergeCell ref="BG2:BG7"/>
    <mergeCell ref="AL6:AL7"/>
    <mergeCell ref="AM6:AM7"/>
    <mergeCell ref="AN6:AN7"/>
    <mergeCell ref="AO6:AO7"/>
    <mergeCell ref="AP6:AP7"/>
    <mergeCell ref="AQ6:AQ7"/>
    <mergeCell ref="O4:O5"/>
    <mergeCell ref="P4:P5"/>
    <mergeCell ref="Q4:Q5"/>
    <mergeCell ref="R4:R5"/>
    <mergeCell ref="AX6:AX7"/>
    <mergeCell ref="AY6:AY7"/>
    <mergeCell ref="BI6:BK6"/>
    <mergeCell ref="BL6:BP6"/>
    <mergeCell ref="BQ6:BR6"/>
    <mergeCell ref="BS6:BS7"/>
    <mergeCell ref="AR6:AR7"/>
    <mergeCell ref="AS6:AS7"/>
    <mergeCell ref="AT6:AT7"/>
    <mergeCell ref="AU6:AU7"/>
    <mergeCell ref="AV6:AV7"/>
    <mergeCell ref="AW6:AW7"/>
    <mergeCell ref="BH2:BH7"/>
    <mergeCell ref="BI3:BZ3"/>
    <mergeCell ref="CJ112:CM112"/>
    <mergeCell ref="AF78:AF83"/>
    <mergeCell ref="W84:W88"/>
    <mergeCell ref="I95:I98"/>
    <mergeCell ref="O95:O98"/>
    <mergeCell ref="T95:T98"/>
    <mergeCell ref="AE95:AE98"/>
    <mergeCell ref="L33:L35"/>
    <mergeCell ref="V33:V35"/>
    <mergeCell ref="AB42:AB47"/>
    <mergeCell ref="Y48:Y52"/>
    <mergeCell ref="AE56:AE57"/>
    <mergeCell ref="Z59:Z61"/>
    <mergeCell ref="AI105:AI106"/>
    <mergeCell ref="AJ105:AJ106"/>
    <mergeCell ref="A144:D144"/>
    <mergeCell ref="A153:D153"/>
    <mergeCell ref="A113:D113"/>
    <mergeCell ref="AP120:AP122"/>
    <mergeCell ref="AW127:AW131"/>
    <mergeCell ref="AV134:AV135"/>
    <mergeCell ref="AQ137:AQ138"/>
    <mergeCell ref="A143:D143"/>
    <mergeCell ref="E108:E109"/>
    <mergeCell ref="A110:D110"/>
    <mergeCell ref="A112:D112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Q30:Q32"/>
    <mergeCell ref="T30:T32"/>
    <mergeCell ref="W30:W32"/>
  </mergeCells>
  <conditionalFormatting sqref="CC100:CC101 CC132:CC137 CC114:CC130 CC109 CC142">
    <cfRule type="cellIs" dxfId="5" priority="6" operator="equal">
      <formula>"tak"</formula>
    </cfRule>
  </conditionalFormatting>
  <conditionalFormatting sqref="CC131">
    <cfRule type="cellIs" dxfId="4" priority="5" operator="equal">
      <formula>"tak"</formula>
    </cfRule>
  </conditionalFormatting>
  <conditionalFormatting sqref="CC102">
    <cfRule type="cellIs" dxfId="3" priority="4" operator="equal">
      <formula>"tak"</formula>
    </cfRule>
  </conditionalFormatting>
  <conditionalFormatting sqref="CC103">
    <cfRule type="cellIs" dxfId="2" priority="3" operator="equal">
      <formula>"tak"</formula>
    </cfRule>
  </conditionalFormatting>
  <conditionalFormatting sqref="CC104:CC108">
    <cfRule type="cellIs" dxfId="1" priority="2" operator="equal">
      <formula>"tak"</formula>
    </cfRule>
  </conditionalFormatting>
  <conditionalFormatting sqref="CC138:CC141">
    <cfRule type="cellIs" dxfId="0" priority="1" operator="equal">
      <formula>"tak"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3" orientation="portrait" r:id="rId1"/>
  <rowBreaks count="3" manualBreakCount="3">
    <brk id="57" max="91" man="1"/>
    <brk id="100" max="91" man="1"/>
    <brk id="143" max="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Budynki do przeglądu 5 letniego</vt:lpstr>
      <vt:lpstr>Budynki do przeglądu 1 rocznego</vt:lpstr>
      <vt:lpstr>Budynki do przeglądu półroczneg</vt:lpstr>
      <vt:lpstr>'Budynki do przeglądu półroczneg'!Obszar_wydruku</vt:lpstr>
      <vt:lpstr>'Budynki do przeglądu półroczneg'!Tytuły_wydruku</vt:lpstr>
    </vt:vector>
  </TitlesOfParts>
  <Company>Your Organization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Machoń Ryszard</cp:lastModifiedBy>
  <cp:lastPrinted>2020-07-15T06:42:20Z</cp:lastPrinted>
  <dcterms:created xsi:type="dcterms:W3CDTF">2013-01-25T11:10:10Z</dcterms:created>
  <dcterms:modified xsi:type="dcterms:W3CDTF">2020-10-16T06:24:45Z</dcterms:modified>
</cp:coreProperties>
</file>