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375" windowHeight="10260" tabRatio="936" activeTab="3"/>
  </bookViews>
  <sheets>
    <sheet name="Świnoujście" sheetId="1" r:id="rId1"/>
    <sheet name="Dziwnów" sheetId="2" r:id="rId2"/>
    <sheet name="KPW" sheetId="3" r:id="rId3"/>
    <sheet name="ogólnie" sheetId="4" r:id="rId4"/>
    <sheet name="Arkusz1" sheetId="5" r:id="rId5"/>
  </sheets>
  <externalReferences>
    <externalReference r:id="rId8"/>
    <externalReference r:id="rId9"/>
  </externalReferences>
  <definedNames>
    <definedName name="_xlnm.Print_Area" localSheetId="2">'KPW'!$B$1:$L$33</definedName>
    <definedName name="_xlnm.Print_Area" localSheetId="3">'ogólnie'!$A$1:$P$34</definedName>
    <definedName name="_xlnm.Print_Area" localSheetId="0">'Świnoujście'!$A$1:$F$93</definedName>
  </definedNames>
  <calcPr fullCalcOnLoad="1"/>
</workbook>
</file>

<file path=xl/sharedStrings.xml><?xml version="1.0" encoding="utf-8"?>
<sst xmlns="http://schemas.openxmlformats.org/spreadsheetml/2006/main" count="269" uniqueCount="87">
  <si>
    <t>Razem</t>
  </si>
  <si>
    <t>Lp.</t>
  </si>
  <si>
    <t>Rodzaj powierzchni utwardzonych</t>
  </si>
  <si>
    <t>Powierzchnia w m2</t>
  </si>
  <si>
    <t>Uwagi</t>
  </si>
  <si>
    <t>1.</t>
  </si>
  <si>
    <t>2.</t>
  </si>
  <si>
    <t>3.</t>
  </si>
  <si>
    <t xml:space="preserve">Place </t>
  </si>
  <si>
    <t xml:space="preserve">Drogi </t>
  </si>
  <si>
    <t>Chodniki</t>
  </si>
  <si>
    <t>Nazwa WAK</t>
  </si>
  <si>
    <t>4.</t>
  </si>
  <si>
    <t xml:space="preserve">Chodniki </t>
  </si>
  <si>
    <t>Utrzymanie powierzchni utwardzonych</t>
  </si>
  <si>
    <t>CZĘŚĆ I</t>
  </si>
  <si>
    <t>CZĘŚĆ II</t>
  </si>
  <si>
    <t>Powierzchnia terenów utwardzonych          (m2)</t>
  </si>
  <si>
    <t>Miesięczny koszt utrzymania  powierzchni utwardzonej (kol.2  x 3)</t>
  </si>
  <si>
    <t>Ryczałtowa stawka jednostkowa za utrzymanie w czystości              terenu utwardzonego zł/1m2/m-c brutto</t>
  </si>
  <si>
    <t>ŚWINOUJŚCIE</t>
  </si>
  <si>
    <t>DZIWNÓW</t>
  </si>
  <si>
    <t>Nabrzeża portowe</t>
  </si>
  <si>
    <t>wewnętrzne</t>
  </si>
  <si>
    <t>zewnętrzne</t>
  </si>
  <si>
    <t>hotele</t>
  </si>
  <si>
    <t>miesięcznie</t>
  </si>
  <si>
    <t>jednokrotne</t>
  </si>
  <si>
    <t>OGÓŁEM:</t>
  </si>
  <si>
    <t>X</t>
  </si>
  <si>
    <t>Razem netto</t>
  </si>
  <si>
    <t>SZACUNKOWY KOSZT REALIZACJI USŁUG SPRZATANIA POMIESZCZEŃ WEWNĘTRZNYCH BUDYNKÓW, ZEWNETRZNYCH POWIERZCHNI UTWARDZONYCH</t>
  </si>
  <si>
    <t>ZATWIERDZAM</t>
  </si>
  <si>
    <t>…………………</t>
  </si>
  <si>
    <t>WYKONAŁ</t>
  </si>
  <si>
    <t>…………………………</t>
  </si>
  <si>
    <t>Razem brutto</t>
  </si>
  <si>
    <t>WARTOŚĆ NETTO</t>
  </si>
  <si>
    <t xml:space="preserve">wartość brutto 24 miesiące </t>
  </si>
  <si>
    <t>RAZEM ŚWINOUJŚCIE</t>
  </si>
  <si>
    <t>Razem DZIWNÓW</t>
  </si>
  <si>
    <t>ORAZ TERENÓW ZIELONYCH W JEDNOSTKACH INSTYTUCJACH I OBIEKTACH WOJSKOWYCH W REJONIE DZIAŁANIA KPW ŚWINOUJŚCIE</t>
  </si>
  <si>
    <t>Chodnik</t>
  </si>
  <si>
    <t>zielone</t>
  </si>
  <si>
    <t>wew</t>
  </si>
  <si>
    <t>zew</t>
  </si>
  <si>
    <t>od</t>
  </si>
  <si>
    <t>rynny</t>
  </si>
  <si>
    <t>sople</t>
  </si>
  <si>
    <t>ZESTAWIENIE ZBIORCZE TERNÓW UTWARDZONYCH ZA KPW ŚWINOUJŚCIE</t>
  </si>
  <si>
    <t>Mirosława Matuszczak</t>
  </si>
  <si>
    <t xml:space="preserve">KOMPLEKS Nr 4154 ul. Karsiborska </t>
  </si>
  <si>
    <t>KOMPLEKS Nr 4370ul. Steyera 28</t>
  </si>
  <si>
    <t>KOMPLEKS 4381 Nr ul. Karsiborska</t>
  </si>
  <si>
    <t>KOMPLEKS Nr 4388 Ognica</t>
  </si>
  <si>
    <t>KOMPLEKS Nr 4422 ul. Piłsudskiego 43-45</t>
  </si>
  <si>
    <t>KOMPLEKS Nr 4423 ul. Sienkiewicza 4</t>
  </si>
  <si>
    <t>KOMPLEKS Nr 5829 ul.Piłsudskiego 24</t>
  </si>
  <si>
    <t>KOMPLEKS Nr 7894 ul. Steyera 28</t>
  </si>
  <si>
    <t>KOMPLEKS Nr 8590 ul. Steyera 6</t>
  </si>
  <si>
    <t>KOMPLEKS Nr 4369 ul. Rycerska</t>
  </si>
  <si>
    <t>KOMPLEKS Nr 5333 Nabrzeże portowe</t>
  </si>
  <si>
    <t>Kompleks Nr 4312  Obręb Międzywodzie</t>
  </si>
  <si>
    <t>Kompleks Nr 4396 Biała Góra</t>
  </si>
  <si>
    <r>
      <t>Za</t>
    </r>
    <r>
      <rPr>
        <b/>
        <sz val="10"/>
        <rFont val="Arial"/>
        <family val="2"/>
      </rPr>
      <t>łącznik nr 2 do wniosku</t>
    </r>
  </si>
  <si>
    <t>Kompleks  Nr 4310 ul. Marynarki Wojennej</t>
  </si>
  <si>
    <t>Kompleks  Nr 4301 Oś. Rybackie</t>
  </si>
  <si>
    <t>W OKRESIE 01.09.2019 - 31.08.2021.</t>
  </si>
  <si>
    <t>144 m ²zew</t>
  </si>
  <si>
    <t>101m² zew</t>
  </si>
  <si>
    <r>
      <t>86m²</t>
    </r>
    <r>
      <rPr>
        <sz val="9"/>
        <rFont val="Arial"/>
        <family val="2"/>
      </rPr>
      <t xml:space="preserve"> zew</t>
    </r>
  </si>
  <si>
    <t>125m² zew</t>
  </si>
  <si>
    <t>74m² zew</t>
  </si>
  <si>
    <t>z zam uzup. 10 % netto</t>
  </si>
  <si>
    <t>z zam uzup. 10 % brutto</t>
  </si>
  <si>
    <t>Plus zamówienia dodatkowe - 10%</t>
  </si>
  <si>
    <t>koszenie x 17</t>
  </si>
  <si>
    <t>żywoploty x6</t>
  </si>
  <si>
    <t>rabatyx 12</t>
  </si>
  <si>
    <t>pasy ppoż.x 10</t>
  </si>
  <si>
    <t>bocznice kolejowe x 6</t>
  </si>
  <si>
    <t>odśnieżanie dachów x 3</t>
  </si>
  <si>
    <t>czyszcz. Rynien x 4</t>
  </si>
  <si>
    <t>odsaplanie x 3</t>
  </si>
  <si>
    <t>pranie x 4</t>
  </si>
  <si>
    <t>Załącznik nr 5 do wniosku</t>
  </si>
  <si>
    <t>Załącznik nr 6 do wniosku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</si>
</sst>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[$-415]d\ mmmm\ yyyy"/>
    <numFmt numFmtId="166" formatCode="#,##0;[Red]#,##0"/>
    <numFmt numFmtId="167" formatCode="#,##0.00;[Red]#,##0.0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  <numFmt numFmtId="174" formatCode="0.00;[Red]0.00"/>
  </numFmts>
  <fonts count="6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sz val="16"/>
      <color indexed="17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b/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sz val="16"/>
      <color indexed="20"/>
      <name val="Calibri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sz val="10"/>
      <color indexed="9"/>
      <name val="Arial"/>
      <family val="2"/>
    </font>
    <font>
      <b/>
      <sz val="14"/>
      <color indexed="62"/>
      <name val="Arial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theme="0"/>
      <name val="Arial"/>
      <family val="2"/>
    </font>
    <font>
      <b/>
      <sz val="14"/>
      <color theme="4" tint="-0.2499700039625167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2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" fillId="32" borderId="1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4" fillId="32" borderId="14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justify" wrapText="1"/>
    </xf>
    <xf numFmtId="2" fontId="0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11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33" borderId="27" xfId="0" applyFont="1" applyFill="1" applyBorder="1" applyAlignment="1">
      <alignment horizontal="center" vertical="justify" wrapText="1"/>
    </xf>
    <xf numFmtId="2" fontId="15" fillId="33" borderId="28" xfId="0" applyNumberFormat="1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43" fontId="0" fillId="0" borderId="10" xfId="0" applyNumberFormat="1" applyFont="1" applyBorder="1" applyAlignment="1">
      <alignment horizontal="center"/>
    </xf>
    <xf numFmtId="43" fontId="0" fillId="0" borderId="12" xfId="0" applyNumberFormat="1" applyFont="1" applyBorder="1" applyAlignment="1">
      <alignment horizontal="center"/>
    </xf>
    <xf numFmtId="43" fontId="3" fillId="33" borderId="21" xfId="0" applyNumberFormat="1" applyFont="1" applyFill="1" applyBorder="1" applyAlignment="1">
      <alignment horizontal="center"/>
    </xf>
    <xf numFmtId="43" fontId="0" fillId="0" borderId="29" xfId="0" applyNumberFormat="1" applyFont="1" applyBorder="1" applyAlignment="1">
      <alignment horizontal="center"/>
    </xf>
    <xf numFmtId="43" fontId="0" fillId="0" borderId="17" xfId="0" applyNumberFormat="1" applyFont="1" applyBorder="1" applyAlignment="1">
      <alignment horizontal="center"/>
    </xf>
    <xf numFmtId="0" fontId="4" fillId="32" borderId="30" xfId="0" applyFont="1" applyFill="1" applyBorder="1" applyAlignment="1">
      <alignment horizontal="center"/>
    </xf>
    <xf numFmtId="0" fontId="0" fillId="32" borderId="31" xfId="0" applyFont="1" applyFill="1" applyBorder="1" applyAlignment="1">
      <alignment horizontal="center"/>
    </xf>
    <xf numFmtId="0" fontId="0" fillId="32" borderId="32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43" fontId="3" fillId="33" borderId="24" xfId="0" applyNumberFormat="1" applyFont="1" applyFill="1" applyBorder="1" applyAlignment="1">
      <alignment horizontal="center"/>
    </xf>
    <xf numFmtId="43" fontId="10" fillId="0" borderId="0" xfId="0" applyNumberFormat="1" applyFont="1" applyBorder="1" applyAlignment="1">
      <alignment horizontal="center"/>
    </xf>
    <xf numFmtId="43" fontId="9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0" fillId="0" borderId="14" xfId="0" applyNumberFormat="1" applyFont="1" applyBorder="1" applyAlignment="1">
      <alignment horizontal="center"/>
    </xf>
    <xf numFmtId="43" fontId="3" fillId="33" borderId="28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43" fontId="9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43" fontId="0" fillId="0" borderId="0" xfId="0" applyNumberFormat="1" applyAlignment="1">
      <alignment/>
    </xf>
    <xf numFmtId="0" fontId="4" fillId="32" borderId="36" xfId="0" applyFont="1" applyFill="1" applyBorder="1" applyAlignment="1">
      <alignment horizontal="center"/>
    </xf>
    <xf numFmtId="43" fontId="4" fillId="32" borderId="36" xfId="0" applyNumberFormat="1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/>
    </xf>
    <xf numFmtId="43" fontId="4" fillId="32" borderId="14" xfId="0" applyNumberFormat="1" applyFont="1" applyFill="1" applyBorder="1" applyAlignment="1">
      <alignment horizontal="center"/>
    </xf>
    <xf numFmtId="0" fontId="0" fillId="32" borderId="29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right" vertical="center" wrapText="1"/>
    </xf>
    <xf numFmtId="174" fontId="15" fillId="32" borderId="37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/>
    </xf>
    <xf numFmtId="2" fontId="19" fillId="0" borderId="10" xfId="0" applyNumberFormat="1" applyFont="1" applyBorder="1" applyAlignment="1">
      <alignment/>
    </xf>
    <xf numFmtId="0" fontId="19" fillId="0" borderId="38" xfId="0" applyFont="1" applyBorder="1" applyAlignment="1">
      <alignment/>
    </xf>
    <xf numFmtId="2" fontId="19" fillId="32" borderId="10" xfId="0" applyNumberFormat="1" applyFont="1" applyFill="1" applyBorder="1" applyAlignment="1">
      <alignment/>
    </xf>
    <xf numFmtId="2" fontId="19" fillId="32" borderId="12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19" fillId="0" borderId="10" xfId="0" applyNumberFormat="1" applyFont="1" applyBorder="1" applyAlignment="1">
      <alignment/>
    </xf>
    <xf numFmtId="0" fontId="19" fillId="0" borderId="39" xfId="0" applyFont="1" applyBorder="1" applyAlignment="1">
      <alignment/>
    </xf>
    <xf numFmtId="4" fontId="19" fillId="0" borderId="39" xfId="0" applyNumberFormat="1" applyFont="1" applyBorder="1" applyAlignment="1">
      <alignment/>
    </xf>
    <xf numFmtId="4" fontId="19" fillId="0" borderId="40" xfId="0" applyNumberFormat="1" applyFont="1" applyBorder="1" applyAlignment="1">
      <alignment/>
    </xf>
    <xf numFmtId="4" fontId="19" fillId="0" borderId="40" xfId="0" applyNumberFormat="1" applyFont="1" applyBorder="1" applyAlignment="1">
      <alignment/>
    </xf>
    <xf numFmtId="4" fontId="19" fillId="0" borderId="41" xfId="0" applyNumberFormat="1" applyFont="1" applyBorder="1" applyAlignment="1">
      <alignment/>
    </xf>
    <xf numFmtId="4" fontId="20" fillId="0" borderId="41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4" fontId="19" fillId="0" borderId="14" xfId="0" applyNumberFormat="1" applyFont="1" applyBorder="1" applyAlignment="1">
      <alignment/>
    </xf>
    <xf numFmtId="4" fontId="19" fillId="0" borderId="14" xfId="0" applyNumberFormat="1" applyFont="1" applyBorder="1" applyAlignment="1">
      <alignment/>
    </xf>
    <xf numFmtId="0" fontId="0" fillId="34" borderId="0" xfId="0" applyFill="1" applyBorder="1" applyAlignment="1">
      <alignment/>
    </xf>
    <xf numFmtId="0" fontId="17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center" vertical="center" textRotation="90"/>
    </xf>
    <xf numFmtId="0" fontId="16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center"/>
    </xf>
    <xf numFmtId="2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43" fontId="21" fillId="34" borderId="0" xfId="0" applyNumberFormat="1" applyFont="1" applyFill="1" applyBorder="1" applyAlignment="1">
      <alignment/>
    </xf>
    <xf numFmtId="43" fontId="21" fillId="34" borderId="0" xfId="0" applyNumberFormat="1" applyFont="1" applyFill="1" applyBorder="1" applyAlignment="1">
      <alignment/>
    </xf>
    <xf numFmtId="0" fontId="17" fillId="34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/>
    </xf>
    <xf numFmtId="43" fontId="15" fillId="34" borderId="0" xfId="0" applyNumberFormat="1" applyFont="1" applyFill="1" applyBorder="1" applyAlignment="1">
      <alignment/>
    </xf>
    <xf numFmtId="0" fontId="17" fillId="34" borderId="0" xfId="0" applyFont="1" applyFill="1" applyBorder="1" applyAlignment="1">
      <alignment/>
    </xf>
    <xf numFmtId="4" fontId="16" fillId="34" borderId="0" xfId="0" applyNumberFormat="1" applyFont="1" applyFill="1" applyBorder="1" applyAlignment="1">
      <alignment/>
    </xf>
    <xf numFmtId="0" fontId="17" fillId="34" borderId="0" xfId="0" applyFont="1" applyFill="1" applyBorder="1" applyAlignment="1">
      <alignment wrapText="1"/>
    </xf>
    <xf numFmtId="0" fontId="16" fillId="34" borderId="0" xfId="0" applyFont="1" applyFill="1" applyBorder="1" applyAlignment="1">
      <alignment/>
    </xf>
    <xf numFmtId="4" fontId="18" fillId="34" borderId="0" xfId="0" applyNumberFormat="1" applyFont="1" applyFill="1" applyBorder="1" applyAlignment="1">
      <alignment/>
    </xf>
    <xf numFmtId="4" fontId="15" fillId="34" borderId="0" xfId="0" applyNumberFormat="1" applyFont="1" applyFill="1" applyBorder="1" applyAlignment="1">
      <alignment/>
    </xf>
    <xf numFmtId="0" fontId="17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1" fontId="0" fillId="34" borderId="0" xfId="0" applyNumberForma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4" fontId="0" fillId="32" borderId="13" xfId="0" applyNumberFormat="1" applyFont="1" applyFill="1" applyBorder="1" applyAlignment="1">
      <alignment horizontal="center" vertical="center" wrapText="1"/>
    </xf>
    <xf numFmtId="4" fontId="15" fillId="33" borderId="15" xfId="0" applyNumberFormat="1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/>
    </xf>
    <xf numFmtId="4" fontId="0" fillId="32" borderId="15" xfId="0" applyNumberFormat="1" applyFont="1" applyFill="1" applyBorder="1" applyAlignment="1">
      <alignment horizontal="center" vertical="center" wrapText="1"/>
    </xf>
    <xf numFmtId="43" fontId="0" fillId="0" borderId="10" xfId="0" applyNumberFormat="1" applyFill="1" applyBorder="1" applyAlignment="1">
      <alignment/>
    </xf>
    <xf numFmtId="0" fontId="4" fillId="32" borderId="45" xfId="0" applyFont="1" applyFill="1" applyBorder="1" applyAlignment="1">
      <alignment horizontal="center"/>
    </xf>
    <xf numFmtId="0" fontId="4" fillId="32" borderId="46" xfId="0" applyFont="1" applyFill="1" applyBorder="1" applyAlignment="1">
      <alignment horizontal="center"/>
    </xf>
    <xf numFmtId="43" fontId="9" fillId="0" borderId="0" xfId="0" applyNumberFormat="1" applyFont="1" applyBorder="1" applyAlignment="1">
      <alignment/>
    </xf>
    <xf numFmtId="0" fontId="0" fillId="33" borderId="16" xfId="0" applyFont="1" applyFill="1" applyBorder="1" applyAlignment="1">
      <alignment horizontal="center" vertical="justify" wrapText="1"/>
    </xf>
    <xf numFmtId="0" fontId="0" fillId="33" borderId="47" xfId="0" applyFont="1" applyFill="1" applyBorder="1" applyAlignment="1">
      <alignment horizontal="center" vertical="justify" wrapText="1"/>
    </xf>
    <xf numFmtId="0" fontId="0" fillId="32" borderId="47" xfId="0" applyFont="1" applyFill="1" applyBorder="1" applyAlignment="1">
      <alignment horizontal="center" vertical="justify" wrapText="1"/>
    </xf>
    <xf numFmtId="43" fontId="4" fillId="32" borderId="23" xfId="0" applyNumberFormat="1" applyFont="1" applyFill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0" fontId="0" fillId="33" borderId="42" xfId="0" applyFont="1" applyFill="1" applyBorder="1" applyAlignment="1">
      <alignment horizontal="center" vertical="justify" wrapText="1"/>
    </xf>
    <xf numFmtId="43" fontId="0" fillId="0" borderId="13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 vertical="center" wrapText="1"/>
    </xf>
    <xf numFmtId="43" fontId="3" fillId="33" borderId="21" xfId="0" applyNumberFormat="1" applyFont="1" applyFill="1" applyBorder="1" applyAlignment="1">
      <alignment horizontal="center"/>
    </xf>
    <xf numFmtId="4" fontId="20" fillId="0" borderId="24" xfId="0" applyNumberFormat="1" applyFont="1" applyBorder="1" applyAlignment="1">
      <alignment/>
    </xf>
    <xf numFmtId="2" fontId="19" fillId="32" borderId="10" xfId="0" applyNumberFormat="1" applyFont="1" applyFill="1" applyBorder="1" applyAlignment="1">
      <alignment/>
    </xf>
    <xf numFmtId="2" fontId="19" fillId="32" borderId="12" xfId="0" applyNumberFormat="1" applyFont="1" applyFill="1" applyBorder="1" applyAlignment="1">
      <alignment/>
    </xf>
    <xf numFmtId="4" fontId="20" fillId="32" borderId="32" xfId="0" applyNumberFormat="1" applyFont="1" applyFill="1" applyBorder="1" applyAlignment="1">
      <alignment/>
    </xf>
    <xf numFmtId="4" fontId="20" fillId="32" borderId="34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19" fillId="32" borderId="26" xfId="0" applyFont="1" applyFill="1" applyBorder="1" applyAlignment="1">
      <alignment horizontal="center" vertical="center" textRotation="90"/>
    </xf>
    <xf numFmtId="0" fontId="0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left" vertical="center"/>
    </xf>
    <xf numFmtId="0" fontId="19" fillId="32" borderId="50" xfId="0" applyFont="1" applyFill="1" applyBorder="1" applyAlignment="1">
      <alignment horizontal="left" vertical="center"/>
    </xf>
    <xf numFmtId="0" fontId="19" fillId="32" borderId="51" xfId="0" applyFont="1" applyFill="1" applyBorder="1" applyAlignment="1">
      <alignment horizontal="left" vertical="center"/>
    </xf>
    <xf numFmtId="0" fontId="19" fillId="0" borderId="50" xfId="0" applyFont="1" applyBorder="1" applyAlignment="1">
      <alignment wrapText="1"/>
    </xf>
    <xf numFmtId="4" fontId="20" fillId="0" borderId="32" xfId="0" applyNumberFormat="1" applyFont="1" applyBorder="1" applyAlignment="1">
      <alignment/>
    </xf>
    <xf numFmtId="0" fontId="19" fillId="0" borderId="52" xfId="0" applyFont="1" applyBorder="1" applyAlignment="1">
      <alignment wrapText="1"/>
    </xf>
    <xf numFmtId="4" fontId="20" fillId="35" borderId="18" xfId="0" applyNumberFormat="1" applyFont="1" applyFill="1" applyBorder="1" applyAlignment="1">
      <alignment/>
    </xf>
    <xf numFmtId="0" fontId="4" fillId="32" borderId="21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2" fontId="19" fillId="36" borderId="21" xfId="0" applyNumberFormat="1" applyFont="1" applyFill="1" applyBorder="1" applyAlignment="1">
      <alignment/>
    </xf>
    <xf numFmtId="2" fontId="19" fillId="37" borderId="21" xfId="0" applyNumberFormat="1" applyFont="1" applyFill="1" applyBorder="1" applyAlignment="1">
      <alignment/>
    </xf>
    <xf numFmtId="0" fontId="19" fillId="37" borderId="24" xfId="0" applyFont="1" applyFill="1" applyBorder="1" applyAlignment="1">
      <alignment/>
    </xf>
    <xf numFmtId="0" fontId="11" fillId="0" borderId="0" xfId="0" applyFont="1" applyBorder="1" applyAlignment="1">
      <alignment/>
    </xf>
    <xf numFmtId="43" fontId="3" fillId="38" borderId="0" xfId="0" applyNumberFormat="1" applyFont="1" applyFill="1" applyBorder="1" applyAlignment="1">
      <alignment horizontal="center"/>
    </xf>
    <xf numFmtId="43" fontId="61" fillId="0" borderId="25" xfId="0" applyNumberFormat="1" applyFont="1" applyBorder="1" applyAlignment="1">
      <alignment horizontal="center"/>
    </xf>
    <xf numFmtId="43" fontId="60" fillId="0" borderId="13" xfId="0" applyNumberFormat="1" applyFont="1" applyBorder="1" applyAlignment="1">
      <alignment horizontal="center"/>
    </xf>
    <xf numFmtId="0" fontId="62" fillId="0" borderId="0" xfId="0" applyFont="1" applyAlignment="1">
      <alignment/>
    </xf>
    <xf numFmtId="2" fontId="6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43" fontId="0" fillId="0" borderId="13" xfId="0" applyNumberFormat="1" applyFont="1" applyBorder="1" applyAlignment="1">
      <alignment horizontal="center"/>
    </xf>
    <xf numFmtId="0" fontId="3" fillId="38" borderId="21" xfId="0" applyFont="1" applyFill="1" applyBorder="1" applyAlignment="1">
      <alignment/>
    </xf>
    <xf numFmtId="43" fontId="0" fillId="0" borderId="26" xfId="0" applyNumberFormat="1" applyFont="1" applyBorder="1" applyAlignment="1">
      <alignment horizontal="center"/>
    </xf>
    <xf numFmtId="43" fontId="0" fillId="0" borderId="25" xfId="0" applyNumberFormat="1" applyFont="1" applyBorder="1" applyAlignment="1">
      <alignment horizontal="center"/>
    </xf>
    <xf numFmtId="0" fontId="4" fillId="32" borderId="53" xfId="0" applyFont="1" applyFill="1" applyBorder="1" applyAlignment="1">
      <alignment horizontal="center"/>
    </xf>
    <xf numFmtId="43" fontId="0" fillId="0" borderId="53" xfId="0" applyNumberFormat="1" applyFont="1" applyBorder="1" applyAlignment="1">
      <alignment horizontal="center"/>
    </xf>
    <xf numFmtId="43" fontId="0" fillId="0" borderId="54" xfId="0" applyNumberFormat="1" applyFont="1" applyBorder="1" applyAlignment="1">
      <alignment horizontal="center"/>
    </xf>
    <xf numFmtId="43" fontId="0" fillId="0" borderId="55" xfId="0" applyNumberFormat="1" applyFont="1" applyBorder="1" applyAlignment="1">
      <alignment horizontal="center"/>
    </xf>
    <xf numFmtId="43" fontId="3" fillId="33" borderId="15" xfId="0" applyNumberFormat="1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0" fillId="0" borderId="54" xfId="0" applyFont="1" applyBorder="1" applyAlignment="1">
      <alignment/>
    </xf>
    <xf numFmtId="2" fontId="19" fillId="39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2" fontId="19" fillId="41" borderId="28" xfId="0" applyNumberFormat="1" applyFont="1" applyFill="1" applyBorder="1" applyAlignment="1">
      <alignment horizontal="center"/>
    </xf>
    <xf numFmtId="4" fontId="62" fillId="0" borderId="0" xfId="0" applyNumberFormat="1" applyFont="1" applyAlignment="1">
      <alignment/>
    </xf>
    <xf numFmtId="9" fontId="6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56" xfId="0" applyFont="1" applyBorder="1" applyAlignment="1">
      <alignment horizontal="left"/>
    </xf>
    <xf numFmtId="0" fontId="6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56" xfId="0" applyFont="1" applyBorder="1" applyAlignment="1">
      <alignment horizontal="center"/>
    </xf>
    <xf numFmtId="0" fontId="0" fillId="0" borderId="0" xfId="0" applyAlignment="1">
      <alignment horizontal="right"/>
    </xf>
    <xf numFmtId="0" fontId="17" fillId="34" borderId="0" xfId="0" applyFont="1" applyFill="1" applyBorder="1" applyAlignment="1">
      <alignment horizontal="center"/>
    </xf>
    <xf numFmtId="43" fontId="0" fillId="0" borderId="57" xfId="0" applyNumberFormat="1" applyFill="1" applyBorder="1" applyAlignment="1">
      <alignment horizontal="center" vertical="center" wrapText="1"/>
    </xf>
    <xf numFmtId="43" fontId="0" fillId="0" borderId="58" xfId="0" applyNumberForma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4" borderId="57" xfId="0" applyFont="1" applyFill="1" applyBorder="1" applyAlignment="1">
      <alignment horizontal="center" vertical="center" wrapText="1"/>
    </xf>
    <xf numFmtId="0" fontId="0" fillId="4" borderId="58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justify" wrapText="1"/>
    </xf>
    <xf numFmtId="0" fontId="0" fillId="33" borderId="47" xfId="0" applyFont="1" applyFill="1" applyBorder="1" applyAlignment="1">
      <alignment horizontal="center" vertical="justify" wrapText="1"/>
    </xf>
    <xf numFmtId="0" fontId="0" fillId="32" borderId="39" xfId="0" applyFont="1" applyFill="1" applyBorder="1" applyAlignment="1">
      <alignment horizontal="center" vertical="center" wrapText="1"/>
    </xf>
    <xf numFmtId="0" fontId="0" fillId="32" borderId="4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wierzchnie%20wewn&#281;trz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reny%20ziel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Świnoujście"/>
      <sheetName val="Dziwnów"/>
      <sheetName val="KPW"/>
      <sheetName val="Koszt"/>
      <sheetName val="Arkusz1"/>
      <sheetName val="Arkusz2"/>
      <sheetName val="Arkusz3"/>
      <sheetName val="aneks"/>
      <sheetName val="Arkusz4"/>
    </sheetNames>
    <sheetDataSet>
      <sheetData sheetId="2">
        <row r="10">
          <cell r="AA10">
            <v>53923.27</v>
          </cell>
        </row>
        <row r="11">
          <cell r="AA11">
            <v>39954.18</v>
          </cell>
        </row>
        <row r="12">
          <cell r="AD12">
            <v>292.52</v>
          </cell>
          <cell r="AG12">
            <v>572.26</v>
          </cell>
          <cell r="AJ12">
            <v>684.4399999999999</v>
          </cell>
          <cell r="AM12">
            <v>184.95</v>
          </cell>
          <cell r="AP12">
            <v>3308.024</v>
          </cell>
          <cell r="AS12">
            <v>8442</v>
          </cell>
          <cell r="AV12">
            <v>2503.44</v>
          </cell>
          <cell r="AY12">
            <v>2503.44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Świnoujście"/>
      <sheetName val="Dziwnów"/>
      <sheetName val="KPW"/>
      <sheetName val="Arkusz1"/>
    </sheetNames>
    <sheetDataSet>
      <sheetData sheetId="2">
        <row r="8">
          <cell r="D8">
            <v>25709.04</v>
          </cell>
          <cell r="H8">
            <v>1436.9699999999998</v>
          </cell>
          <cell r="L8">
            <v>904.0199999999999</v>
          </cell>
          <cell r="P8">
            <v>1854.48</v>
          </cell>
          <cell r="T8">
            <v>1144.8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110"/>
  <sheetViews>
    <sheetView view="pageBreakPreview" zoomScale="90" zoomScaleSheetLayoutView="90" zoomScalePageLayoutView="0" workbookViewId="0" topLeftCell="A53">
      <selection activeCell="M73" sqref="M73"/>
    </sheetView>
  </sheetViews>
  <sheetFormatPr defaultColWidth="9.140625" defaultRowHeight="12.75"/>
  <cols>
    <col min="1" max="1" width="6.421875" style="0" customWidth="1"/>
    <col min="2" max="2" width="34.57421875" style="0" customWidth="1"/>
    <col min="3" max="3" width="19.7109375" style="0" customWidth="1"/>
    <col min="4" max="4" width="11.140625" style="0" customWidth="1"/>
    <col min="5" max="5" width="13.7109375" style="0" customWidth="1"/>
    <col min="6" max="6" width="6.140625" style="0" customWidth="1"/>
    <col min="7" max="7" width="13.421875" style="0" bestFit="1" customWidth="1"/>
  </cols>
  <sheetData>
    <row r="1" spans="4:6" ht="12.75">
      <c r="D1" s="202" t="s">
        <v>85</v>
      </c>
      <c r="E1" s="202"/>
      <c r="F1" s="202"/>
    </row>
    <row r="2" spans="1:5" ht="18">
      <c r="A2" s="204" t="s">
        <v>20</v>
      </c>
      <c r="B2" s="204"/>
      <c r="C2" s="204"/>
      <c r="D2" s="204"/>
      <c r="E2" s="10"/>
    </row>
    <row r="3" spans="1:5" ht="18">
      <c r="A3" s="204" t="s">
        <v>15</v>
      </c>
      <c r="B3" s="204"/>
      <c r="C3" s="204"/>
      <c r="D3" s="204"/>
      <c r="E3" s="10"/>
    </row>
    <row r="4" spans="1:5" ht="15">
      <c r="A4" s="205" t="s">
        <v>14</v>
      </c>
      <c r="B4" s="205"/>
      <c r="C4" s="205"/>
      <c r="D4" s="205"/>
      <c r="E4" s="10"/>
    </row>
    <row r="5" spans="1:5" ht="15.75">
      <c r="A5" s="27"/>
      <c r="B5" s="4" t="s">
        <v>51</v>
      </c>
      <c r="C5" s="27"/>
      <c r="D5" s="27"/>
      <c r="E5" s="10"/>
    </row>
    <row r="6" spans="1:5" ht="13.5" thickBot="1">
      <c r="A6" s="42" t="s">
        <v>1</v>
      </c>
      <c r="B6" s="42" t="s">
        <v>2</v>
      </c>
      <c r="C6" s="42" t="s">
        <v>3</v>
      </c>
      <c r="D6" s="42" t="s">
        <v>4</v>
      </c>
      <c r="E6" s="10"/>
    </row>
    <row r="7" spans="1:5" ht="12.75" customHeight="1">
      <c r="A7" s="44" t="s">
        <v>5</v>
      </c>
      <c r="B7" s="35" t="s">
        <v>8</v>
      </c>
      <c r="C7" s="185">
        <v>2000</v>
      </c>
      <c r="D7" s="35"/>
      <c r="E7" s="10"/>
    </row>
    <row r="8" spans="1:5" ht="15" customHeight="1">
      <c r="A8" s="25" t="s">
        <v>6</v>
      </c>
      <c r="B8" s="32" t="s">
        <v>9</v>
      </c>
      <c r="C8" s="63">
        <v>2700</v>
      </c>
      <c r="D8" s="21"/>
      <c r="E8" s="10"/>
    </row>
    <row r="9" spans="1:5" ht="15" customHeight="1">
      <c r="A9" s="25"/>
      <c r="B9" s="32" t="s">
        <v>42</v>
      </c>
      <c r="C9" s="63">
        <v>59</v>
      </c>
      <c r="D9" s="21"/>
      <c r="E9" s="10"/>
    </row>
    <row r="10" spans="1:7" ht="13.5" thickBot="1">
      <c r="A10" s="25" t="s">
        <v>7</v>
      </c>
      <c r="B10" s="32" t="s">
        <v>22</v>
      </c>
      <c r="C10" s="63">
        <v>1778</v>
      </c>
      <c r="D10" s="21"/>
      <c r="E10" s="10"/>
      <c r="G10" s="84"/>
    </row>
    <row r="11" spans="1:7" ht="16.5" thickBot="1">
      <c r="A11" s="24"/>
      <c r="B11" s="51" t="s">
        <v>0</v>
      </c>
      <c r="C11" s="73">
        <f>SUM(C7:C10)</f>
        <v>6537</v>
      </c>
      <c r="D11" s="22"/>
      <c r="E11" s="147"/>
      <c r="G11" s="84"/>
    </row>
    <row r="12" spans="1:5" ht="15.75">
      <c r="A12" s="15"/>
      <c r="B12" s="11"/>
      <c r="C12" s="74"/>
      <c r="D12" s="15"/>
      <c r="E12" s="15"/>
    </row>
    <row r="13" spans="1:5" ht="12.75">
      <c r="A13" s="10"/>
      <c r="B13" s="27"/>
      <c r="C13" s="75"/>
      <c r="D13" s="27"/>
      <c r="E13" s="27"/>
    </row>
    <row r="14" spans="1:5" ht="16.5" thickBot="1">
      <c r="A14" s="10"/>
      <c r="B14" s="201" t="s">
        <v>52</v>
      </c>
      <c r="C14" s="201"/>
      <c r="D14" s="201"/>
      <c r="E14" s="201"/>
    </row>
    <row r="15" spans="1:5" ht="12.75" customHeight="1" thickBot="1">
      <c r="A15" s="145" t="s">
        <v>1</v>
      </c>
      <c r="B15" s="85" t="s">
        <v>2</v>
      </c>
      <c r="C15" s="86" t="s">
        <v>3</v>
      </c>
      <c r="D15" s="87" t="s">
        <v>4</v>
      </c>
      <c r="E15" s="27"/>
    </row>
    <row r="16" spans="1:5" ht="12.75" customHeight="1">
      <c r="A16" s="25" t="s">
        <v>5</v>
      </c>
      <c r="B16" s="35" t="s">
        <v>8</v>
      </c>
      <c r="C16" s="185">
        <v>25727</v>
      </c>
      <c r="D16" s="52"/>
      <c r="E16" s="27"/>
    </row>
    <row r="17" spans="1:5" ht="12.75" customHeight="1">
      <c r="A17" s="25" t="s">
        <v>6</v>
      </c>
      <c r="B17" s="21" t="s">
        <v>9</v>
      </c>
      <c r="C17" s="63">
        <v>36472</v>
      </c>
      <c r="D17" s="3"/>
      <c r="E17" s="27"/>
    </row>
    <row r="18" spans="1:5" ht="12.75" customHeight="1">
      <c r="A18" s="25" t="s">
        <v>7</v>
      </c>
      <c r="B18" s="53" t="s">
        <v>13</v>
      </c>
      <c r="C18" s="63">
        <v>1438</v>
      </c>
      <c r="D18" s="3"/>
      <c r="E18" s="27"/>
    </row>
    <row r="19" spans="1:5" ht="12.75" customHeight="1" thickBot="1">
      <c r="A19" s="25" t="s">
        <v>12</v>
      </c>
      <c r="B19" s="32" t="s">
        <v>22</v>
      </c>
      <c r="C19" s="64">
        <v>30801</v>
      </c>
      <c r="D19" s="21"/>
      <c r="E19" s="27"/>
    </row>
    <row r="20" spans="1:5" ht="16.5" thickBot="1">
      <c r="A20" s="22"/>
      <c r="B20" s="51" t="s">
        <v>0</v>
      </c>
      <c r="C20" s="65">
        <f>SUM(C16:C19)</f>
        <v>94438</v>
      </c>
      <c r="D20" s="22"/>
      <c r="E20" s="147"/>
    </row>
    <row r="21" spans="1:5" ht="12.75">
      <c r="A21" s="22"/>
      <c r="B21" s="27"/>
      <c r="C21" s="75"/>
      <c r="D21" s="15"/>
      <c r="E21" s="27"/>
    </row>
    <row r="22" spans="1:5" ht="15.75">
      <c r="A22" s="10"/>
      <c r="B22" s="201" t="s">
        <v>53</v>
      </c>
      <c r="C22" s="201"/>
      <c r="D22" s="201"/>
      <c r="E22" s="201"/>
    </row>
    <row r="23" spans="1:5" ht="13.5" thickBot="1">
      <c r="A23" s="146" t="s">
        <v>1</v>
      </c>
      <c r="B23" s="42" t="s">
        <v>2</v>
      </c>
      <c r="C23" s="88" t="s">
        <v>3</v>
      </c>
      <c r="D23" s="42" t="s">
        <v>4</v>
      </c>
      <c r="E23" s="27"/>
    </row>
    <row r="24" spans="1:5" ht="12.75">
      <c r="A24" s="25" t="s">
        <v>5</v>
      </c>
      <c r="B24" s="35" t="s">
        <v>8</v>
      </c>
      <c r="C24" s="185">
        <v>3326</v>
      </c>
      <c r="D24" s="52"/>
      <c r="E24" s="27"/>
    </row>
    <row r="25" spans="1:5" ht="12.75">
      <c r="A25" s="25" t="s">
        <v>6</v>
      </c>
      <c r="B25" s="21" t="s">
        <v>9</v>
      </c>
      <c r="C25" s="63">
        <v>21960</v>
      </c>
      <c r="D25" s="3"/>
      <c r="E25" s="27"/>
    </row>
    <row r="26" spans="1:5" ht="12.75" customHeight="1" thickBot="1">
      <c r="A26" s="25" t="s">
        <v>7</v>
      </c>
      <c r="B26" s="53" t="s">
        <v>13</v>
      </c>
      <c r="C26" s="64">
        <v>315</v>
      </c>
      <c r="D26" s="3"/>
      <c r="E26" s="27"/>
    </row>
    <row r="27" spans="1:5" ht="16.5" thickBot="1">
      <c r="A27" s="23"/>
      <c r="B27" s="51" t="s">
        <v>0</v>
      </c>
      <c r="C27" s="65">
        <f>SUM(C24:C26)</f>
        <v>25601</v>
      </c>
      <c r="D27" s="41"/>
      <c r="E27" s="147"/>
    </row>
    <row r="28" spans="1:5" ht="15.75">
      <c r="A28" s="15"/>
      <c r="B28" s="11"/>
      <c r="C28" s="74"/>
      <c r="D28" s="15"/>
      <c r="E28" s="27"/>
    </row>
    <row r="29" spans="1:5" ht="12.75">
      <c r="A29" s="10"/>
      <c r="B29" s="29"/>
      <c r="C29" s="75"/>
      <c r="D29" s="27"/>
      <c r="E29" s="27"/>
    </row>
    <row r="30" spans="1:5" ht="15.75">
      <c r="A30" s="30"/>
      <c r="B30" s="201" t="s">
        <v>54</v>
      </c>
      <c r="C30" s="201"/>
      <c r="D30" s="201"/>
      <c r="E30" s="201"/>
    </row>
    <row r="31" spans="1:5" ht="13.5" thickBot="1">
      <c r="A31" s="146" t="s">
        <v>1</v>
      </c>
      <c r="B31" s="42" t="s">
        <v>2</v>
      </c>
      <c r="C31" s="88" t="s">
        <v>3</v>
      </c>
      <c r="D31" s="42" t="s">
        <v>4</v>
      </c>
      <c r="E31" s="27"/>
    </row>
    <row r="32" spans="1:5" ht="12.75">
      <c r="A32" s="25" t="s">
        <v>5</v>
      </c>
      <c r="B32" s="35" t="s">
        <v>8</v>
      </c>
      <c r="C32" s="185">
        <v>2787</v>
      </c>
      <c r="D32" s="35"/>
      <c r="E32" s="27"/>
    </row>
    <row r="33" spans="1:5" ht="12.75">
      <c r="A33" s="25" t="s">
        <v>6</v>
      </c>
      <c r="B33" s="21" t="s">
        <v>9</v>
      </c>
      <c r="C33" s="63">
        <v>19623</v>
      </c>
      <c r="D33" s="21"/>
      <c r="E33" s="27"/>
    </row>
    <row r="34" spans="1:5" ht="12.75">
      <c r="A34" s="25" t="s">
        <v>7</v>
      </c>
      <c r="B34" s="53" t="s">
        <v>13</v>
      </c>
      <c r="C34" s="64">
        <v>892</v>
      </c>
      <c r="D34" s="32"/>
      <c r="E34" s="27"/>
    </row>
    <row r="35" spans="1:10" ht="13.5" thickBot="1">
      <c r="A35" s="25" t="s">
        <v>12</v>
      </c>
      <c r="B35" s="32" t="s">
        <v>22</v>
      </c>
      <c r="C35" s="77">
        <v>272.8</v>
      </c>
      <c r="D35" s="40"/>
      <c r="E35" s="27"/>
      <c r="J35" s="10"/>
    </row>
    <row r="36" spans="1:5" ht="16.5" thickBot="1">
      <c r="A36" s="54"/>
      <c r="B36" s="55" t="s">
        <v>0</v>
      </c>
      <c r="C36" s="78">
        <f>SUM(C32:C35)</f>
        <v>23574.8</v>
      </c>
      <c r="D36" s="41"/>
      <c r="E36" s="147"/>
    </row>
    <row r="37" spans="1:5" ht="15.75" customHeight="1">
      <c r="A37" s="22"/>
      <c r="B37" s="28"/>
      <c r="C37" s="75"/>
      <c r="D37" s="15"/>
      <c r="E37" s="27"/>
    </row>
    <row r="38" spans="1:5" ht="12.75">
      <c r="A38" s="10"/>
      <c r="B38" s="29"/>
      <c r="C38" s="75"/>
      <c r="D38" s="27"/>
      <c r="E38" s="27"/>
    </row>
    <row r="39" spans="1:5" ht="15.75">
      <c r="A39" s="10"/>
      <c r="B39" s="201" t="s">
        <v>55</v>
      </c>
      <c r="C39" s="201"/>
      <c r="D39" s="201"/>
      <c r="E39" s="201"/>
    </row>
    <row r="40" spans="1:5" ht="12.75" customHeight="1" thickBot="1">
      <c r="A40" s="146" t="s">
        <v>1</v>
      </c>
      <c r="B40" s="42" t="s">
        <v>2</v>
      </c>
      <c r="C40" s="88" t="s">
        <v>3</v>
      </c>
      <c r="D40" s="42" t="s">
        <v>4</v>
      </c>
      <c r="E40" s="27"/>
    </row>
    <row r="41" spans="1:5" ht="12.75">
      <c r="A41" s="25" t="s">
        <v>5</v>
      </c>
      <c r="B41" s="35" t="s">
        <v>8</v>
      </c>
      <c r="C41" s="185">
        <v>128</v>
      </c>
      <c r="D41" s="35"/>
      <c r="E41" s="27"/>
    </row>
    <row r="42" spans="1:5" ht="12.75">
      <c r="A42" s="25" t="s">
        <v>6</v>
      </c>
      <c r="B42" s="21" t="s">
        <v>9</v>
      </c>
      <c r="C42" s="63">
        <v>238.4</v>
      </c>
      <c r="D42" s="21"/>
      <c r="E42" s="27"/>
    </row>
    <row r="43" spans="1:6" ht="12.75" customHeight="1" thickBot="1">
      <c r="A43" s="25" t="s">
        <v>7</v>
      </c>
      <c r="B43" s="53" t="s">
        <v>13</v>
      </c>
      <c r="C43" s="63">
        <v>469.5</v>
      </c>
      <c r="D43" s="21" t="s">
        <v>68</v>
      </c>
      <c r="E43" s="26"/>
      <c r="F43" s="10"/>
    </row>
    <row r="44" spans="1:5" ht="16.5" thickBot="1">
      <c r="A44" s="22"/>
      <c r="B44" s="51" t="s">
        <v>0</v>
      </c>
      <c r="C44" s="65">
        <f>SUM(C41:C43)</f>
        <v>835.9</v>
      </c>
      <c r="D44" s="56"/>
      <c r="E44" s="147"/>
    </row>
    <row r="45" spans="1:5" ht="18" customHeight="1">
      <c r="A45" s="22"/>
      <c r="B45" s="11"/>
      <c r="C45" s="74"/>
      <c r="D45" s="15"/>
      <c r="E45" s="27"/>
    </row>
    <row r="46" spans="1:5" ht="15.75">
      <c r="A46" s="10"/>
      <c r="B46" s="201" t="s">
        <v>56</v>
      </c>
      <c r="C46" s="201"/>
      <c r="D46" s="201"/>
      <c r="E46" s="201"/>
    </row>
    <row r="47" spans="1:5" ht="13.5" thickBot="1">
      <c r="A47" s="146" t="s">
        <v>1</v>
      </c>
      <c r="B47" s="42" t="s">
        <v>2</v>
      </c>
      <c r="C47" s="88" t="s">
        <v>3</v>
      </c>
      <c r="D47" s="42" t="s">
        <v>4</v>
      </c>
      <c r="E47" s="27"/>
    </row>
    <row r="48" spans="1:5" ht="12.75">
      <c r="A48" s="25" t="s">
        <v>5</v>
      </c>
      <c r="B48" s="35" t="s">
        <v>8</v>
      </c>
      <c r="C48" s="187">
        <v>810</v>
      </c>
      <c r="D48" s="59"/>
      <c r="E48" s="27"/>
    </row>
    <row r="49" spans="1:5" ht="12.75">
      <c r="A49" s="25" t="s">
        <v>6</v>
      </c>
      <c r="B49" s="21" t="s">
        <v>9</v>
      </c>
      <c r="C49" s="63">
        <v>24</v>
      </c>
      <c r="D49" s="72"/>
      <c r="E49" s="27"/>
    </row>
    <row r="50" spans="1:5" ht="12.75" customHeight="1" thickBot="1">
      <c r="A50" s="25" t="s">
        <v>7</v>
      </c>
      <c r="B50" s="53" t="s">
        <v>13</v>
      </c>
      <c r="C50" s="179">
        <v>110</v>
      </c>
      <c r="D50" s="58" t="s">
        <v>69</v>
      </c>
      <c r="E50" s="26"/>
    </row>
    <row r="51" spans="1:5" ht="18.75" customHeight="1" thickBot="1">
      <c r="A51" s="83"/>
      <c r="B51" s="57" t="s">
        <v>0</v>
      </c>
      <c r="C51" s="73">
        <f>SUM(C47:C50)</f>
        <v>944</v>
      </c>
      <c r="D51" s="22"/>
      <c r="E51" s="147"/>
    </row>
    <row r="52" spans="1:5" ht="15.75">
      <c r="A52" s="15"/>
      <c r="B52" s="11"/>
      <c r="C52" s="74"/>
      <c r="D52" s="15"/>
      <c r="E52" s="27"/>
    </row>
    <row r="53" spans="1:5" ht="15.75">
      <c r="A53" s="10"/>
      <c r="B53" s="201" t="s">
        <v>57</v>
      </c>
      <c r="C53" s="201"/>
      <c r="D53" s="201"/>
      <c r="E53" s="201"/>
    </row>
    <row r="54" spans="1:5" ht="13.5" thickBot="1">
      <c r="A54" s="146" t="s">
        <v>1</v>
      </c>
      <c r="B54" s="42" t="s">
        <v>2</v>
      </c>
      <c r="C54" s="88" t="s">
        <v>3</v>
      </c>
      <c r="D54" s="42" t="s">
        <v>4</v>
      </c>
      <c r="E54" s="27"/>
    </row>
    <row r="55" spans="1:5" ht="12.75">
      <c r="A55" s="25" t="s">
        <v>5</v>
      </c>
      <c r="B55" s="35" t="s">
        <v>8</v>
      </c>
      <c r="C55" s="187">
        <v>187</v>
      </c>
      <c r="D55" s="59"/>
      <c r="E55" s="27"/>
    </row>
    <row r="56" spans="1:5" ht="12.75">
      <c r="A56" s="25" t="s">
        <v>6</v>
      </c>
      <c r="B56" s="21" t="s">
        <v>9</v>
      </c>
      <c r="C56" s="63">
        <v>139</v>
      </c>
      <c r="D56" s="72"/>
      <c r="E56" s="27"/>
    </row>
    <row r="57" spans="1:5" ht="13.5" thickBot="1">
      <c r="A57" s="90" t="s">
        <v>7</v>
      </c>
      <c r="B57" s="53" t="s">
        <v>13</v>
      </c>
      <c r="C57" s="188">
        <v>86</v>
      </c>
      <c r="D57" s="58" t="s">
        <v>70</v>
      </c>
      <c r="E57" s="26"/>
    </row>
    <row r="58" spans="1:5" ht="16.5" thickBot="1">
      <c r="A58" s="83"/>
      <c r="B58" s="57" t="s">
        <v>0</v>
      </c>
      <c r="C58" s="73">
        <f>SUM(C54:C57)</f>
        <v>412</v>
      </c>
      <c r="D58" s="22"/>
      <c r="E58" s="147"/>
    </row>
    <row r="59" spans="1:5" ht="15.75">
      <c r="A59" s="23"/>
      <c r="B59" s="2"/>
      <c r="C59" s="79"/>
      <c r="D59" s="22"/>
      <c r="E59" s="27"/>
    </row>
    <row r="60" spans="1:5" ht="15.75">
      <c r="A60" s="10"/>
      <c r="B60" s="201" t="s">
        <v>58</v>
      </c>
      <c r="C60" s="201"/>
      <c r="D60" s="201"/>
      <c r="E60" s="201"/>
    </row>
    <row r="61" spans="1:5" ht="13.5" thickBot="1">
      <c r="A61" s="146" t="s">
        <v>1</v>
      </c>
      <c r="B61" s="42" t="s">
        <v>2</v>
      </c>
      <c r="C61" s="88" t="s">
        <v>3</v>
      </c>
      <c r="D61" s="42" t="s">
        <v>4</v>
      </c>
      <c r="E61" s="27"/>
    </row>
    <row r="62" spans="1:5" ht="12.75">
      <c r="A62" s="25" t="s">
        <v>5</v>
      </c>
      <c r="B62" s="35" t="s">
        <v>8</v>
      </c>
      <c r="C62" s="187">
        <v>14856</v>
      </c>
      <c r="D62" s="59"/>
      <c r="E62" s="27"/>
    </row>
    <row r="63" spans="1:5" ht="12.75">
      <c r="A63" s="25" t="s">
        <v>6</v>
      </c>
      <c r="B63" s="21" t="s">
        <v>9</v>
      </c>
      <c r="C63" s="63">
        <v>12221</v>
      </c>
      <c r="D63" s="72"/>
      <c r="E63" s="27"/>
    </row>
    <row r="64" spans="1:5" ht="12.75">
      <c r="A64" s="90" t="s">
        <v>7</v>
      </c>
      <c r="B64" s="53" t="s">
        <v>13</v>
      </c>
      <c r="C64" s="63">
        <v>681</v>
      </c>
      <c r="D64" s="72"/>
      <c r="E64" s="27"/>
    </row>
    <row r="65" spans="1:5" ht="13.5" thickBot="1">
      <c r="A65" s="25" t="s">
        <v>12</v>
      </c>
      <c r="B65" s="32" t="s">
        <v>22</v>
      </c>
      <c r="C65" s="188">
        <v>3270.8</v>
      </c>
      <c r="D65" s="58"/>
      <c r="E65" s="27"/>
    </row>
    <row r="66" spans="1:5" ht="16.5" thickBot="1">
      <c r="A66" s="83"/>
      <c r="B66" s="57" t="s">
        <v>0</v>
      </c>
      <c r="C66" s="73">
        <f>SUM(C62:C65)</f>
        <v>31028.8</v>
      </c>
      <c r="D66" s="22"/>
      <c r="E66" s="147"/>
    </row>
    <row r="67" spans="1:5" ht="15.75">
      <c r="A67" s="23"/>
      <c r="B67" s="2"/>
      <c r="C67" s="79"/>
      <c r="D67" s="22"/>
      <c r="E67" s="27"/>
    </row>
    <row r="68" spans="1:5" ht="15.75">
      <c r="A68" s="10"/>
      <c r="B68" s="201" t="s">
        <v>59</v>
      </c>
      <c r="C68" s="201"/>
      <c r="D68" s="201"/>
      <c r="E68" s="201"/>
    </row>
    <row r="69" spans="1:5" ht="13.5" thickBot="1">
      <c r="A69" s="146" t="s">
        <v>1</v>
      </c>
      <c r="B69" s="42" t="s">
        <v>2</v>
      </c>
      <c r="C69" s="88" t="s">
        <v>3</v>
      </c>
      <c r="D69" s="42" t="s">
        <v>4</v>
      </c>
      <c r="E69" s="27"/>
    </row>
    <row r="70" spans="1:5" ht="12.75">
      <c r="A70" s="25" t="s">
        <v>5</v>
      </c>
      <c r="B70" s="35" t="s">
        <v>8</v>
      </c>
      <c r="C70" s="185">
        <v>3108</v>
      </c>
      <c r="D70" s="35"/>
      <c r="E70" s="27"/>
    </row>
    <row r="71" spans="1:5" ht="12.75">
      <c r="A71" s="25" t="s">
        <v>6</v>
      </c>
      <c r="B71" s="21" t="s">
        <v>9</v>
      </c>
      <c r="C71" s="63">
        <v>1725</v>
      </c>
      <c r="D71" s="21"/>
      <c r="E71" s="27"/>
    </row>
    <row r="72" spans="1:5" ht="13.5" thickBot="1">
      <c r="A72" s="25" t="s">
        <v>7</v>
      </c>
      <c r="B72" s="53" t="s">
        <v>13</v>
      </c>
      <c r="C72" s="63">
        <v>157</v>
      </c>
      <c r="D72" s="21" t="s">
        <v>71</v>
      </c>
      <c r="E72" s="26"/>
    </row>
    <row r="73" spans="1:5" ht="16.5" thickBot="1">
      <c r="A73" s="22"/>
      <c r="B73" s="51" t="s">
        <v>0</v>
      </c>
      <c r="C73" s="65">
        <f>SUM(C70:C72)</f>
        <v>4990</v>
      </c>
      <c r="D73" s="56"/>
      <c r="E73" s="147"/>
    </row>
    <row r="74" spans="1:5" ht="15.75">
      <c r="A74" s="22"/>
      <c r="B74" s="2"/>
      <c r="C74" s="178"/>
      <c r="D74" s="177"/>
      <c r="E74" s="147"/>
    </row>
    <row r="75" spans="1:5" ht="15.75">
      <c r="A75" s="10"/>
      <c r="B75" s="201" t="s">
        <v>60</v>
      </c>
      <c r="C75" s="201"/>
      <c r="D75" s="201"/>
      <c r="E75" s="201"/>
    </row>
    <row r="76" spans="1:5" ht="13.5" thickBot="1">
      <c r="A76" s="146" t="s">
        <v>1</v>
      </c>
      <c r="B76" s="42" t="s">
        <v>2</v>
      </c>
      <c r="C76" s="88" t="s">
        <v>3</v>
      </c>
      <c r="D76" s="42" t="s">
        <v>4</v>
      </c>
      <c r="E76" s="27"/>
    </row>
    <row r="77" spans="1:5" ht="12.75">
      <c r="A77" s="25" t="s">
        <v>5</v>
      </c>
      <c r="B77" s="35" t="s">
        <v>8</v>
      </c>
      <c r="C77" s="180"/>
      <c r="D77" s="35"/>
      <c r="E77" s="27"/>
    </row>
    <row r="78" spans="1:5" ht="12.75">
      <c r="A78" s="25" t="s">
        <v>6</v>
      </c>
      <c r="B78" s="21" t="s">
        <v>9</v>
      </c>
      <c r="C78" s="63">
        <v>3884</v>
      </c>
      <c r="D78" s="21"/>
      <c r="E78" s="27"/>
    </row>
    <row r="79" spans="1:5" ht="13.5" thickBot="1">
      <c r="A79" s="25" t="s">
        <v>7</v>
      </c>
      <c r="B79" s="53" t="s">
        <v>13</v>
      </c>
      <c r="C79" s="63">
        <v>723</v>
      </c>
      <c r="D79" s="21"/>
      <c r="E79" s="27"/>
    </row>
    <row r="80" spans="1:5" ht="16.5" thickBot="1">
      <c r="A80" s="22"/>
      <c r="B80" s="51" t="s">
        <v>0</v>
      </c>
      <c r="C80" s="65">
        <f>SUM(C77:C79)</f>
        <v>4607</v>
      </c>
      <c r="D80" s="56"/>
      <c r="E80" s="147"/>
    </row>
    <row r="81" spans="1:5" ht="12.75">
      <c r="A81" s="23"/>
      <c r="B81" s="15"/>
      <c r="C81" s="80"/>
      <c r="D81" s="15"/>
      <c r="E81" s="27"/>
    </row>
    <row r="82" spans="1:5" ht="15.75">
      <c r="A82" s="10"/>
      <c r="B82" s="4" t="s">
        <v>61</v>
      </c>
      <c r="C82" s="76"/>
      <c r="D82" s="10"/>
      <c r="E82" s="10"/>
    </row>
    <row r="83" spans="1:5" ht="13.5" thickBot="1">
      <c r="A83" s="43" t="s">
        <v>1</v>
      </c>
      <c r="B83" s="42" t="s">
        <v>2</v>
      </c>
      <c r="C83" s="88" t="s">
        <v>3</v>
      </c>
      <c r="D83" s="42" t="s">
        <v>4</v>
      </c>
      <c r="E83" s="10"/>
    </row>
    <row r="84" spans="1:5" ht="13.5" thickBot="1">
      <c r="A84" s="89" t="s">
        <v>5</v>
      </c>
      <c r="B84" s="32" t="s">
        <v>22</v>
      </c>
      <c r="C84" s="185">
        <v>700</v>
      </c>
      <c r="D84" s="35"/>
      <c r="E84" s="10"/>
    </row>
    <row r="85" spans="1:5" ht="16.5" thickBot="1">
      <c r="A85" s="22"/>
      <c r="B85" s="51" t="s">
        <v>0</v>
      </c>
      <c r="C85" s="65">
        <f>SUM(C84:C84)</f>
        <v>700</v>
      </c>
      <c r="D85" s="56"/>
      <c r="E85" s="147"/>
    </row>
    <row r="86" spans="1:5" ht="12.75" customHeight="1">
      <c r="A86" s="7"/>
      <c r="B86" s="7"/>
      <c r="C86" s="81"/>
      <c r="D86" s="7"/>
      <c r="E86" s="10"/>
    </row>
    <row r="87" spans="1:5" ht="21.75" customHeight="1">
      <c r="A87" s="20"/>
      <c r="B87" s="206" t="s">
        <v>39</v>
      </c>
      <c r="C87" s="206"/>
      <c r="D87" s="19"/>
      <c r="E87" s="76">
        <f>E11+E20+E27+E36+E44+E51+E58+E66+E73+E85</f>
        <v>0</v>
      </c>
    </row>
    <row r="88" spans="1:5" ht="13.5" thickBot="1">
      <c r="A88" s="45" t="s">
        <v>1</v>
      </c>
      <c r="B88" s="68" t="s">
        <v>2</v>
      </c>
      <c r="C88" s="46" t="s">
        <v>3</v>
      </c>
      <c r="D88" s="47" t="s">
        <v>4</v>
      </c>
      <c r="E88" s="10"/>
    </row>
    <row r="89" spans="1:5" ht="12.75">
      <c r="A89" s="69" t="s">
        <v>5</v>
      </c>
      <c r="B89" s="35" t="s">
        <v>8</v>
      </c>
      <c r="C89" s="66">
        <f>C70+C62+C55+C48+C41+C32+C24+C16+C7+C77</f>
        <v>52929</v>
      </c>
      <c r="D89" s="36"/>
      <c r="E89" s="10"/>
    </row>
    <row r="90" spans="1:5" ht="12.75">
      <c r="A90" s="70" t="s">
        <v>6</v>
      </c>
      <c r="B90" s="21" t="s">
        <v>9</v>
      </c>
      <c r="C90" s="66">
        <f>C71+C63+C56+C49+C42+C33+C25+C17+C8+C78</f>
        <v>98986.4</v>
      </c>
      <c r="D90" s="17"/>
      <c r="E90" s="10"/>
    </row>
    <row r="91" spans="1:5" ht="12.75">
      <c r="A91" s="82" t="s">
        <v>7</v>
      </c>
      <c r="B91" s="53" t="s">
        <v>13</v>
      </c>
      <c r="C91" s="66">
        <f>C72+C64+C57+C50+C43+C34+C26+C18+C79+C9</f>
        <v>4930.5</v>
      </c>
      <c r="D91" s="34"/>
      <c r="E91" s="10"/>
    </row>
    <row r="92" spans="1:5" ht="13.5" thickBot="1">
      <c r="A92" s="71" t="s">
        <v>12</v>
      </c>
      <c r="B92" s="32" t="s">
        <v>22</v>
      </c>
      <c r="C92" s="67">
        <f>C84+C65+C35+C19+C10</f>
        <v>36822.6</v>
      </c>
      <c r="D92" s="37"/>
      <c r="E92" s="10"/>
    </row>
    <row r="93" spans="1:5" ht="17.25" customHeight="1" thickBot="1">
      <c r="A93" s="38"/>
      <c r="B93" s="186" t="s">
        <v>0</v>
      </c>
      <c r="C93" s="156">
        <f>SUM(C89:C92)</f>
        <v>193668.5</v>
      </c>
      <c r="D93" s="19"/>
      <c r="E93" s="147"/>
    </row>
    <row r="94" spans="1:5" ht="65.25" customHeight="1">
      <c r="A94" s="7"/>
      <c r="B94" s="7"/>
      <c r="C94" s="7"/>
      <c r="D94" s="7"/>
      <c r="E94" s="10"/>
    </row>
    <row r="95" spans="1:5" ht="12.75">
      <c r="A95" s="23"/>
      <c r="B95" s="22"/>
      <c r="C95" s="23"/>
      <c r="D95" s="22"/>
      <c r="E95" s="10"/>
    </row>
    <row r="96" spans="1:5" ht="12.75">
      <c r="A96" s="23"/>
      <c r="B96" s="22"/>
      <c r="C96" s="23"/>
      <c r="D96" s="22"/>
      <c r="E96" s="10"/>
    </row>
    <row r="97" spans="1:5" ht="12.75">
      <c r="A97" s="23"/>
      <c r="B97" s="22"/>
      <c r="C97" s="91"/>
      <c r="D97" s="22"/>
      <c r="E97" s="10"/>
    </row>
    <row r="98" spans="1:5" ht="12.75">
      <c r="A98" s="23"/>
      <c r="B98" s="22"/>
      <c r="C98" s="23"/>
      <c r="D98" s="22"/>
      <c r="E98" s="10"/>
    </row>
    <row r="99" spans="1:5" ht="15.75">
      <c r="A99" s="22"/>
      <c r="B99" s="2"/>
      <c r="C99" s="14"/>
      <c r="D99" s="22"/>
      <c r="E99" s="10"/>
    </row>
    <row r="100" spans="1:5" ht="12.75">
      <c r="A100" s="22"/>
      <c r="B100" s="22"/>
      <c r="C100" s="22"/>
      <c r="D100" s="22"/>
      <c r="E100" s="10"/>
    </row>
    <row r="101" spans="1:5" ht="12.75" customHeight="1">
      <c r="A101" s="22"/>
      <c r="B101" s="6"/>
      <c r="C101" s="7"/>
      <c r="D101" s="6"/>
      <c r="E101" s="10"/>
    </row>
    <row r="102" spans="1:5" ht="61.5" customHeight="1">
      <c r="A102" s="22"/>
      <c r="B102" s="22"/>
      <c r="C102" s="22"/>
      <c r="D102" s="22"/>
      <c r="E102" s="10"/>
    </row>
    <row r="103" spans="1:5" ht="12.75">
      <c r="A103" s="10"/>
      <c r="B103" s="10"/>
      <c r="C103" s="10"/>
      <c r="D103" s="10"/>
      <c r="E103" s="10"/>
    </row>
    <row r="104" spans="1:5" ht="15.75">
      <c r="A104" s="22"/>
      <c r="B104" s="2"/>
      <c r="C104" s="203"/>
      <c r="D104" s="203"/>
      <c r="E104" s="2"/>
    </row>
    <row r="105" spans="1:5" ht="12.75">
      <c r="A105" s="7"/>
      <c r="B105" s="7"/>
      <c r="C105" s="7"/>
      <c r="D105" s="7"/>
      <c r="E105" s="22"/>
    </row>
    <row r="106" spans="1:5" ht="12.75">
      <c r="A106" s="9"/>
      <c r="B106" s="5"/>
      <c r="C106" s="9"/>
      <c r="D106" s="5"/>
      <c r="E106" s="5"/>
    </row>
    <row r="107" spans="1:5" ht="12.75">
      <c r="A107" s="9"/>
      <c r="B107" s="5"/>
      <c r="C107" s="9"/>
      <c r="D107" s="5"/>
      <c r="E107" s="5"/>
    </row>
    <row r="108" spans="1:5" ht="12.75">
      <c r="A108" s="9"/>
      <c r="B108" s="5"/>
      <c r="C108" s="9"/>
      <c r="D108" s="5"/>
      <c r="E108" s="5"/>
    </row>
    <row r="109" spans="1:5" ht="12.75">
      <c r="A109" s="9"/>
      <c r="B109" s="5"/>
      <c r="C109" s="9"/>
      <c r="D109" s="5"/>
      <c r="E109" s="5"/>
    </row>
    <row r="110" spans="1:5" ht="12.75">
      <c r="A110" s="9"/>
      <c r="B110" s="5"/>
      <c r="C110" s="9"/>
      <c r="D110" s="5"/>
      <c r="E110" s="5"/>
    </row>
  </sheetData>
  <sheetProtection/>
  <mergeCells count="15">
    <mergeCell ref="C104:D104"/>
    <mergeCell ref="B22:E22"/>
    <mergeCell ref="B30:E30"/>
    <mergeCell ref="B39:E39"/>
    <mergeCell ref="B46:E46"/>
    <mergeCell ref="A2:D2"/>
    <mergeCell ref="A4:D4"/>
    <mergeCell ref="A3:D3"/>
    <mergeCell ref="B87:C87"/>
    <mergeCell ref="B14:E14"/>
    <mergeCell ref="B53:E53"/>
    <mergeCell ref="B60:E60"/>
    <mergeCell ref="B68:E68"/>
    <mergeCell ref="B75:E75"/>
    <mergeCell ref="D1:F1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5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E62"/>
  <sheetViews>
    <sheetView zoomScale="120" zoomScaleNormal="120" zoomScalePageLayoutView="0" workbookViewId="0" topLeftCell="A1">
      <selection activeCell="D7" sqref="D7"/>
    </sheetView>
  </sheetViews>
  <sheetFormatPr defaultColWidth="9.140625" defaultRowHeight="12.75"/>
  <cols>
    <col min="1" max="1" width="7.140625" style="0" customWidth="1"/>
    <col min="2" max="2" width="34.57421875" style="0" customWidth="1"/>
    <col min="3" max="3" width="24.421875" style="0" customWidth="1"/>
  </cols>
  <sheetData>
    <row r="1" spans="3:4" ht="12.75">
      <c r="C1" s="210" t="s">
        <v>86</v>
      </c>
      <c r="D1" s="210"/>
    </row>
    <row r="3" spans="1:5" ht="18">
      <c r="A3" s="26"/>
      <c r="B3" s="207" t="s">
        <v>21</v>
      </c>
      <c r="C3" s="207"/>
      <c r="E3" s="1"/>
    </row>
    <row r="4" spans="1:5" ht="18">
      <c r="A4" s="26"/>
      <c r="B4" s="207" t="s">
        <v>16</v>
      </c>
      <c r="C4" s="207"/>
      <c r="E4" s="1"/>
    </row>
    <row r="5" spans="1:5" ht="15.75">
      <c r="A5" s="26"/>
      <c r="B5" s="208" t="s">
        <v>14</v>
      </c>
      <c r="C5" s="208"/>
      <c r="E5" s="2"/>
    </row>
    <row r="6" spans="1:5" ht="12.75">
      <c r="A6" s="13"/>
      <c r="C6" s="18"/>
      <c r="E6" s="5"/>
    </row>
    <row r="7" spans="1:5" ht="15.75">
      <c r="A7" s="18"/>
      <c r="B7" s="4" t="s">
        <v>65</v>
      </c>
      <c r="C7" s="18"/>
      <c r="E7" s="5"/>
    </row>
    <row r="8" spans="1:5" ht="12.75" customHeight="1">
      <c r="A8" s="33" t="s">
        <v>1</v>
      </c>
      <c r="B8" s="33" t="s">
        <v>2</v>
      </c>
      <c r="C8" s="189" t="s">
        <v>3</v>
      </c>
      <c r="D8" s="21" t="s">
        <v>4</v>
      </c>
      <c r="E8" s="5"/>
    </row>
    <row r="9" spans="1:5" ht="12.75">
      <c r="A9" s="25" t="s">
        <v>5</v>
      </c>
      <c r="B9" s="21" t="s">
        <v>8</v>
      </c>
      <c r="C9" s="190">
        <v>67115</v>
      </c>
      <c r="D9" s="194"/>
      <c r="E9" s="8"/>
    </row>
    <row r="10" spans="1:5" ht="12.75">
      <c r="A10" s="25" t="s">
        <v>6</v>
      </c>
      <c r="B10" s="32" t="s">
        <v>9</v>
      </c>
      <c r="C10" s="191">
        <v>43679</v>
      </c>
      <c r="D10" s="21"/>
      <c r="E10" s="12"/>
    </row>
    <row r="11" spans="1:5" ht="13.5" thickBot="1">
      <c r="A11" s="25" t="s">
        <v>7</v>
      </c>
      <c r="B11" s="152" t="s">
        <v>10</v>
      </c>
      <c r="C11" s="192">
        <v>3469</v>
      </c>
      <c r="D11" s="21"/>
      <c r="E11" s="12"/>
    </row>
    <row r="12" spans="1:5" ht="16.5" thickBot="1">
      <c r="A12" s="10"/>
      <c r="B12" s="39" t="s">
        <v>0</v>
      </c>
      <c r="C12" s="193">
        <f>SUM(C9:C11)</f>
        <v>114263</v>
      </c>
      <c r="D12" s="195"/>
      <c r="E12" s="12"/>
    </row>
    <row r="13" spans="1:5" ht="15.75">
      <c r="A13" s="10"/>
      <c r="B13" s="2"/>
      <c r="C13" s="79"/>
      <c r="D13" s="10"/>
      <c r="E13" s="12"/>
    </row>
    <row r="14" spans="1:4" ht="15.75">
      <c r="A14" s="19"/>
      <c r="B14" s="4" t="s">
        <v>66</v>
      </c>
      <c r="C14" s="18"/>
      <c r="D14" s="10"/>
    </row>
    <row r="15" spans="1:4" ht="12.75">
      <c r="A15" s="33" t="s">
        <v>1</v>
      </c>
      <c r="B15" s="33" t="s">
        <v>2</v>
      </c>
      <c r="C15" s="33" t="s">
        <v>3</v>
      </c>
      <c r="D15" s="21" t="s">
        <v>4</v>
      </c>
    </row>
    <row r="16" spans="1:4" ht="12.75" customHeight="1">
      <c r="A16" s="25" t="s">
        <v>5</v>
      </c>
      <c r="B16" s="21" t="s">
        <v>8</v>
      </c>
      <c r="C16" s="63">
        <v>188</v>
      </c>
      <c r="D16" s="21"/>
    </row>
    <row r="17" spans="1:4" ht="12.75">
      <c r="A17" s="25" t="s">
        <v>6</v>
      </c>
      <c r="B17" s="32" t="s">
        <v>9</v>
      </c>
      <c r="C17" s="64">
        <v>68</v>
      </c>
      <c r="D17" s="21"/>
    </row>
    <row r="18" spans="1:4" ht="13.5" thickBot="1">
      <c r="A18" s="25" t="s">
        <v>7</v>
      </c>
      <c r="B18" s="152" t="s">
        <v>10</v>
      </c>
      <c r="C18" s="77">
        <v>102</v>
      </c>
      <c r="D18" s="21" t="s">
        <v>72</v>
      </c>
    </row>
    <row r="19" spans="1:4" ht="16.5" thickBot="1">
      <c r="A19" s="10"/>
      <c r="B19" s="39" t="s">
        <v>0</v>
      </c>
      <c r="C19" s="65">
        <f>SUM(C16:C18)</f>
        <v>358</v>
      </c>
      <c r="D19" s="10"/>
    </row>
    <row r="20" spans="1:4" ht="15.75">
      <c r="A20" s="10"/>
      <c r="B20" s="2"/>
      <c r="C20" s="178"/>
      <c r="D20" s="10"/>
    </row>
    <row r="21" spans="1:4" ht="15.75">
      <c r="A21" s="19"/>
      <c r="B21" s="4" t="s">
        <v>62</v>
      </c>
      <c r="C21" s="18"/>
      <c r="D21" s="10"/>
    </row>
    <row r="22" spans="1:4" ht="12.75">
      <c r="A22" s="33" t="s">
        <v>1</v>
      </c>
      <c r="B22" s="33" t="s">
        <v>2</v>
      </c>
      <c r="C22" s="33" t="s">
        <v>3</v>
      </c>
      <c r="D22" s="21" t="s">
        <v>4</v>
      </c>
    </row>
    <row r="23" spans="1:4" ht="12.75">
      <c r="A23" s="25" t="s">
        <v>5</v>
      </c>
      <c r="B23" s="21" t="s">
        <v>8</v>
      </c>
      <c r="C23" s="63">
        <v>1566</v>
      </c>
      <c r="D23" s="21"/>
    </row>
    <row r="24" spans="1:4" ht="12.75">
      <c r="A24" s="25" t="s">
        <v>6</v>
      </c>
      <c r="B24" s="32" t="s">
        <v>9</v>
      </c>
      <c r="C24" s="64">
        <v>200</v>
      </c>
      <c r="D24" s="21"/>
    </row>
    <row r="25" spans="1:4" ht="13.5" thickBot="1">
      <c r="A25" s="25" t="s">
        <v>7</v>
      </c>
      <c r="B25" s="152" t="s">
        <v>10</v>
      </c>
      <c r="C25" s="77"/>
      <c r="D25" s="21"/>
    </row>
    <row r="26" spans="1:4" ht="16.5" thickBot="1">
      <c r="A26" s="10"/>
      <c r="B26" s="39" t="s">
        <v>0</v>
      </c>
      <c r="C26" s="65">
        <f>SUM(C23:C25)</f>
        <v>1766</v>
      </c>
      <c r="D26" s="22"/>
    </row>
    <row r="27" spans="1:4" ht="15.75">
      <c r="A27" s="19"/>
      <c r="B27" s="4" t="s">
        <v>63</v>
      </c>
      <c r="C27" s="18"/>
      <c r="D27" s="10"/>
    </row>
    <row r="28" spans="1:4" ht="12.75">
      <c r="A28" s="33" t="s">
        <v>1</v>
      </c>
      <c r="B28" s="33" t="s">
        <v>2</v>
      </c>
      <c r="C28" s="33" t="s">
        <v>3</v>
      </c>
      <c r="D28" s="21" t="s">
        <v>4</v>
      </c>
    </row>
    <row r="29" spans="1:4" ht="12.75">
      <c r="A29" s="25" t="s">
        <v>5</v>
      </c>
      <c r="B29" s="21" t="s">
        <v>8</v>
      </c>
      <c r="C29" s="63">
        <v>1880</v>
      </c>
      <c r="D29" s="21"/>
    </row>
    <row r="30" spans="1:5" ht="12.75">
      <c r="A30" s="25" t="s">
        <v>6</v>
      </c>
      <c r="B30" s="32" t="s">
        <v>9</v>
      </c>
      <c r="C30" s="64">
        <v>1590</v>
      </c>
      <c r="D30" s="21"/>
      <c r="E30" s="173"/>
    </row>
    <row r="31" spans="1:4" ht="13.5" thickBot="1">
      <c r="A31" s="25" t="s">
        <v>7</v>
      </c>
      <c r="B31" s="152" t="s">
        <v>10</v>
      </c>
      <c r="C31" s="77">
        <v>271</v>
      </c>
      <c r="D31" s="21"/>
    </row>
    <row r="32" spans="1:4" ht="16.5" thickBot="1">
      <c r="A32" s="10"/>
      <c r="B32" s="39" t="s">
        <v>0</v>
      </c>
      <c r="C32" s="65">
        <f>SUM(C29:C31)</f>
        <v>3741</v>
      </c>
      <c r="D32" s="10"/>
    </row>
    <row r="33" spans="1:4" ht="12.75" customHeight="1">
      <c r="A33" s="23"/>
      <c r="B33" s="22"/>
      <c r="C33" s="23"/>
      <c r="D33" s="10"/>
    </row>
    <row r="34" spans="1:4" ht="18" customHeight="1">
      <c r="A34" s="209" t="s">
        <v>40</v>
      </c>
      <c r="B34" s="209"/>
      <c r="C34" s="209"/>
      <c r="D34" s="10"/>
    </row>
    <row r="35" spans="1:4" ht="12.75">
      <c r="A35" s="33" t="s">
        <v>1</v>
      </c>
      <c r="B35" s="33" t="s">
        <v>2</v>
      </c>
      <c r="C35" s="33" t="s">
        <v>3</v>
      </c>
      <c r="D35" s="10"/>
    </row>
    <row r="36" spans="1:4" ht="12.75">
      <c r="A36" s="25" t="s">
        <v>5</v>
      </c>
      <c r="B36" s="21" t="s">
        <v>8</v>
      </c>
      <c r="C36" s="63">
        <f>C29+C16+C9+C23</f>
        <v>70749</v>
      </c>
      <c r="D36" s="10"/>
    </row>
    <row r="37" spans="1:4" ht="12.75">
      <c r="A37" s="25" t="s">
        <v>6</v>
      </c>
      <c r="B37" s="32" t="s">
        <v>9</v>
      </c>
      <c r="C37" s="64">
        <f>C10+C17+C30+C24</f>
        <v>45537</v>
      </c>
      <c r="D37" s="10"/>
    </row>
    <row r="38" spans="1:4" ht="13.5" thickBot="1">
      <c r="A38" s="25" t="s">
        <v>7</v>
      </c>
      <c r="B38" s="152" t="s">
        <v>10</v>
      </c>
      <c r="C38" s="77">
        <f>C11+C18+C31+C25</f>
        <v>3842</v>
      </c>
      <c r="D38" s="10"/>
    </row>
    <row r="39" spans="1:4" ht="16.5" thickBot="1">
      <c r="A39" s="10"/>
      <c r="B39" s="39" t="s">
        <v>0</v>
      </c>
      <c r="C39" s="65">
        <f>SUM(C36:C38)</f>
        <v>120128</v>
      </c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5.75">
      <c r="A42" s="31"/>
      <c r="B42" s="10"/>
      <c r="C42" s="10"/>
      <c r="D42" s="10"/>
    </row>
    <row r="43" spans="1:4" ht="12.75">
      <c r="A43" s="22"/>
      <c r="B43" s="10"/>
      <c r="C43" s="10"/>
      <c r="D43" s="10"/>
    </row>
    <row r="44" spans="1:4" ht="12.75">
      <c r="A44" s="22"/>
      <c r="B44" s="10"/>
      <c r="C44" s="76"/>
      <c r="D44" s="10"/>
    </row>
    <row r="45" spans="1:4" ht="12.75">
      <c r="A45" s="22"/>
      <c r="B45" s="10"/>
      <c r="C45" s="10"/>
      <c r="D45" s="10"/>
    </row>
    <row r="46" spans="1:4" ht="12.75">
      <c r="A46" s="22"/>
      <c r="B46" s="10"/>
      <c r="C46" s="10"/>
      <c r="D46" s="10"/>
    </row>
    <row r="47" spans="1:4" ht="12.75">
      <c r="A47" s="22"/>
      <c r="B47" s="10"/>
      <c r="C47" s="10"/>
      <c r="D47" s="10"/>
    </row>
    <row r="48" spans="1:4" ht="12.75">
      <c r="A48" s="22"/>
      <c r="B48" s="10"/>
      <c r="C48" s="10"/>
      <c r="D48" s="10"/>
    </row>
    <row r="49" spans="1:4" ht="12.75">
      <c r="A49" s="22"/>
      <c r="B49" s="10"/>
      <c r="C49" s="10"/>
      <c r="D49" s="10"/>
    </row>
    <row r="50" spans="1:4" ht="12.75">
      <c r="A50" s="22"/>
      <c r="B50" s="10"/>
      <c r="C50" s="10"/>
      <c r="D50" s="10"/>
    </row>
    <row r="51" spans="1:4" ht="12.75">
      <c r="A51" s="22"/>
      <c r="B51" s="10"/>
      <c r="C51" s="10"/>
      <c r="D51" s="10"/>
    </row>
    <row r="52" spans="1:4" ht="12.75">
      <c r="A52" s="22"/>
      <c r="B52" s="10"/>
      <c r="C52" s="10"/>
      <c r="D52" s="10"/>
    </row>
    <row r="53" spans="1:4" ht="12.75">
      <c r="A53" s="22"/>
      <c r="B53" s="10"/>
      <c r="C53" s="10"/>
      <c r="D53" s="10"/>
    </row>
    <row r="54" spans="1:4" ht="12.75">
      <c r="A54" s="22"/>
      <c r="B54" s="10"/>
      <c r="C54" s="10"/>
      <c r="D54" s="10"/>
    </row>
    <row r="55" spans="1:4" ht="12.75">
      <c r="A55" s="22"/>
      <c r="B55" s="10"/>
      <c r="C55" s="10"/>
      <c r="D55" s="10"/>
    </row>
    <row r="56" spans="1:4" ht="12.75">
      <c r="A56" s="22"/>
      <c r="B56" s="10"/>
      <c r="C56" s="10"/>
      <c r="D56" s="10"/>
    </row>
    <row r="57" spans="1:4" ht="12.75">
      <c r="A57" s="22"/>
      <c r="B57" s="10"/>
      <c r="C57" s="10"/>
      <c r="D57" s="10"/>
    </row>
    <row r="58" spans="1:4" ht="12.75">
      <c r="A58" s="22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</sheetData>
  <sheetProtection/>
  <mergeCells count="5">
    <mergeCell ref="B4:C4"/>
    <mergeCell ref="B5:C5"/>
    <mergeCell ref="A34:C34"/>
    <mergeCell ref="B3:C3"/>
    <mergeCell ref="C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2:N33"/>
  <sheetViews>
    <sheetView zoomScale="85" zoomScaleNormal="85" zoomScalePageLayoutView="0" workbookViewId="0" topLeftCell="A1">
      <selection activeCell="E11" sqref="E11"/>
    </sheetView>
  </sheetViews>
  <sheetFormatPr defaultColWidth="9.140625" defaultRowHeight="12.75"/>
  <cols>
    <col min="2" max="2" width="17.8515625" style="0" customWidth="1"/>
    <col min="3" max="3" width="20.140625" style="0" customWidth="1"/>
    <col min="4" max="4" width="19.57421875" style="0" customWidth="1"/>
    <col min="5" max="5" width="21.28125" style="0" customWidth="1"/>
    <col min="6" max="6" width="15.421875" style="0" customWidth="1"/>
    <col min="7" max="7" width="17.8515625" style="0" customWidth="1"/>
    <col min="8" max="8" width="19.140625" style="0" customWidth="1"/>
    <col min="9" max="9" width="21.28125" style="0" customWidth="1"/>
    <col min="10" max="10" width="19.421875" style="0" customWidth="1"/>
    <col min="11" max="11" width="18.28125" style="0" customWidth="1"/>
    <col min="12" max="12" width="22.7109375" style="0" customWidth="1"/>
  </cols>
  <sheetData>
    <row r="2" spans="2:14" ht="16.5" thickBot="1">
      <c r="B2" s="4" t="s">
        <v>49</v>
      </c>
      <c r="G2" s="5"/>
      <c r="H2" s="5"/>
      <c r="I2" s="112"/>
      <c r="J2" s="112"/>
      <c r="K2" s="112"/>
      <c r="L2" s="112"/>
      <c r="M2" s="112"/>
      <c r="N2" s="112"/>
    </row>
    <row r="3" spans="2:14" ht="12.75" customHeight="1">
      <c r="B3" s="216" t="s">
        <v>11</v>
      </c>
      <c r="C3" s="218" t="s">
        <v>17</v>
      </c>
      <c r="D3" s="218" t="s">
        <v>19</v>
      </c>
      <c r="E3" s="148"/>
      <c r="F3" s="220" t="s">
        <v>38</v>
      </c>
      <c r="G3" s="214" t="s">
        <v>75</v>
      </c>
      <c r="H3" s="212" t="s">
        <v>37</v>
      </c>
      <c r="I3" s="112"/>
      <c r="J3" s="112"/>
      <c r="K3" s="112"/>
      <c r="L3" s="112"/>
      <c r="M3" s="112"/>
      <c r="N3" s="112"/>
    </row>
    <row r="4" spans="2:14" ht="82.5" customHeight="1" thickBot="1">
      <c r="B4" s="217"/>
      <c r="C4" s="219"/>
      <c r="D4" s="219"/>
      <c r="E4" s="149" t="s">
        <v>18</v>
      </c>
      <c r="F4" s="221"/>
      <c r="G4" s="215"/>
      <c r="H4" s="213"/>
      <c r="I4" s="132"/>
      <c r="J4" s="133"/>
      <c r="K4" s="133"/>
      <c r="L4" s="112"/>
      <c r="M4" s="112"/>
      <c r="N4" s="112"/>
    </row>
    <row r="5" spans="2:14" ht="16.5" customHeight="1" thickBot="1">
      <c r="B5" s="137">
        <v>1</v>
      </c>
      <c r="C5" s="49">
        <v>2</v>
      </c>
      <c r="D5" s="60">
        <v>3</v>
      </c>
      <c r="E5" s="153">
        <v>4</v>
      </c>
      <c r="F5" s="150">
        <v>5</v>
      </c>
      <c r="G5" s="141">
        <v>7</v>
      </c>
      <c r="H5" s="155">
        <v>8</v>
      </c>
      <c r="I5" s="132"/>
      <c r="J5" s="133"/>
      <c r="K5" s="133"/>
      <c r="L5" s="112"/>
      <c r="M5" s="112"/>
      <c r="N5" s="112"/>
    </row>
    <row r="6" spans="2:14" ht="24.75" customHeight="1">
      <c r="B6" s="138" t="s">
        <v>20</v>
      </c>
      <c r="C6" s="92">
        <f>Świnoujście!C93</f>
        <v>193668.5</v>
      </c>
      <c r="D6" s="48">
        <v>0.26</v>
      </c>
      <c r="E6" s="50">
        <f>C6*D6</f>
        <v>50353.810000000005</v>
      </c>
      <c r="F6" s="139">
        <f>E6*24</f>
        <v>1208491.4400000002</v>
      </c>
      <c r="G6" s="142">
        <f>F6*1.1</f>
        <v>1329340.5840000003</v>
      </c>
      <c r="H6" s="154">
        <f>G6/1.08</f>
        <v>1230870.9111111113</v>
      </c>
      <c r="I6" s="134"/>
      <c r="J6" s="135"/>
      <c r="K6" s="133"/>
      <c r="L6" s="112"/>
      <c r="M6" s="112"/>
      <c r="N6" s="112"/>
    </row>
    <row r="7" spans="2:14" ht="24.75" customHeight="1" thickBot="1">
      <c r="B7" s="138" t="s">
        <v>21</v>
      </c>
      <c r="C7" s="92">
        <f>Dziwnów!C39</f>
        <v>120128</v>
      </c>
      <c r="D7" s="48">
        <v>0.26</v>
      </c>
      <c r="E7" s="50">
        <f>C7*D7</f>
        <v>31233.280000000002</v>
      </c>
      <c r="F7" s="139">
        <f>E7*24</f>
        <v>749598.7200000001</v>
      </c>
      <c r="G7" s="142">
        <f>F7*1.1</f>
        <v>824558.5920000002</v>
      </c>
      <c r="H7" s="144">
        <f>G7/1.08</f>
        <v>763480.1777777779</v>
      </c>
      <c r="I7" s="134"/>
      <c r="J7" s="135"/>
      <c r="K7" s="133"/>
      <c r="L7" s="112"/>
      <c r="M7" s="112"/>
      <c r="N7" s="112"/>
    </row>
    <row r="8" spans="2:14" ht="24.75" customHeight="1" thickBot="1">
      <c r="B8" s="172" t="s">
        <v>0</v>
      </c>
      <c r="C8" s="93">
        <f>SUM(C6:C7)</f>
        <v>313796.5</v>
      </c>
      <c r="D8" s="62" t="s">
        <v>29</v>
      </c>
      <c r="E8" s="61">
        <f>SUM(E6:E7)</f>
        <v>81587.09000000001</v>
      </c>
      <c r="F8" s="140">
        <f>SUM(F6:F7)</f>
        <v>1958090.1600000001</v>
      </c>
      <c r="G8" s="143">
        <f>SUM(G6:G7)</f>
        <v>2153899.1760000004</v>
      </c>
      <c r="H8" s="151">
        <f>SUM(H6:H7)</f>
        <v>1994351.0888888892</v>
      </c>
      <c r="I8" s="136"/>
      <c r="J8" s="135"/>
      <c r="K8" s="135"/>
      <c r="L8" s="112"/>
      <c r="M8" s="112"/>
      <c r="N8" s="112"/>
    </row>
    <row r="9" spans="9:14" ht="15" customHeight="1">
      <c r="I9" s="112"/>
      <c r="J9" s="112"/>
      <c r="K9" s="112"/>
      <c r="L9" s="112"/>
      <c r="M9" s="112"/>
      <c r="N9" s="112"/>
    </row>
    <row r="10" spans="3:14" ht="18">
      <c r="C10" s="94"/>
      <c r="I10" s="112"/>
      <c r="J10" s="112"/>
      <c r="K10" s="112"/>
      <c r="L10" s="112"/>
      <c r="M10" s="112"/>
      <c r="N10" s="112"/>
    </row>
    <row r="11" spans="3:14" ht="18">
      <c r="C11" s="94"/>
      <c r="I11" s="112"/>
      <c r="J11" s="112"/>
      <c r="K11" s="112"/>
      <c r="L11" s="112"/>
      <c r="M11" s="112"/>
      <c r="N11" s="112"/>
    </row>
    <row r="12" spans="3:14" ht="18">
      <c r="C12" s="94"/>
      <c r="I12" s="112"/>
      <c r="J12" s="112"/>
      <c r="K12" s="112"/>
      <c r="L12" s="112"/>
      <c r="M12" s="112"/>
      <c r="N12" s="112"/>
    </row>
    <row r="15" spans="1:13" ht="18">
      <c r="A15" s="112"/>
      <c r="B15" s="112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112"/>
    </row>
    <row r="16" spans="1:13" ht="18">
      <c r="A16" s="112"/>
      <c r="B16" s="112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112"/>
    </row>
    <row r="17" spans="1:13" ht="18">
      <c r="A17" s="112"/>
      <c r="B17" s="112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112"/>
    </row>
    <row r="18" spans="1:13" ht="18">
      <c r="A18" s="112"/>
      <c r="B18" s="112"/>
      <c r="C18" s="113"/>
      <c r="D18" s="112"/>
      <c r="E18" s="112"/>
      <c r="F18" s="112"/>
      <c r="G18" s="112"/>
      <c r="H18" s="112"/>
      <c r="I18" s="112"/>
      <c r="J18" s="112"/>
      <c r="K18" s="112"/>
      <c r="L18" s="112"/>
      <c r="M18" s="112"/>
    </row>
    <row r="19" spans="1:13" ht="12.7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1:13" ht="143.25" customHeight="1">
      <c r="A20" s="112"/>
      <c r="B20" s="112"/>
      <c r="C20" s="114"/>
      <c r="D20" s="114"/>
      <c r="E20" s="114"/>
      <c r="F20" s="114"/>
      <c r="G20" s="114"/>
      <c r="H20" s="114"/>
      <c r="I20" s="114"/>
      <c r="J20" s="114"/>
      <c r="K20" s="114"/>
      <c r="L20" s="115"/>
      <c r="M20" s="112"/>
    </row>
    <row r="21" spans="1:13" ht="27" customHeight="1">
      <c r="A21" s="112"/>
      <c r="B21" s="116"/>
      <c r="C21" s="117"/>
      <c r="D21" s="117"/>
      <c r="E21" s="118"/>
      <c r="F21" s="118"/>
      <c r="G21" s="118"/>
      <c r="H21" s="118"/>
      <c r="I21" s="118"/>
      <c r="J21" s="118"/>
      <c r="K21" s="117"/>
      <c r="L21" s="119"/>
      <c r="M21" s="112"/>
    </row>
    <row r="22" spans="1:13" ht="27" customHeight="1">
      <c r="A22" s="112"/>
      <c r="B22" s="116"/>
      <c r="C22" s="118"/>
      <c r="D22" s="118"/>
      <c r="E22" s="117"/>
      <c r="F22" s="120"/>
      <c r="G22" s="120"/>
      <c r="H22" s="120"/>
      <c r="I22" s="120"/>
      <c r="J22" s="120"/>
      <c r="K22" s="120"/>
      <c r="L22" s="121"/>
      <c r="M22" s="112"/>
    </row>
    <row r="23" spans="1:13" ht="27" customHeight="1">
      <c r="A23" s="112"/>
      <c r="B23" s="116"/>
      <c r="C23" s="118"/>
      <c r="D23" s="118"/>
      <c r="E23" s="118"/>
      <c r="F23" s="120"/>
      <c r="G23" s="120"/>
      <c r="H23" s="120"/>
      <c r="I23" s="120"/>
      <c r="J23" s="120"/>
      <c r="K23" s="120"/>
      <c r="L23" s="120"/>
      <c r="M23" s="112"/>
    </row>
    <row r="24" spans="1:13" ht="27" customHeight="1">
      <c r="A24" s="112"/>
      <c r="B24" s="116"/>
      <c r="C24" s="118"/>
      <c r="D24" s="118"/>
      <c r="E24" s="118"/>
      <c r="F24" s="120"/>
      <c r="G24" s="120"/>
      <c r="H24" s="120"/>
      <c r="I24" s="120"/>
      <c r="J24" s="120"/>
      <c r="K24" s="120"/>
      <c r="L24" s="120"/>
      <c r="M24" s="112"/>
    </row>
    <row r="25" spans="1:13" ht="27" customHeight="1">
      <c r="A25" s="112"/>
      <c r="B25" s="122"/>
      <c r="C25" s="123"/>
      <c r="D25" s="123"/>
      <c r="E25" s="123"/>
      <c r="F25" s="120"/>
      <c r="G25" s="120"/>
      <c r="H25" s="120"/>
      <c r="I25" s="120"/>
      <c r="J25" s="120"/>
      <c r="K25" s="120"/>
      <c r="L25" s="124"/>
      <c r="M25" s="112"/>
    </row>
    <row r="26" spans="1:13" ht="27" customHeight="1">
      <c r="A26" s="112"/>
      <c r="B26" s="125"/>
      <c r="C26" s="126"/>
      <c r="D26" s="126"/>
      <c r="E26" s="126"/>
      <c r="F26" s="120"/>
      <c r="G26" s="120"/>
      <c r="H26" s="120"/>
      <c r="I26" s="120"/>
      <c r="J26" s="120"/>
      <c r="K26" s="120"/>
      <c r="L26" s="124"/>
      <c r="M26" s="112"/>
    </row>
    <row r="27" spans="1:13" ht="54" customHeight="1">
      <c r="A27" s="112"/>
      <c r="B27" s="127"/>
      <c r="C27" s="128"/>
      <c r="D27" s="128"/>
      <c r="E27" s="128"/>
      <c r="F27" s="120"/>
      <c r="G27" s="120"/>
      <c r="H27" s="120"/>
      <c r="I27" s="120"/>
      <c r="J27" s="120"/>
      <c r="K27" s="120"/>
      <c r="L27" s="120"/>
      <c r="M27" s="112"/>
    </row>
    <row r="28" spans="1:13" ht="62.25" customHeight="1">
      <c r="A28" s="112"/>
      <c r="B28" s="127"/>
      <c r="C28" s="129"/>
      <c r="D28" s="129"/>
      <c r="E28" s="129"/>
      <c r="F28" s="124"/>
      <c r="G28" s="124"/>
      <c r="H28" s="124"/>
      <c r="I28" s="124"/>
      <c r="J28" s="124"/>
      <c r="K28" s="124"/>
      <c r="L28" s="124"/>
      <c r="M28" s="112"/>
    </row>
    <row r="29" spans="1:13" ht="62.25" customHeight="1">
      <c r="A29" s="112"/>
      <c r="B29" s="127"/>
      <c r="C29" s="130"/>
      <c r="D29" s="130"/>
      <c r="E29" s="130"/>
      <c r="F29" s="130"/>
      <c r="G29" s="130"/>
      <c r="H29" s="124"/>
      <c r="I29" s="124"/>
      <c r="J29" s="124"/>
      <c r="K29" s="124"/>
      <c r="L29" s="124"/>
      <c r="M29" s="112"/>
    </row>
    <row r="30" spans="1:13" ht="27" customHeight="1">
      <c r="A30" s="112"/>
      <c r="B30" s="112"/>
      <c r="C30" s="112"/>
      <c r="D30" s="131"/>
      <c r="E30" s="112"/>
      <c r="F30" s="112"/>
      <c r="G30" s="112"/>
      <c r="H30" s="112"/>
      <c r="I30" s="112"/>
      <c r="J30" s="112"/>
      <c r="K30" s="112"/>
      <c r="L30" s="112"/>
      <c r="M30" s="112"/>
    </row>
    <row r="31" spans="1:13" ht="27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</row>
    <row r="32" spans="1:13" ht="27" customHeight="1">
      <c r="A32" s="112"/>
      <c r="B32" s="112"/>
      <c r="C32" s="112"/>
      <c r="D32" s="131"/>
      <c r="E32" s="112"/>
      <c r="F32" s="112"/>
      <c r="G32" s="112"/>
      <c r="H32" s="112"/>
      <c r="I32" s="112"/>
      <c r="J32" s="112"/>
      <c r="K32" s="112"/>
      <c r="L32" s="112"/>
      <c r="M32" s="112"/>
    </row>
    <row r="33" spans="1:13" ht="27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</row>
    <row r="34" ht="27" customHeight="1"/>
    <row r="35" ht="27" customHeight="1"/>
    <row r="36" ht="27" customHeight="1"/>
    <row r="37" ht="27" customHeight="1"/>
  </sheetData>
  <sheetProtection/>
  <mergeCells count="9">
    <mergeCell ref="C17:L17"/>
    <mergeCell ref="H3:H4"/>
    <mergeCell ref="G3:G4"/>
    <mergeCell ref="B3:B4"/>
    <mergeCell ref="C3:C4"/>
    <mergeCell ref="D3:D4"/>
    <mergeCell ref="F3:F4"/>
    <mergeCell ref="C15:L15"/>
    <mergeCell ref="C16:L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47"/>
  <sheetViews>
    <sheetView tabSelected="1" zoomScalePageLayoutView="0" workbookViewId="0" topLeftCell="A3">
      <selection activeCell="M31" sqref="M31"/>
    </sheetView>
  </sheetViews>
  <sheetFormatPr defaultColWidth="9.140625" defaultRowHeight="12.75"/>
  <cols>
    <col min="1" max="1" width="2.57421875" style="0" customWidth="1"/>
    <col min="2" max="2" width="11.140625" style="0" customWidth="1"/>
    <col min="3" max="3" width="13.421875" style="0" customWidth="1"/>
    <col min="4" max="4" width="11.421875" style="0" customWidth="1"/>
    <col min="5" max="5" width="11.7109375" style="0" customWidth="1"/>
    <col min="6" max="6" width="10.57421875" style="0" bestFit="1" customWidth="1"/>
    <col min="7" max="7" width="11.7109375" style="0" bestFit="1" customWidth="1"/>
    <col min="8" max="8" width="10.57421875" style="0" bestFit="1" customWidth="1"/>
    <col min="9" max="9" width="9.8515625" style="0" customWidth="1"/>
    <col min="10" max="10" width="11.7109375" style="0" bestFit="1" customWidth="1"/>
    <col min="11" max="11" width="12.7109375" style="0" customWidth="1"/>
    <col min="12" max="12" width="11.8515625" style="0" customWidth="1"/>
    <col min="13" max="13" width="11.140625" style="0" bestFit="1" customWidth="1"/>
    <col min="14" max="14" width="9.28125" style="0" hidden="1" customWidth="1"/>
    <col min="15" max="15" width="12.28125" style="0" bestFit="1" customWidth="1"/>
  </cols>
  <sheetData>
    <row r="4" spans="2:16" ht="12.75">
      <c r="B4" s="13"/>
      <c r="C4" s="13" t="s">
        <v>32</v>
      </c>
      <c r="D4" s="13"/>
      <c r="E4" s="13"/>
      <c r="F4" s="13"/>
      <c r="G4" s="13"/>
      <c r="H4" s="13"/>
      <c r="I4" s="13"/>
      <c r="J4" s="13"/>
      <c r="K4" s="13"/>
      <c r="L4" s="13"/>
      <c r="M4" s="10" t="s">
        <v>64</v>
      </c>
      <c r="N4" s="13"/>
      <c r="O4" s="13"/>
      <c r="P4" s="13"/>
    </row>
    <row r="5" spans="2:16" ht="12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2.75">
      <c r="B6" s="13"/>
      <c r="C6" s="13" t="s">
        <v>33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2.7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ht="12.7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2:16" ht="12.75">
      <c r="B9" s="100" t="s">
        <v>31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1"/>
    </row>
    <row r="10" spans="2:16" ht="12.75">
      <c r="B10" s="202" t="s">
        <v>41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101"/>
    </row>
    <row r="11" spans="2:16" ht="12.75">
      <c r="B11" s="101"/>
      <c r="C11" s="101"/>
      <c r="D11" s="202" t="s">
        <v>67</v>
      </c>
      <c r="E11" s="202"/>
      <c r="F11" s="202"/>
      <c r="G11" s="202"/>
      <c r="H11" s="202"/>
      <c r="I11" s="202"/>
      <c r="J11" s="202"/>
      <c r="K11" s="202"/>
      <c r="L11" s="202"/>
      <c r="M11" s="202"/>
      <c r="N11" s="101"/>
      <c r="O11" s="101"/>
      <c r="P11" s="101"/>
    </row>
    <row r="12" spans="2:16" ht="12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2:16" ht="13.5" thickBo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2:16" ht="108" customHeight="1">
      <c r="B14" s="162"/>
      <c r="C14" s="163" t="s">
        <v>23</v>
      </c>
      <c r="D14" s="163" t="s">
        <v>24</v>
      </c>
      <c r="E14" s="163" t="s">
        <v>76</v>
      </c>
      <c r="F14" s="163" t="s">
        <v>77</v>
      </c>
      <c r="G14" s="163" t="s">
        <v>78</v>
      </c>
      <c r="H14" s="163" t="s">
        <v>79</v>
      </c>
      <c r="I14" s="163" t="s">
        <v>80</v>
      </c>
      <c r="J14" s="163" t="s">
        <v>81</v>
      </c>
      <c r="K14" s="163" t="s">
        <v>82</v>
      </c>
      <c r="L14" s="163" t="s">
        <v>83</v>
      </c>
      <c r="M14" s="163" t="s">
        <v>84</v>
      </c>
      <c r="N14" s="163" t="s">
        <v>25</v>
      </c>
      <c r="O14" s="164" t="s">
        <v>28</v>
      </c>
      <c r="P14" s="13"/>
    </row>
    <row r="15" spans="2:16" ht="12.75">
      <c r="B15" s="165" t="s">
        <v>26</v>
      </c>
      <c r="C15" s="95">
        <f>'[1]KPW'!$AA$10+'[1]KPW'!$AA$11</f>
        <v>93877.45</v>
      </c>
      <c r="D15" s="102">
        <f>KPW!E6+KPW!E7</f>
        <v>81587.09000000001</v>
      </c>
      <c r="E15" s="95"/>
      <c r="F15" s="95"/>
      <c r="G15" s="95"/>
      <c r="H15" s="95"/>
      <c r="I15" s="95"/>
      <c r="J15" s="95"/>
      <c r="K15" s="95"/>
      <c r="L15" s="95"/>
      <c r="M15" s="95"/>
      <c r="N15" s="95">
        <f>'[1]KPW'!$BF$12</f>
        <v>0</v>
      </c>
      <c r="O15" s="96"/>
      <c r="P15" s="13"/>
    </row>
    <row r="16" spans="2:16" ht="12.75">
      <c r="B16" s="165" t="s">
        <v>27</v>
      </c>
      <c r="C16" s="95"/>
      <c r="D16" s="102"/>
      <c r="E16" s="95">
        <f>'[2]KPW'!$D$8</f>
        <v>25709.04</v>
      </c>
      <c r="F16" s="95">
        <f>'[2]KPW'!$H$8</f>
        <v>1436.9699999999998</v>
      </c>
      <c r="G16" s="95">
        <f>'[2]KPW'!$L$8</f>
        <v>904.0199999999999</v>
      </c>
      <c r="H16" s="95">
        <f>'[2]KPW'!$T$8</f>
        <v>1144.8</v>
      </c>
      <c r="I16" s="95">
        <f>'[2]KPW'!$P$8</f>
        <v>1854.48</v>
      </c>
      <c r="J16" s="95">
        <f>'[1]KPW'!$AS$12</f>
        <v>8442</v>
      </c>
      <c r="K16" s="95">
        <f>'[1]KPW'!$AV$12</f>
        <v>2503.44</v>
      </c>
      <c r="L16" s="95">
        <f>'[1]KPW'!AY$12</f>
        <v>2503.44</v>
      </c>
      <c r="M16" s="95">
        <f>'[1]KPW'!$AD$12+'[1]KPW'!$AG$12+'[1]KPW'!$AJ$12+'[1]KPW'!$AM$12+'[1]KPW'!$AP$12</f>
        <v>5042.1939999999995</v>
      </c>
      <c r="N16" s="95"/>
      <c r="O16" s="96"/>
      <c r="P16" s="13"/>
    </row>
    <row r="17" spans="2:17" ht="12.75">
      <c r="B17" s="166">
        <v>2019</v>
      </c>
      <c r="C17" s="97">
        <f>C15*4</f>
        <v>375509.8</v>
      </c>
      <c r="D17" s="158">
        <f>D15*4</f>
        <v>326348.36000000004</v>
      </c>
      <c r="E17" s="97">
        <f>E16*3</f>
        <v>77127.12</v>
      </c>
      <c r="F17" s="97">
        <f>F16</f>
        <v>1436.9699999999998</v>
      </c>
      <c r="G17" s="97">
        <f>G16*2</f>
        <v>1808.0399999999997</v>
      </c>
      <c r="H17" s="97">
        <f>H16</f>
        <v>1144.8</v>
      </c>
      <c r="I17" s="97">
        <f>I16*1</f>
        <v>1854.48</v>
      </c>
      <c r="J17" s="95">
        <f>'[1]KPW'!$AS$12</f>
        <v>8442</v>
      </c>
      <c r="K17" s="97">
        <f>K16</f>
        <v>2503.44</v>
      </c>
      <c r="L17" s="97">
        <f>L16</f>
        <v>2503.44</v>
      </c>
      <c r="M17" s="196">
        <f>M16</f>
        <v>5042.1939999999995</v>
      </c>
      <c r="N17" s="97">
        <f>N15*4+N16</f>
        <v>0</v>
      </c>
      <c r="O17" s="160">
        <f aca="true" t="shared" si="0" ref="O17:O23">SUM(C17:N17)</f>
        <v>803720.644</v>
      </c>
      <c r="P17" s="13"/>
      <c r="Q17" s="197"/>
    </row>
    <row r="18" spans="2:16" ht="12.75">
      <c r="B18" s="167">
        <v>2020</v>
      </c>
      <c r="C18" s="98">
        <f>C15*12</f>
        <v>1126529.4</v>
      </c>
      <c r="D18" s="159">
        <f>D15*12</f>
        <v>979045.0800000001</v>
      </c>
      <c r="E18" s="98">
        <f>E16*8</f>
        <v>205672.32</v>
      </c>
      <c r="F18" s="98">
        <f>F16*3</f>
        <v>4310.91</v>
      </c>
      <c r="G18" s="98">
        <f>G16*6</f>
        <v>5424.119999999999</v>
      </c>
      <c r="H18" s="98">
        <f>H16*5</f>
        <v>5724</v>
      </c>
      <c r="I18" s="98">
        <f>I17*3</f>
        <v>5563.4400000000005</v>
      </c>
      <c r="J18" s="95">
        <f>'[1]KPW'!$AS$12</f>
        <v>8442</v>
      </c>
      <c r="K18" s="98">
        <f>K16*2</f>
        <v>5006.88</v>
      </c>
      <c r="L18" s="98">
        <f>L16</f>
        <v>2503.44</v>
      </c>
      <c r="M18" s="98">
        <f>M16*2</f>
        <v>10084.387999999999</v>
      </c>
      <c r="N18" s="98">
        <f>N15*12+N16*4</f>
        <v>0</v>
      </c>
      <c r="O18" s="161">
        <f t="shared" si="0"/>
        <v>2358305.9779999997</v>
      </c>
      <c r="P18" s="13"/>
    </row>
    <row r="19" spans="2:16" ht="13.5" thickBot="1">
      <c r="B19" s="167">
        <v>2021</v>
      </c>
      <c r="C19" s="98">
        <f>C15*8</f>
        <v>751019.6</v>
      </c>
      <c r="D19" s="159">
        <f>D15*8</f>
        <v>652696.7200000001</v>
      </c>
      <c r="E19" s="98">
        <f>E16*6</f>
        <v>154254.24</v>
      </c>
      <c r="F19" s="98">
        <f>F16*2</f>
        <v>2873.9399999999996</v>
      </c>
      <c r="G19" s="98">
        <f>G16*4</f>
        <v>3616.0799999999995</v>
      </c>
      <c r="H19" s="98">
        <f>H16*4</f>
        <v>4579.2</v>
      </c>
      <c r="I19" s="98">
        <f>I17*2</f>
        <v>3708.96</v>
      </c>
      <c r="J19" s="95">
        <f>'[1]KPW'!$AS$12</f>
        <v>8442</v>
      </c>
      <c r="K19" s="98">
        <v>2503.44</v>
      </c>
      <c r="L19" s="98">
        <f>L17</f>
        <v>2503.44</v>
      </c>
      <c r="M19" s="98">
        <f>M16</f>
        <v>5042.1939999999995</v>
      </c>
      <c r="N19" s="98">
        <f>N15*8+N16*3</f>
        <v>0</v>
      </c>
      <c r="O19" s="161">
        <f>SUM(C19:N19)</f>
        <v>1591239.8139999998</v>
      </c>
      <c r="P19" s="13"/>
    </row>
    <row r="20" spans="2:16" ht="13.5" thickBot="1">
      <c r="B20" s="99" t="s">
        <v>36</v>
      </c>
      <c r="C20" s="175">
        <f aca="true" t="shared" si="1" ref="C20:N20">SUM(C17:C19)</f>
        <v>2253058.8</v>
      </c>
      <c r="D20" s="198">
        <f t="shared" si="1"/>
        <v>1958090.1600000001</v>
      </c>
      <c r="E20" s="174">
        <f t="shared" si="1"/>
        <v>437053.68</v>
      </c>
      <c r="F20" s="174">
        <f t="shared" si="1"/>
        <v>8621.82</v>
      </c>
      <c r="G20" s="174">
        <f>SUM(G17:G19)</f>
        <v>10848.239999999998</v>
      </c>
      <c r="H20" s="174">
        <f t="shared" si="1"/>
        <v>11448</v>
      </c>
      <c r="I20" s="174">
        <f>SUM(I17:I19)</f>
        <v>11126.880000000001</v>
      </c>
      <c r="J20" s="174">
        <f t="shared" si="1"/>
        <v>25326</v>
      </c>
      <c r="K20" s="174">
        <f t="shared" si="1"/>
        <v>10013.76</v>
      </c>
      <c r="L20" s="174">
        <f t="shared" si="1"/>
        <v>7510.32</v>
      </c>
      <c r="M20" s="175">
        <f t="shared" si="1"/>
        <v>20168.775999999998</v>
      </c>
      <c r="N20" s="176">
        <f t="shared" si="1"/>
        <v>0</v>
      </c>
      <c r="O20" s="157">
        <f>SUM(C20:M20)</f>
        <v>4753266.436</v>
      </c>
      <c r="P20" s="16"/>
    </row>
    <row r="21" spans="2:16" ht="12.75">
      <c r="B21" s="103" t="s">
        <v>30</v>
      </c>
      <c r="C21" s="104">
        <f>C20/1.23</f>
        <v>1831755.1219512194</v>
      </c>
      <c r="D21" s="105">
        <f aca="true" t="shared" si="2" ref="D21:I21">D20/1.08</f>
        <v>1813046.4444444445</v>
      </c>
      <c r="E21" s="104">
        <f t="shared" si="2"/>
        <v>404679.3333333333</v>
      </c>
      <c r="F21" s="104">
        <f t="shared" si="2"/>
        <v>7983.166666666666</v>
      </c>
      <c r="G21" s="104">
        <f t="shared" si="2"/>
        <v>10044.666666666664</v>
      </c>
      <c r="H21" s="104">
        <f t="shared" si="2"/>
        <v>10600</v>
      </c>
      <c r="I21" s="104">
        <f t="shared" si="2"/>
        <v>10302.666666666666</v>
      </c>
      <c r="J21" s="104">
        <f>J20/1.08</f>
        <v>23450</v>
      </c>
      <c r="K21" s="106">
        <f>K20/1.08</f>
        <v>9272</v>
      </c>
      <c r="L21" s="104">
        <f>L20/1.08</f>
        <v>6953.999999999999</v>
      </c>
      <c r="M21" s="104">
        <f>M20/1.23</f>
        <v>16397.378861788617</v>
      </c>
      <c r="N21" s="107">
        <f>N20/1.23</f>
        <v>0</v>
      </c>
      <c r="O21" s="108">
        <f>SUM(C21:M21)</f>
        <v>4144484.7785907853</v>
      </c>
      <c r="P21" s="16"/>
    </row>
    <row r="22" spans="2:16" ht="24">
      <c r="B22" s="168" t="s">
        <v>73</v>
      </c>
      <c r="C22" s="109">
        <f aca="true" t="shared" si="3" ref="C22:M22">C21*1.1</f>
        <v>2014930.6341463416</v>
      </c>
      <c r="D22" s="109">
        <f t="shared" si="3"/>
        <v>1994351.0888888892</v>
      </c>
      <c r="E22" s="109">
        <f t="shared" si="3"/>
        <v>445147.26666666666</v>
      </c>
      <c r="F22" s="109">
        <f t="shared" si="3"/>
        <v>8781.483333333334</v>
      </c>
      <c r="G22" s="109">
        <f t="shared" si="3"/>
        <v>11049.133333333331</v>
      </c>
      <c r="H22" s="109">
        <f t="shared" si="3"/>
        <v>11660.000000000002</v>
      </c>
      <c r="I22" s="109">
        <f t="shared" si="3"/>
        <v>11332.933333333334</v>
      </c>
      <c r="J22" s="109">
        <f t="shared" si="3"/>
        <v>25795.000000000004</v>
      </c>
      <c r="K22" s="109">
        <f t="shared" si="3"/>
        <v>10199.2</v>
      </c>
      <c r="L22" s="109">
        <f t="shared" si="3"/>
        <v>7649.4</v>
      </c>
      <c r="M22" s="109">
        <f t="shared" si="3"/>
        <v>18037.11674796748</v>
      </c>
      <c r="N22" s="109">
        <f>N21*1.2</f>
        <v>0</v>
      </c>
      <c r="O22" s="169">
        <f>SUM(C22:M22)</f>
        <v>4558933.256449867</v>
      </c>
      <c r="P22" s="16"/>
    </row>
    <row r="23" spans="2:16" ht="24.75" thickBot="1">
      <c r="B23" s="170" t="s">
        <v>74</v>
      </c>
      <c r="C23" s="110">
        <f>C22*1.23</f>
        <v>2478364.68</v>
      </c>
      <c r="D23" s="111">
        <f aca="true" t="shared" si="4" ref="D23:I23">D22*1.08</f>
        <v>2153899.1760000004</v>
      </c>
      <c r="E23" s="111">
        <f t="shared" si="4"/>
        <v>480759.048</v>
      </c>
      <c r="F23" s="111">
        <f t="shared" si="4"/>
        <v>9484.002</v>
      </c>
      <c r="G23" s="111">
        <f t="shared" si="4"/>
        <v>11933.063999999998</v>
      </c>
      <c r="H23" s="111">
        <f t="shared" si="4"/>
        <v>12592.800000000003</v>
      </c>
      <c r="I23" s="111">
        <f t="shared" si="4"/>
        <v>12239.568000000001</v>
      </c>
      <c r="J23" s="110">
        <f>J22*1.08</f>
        <v>27858.600000000006</v>
      </c>
      <c r="K23" s="110">
        <f>K22*1.08</f>
        <v>11015.136000000002</v>
      </c>
      <c r="L23" s="110">
        <f>L22*1.08</f>
        <v>8261.352</v>
      </c>
      <c r="M23" s="110">
        <f>M22*1.23</f>
        <v>22185.6536</v>
      </c>
      <c r="N23" s="110">
        <f>N22*1.23</f>
        <v>0</v>
      </c>
      <c r="O23" s="171">
        <f t="shared" si="0"/>
        <v>5228593.079600001</v>
      </c>
      <c r="P23" s="16"/>
    </row>
    <row r="24" spans="3:13" ht="12.75">
      <c r="C24" s="200">
        <v>0.23</v>
      </c>
      <c r="D24" s="200">
        <v>0.08</v>
      </c>
      <c r="E24" s="200">
        <v>0.08</v>
      </c>
      <c r="F24" s="200">
        <v>0.08</v>
      </c>
      <c r="G24" s="200">
        <v>0.08</v>
      </c>
      <c r="H24" s="200">
        <v>0.08</v>
      </c>
      <c r="I24" s="200">
        <v>0.08</v>
      </c>
      <c r="J24" s="200">
        <v>0.08</v>
      </c>
      <c r="K24" s="200">
        <v>0.08</v>
      </c>
      <c r="L24" s="200">
        <v>0.08</v>
      </c>
      <c r="M24" s="200">
        <v>0.23</v>
      </c>
    </row>
    <row r="26" spans="3:11" ht="12.75">
      <c r="C26" s="13"/>
      <c r="D26" s="222" t="s">
        <v>34</v>
      </c>
      <c r="E26" s="222"/>
      <c r="F26" s="13"/>
      <c r="G26" s="181" t="s">
        <v>43</v>
      </c>
      <c r="H26" s="182">
        <f>E20+F20+G20+H20+I20</f>
        <v>479098.62</v>
      </c>
      <c r="I26" s="181"/>
      <c r="J26" s="10"/>
      <c r="K26" s="181"/>
    </row>
    <row r="27" spans="3:11" ht="12.75">
      <c r="C27" s="13"/>
      <c r="D27" s="222" t="s">
        <v>35</v>
      </c>
      <c r="E27" s="222"/>
      <c r="F27" s="13"/>
      <c r="G27" s="181" t="s">
        <v>44</v>
      </c>
      <c r="H27" s="182">
        <f>C20</f>
        <v>2253058.8</v>
      </c>
      <c r="I27" s="181"/>
      <c r="J27" s="183"/>
      <c r="K27" s="182">
        <f>H27+H29+H30+H31+H32+H33</f>
        <v>4569136.455999999</v>
      </c>
    </row>
    <row r="28" spans="3:11" ht="12.75">
      <c r="C28" s="13"/>
      <c r="D28" s="223" t="s">
        <v>50</v>
      </c>
      <c r="E28" s="222"/>
      <c r="F28" s="13"/>
      <c r="G28" s="181" t="s">
        <v>45</v>
      </c>
      <c r="H28" s="181">
        <f>D20</f>
        <v>1958090.1600000001</v>
      </c>
      <c r="I28" s="184"/>
      <c r="J28" s="183"/>
      <c r="K28" s="10"/>
    </row>
    <row r="29" spans="7:13" ht="12.75">
      <c r="G29" s="181" t="s">
        <v>46</v>
      </c>
      <c r="H29" s="182">
        <f>C20+J20+K20+L20+M20+N20</f>
        <v>2316077.6559999995</v>
      </c>
      <c r="I29" s="183"/>
      <c r="J29" s="183"/>
      <c r="K29" s="183"/>
      <c r="L29" s="184"/>
      <c r="M29" s="184"/>
    </row>
    <row r="30" spans="7:11" ht="12.75">
      <c r="G30" s="181" t="s">
        <v>47</v>
      </c>
      <c r="H30" s="182"/>
      <c r="I30" s="181"/>
      <c r="J30" s="183"/>
      <c r="K30" s="183"/>
    </row>
    <row r="31" spans="6:12" ht="12.75">
      <c r="F31" s="181"/>
      <c r="G31" s="181" t="s">
        <v>48</v>
      </c>
      <c r="H31" s="182"/>
      <c r="I31" s="181"/>
      <c r="J31" s="181" t="s">
        <v>44</v>
      </c>
      <c r="K31" s="181" t="s">
        <v>45</v>
      </c>
      <c r="L31" s="181"/>
    </row>
    <row r="32" spans="6:12" ht="12.75">
      <c r="F32" s="182"/>
      <c r="G32" s="199"/>
      <c r="H32" s="181"/>
      <c r="I32" s="181">
        <f>D20</f>
        <v>1958090.1600000001</v>
      </c>
      <c r="J32" s="182"/>
      <c r="K32" s="182">
        <f>D20+E20+F20+G20+H20+I20+J20+K20+L20</f>
        <v>2480038.86</v>
      </c>
      <c r="L32" s="182">
        <f>J32+K32</f>
        <v>2480038.86</v>
      </c>
    </row>
    <row r="33" spans="6:12" ht="12.75">
      <c r="F33" s="182"/>
      <c r="G33" s="182"/>
      <c r="H33" s="181"/>
      <c r="I33" s="182">
        <f>E20+F20+G20+H20+I20</f>
        <v>479098.62</v>
      </c>
      <c r="J33" s="199"/>
      <c r="K33" s="199">
        <f>D21+E21+F21+G21+H21+I21+J21+K21+L21</f>
        <v>2296332.2777777775</v>
      </c>
      <c r="L33" s="199">
        <f>J33+K33</f>
        <v>2296332.2777777775</v>
      </c>
    </row>
    <row r="34" spans="6:12" ht="12.75">
      <c r="F34" s="182"/>
      <c r="G34" s="199"/>
      <c r="H34" s="181"/>
      <c r="I34" s="181">
        <v>2212525.62</v>
      </c>
      <c r="J34" s="199"/>
      <c r="K34" s="199">
        <f>D22+E22+G22+H22+I22+J22+L22</f>
        <v>2506984.822222222</v>
      </c>
      <c r="L34" s="199">
        <f>J34+K34</f>
        <v>2506984.822222222</v>
      </c>
    </row>
    <row r="35" spans="6:12" ht="12.75">
      <c r="F35" s="182"/>
      <c r="G35" s="199"/>
      <c r="H35" s="181"/>
      <c r="I35" s="181">
        <f>SUM(I32:I34)</f>
        <v>4649714.4</v>
      </c>
      <c r="J35" s="199">
        <f>C23+M23</f>
        <v>2500550.3336</v>
      </c>
      <c r="K35" s="199">
        <f>D23+E23+F23+G23+H23+I23+J23+K23+L23</f>
        <v>2728042.746</v>
      </c>
      <c r="L35" s="199">
        <f>J35+K35</f>
        <v>5228593.0796</v>
      </c>
    </row>
    <row r="36" spans="8:10" ht="12.75">
      <c r="H36" s="181"/>
      <c r="I36" s="181"/>
      <c r="J36" s="181"/>
    </row>
    <row r="39" ht="12.75">
      <c r="D39" s="10"/>
    </row>
    <row r="40" ht="12.75">
      <c r="D40" s="10"/>
    </row>
    <row r="41" ht="12.75">
      <c r="D41" s="10"/>
    </row>
    <row r="42" ht="12.75">
      <c r="D42" s="10"/>
    </row>
    <row r="43" ht="12.75">
      <c r="D43" s="10"/>
    </row>
    <row r="44" ht="12.75">
      <c r="D44" s="10"/>
    </row>
    <row r="45" ht="12.75">
      <c r="D45" s="10"/>
    </row>
    <row r="46" ht="12.75">
      <c r="F46" s="184"/>
    </row>
    <row r="47" ht="12.75">
      <c r="F47" s="184"/>
    </row>
  </sheetData>
  <sheetProtection/>
  <mergeCells count="5">
    <mergeCell ref="D27:E27"/>
    <mergeCell ref="D28:E28"/>
    <mergeCell ref="B10:O10"/>
    <mergeCell ref="D11:M11"/>
    <mergeCell ref="D26:E26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8:K13"/>
  <sheetViews>
    <sheetView zoomScalePageLayoutView="0" workbookViewId="0" topLeftCell="A1">
      <selection activeCell="K12" sqref="K12"/>
    </sheetView>
  </sheetViews>
  <sheetFormatPr defaultColWidth="9.140625" defaultRowHeight="12.75"/>
  <sheetData>
    <row r="8" ht="12.75">
      <c r="K8">
        <v>6095882.48</v>
      </c>
    </row>
    <row r="9" ht="12.75">
      <c r="K9">
        <v>44601</v>
      </c>
    </row>
    <row r="10" ht="12.75">
      <c r="K10">
        <v>4904.9</v>
      </c>
    </row>
    <row r="11" ht="12.75">
      <c r="K11">
        <f>SUM(K8:K10)</f>
        <v>6145388.380000001</v>
      </c>
    </row>
    <row r="12" ht="12.75">
      <c r="K12">
        <v>-7374466.06</v>
      </c>
    </row>
    <row r="13" ht="12.75">
      <c r="K13">
        <f>SUM(K11:K12)</f>
        <v>-1229077.6799999988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Zieliński</dc:creator>
  <cp:keywords/>
  <dc:description/>
  <cp:lastModifiedBy>Matuszczak Mirosława</cp:lastModifiedBy>
  <cp:lastPrinted>2019-04-26T06:26:29Z</cp:lastPrinted>
  <dcterms:created xsi:type="dcterms:W3CDTF">2007-06-04T13:10:41Z</dcterms:created>
  <dcterms:modified xsi:type="dcterms:W3CDTF">2019-04-26T06:26:34Z</dcterms:modified>
  <cp:category/>
  <cp:version/>
  <cp:contentType/>
  <cp:contentStatus/>
</cp:coreProperties>
</file>