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fmie2\KaszubaA\Osiedle Kolonia\"/>
    </mc:Choice>
  </mc:AlternateContent>
  <bookViews>
    <workbookView xWindow="0" yWindow="0" windowWidth="28740" windowHeight="12210" activeTab="1"/>
  </bookViews>
  <sheets>
    <sheet name="TES" sheetId="20" r:id="rId1"/>
    <sheet name="KO" sheetId="46" r:id="rId2"/>
    <sheet name="Przedmiar" sheetId="18" r:id="rId3"/>
    <sheet name="ZAŁ_1" sheetId="22" r:id="rId4"/>
    <sheet name="1. Zjazdy indywidualne" sheetId="5" r:id="rId5"/>
    <sheet name="2. Roboty rozbiórkowe " sheetId="6" r:id="rId6"/>
    <sheet name="3. Odwodnienie korpusu" sheetId="7" r:id="rId7"/>
    <sheet name="4. El. pref. 5. 6. konstr." sheetId="8" r:id="rId8"/>
    <sheet name="7. Tab. robót ziemnych" sheetId="15" r:id="rId9"/>
    <sheet name="10. Oznakowanie pionowe" sheetId="16" state="hidden" r:id="rId10"/>
  </sheets>
  <definedNames>
    <definedName name="_xlnm._FilterDatabase" localSheetId="1" hidden="1">KO!$A$1:$A$175</definedName>
    <definedName name="_xlnm.Print_Area" localSheetId="4">'1. Zjazdy indywidualne'!$A$3:$T$72</definedName>
    <definedName name="_xlnm.Print_Area" localSheetId="9">'10. Oznakowanie pionowe'!$A$1:$U$352</definedName>
    <definedName name="_xlnm.Print_Area" localSheetId="5">'2. Roboty rozbiórkowe '!$A$1:$D$13</definedName>
    <definedName name="_xlnm.Print_Area" localSheetId="6">'3. Odwodnienie korpusu'!$A$1:$D$23</definedName>
    <definedName name="_xlnm.Print_Area" localSheetId="7">'4. El. pref. 5. 6. konstr.'!$A$1:$D$43</definedName>
    <definedName name="_xlnm.Print_Area" localSheetId="8">'7. Tab. robót ziemnych'!$A$1:$G$33</definedName>
    <definedName name="_xlnm.Print_Area" localSheetId="1">KO!$A$1:$H$340</definedName>
    <definedName name="_xlnm.Print_Area" localSheetId="2">Przedmiar!$A$1:$F$328</definedName>
    <definedName name="_xlnm.Print_Area" localSheetId="0">TES!$A$1:$E$45</definedName>
    <definedName name="_xlnm.Print_Area" localSheetId="3">ZAŁ_1!$A$5:$G$5</definedName>
  </definedNames>
  <calcPr calcId="152511" fullPrecision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6" i="46" l="1"/>
  <c r="H332" i="46"/>
  <c r="E37" i="20" s="1"/>
  <c r="E38" i="20" l="1"/>
  <c r="E39" i="20" s="1"/>
  <c r="H324" i="46" l="1"/>
  <c r="E34" i="20" s="1"/>
  <c r="H316" i="46"/>
  <c r="E33" i="20" s="1"/>
  <c r="H307" i="46"/>
  <c r="E32" i="20" s="1"/>
  <c r="H287" i="46"/>
  <c r="E31" i="20" s="1"/>
  <c r="H248" i="46"/>
  <c r="E27" i="20" s="1"/>
  <c r="H227" i="46"/>
  <c r="E26" i="20" s="1"/>
  <c r="H209" i="46"/>
  <c r="E25" i="20" s="1"/>
  <c r="H261" i="46"/>
  <c r="E30" i="20" s="1"/>
  <c r="E37" i="18"/>
  <c r="F36" i="18" s="1"/>
  <c r="E35" i="18"/>
  <c r="F34" i="18" s="1"/>
  <c r="E193" i="46"/>
  <c r="F192" i="46" s="1"/>
  <c r="E188" i="46"/>
  <c r="F187" i="46" s="1"/>
  <c r="E185" i="46"/>
  <c r="F184" i="46" s="1"/>
  <c r="F179" i="46"/>
  <c r="F176" i="46"/>
  <c r="F174" i="46"/>
  <c r="F171" i="46"/>
  <c r="F166" i="46"/>
  <c r="E164" i="46"/>
  <c r="F164" i="46" s="1"/>
  <c r="E163" i="46"/>
  <c r="F163" i="46" s="1"/>
  <c r="E162" i="46"/>
  <c r="F162" i="46" s="1"/>
  <c r="E157" i="46"/>
  <c r="F156" i="46" s="1"/>
  <c r="E155" i="46"/>
  <c r="F154" i="46" s="1"/>
  <c r="E153" i="46"/>
  <c r="F152" i="46" s="1"/>
  <c r="E151" i="46"/>
  <c r="F150" i="46" s="1"/>
  <c r="E147" i="46"/>
  <c r="F146" i="46" s="1"/>
  <c r="E143" i="46"/>
  <c r="F142" i="46" s="1"/>
  <c r="F140" i="46"/>
  <c r="E94" i="46"/>
  <c r="F93" i="46" s="1"/>
  <c r="E92" i="46"/>
  <c r="F91" i="46" s="1"/>
  <c r="E90" i="46"/>
  <c r="F89" i="46" s="1"/>
  <c r="E88" i="46"/>
  <c r="F87" i="46" s="1"/>
  <c r="E86" i="46"/>
  <c r="F85" i="46" s="1"/>
  <c r="E84" i="46"/>
  <c r="F84" i="46" s="1"/>
  <c r="E83" i="46"/>
  <c r="F83" i="46" s="1"/>
  <c r="E82" i="46"/>
  <c r="F82" i="46" s="1"/>
  <c r="E80" i="46"/>
  <c r="F79" i="46" s="1"/>
  <c r="E67" i="46"/>
  <c r="F66" i="46" s="1"/>
  <c r="E65" i="46"/>
  <c r="F64" i="46" s="1"/>
  <c r="E50" i="46"/>
  <c r="F49" i="46" s="1"/>
  <c r="E48" i="46"/>
  <c r="F47" i="46" s="1"/>
  <c r="E46" i="46"/>
  <c r="F45" i="46" s="1"/>
  <c r="E44" i="46"/>
  <c r="F43" i="46" s="1"/>
  <c r="B42" i="46"/>
  <c r="E39" i="46"/>
  <c r="E35" i="46"/>
  <c r="F34" i="46" s="1"/>
  <c r="B33" i="46"/>
  <c r="B30" i="46"/>
  <c r="F25" i="46"/>
  <c r="E23" i="46"/>
  <c r="F22" i="46" s="1"/>
  <c r="E21" i="46"/>
  <c r="F20" i="46" s="1"/>
  <c r="F17" i="46"/>
  <c r="F11" i="46"/>
  <c r="F10" i="46"/>
  <c r="F9" i="46"/>
  <c r="F8" i="46"/>
  <c r="F7" i="46"/>
  <c r="F168" i="18"/>
  <c r="E179" i="18"/>
  <c r="F178" i="18" s="1"/>
  <c r="E184" i="18"/>
  <c r="E176" i="18"/>
  <c r="E150" i="18"/>
  <c r="F149" i="18" s="1"/>
  <c r="E148" i="18"/>
  <c r="F147" i="18" s="1"/>
  <c r="E146" i="18"/>
  <c r="F145" i="18" s="1"/>
  <c r="E144" i="18"/>
  <c r="E140" i="18"/>
  <c r="F139" i="18" s="1"/>
  <c r="E136" i="18"/>
  <c r="F135" i="18" s="1"/>
  <c r="E90" i="18"/>
  <c r="E88" i="18"/>
  <c r="E86" i="18"/>
  <c r="E84" i="18"/>
  <c r="F83" i="18" s="1"/>
  <c r="E82" i="18"/>
  <c r="F81" i="18" s="1"/>
  <c r="E76" i="18"/>
  <c r="E63" i="18"/>
  <c r="E61" i="18"/>
  <c r="E48" i="18"/>
  <c r="E42" i="18"/>
  <c r="F41" i="18" s="1"/>
  <c r="E46" i="18"/>
  <c r="F45" i="18" s="1"/>
  <c r="E44" i="18"/>
  <c r="E33" i="18"/>
  <c r="B40" i="18"/>
  <c r="E21" i="18"/>
  <c r="E19" i="18"/>
  <c r="F18" i="18" s="1"/>
  <c r="F7" i="18"/>
  <c r="F8" i="18"/>
  <c r="F9" i="18"/>
  <c r="F10" i="18"/>
  <c r="F11" i="18"/>
  <c r="F15" i="18"/>
  <c r="F133" i="18"/>
  <c r="F159" i="18"/>
  <c r="F163" i="18"/>
  <c r="F166" i="18"/>
  <c r="F171" i="18"/>
  <c r="E61" i="15"/>
  <c r="D61" i="15"/>
  <c r="E76" i="15"/>
  <c r="D76" i="15"/>
  <c r="E75" i="15"/>
  <c r="D75" i="15"/>
  <c r="E74" i="15"/>
  <c r="D74" i="15"/>
  <c r="E73" i="15"/>
  <c r="D73" i="15"/>
  <c r="E72" i="15"/>
  <c r="D72" i="15"/>
  <c r="E71" i="15"/>
  <c r="D71" i="15"/>
  <c r="E70" i="15"/>
  <c r="D70" i="15"/>
  <c r="E60" i="15"/>
  <c r="D60" i="15"/>
  <c r="E59" i="15"/>
  <c r="D59" i="15"/>
  <c r="E58" i="15"/>
  <c r="D58" i="15"/>
  <c r="E57" i="15"/>
  <c r="D57" i="15"/>
  <c r="E56" i="15"/>
  <c r="D56" i="15"/>
  <c r="E55" i="15"/>
  <c r="D55" i="15"/>
  <c r="E54" i="15"/>
  <c r="D54" i="15"/>
  <c r="E53" i="15"/>
  <c r="D53" i="15"/>
  <c r="E52" i="15"/>
  <c r="D52" i="15"/>
  <c r="E51" i="15"/>
  <c r="D51" i="15"/>
  <c r="E50" i="15"/>
  <c r="D50" i="15"/>
  <c r="E49" i="15"/>
  <c r="D49" i="15"/>
  <c r="E48" i="15"/>
  <c r="D48" i="15"/>
  <c r="E47" i="15"/>
  <c r="D47" i="15"/>
  <c r="E46" i="15"/>
  <c r="D46" i="15"/>
  <c r="E45" i="15"/>
  <c r="D45" i="15"/>
  <c r="E44" i="15"/>
  <c r="D44" i="15"/>
  <c r="E43" i="15"/>
  <c r="D43" i="15"/>
  <c r="E42" i="15"/>
  <c r="D42" i="15"/>
  <c r="E41" i="15"/>
  <c r="D41" i="15"/>
  <c r="E40" i="15"/>
  <c r="D40" i="15"/>
  <c r="C29" i="8"/>
  <c r="C28" i="8"/>
  <c r="C26" i="8"/>
  <c r="C27" i="8" s="1"/>
  <c r="C22" i="8"/>
  <c r="C21" i="8"/>
  <c r="C20" i="8"/>
  <c r="C19" i="8"/>
  <c r="C37" i="8"/>
  <c r="D9" i="7"/>
  <c r="D8" i="7"/>
  <c r="D7" i="7"/>
  <c r="D6" i="6"/>
  <c r="D5" i="6"/>
  <c r="E37" i="46" s="1"/>
  <c r="I72" i="5"/>
  <c r="S31" i="5"/>
  <c r="R31" i="5"/>
  <c r="P31" i="5"/>
  <c r="Q31" i="5"/>
  <c r="Q72" i="5" s="1"/>
  <c r="L31" i="5"/>
  <c r="K31" i="5"/>
  <c r="J31" i="5"/>
  <c r="I31" i="5"/>
  <c r="S61" i="5"/>
  <c r="R61" i="5"/>
  <c r="Q61" i="5"/>
  <c r="P61" i="5"/>
  <c r="L61" i="5"/>
  <c r="K61" i="5"/>
  <c r="J61" i="5"/>
  <c r="I61" i="5"/>
  <c r="Q71" i="5"/>
  <c r="R71" i="5"/>
  <c r="R72" i="5" s="1"/>
  <c r="S71" i="5"/>
  <c r="S72" i="5" s="1"/>
  <c r="P71" i="5"/>
  <c r="P72" i="5" s="1"/>
  <c r="L71" i="5"/>
  <c r="L72" i="5" s="1"/>
  <c r="K71" i="5"/>
  <c r="K72" i="5" s="1"/>
  <c r="J71" i="5"/>
  <c r="J72" i="5" s="1"/>
  <c r="I71" i="5"/>
  <c r="O70" i="5"/>
  <c r="N70" i="5"/>
  <c r="M70" i="5"/>
  <c r="O69" i="5"/>
  <c r="N69" i="5"/>
  <c r="M69" i="5"/>
  <c r="O68" i="5"/>
  <c r="N68" i="5"/>
  <c r="M68" i="5"/>
  <c r="O67" i="5"/>
  <c r="N67" i="5"/>
  <c r="M67" i="5"/>
  <c r="O66" i="5"/>
  <c r="N66" i="5"/>
  <c r="M66" i="5"/>
  <c r="O65" i="5"/>
  <c r="N65" i="5"/>
  <c r="M65" i="5"/>
  <c r="O64" i="5"/>
  <c r="N64" i="5"/>
  <c r="M64" i="5"/>
  <c r="O63" i="5"/>
  <c r="O71" i="5" s="1"/>
  <c r="N63" i="5"/>
  <c r="N71" i="5" s="1"/>
  <c r="M63" i="5"/>
  <c r="M71" i="5" s="1"/>
  <c r="O60" i="5"/>
  <c r="N60" i="5"/>
  <c r="M60" i="5"/>
  <c r="O59" i="5"/>
  <c r="N59" i="5"/>
  <c r="M59" i="5"/>
  <c r="O58" i="5"/>
  <c r="N58" i="5"/>
  <c r="M58" i="5"/>
  <c r="O57" i="5"/>
  <c r="N57" i="5"/>
  <c r="M57" i="5"/>
  <c r="O56" i="5"/>
  <c r="N56" i="5"/>
  <c r="M56" i="5"/>
  <c r="O55" i="5"/>
  <c r="N55" i="5"/>
  <c r="M55" i="5"/>
  <c r="O54" i="5"/>
  <c r="N54" i="5"/>
  <c r="M54" i="5"/>
  <c r="O53" i="5"/>
  <c r="N53" i="5"/>
  <c r="M53" i="5"/>
  <c r="E145" i="46" l="1"/>
  <c r="F144" i="46" s="1"/>
  <c r="E138" i="18"/>
  <c r="E142" i="18"/>
  <c r="F141" i="18" s="1"/>
  <c r="E149" i="46"/>
  <c r="F148" i="46" s="1"/>
  <c r="E123" i="18"/>
  <c r="E129" i="46"/>
  <c r="F128" i="46" s="1"/>
  <c r="E130" i="18"/>
  <c r="E136" i="46"/>
  <c r="F135" i="46" s="1"/>
  <c r="E181" i="18"/>
  <c r="F180" i="18" s="1"/>
  <c r="E190" i="46"/>
  <c r="F189" i="46" s="1"/>
  <c r="H194" i="46" s="1"/>
  <c r="E22" i="20" s="1"/>
  <c r="E121" i="46"/>
  <c r="F120" i="46" s="1"/>
  <c r="E116" i="18"/>
  <c r="F115" i="18" s="1"/>
  <c r="E70" i="18"/>
  <c r="E96" i="18"/>
  <c r="E128" i="18"/>
  <c r="E41" i="46"/>
  <c r="E42" i="46" s="1"/>
  <c r="F42" i="46" s="1"/>
  <c r="E74" i="46"/>
  <c r="F73" i="46" s="1"/>
  <c r="E113" i="46"/>
  <c r="F112" i="46" s="1"/>
  <c r="E124" i="46"/>
  <c r="F123" i="46" s="1"/>
  <c r="E28" i="20"/>
  <c r="E39" i="18"/>
  <c r="E40" i="18" s="1"/>
  <c r="F40" i="18" s="1"/>
  <c r="E108" i="18"/>
  <c r="E119" i="18"/>
  <c r="E153" i="18"/>
  <c r="D5" i="7"/>
  <c r="E30" i="18"/>
  <c r="E31" i="18" s="1"/>
  <c r="F31" i="18" s="1"/>
  <c r="E66" i="18"/>
  <c r="F65" i="18" s="1"/>
  <c r="E70" i="46"/>
  <c r="F69" i="46" s="1"/>
  <c r="E109" i="46"/>
  <c r="F108" i="46" s="1"/>
  <c r="E160" i="46"/>
  <c r="F159" i="46" s="1"/>
  <c r="E68" i="18"/>
  <c r="F67" i="18" s="1"/>
  <c r="E104" i="18"/>
  <c r="E32" i="46"/>
  <c r="E33" i="46" s="1"/>
  <c r="F33" i="46" s="1"/>
  <c r="E72" i="46"/>
  <c r="F71" i="46" s="1"/>
  <c r="E101" i="46"/>
  <c r="F100" i="46" s="1"/>
  <c r="E134" i="46"/>
  <c r="F133" i="46" s="1"/>
  <c r="E35" i="20"/>
  <c r="H12" i="46"/>
  <c r="H181" i="46"/>
  <c r="E21" i="20" s="1"/>
  <c r="F76" i="15"/>
  <c r="F74" i="15"/>
  <c r="F75" i="15"/>
  <c r="F73" i="15"/>
  <c r="F72" i="15"/>
  <c r="F71" i="15"/>
  <c r="F61" i="15"/>
  <c r="F59" i="15"/>
  <c r="F57" i="15"/>
  <c r="F56" i="15"/>
  <c r="F55" i="15"/>
  <c r="F53" i="15"/>
  <c r="F50" i="15"/>
  <c r="F48" i="15"/>
  <c r="F47" i="15"/>
  <c r="F41" i="15"/>
  <c r="F40" i="15"/>
  <c r="F52" i="15"/>
  <c r="F60" i="15"/>
  <c r="F42" i="15"/>
  <c r="F49" i="15"/>
  <c r="F43" i="15"/>
  <c r="F45" i="15"/>
  <c r="D77" i="15"/>
  <c r="F46" i="15"/>
  <c r="E77" i="15"/>
  <c r="F54" i="15"/>
  <c r="F58" i="15"/>
  <c r="F51" i="15"/>
  <c r="F44" i="15"/>
  <c r="E62" i="15"/>
  <c r="F70" i="15"/>
  <c r="D62" i="15"/>
  <c r="O52" i="5"/>
  <c r="N52" i="5"/>
  <c r="M52" i="5"/>
  <c r="O51" i="5"/>
  <c r="N51" i="5"/>
  <c r="M51" i="5"/>
  <c r="O50" i="5"/>
  <c r="N50" i="5"/>
  <c r="M50" i="5"/>
  <c r="O49" i="5"/>
  <c r="N49" i="5"/>
  <c r="M49" i="5"/>
  <c r="O48" i="5"/>
  <c r="N48" i="5"/>
  <c r="M48" i="5"/>
  <c r="O47" i="5"/>
  <c r="N47" i="5"/>
  <c r="M47" i="5"/>
  <c r="O46" i="5"/>
  <c r="N46" i="5"/>
  <c r="M46" i="5"/>
  <c r="O45" i="5"/>
  <c r="N45" i="5"/>
  <c r="M45" i="5"/>
  <c r="O44" i="5"/>
  <c r="N44" i="5"/>
  <c r="M44" i="5"/>
  <c r="O43" i="5"/>
  <c r="N43" i="5"/>
  <c r="M43" i="5"/>
  <c r="O42" i="5"/>
  <c r="N42" i="5"/>
  <c r="M42" i="5"/>
  <c r="O41" i="5"/>
  <c r="N41" i="5"/>
  <c r="M41" i="5"/>
  <c r="O40" i="5"/>
  <c r="N40" i="5"/>
  <c r="M40" i="5"/>
  <c r="O39" i="5"/>
  <c r="N39" i="5"/>
  <c r="M39" i="5"/>
  <c r="O38" i="5"/>
  <c r="N38" i="5"/>
  <c r="M38" i="5"/>
  <c r="O37" i="5"/>
  <c r="N37" i="5"/>
  <c r="M37" i="5"/>
  <c r="O36" i="5"/>
  <c r="N36" i="5"/>
  <c r="M36" i="5"/>
  <c r="O35" i="5"/>
  <c r="N35" i="5"/>
  <c r="M35" i="5"/>
  <c r="O34" i="5"/>
  <c r="N34" i="5"/>
  <c r="M34" i="5"/>
  <c r="O33" i="5"/>
  <c r="N33" i="5"/>
  <c r="M33" i="5"/>
  <c r="O28" i="5"/>
  <c r="N28" i="5"/>
  <c r="M28" i="5"/>
  <c r="O27" i="5"/>
  <c r="N27" i="5"/>
  <c r="M27" i="5"/>
  <c r="O24" i="5"/>
  <c r="N24" i="5"/>
  <c r="M24" i="5"/>
  <c r="O23" i="5"/>
  <c r="N23" i="5"/>
  <c r="M23" i="5"/>
  <c r="O22" i="5"/>
  <c r="N22" i="5"/>
  <c r="M22" i="5"/>
  <c r="O20" i="5"/>
  <c r="N20" i="5"/>
  <c r="M20" i="5"/>
  <c r="O18" i="5"/>
  <c r="N18" i="5"/>
  <c r="M18" i="5"/>
  <c r="O17" i="5"/>
  <c r="N17" i="5"/>
  <c r="M17" i="5"/>
  <c r="O16" i="5"/>
  <c r="N16" i="5"/>
  <c r="M16" i="5"/>
  <c r="O14" i="5"/>
  <c r="N14" i="5"/>
  <c r="M14" i="5"/>
  <c r="O12" i="5"/>
  <c r="N12" i="5"/>
  <c r="M12" i="5"/>
  <c r="O11" i="5"/>
  <c r="N11" i="5"/>
  <c r="M11" i="5"/>
  <c r="O10" i="5"/>
  <c r="N10" i="5"/>
  <c r="M10" i="5"/>
  <c r="O8" i="5"/>
  <c r="N8" i="5"/>
  <c r="M8" i="5"/>
  <c r="O7" i="5"/>
  <c r="N7" i="5"/>
  <c r="M7" i="5"/>
  <c r="M31" i="5" s="1"/>
  <c r="F40" i="46" l="1"/>
  <c r="F31" i="46"/>
  <c r="H168" i="46"/>
  <c r="E20" i="20" s="1"/>
  <c r="H95" i="46"/>
  <c r="E17" i="20" s="1"/>
  <c r="F38" i="18"/>
  <c r="O31" i="5"/>
  <c r="O61" i="5"/>
  <c r="O72" i="5" s="1"/>
  <c r="N31" i="5"/>
  <c r="M61" i="5"/>
  <c r="M72" i="5" s="1"/>
  <c r="H13" i="46"/>
  <c r="E12" i="20"/>
  <c r="N61" i="5"/>
  <c r="N72" i="5" s="1"/>
  <c r="F77" i="15"/>
  <c r="F62" i="15"/>
  <c r="E111" i="46" l="1"/>
  <c r="F110" i="46" s="1"/>
  <c r="E99" i="18"/>
  <c r="E104" i="46"/>
  <c r="F103" i="46" s="1"/>
  <c r="E106" i="18"/>
  <c r="E113" i="18"/>
  <c r="E118" i="46"/>
  <c r="F117" i="46" s="1"/>
  <c r="E126" i="18"/>
  <c r="E132" i="46"/>
  <c r="F131" i="46" s="1"/>
  <c r="H137" i="46" s="1"/>
  <c r="E19" i="20" s="1"/>
  <c r="E101" i="18"/>
  <c r="E106" i="46"/>
  <c r="F105" i="46" s="1"/>
  <c r="F89" i="18" l="1"/>
  <c r="F143" i="18"/>
  <c r="F183" i="18"/>
  <c r="F175" i="18"/>
  <c r="F62" i="18"/>
  <c r="F60" i="18"/>
  <c r="F87" i="18"/>
  <c r="F85" i="18"/>
  <c r="E80" i="18"/>
  <c r="F80" i="18" s="1"/>
  <c r="E79" i="18"/>
  <c r="F79" i="18" s="1"/>
  <c r="E78" i="18"/>
  <c r="F78" i="18" s="1"/>
  <c r="F75" i="18"/>
  <c r="F47" i="18"/>
  <c r="F43" i="18"/>
  <c r="F32" i="18"/>
  <c r="F29" i="18"/>
  <c r="F23" i="18"/>
  <c r="F20" i="18"/>
  <c r="B31" i="18"/>
  <c r="B28" i="18"/>
  <c r="F69" i="18" l="1"/>
  <c r="E13" i="20"/>
  <c r="E31" i="15"/>
  <c r="D31" i="15"/>
  <c r="E30" i="15"/>
  <c r="D30" i="15"/>
  <c r="E29" i="15"/>
  <c r="D29" i="15"/>
  <c r="E28" i="15"/>
  <c r="D28" i="15"/>
  <c r="E27" i="15"/>
  <c r="D27" i="15"/>
  <c r="E26" i="15"/>
  <c r="D26" i="15"/>
  <c r="E25" i="15"/>
  <c r="D25" i="15"/>
  <c r="E24" i="15"/>
  <c r="D24" i="15"/>
  <c r="E23" i="15"/>
  <c r="D23" i="15"/>
  <c r="E22" i="15"/>
  <c r="D22" i="15"/>
  <c r="E21" i="15"/>
  <c r="D21" i="15"/>
  <c r="E20" i="15"/>
  <c r="D20" i="15"/>
  <c r="E19" i="15"/>
  <c r="D19" i="15"/>
  <c r="E18" i="15"/>
  <c r="D18" i="15"/>
  <c r="E17" i="15"/>
  <c r="D17" i="15"/>
  <c r="E16" i="15"/>
  <c r="D16" i="15"/>
  <c r="E15" i="15"/>
  <c r="D15" i="15"/>
  <c r="E14" i="15"/>
  <c r="D14" i="15"/>
  <c r="E13" i="15"/>
  <c r="D13" i="15"/>
  <c r="E12" i="15"/>
  <c r="D12" i="15"/>
  <c r="E11" i="15"/>
  <c r="D11" i="15"/>
  <c r="E10" i="15"/>
  <c r="D10" i="15"/>
  <c r="E9" i="15"/>
  <c r="D9" i="15"/>
  <c r="E8" i="15"/>
  <c r="D8" i="15"/>
  <c r="F137" i="18"/>
  <c r="F22" i="15" l="1"/>
  <c r="F15" i="15"/>
  <c r="F103" i="18"/>
  <c r="C38" i="8"/>
  <c r="F127" i="18"/>
  <c r="F100" i="18"/>
  <c r="F107" i="18"/>
  <c r="F118" i="18"/>
  <c r="F112" i="18"/>
  <c r="F105" i="18"/>
  <c r="F98" i="18"/>
  <c r="F152" i="18"/>
  <c r="F122" i="18"/>
  <c r="F129" i="18"/>
  <c r="F125" i="18"/>
  <c r="F28" i="15"/>
  <c r="F27" i="15"/>
  <c r="F24" i="15"/>
  <c r="F21" i="15"/>
  <c r="F19" i="15"/>
  <c r="F18" i="15"/>
  <c r="F16" i="15"/>
  <c r="F13" i="15"/>
  <c r="F12" i="15"/>
  <c r="F11" i="15"/>
  <c r="F10" i="15"/>
  <c r="F14" i="15"/>
  <c r="F25" i="15"/>
  <c r="F23" i="15"/>
  <c r="F20" i="15"/>
  <c r="E32" i="15"/>
  <c r="E81" i="15" s="1"/>
  <c r="F9" i="15"/>
  <c r="F29" i="15"/>
  <c r="F30" i="15"/>
  <c r="D32" i="15"/>
  <c r="F31" i="15"/>
  <c r="F17" i="15"/>
  <c r="F26" i="15"/>
  <c r="F8" i="15"/>
  <c r="D81" i="15" l="1"/>
  <c r="F95" i="18"/>
  <c r="E94" i="18"/>
  <c r="F93" i="18" s="1"/>
  <c r="E99" i="46"/>
  <c r="F98" i="46" s="1"/>
  <c r="E116" i="46"/>
  <c r="F115" i="46" s="1"/>
  <c r="E111" i="18"/>
  <c r="F110" i="18" s="1"/>
  <c r="F32" i="15"/>
  <c r="F81" i="15" s="1"/>
  <c r="E55" i="18" l="1"/>
  <c r="F54" i="18" s="1"/>
  <c r="E58" i="46"/>
  <c r="H125" i="46"/>
  <c r="E18" i="20" s="1"/>
  <c r="E55" i="46"/>
  <c r="F54" i="46" s="1"/>
  <c r="E52" i="18"/>
  <c r="F51" i="18" s="1"/>
  <c r="D4" i="6"/>
  <c r="E57" i="18" l="1"/>
  <c r="F56" i="18" s="1"/>
  <c r="E60" i="46"/>
  <c r="F59" i="46" s="1"/>
  <c r="F57" i="46"/>
  <c r="E29" i="46"/>
  <c r="E27" i="18"/>
  <c r="E28" i="18" s="1"/>
  <c r="F26" i="18" l="1"/>
  <c r="E30" i="46"/>
  <c r="F30" i="46" s="1"/>
  <c r="F28" i="46"/>
  <c r="H51" i="46" s="1"/>
  <c r="H61" i="46"/>
  <c r="E16" i="20" s="1"/>
  <c r="H338" i="46" l="1"/>
  <c r="H340" i="46" s="1"/>
  <c r="H339" i="46" s="1"/>
  <c r="E15" i="20"/>
  <c r="E23" i="20" s="1"/>
  <c r="E43" i="20" s="1"/>
  <c r="E157" i="18" l="1"/>
  <c r="F157" i="18" s="1"/>
  <c r="E156" i="18"/>
  <c r="F156" i="18" s="1"/>
  <c r="E155" i="18"/>
  <c r="F155" i="18" s="1"/>
  <c r="F28" i="18" l="1"/>
  <c r="E41" i="20" l="1"/>
  <c r="E42" i="20" s="1"/>
  <c r="P350" i="16"/>
  <c r="M350" i="16"/>
  <c r="J350" i="16"/>
  <c r="L350" i="16"/>
  <c r="E9" i="20" l="1"/>
  <c r="E10" i="20" s="1"/>
  <c r="K350" i="16" l="1"/>
  <c r="E44" i="20" l="1"/>
  <c r="E45" i="20" s="1"/>
  <c r="A84" i="20"/>
  <c r="A86" i="20" l="1"/>
  <c r="A87" i="20" s="1"/>
  <c r="A94" i="20"/>
  <c r="J94" i="20" s="1"/>
  <c r="A96" i="20"/>
  <c r="G87" i="20" l="1"/>
  <c r="E87" i="20"/>
  <c r="C87" i="20"/>
  <c r="D87" i="20"/>
  <c r="H87" i="20"/>
  <c r="F87" i="20"/>
  <c r="A88" i="20"/>
  <c r="D86" i="20"/>
  <c r="C86" i="20"/>
  <c r="E86" i="20"/>
  <c r="F86" i="20"/>
  <c r="J87" i="20" l="1"/>
  <c r="J86" i="20"/>
  <c r="E88" i="20"/>
  <c r="F88" i="20"/>
  <c r="C88" i="20"/>
  <c r="D88" i="20"/>
  <c r="A89" i="20"/>
  <c r="J88" i="20" l="1"/>
  <c r="C89" i="20"/>
  <c r="D89" i="20"/>
  <c r="F89" i="20"/>
  <c r="A90" i="20"/>
  <c r="E89" i="20" s="1"/>
  <c r="J89" i="20" l="1"/>
  <c r="G90" i="20"/>
  <c r="E90" i="20"/>
  <c r="C90" i="20"/>
  <c r="D90" i="20"/>
  <c r="F90" i="20"/>
  <c r="H90" i="20"/>
  <c r="A91" i="20"/>
  <c r="J90" i="20" l="1"/>
  <c r="E91" i="20"/>
  <c r="F91" i="20"/>
  <c r="D91" i="20"/>
  <c r="C91" i="20"/>
  <c r="A92" i="20"/>
  <c r="C92" i="20" l="1"/>
  <c r="D92" i="20"/>
  <c r="F92" i="20"/>
  <c r="E92" i="20"/>
  <c r="A93" i="20"/>
  <c r="J91" i="20"/>
  <c r="G93" i="20" l="1"/>
  <c r="E93" i="20"/>
  <c r="C93" i="20"/>
  <c r="H93" i="20"/>
  <c r="F93" i="20"/>
  <c r="D93" i="20"/>
  <c r="J92" i="20"/>
  <c r="J93" i="20" l="1"/>
  <c r="E96" i="20" s="1"/>
</calcChain>
</file>

<file path=xl/sharedStrings.xml><?xml version="1.0" encoding="utf-8"?>
<sst xmlns="http://schemas.openxmlformats.org/spreadsheetml/2006/main" count="3741" uniqueCount="845">
  <si>
    <t>Poz.</t>
  </si>
  <si>
    <t>Podstawy
[Nr STWiORB/ CPV]</t>
  </si>
  <si>
    <t>Nazwa jednostki</t>
  </si>
  <si>
    <t>Ilość jednostek</t>
  </si>
  <si>
    <t>Razem</t>
  </si>
  <si>
    <t>I</t>
  </si>
  <si>
    <t>WYMAGANIA OGÓLNE (DZIAŁ OGÓLNY)</t>
  </si>
  <si>
    <t>A</t>
  </si>
  <si>
    <t>KOSZT DOSTOSOWANIA SIĘ DO WYMAGAŃ WARUNKÓW KONTRAKTU</t>
  </si>
  <si>
    <t>x</t>
  </si>
  <si>
    <t>00.00.00</t>
  </si>
  <si>
    <t xml:space="preserve">Koszt dostosowania się do warunków kontraktowych </t>
  </si>
  <si>
    <t>1.1</t>
  </si>
  <si>
    <t>Wykonanie geodezyjnej inwentaryzacji powykonawczej</t>
  </si>
  <si>
    <t>ryczałt</t>
  </si>
  <si>
    <t>1.2</t>
  </si>
  <si>
    <t>II</t>
  </si>
  <si>
    <t>B</t>
  </si>
  <si>
    <t>SST 01.00.00
CPV 45111000-8</t>
  </si>
  <si>
    <r>
      <t xml:space="preserve">ROBOTY PRZYGOTOWAWCZE
</t>
    </r>
    <r>
      <rPr>
        <sz val="10"/>
        <rFont val="Times New Roman"/>
        <family val="1"/>
        <charset val="238"/>
      </rPr>
      <t>Roboty w zakresie burzenia, roboty ziemne</t>
    </r>
  </si>
  <si>
    <t>01.01.01</t>
  </si>
  <si>
    <t xml:space="preserve">Wyznaczenie trasy i punktów wysokościowych </t>
  </si>
  <si>
    <t>Wyznaczenie trasy i punktów wysokościowych w terenie równinnym</t>
  </si>
  <si>
    <t>km</t>
  </si>
  <si>
    <t>01.02.01</t>
  </si>
  <si>
    <t>Usunięcie drzew lub krzewów</t>
  </si>
  <si>
    <t>szt.</t>
  </si>
  <si>
    <t>01.02.01.22</t>
  </si>
  <si>
    <t>Karczowanie krzaków i poszycia</t>
  </si>
  <si>
    <t>ha</t>
  </si>
  <si>
    <t>01.02.02</t>
  </si>
  <si>
    <t>Zdjęcie warstwy humusu i darniny</t>
  </si>
  <si>
    <t>01.02.02.12</t>
  </si>
  <si>
    <r>
      <t>m</t>
    </r>
    <r>
      <rPr>
        <b/>
        <vertAlign val="superscript"/>
        <sz val="10"/>
        <rFont val="Times New Roman"/>
        <family val="1"/>
        <charset val="238"/>
      </rPr>
      <t>2</t>
    </r>
  </si>
  <si>
    <r>
      <t>m</t>
    </r>
    <r>
      <rPr>
        <vertAlign val="superscript"/>
        <sz val="10"/>
        <rFont val="Times New Roman"/>
        <family val="1"/>
        <charset val="238"/>
      </rPr>
      <t>2</t>
    </r>
  </si>
  <si>
    <t>Mechaniczne usunięcie warstwy ziemi urodzajnej (humusu) o średniej gr. w-wy 15 cm z darniną z transportem na odkład</t>
  </si>
  <si>
    <t>01.02.04</t>
  </si>
  <si>
    <t>Rozbiórki elementów dróg, ogrodzeń i przepustów</t>
  </si>
  <si>
    <t>01.02.04.21</t>
  </si>
  <si>
    <r>
      <t>m</t>
    </r>
    <r>
      <rPr>
        <vertAlign val="superscript"/>
        <sz val="10"/>
        <rFont val="Times New Roman"/>
        <family val="1"/>
        <charset val="238"/>
      </rPr>
      <t>3</t>
    </r>
  </si>
  <si>
    <t>01.02.04.22</t>
  </si>
  <si>
    <t>Rozebranie nawierzchni z betonu asfaltowego, gr. w-wy około 8cm</t>
  </si>
  <si>
    <t>m</t>
  </si>
  <si>
    <t>01.02.04.72</t>
  </si>
  <si>
    <t>01.02.04.91</t>
  </si>
  <si>
    <t>Rozebranie ścianek czołowych i ław przepustów rurowych</t>
  </si>
  <si>
    <r>
      <t>m</t>
    </r>
    <r>
      <rPr>
        <b/>
        <vertAlign val="superscript"/>
        <sz val="10"/>
        <rFont val="Times New Roman"/>
        <family val="1"/>
        <charset val="238"/>
      </rPr>
      <t>3</t>
    </r>
  </si>
  <si>
    <t>C</t>
  </si>
  <si>
    <t>SST 02.00.00
CPV 45112000-5</t>
  </si>
  <si>
    <r>
      <t xml:space="preserve">ROBOTY ZIEMNE
</t>
    </r>
    <r>
      <rPr>
        <sz val="10"/>
        <rFont val="Times New Roman"/>
        <family val="1"/>
        <charset val="238"/>
      </rPr>
      <t>Roboty w zakresie usuwania gleby</t>
    </r>
  </si>
  <si>
    <t>02.01.01</t>
  </si>
  <si>
    <t>Wykonanie wykopów w gruntach I-V kat.</t>
  </si>
  <si>
    <t>02.03.01</t>
  </si>
  <si>
    <t>Wykonanie nasypów</t>
  </si>
  <si>
    <t>02.03.01.11</t>
  </si>
  <si>
    <t>Wykonanie nasypów mechanicznie z gruntu kat. I-VI uzyskanego z wykopu</t>
  </si>
  <si>
    <t>D</t>
  </si>
  <si>
    <t>SST 03.00.00
CPV 45231000-5</t>
  </si>
  <si>
    <r>
      <t xml:space="preserve">ODWODNIENIE KORPUSU DROGOWEGO
</t>
    </r>
    <r>
      <rPr>
        <sz val="10"/>
        <rFont val="Times New Roman"/>
        <family val="1"/>
        <charset val="238"/>
      </rPr>
      <t>Roboty budowlane w zakresie budowy rurociągów</t>
    </r>
  </si>
  <si>
    <t>03.01.01</t>
  </si>
  <si>
    <t>Przepusty pod koroną drogi</t>
  </si>
  <si>
    <t>03.01.01.60</t>
  </si>
  <si>
    <t>&lt;Wykop: średnio 1,5x1,5x1,0&gt;</t>
  </si>
  <si>
    <r>
      <t>m</t>
    </r>
    <r>
      <rPr>
        <i/>
        <vertAlign val="superscript"/>
        <sz val="10"/>
        <rFont val="Times New Roman"/>
        <family val="1"/>
        <charset val="238"/>
      </rPr>
      <t>3</t>
    </r>
  </si>
  <si>
    <t>&lt;Wykonanie podsypki z pospółki - grubość (średnia) podsypki 25cm: 1,5x0,25x1,0&gt;</t>
  </si>
  <si>
    <t>Na wykonanie 1m przepustu składa się:</t>
  </si>
  <si>
    <t>03.02.01</t>
  </si>
  <si>
    <t>Kanalizacja deszczowa</t>
  </si>
  <si>
    <t>&lt;Wykopy, średnio:1,0x1,2x1,0&gt;</t>
  </si>
  <si>
    <t>&lt;Wykonanie podłoża pod kanały z materiałów sypkich - piasku, grubość 20·cm, średnio: 1,0x0,2x1,0&gt;</t>
  </si>
  <si>
    <t>&lt;Wykonanie obsypki min. 30cm ponad wierzch rury z kruszyw naturalnych (lub piasku), średnio: (1,0x0,8-(3,14x0,1x0,1))x1&gt;</t>
  </si>
  <si>
    <t>03.02.01.23</t>
  </si>
  <si>
    <t>Wykonanie przykanalików rur polipropylenowych PP ø200mm</t>
  </si>
  <si>
    <t>03.02.01.31</t>
  </si>
  <si>
    <t>03.02.01.33</t>
  </si>
  <si>
    <t>03.02.01.41</t>
  </si>
  <si>
    <t>E</t>
  </si>
  <si>
    <t>SST 04.00.00
CPV 45233000-9</t>
  </si>
  <si>
    <r>
      <t xml:space="preserve">PODBUDOWY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</si>
  <si>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04.01.01</t>
  </si>
  <si>
    <t>Koryto wraz z profilowaniem i zagęszczeniem podłoża</t>
  </si>
  <si>
    <t>04.01.01.15</t>
  </si>
  <si>
    <t>04.03.01</t>
  </si>
  <si>
    <t>Oczyszczenie i skropienie warstw konstrukcyjnych</t>
  </si>
  <si>
    <t>04.03.01.13
04.03.01.23</t>
  </si>
  <si>
    <t>Oczyszcznie i skropienie emulsją asfaltową warstw konstrukcyjnych nieulepszonych mechanicznie</t>
  </si>
  <si>
    <t>04.03.01.14
04.03.01.24</t>
  </si>
  <si>
    <t>Oczyszcznie i skropienie emulsją asfaltową warstw konstrukcyjnych ulepszonych mechanicznie</t>
  </si>
  <si>
    <t>04.04.02</t>
  </si>
  <si>
    <t>Podbudowa z kruszywa łamanego stabilizowanego mechanicznie</t>
  </si>
  <si>
    <t>Wykonanie podbudowy z kruszywa łamanego 0/31,5mm stabilizowanego mechanicznie, gr. w-wy 10cm</t>
  </si>
  <si>
    <t>04.07.01</t>
  </si>
  <si>
    <t>Podbudowa z betonu asfaltowego</t>
  </si>
  <si>
    <t>F</t>
  </si>
  <si>
    <t>SST 05.00.00
CPV 45233000-9</t>
  </si>
  <si>
    <r>
      <t xml:space="preserve">NAWIERZCHNIE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</si>
  <si>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05.02.01</t>
  </si>
  <si>
    <t>05.03.05</t>
  </si>
  <si>
    <t>Nawierzchnia z betonu asfaltowego</t>
  </si>
  <si>
    <t>G</t>
  </si>
  <si>
    <t>SST 06.00.00
CPV 45233000-9</t>
  </si>
  <si>
    <r>
      <t xml:space="preserve">ROBOTY WYKOŃCZENIOWE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</si>
  <si>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06.01.01</t>
  </si>
  <si>
    <t>Umocnienie skarp, rowów i ścieków</t>
  </si>
  <si>
    <t>06.01.01.22</t>
  </si>
  <si>
    <t>06.02.01</t>
  </si>
  <si>
    <t>Przepusty pod zjazdami</t>
  </si>
  <si>
    <t>06.02.01.14</t>
  </si>
  <si>
    <t>&lt;Wykop: średnio 1,2x1,2x1,0&gt;</t>
  </si>
  <si>
    <t>&lt;Wykonanie podsypki z pospółki - grubość (średnia) podsypki 25cm: 1,2x0,25x1,0&gt;</t>
  </si>
  <si>
    <t>&lt;Wykonanie zasypki piaskowo-żwirowej przepustu: (1,2*0,95-(3,14*0,3*0,3))*1&gt;</t>
  </si>
  <si>
    <t>06.03.01</t>
  </si>
  <si>
    <t>Ścinanie i uzupełnianie poboczy</t>
  </si>
  <si>
    <t>06.03.01.32</t>
  </si>
  <si>
    <t>H</t>
  </si>
  <si>
    <t>SST 07.00.00
CPV 45233000-9</t>
  </si>
  <si>
    <t>07.02.01</t>
  </si>
  <si>
    <t>Oznakowanie pionowe</t>
  </si>
  <si>
    <t>07.05.01</t>
  </si>
  <si>
    <t>Bariery ochronne stalowe</t>
  </si>
  <si>
    <t>07.05.01.10</t>
  </si>
  <si>
    <t>SST 08.00.00
CPV 45233000-9</t>
  </si>
  <si>
    <r>
      <t xml:space="preserve">ELEMENTY ULIC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</si>
  <si>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08.01.01</t>
  </si>
  <si>
    <t>Krawężniki betonowe</t>
  </si>
  <si>
    <t>08.03.01</t>
  </si>
  <si>
    <t xml:space="preserve">Betonowe obrzeża chodnikowe </t>
  </si>
  <si>
    <t>08.03.01.12</t>
  </si>
  <si>
    <t>J</t>
  </si>
  <si>
    <t>kpl</t>
  </si>
  <si>
    <t>III</t>
  </si>
  <si>
    <t>L</t>
  </si>
  <si>
    <t>Roboty ziemne</t>
  </si>
  <si>
    <t>m2</t>
  </si>
  <si>
    <t>m3</t>
  </si>
  <si>
    <t>07.02.01.41</t>
  </si>
  <si>
    <t xml:space="preserve">Ustawienie słupków z rur stalowych dla znaków drogowych </t>
  </si>
  <si>
    <t>07.02.01.45</t>
  </si>
  <si>
    <t>Przymocowanie tarcz do słupków</t>
  </si>
  <si>
    <t>Oznakowanie poziome</t>
  </si>
  <si>
    <t>Rodzaj</t>
  </si>
  <si>
    <t>Nawierzchnia z betonu asfaltowego AC11S o śr. gr. 4cm
[m2]</t>
  </si>
  <si>
    <t>Uwagi</t>
  </si>
  <si>
    <t>zjazd indywidualny</t>
  </si>
  <si>
    <t>Lp</t>
  </si>
  <si>
    <t>Rodzaj robót</t>
  </si>
  <si>
    <t>Jednostka</t>
  </si>
  <si>
    <t>Wymiar</t>
  </si>
  <si>
    <t>Ilość</t>
  </si>
  <si>
    <t>1.</t>
  </si>
  <si>
    <t>2.</t>
  </si>
  <si>
    <t>3.</t>
  </si>
  <si>
    <t>4.</t>
  </si>
  <si>
    <t>5.</t>
  </si>
  <si>
    <t>6.</t>
  </si>
  <si>
    <t>8x30cm</t>
  </si>
  <si>
    <t>7.</t>
  </si>
  <si>
    <t>8.</t>
  </si>
  <si>
    <t>9.</t>
  </si>
  <si>
    <t>10.</t>
  </si>
  <si>
    <t>20cm</t>
  </si>
  <si>
    <t>10cm</t>
  </si>
  <si>
    <t>Przykanaliki z rur PPø200</t>
  </si>
  <si>
    <t xml:space="preserve">Rodzaj </t>
  </si>
  <si>
    <t>Wymiary</t>
  </si>
  <si>
    <t>Km</t>
  </si>
  <si>
    <t>W</t>
  </si>
  <si>
    <t>N</t>
  </si>
  <si>
    <t>Strona</t>
  </si>
  <si>
    <t>P</t>
  </si>
  <si>
    <t>SUMA CAŁKOWITA</t>
  </si>
  <si>
    <t>Lp.</t>
  </si>
  <si>
    <t>Symbol znaku</t>
  </si>
  <si>
    <t>Status</t>
  </si>
  <si>
    <t>Wielkość</t>
  </si>
  <si>
    <t>Wymiar [mm]</t>
  </si>
  <si>
    <t>tarcze</t>
  </si>
  <si>
    <t>tarcze aktywne wraz z pulsatorem i podświetleniem</t>
  </si>
  <si>
    <t>tablice drogo-wskazo-we</t>
  </si>
  <si>
    <t>słupki</t>
  </si>
  <si>
    <t>słupki U-5a</t>
  </si>
  <si>
    <t>Podpory na wysiegniku</t>
  </si>
  <si>
    <t xml:space="preserve"> podpory 
o konstrukcji przestrzennej</t>
  </si>
  <si>
    <t>podpora wspornikowa dla tablicy VMS</t>
  </si>
  <si>
    <t>podpory wspornikowe</t>
  </si>
  <si>
    <t>duże</t>
  </si>
  <si>
    <t>średnie</t>
  </si>
  <si>
    <t>małe</t>
  </si>
  <si>
    <t>mini</t>
  </si>
  <si>
    <t>B-33</t>
  </si>
  <si>
    <t>proj.</t>
  </si>
  <si>
    <t xml:space="preserve"> --- </t>
  </si>
  <si>
    <t>A-7</t>
  </si>
  <si>
    <t>D-2</t>
  </si>
  <si>
    <t>A-16</t>
  </si>
  <si>
    <t>600x600</t>
  </si>
  <si>
    <t>400x400</t>
  </si>
  <si>
    <t>C-13/16</t>
  </si>
  <si>
    <t>przest.</t>
  </si>
  <si>
    <t>B-20</t>
  </si>
  <si>
    <t>T-1</t>
  </si>
  <si>
    <t>D-42</t>
  </si>
  <si>
    <t>A-3</t>
  </si>
  <si>
    <t>oznakowanie do przestawienia</t>
  </si>
  <si>
    <t>600x250</t>
  </si>
  <si>
    <t>A-8</t>
  </si>
  <si>
    <t>750x650</t>
  </si>
  <si>
    <t>D-6</t>
  </si>
  <si>
    <t>A-6c</t>
  </si>
  <si>
    <t>A-2</t>
  </si>
  <si>
    <t>A-1</t>
  </si>
  <si>
    <t>800x800</t>
  </si>
  <si>
    <t>ul. Skorodeckiego</t>
  </si>
  <si>
    <t>ul. Pułaskiego</t>
  </si>
  <si>
    <t>1200x530</t>
  </si>
  <si>
    <t>D-40</t>
  </si>
  <si>
    <t>zużycie na miejscu</t>
  </si>
  <si>
    <t>powierzchnia</t>
  </si>
  <si>
    <t>objętość</t>
  </si>
  <si>
    <t>ok</t>
  </si>
  <si>
    <t>Wykonanie nawierzchni z kruszywa łamanego 0/31,5mm, gr. w-wy 20cm</t>
  </si>
  <si>
    <t>Ustawienie barier ochronnych stalowych jednostronnych</t>
  </si>
  <si>
    <t>Wykonanie malowania oznakowania poziomego</t>
  </si>
  <si>
    <t>6.1</t>
  </si>
  <si>
    <t>04.04.02.22</t>
  </si>
  <si>
    <t>Nawierzchnia z kruszywa łamanego</t>
  </si>
  <si>
    <t>07.01.01</t>
  </si>
  <si>
    <t>Nazwa zadania:</t>
  </si>
  <si>
    <t xml:space="preserve"> TABELA WARTOŚCI ELEMENTÓW  SCALONYCH </t>
  </si>
  <si>
    <t>Oznaczenie elementu</t>
  </si>
  <si>
    <t>Wyszczególnienie</t>
  </si>
  <si>
    <t xml:space="preserve">Wartość netto 
(PLN) </t>
  </si>
  <si>
    <t>RAZEM [I]</t>
  </si>
  <si>
    <t>ROBOTY  PRZYGOTOWAWCZE</t>
  </si>
  <si>
    <t>ROBOTY ZIEMNE</t>
  </si>
  <si>
    <t>ODWODNIENIE KORPUSU DROGOWEGO</t>
  </si>
  <si>
    <t>PODBUDOWY</t>
  </si>
  <si>
    <t>NAWIERZCHNIE</t>
  </si>
  <si>
    <t>ROBOTY  WYKOŃCZENIOWE</t>
  </si>
  <si>
    <t>ELEMENTY ULIC</t>
  </si>
  <si>
    <t>RAZEM [II]</t>
  </si>
  <si>
    <t>PODATEK VAT 23%</t>
  </si>
  <si>
    <t>OGÓŁEM WARTOŚĆ KOSZTORYSOWA ROBÓT BRUTTO</t>
  </si>
  <si>
    <t>Słownie:</t>
  </si>
  <si>
    <t>0-5</t>
  </si>
  <si>
    <t>6-9</t>
  </si>
  <si>
    <t>dodatek</t>
  </si>
  <si>
    <t>sumuj te ciągi</t>
  </si>
  <si>
    <t xml:space="preserve"> ZAŁĄCZNIKI DO PRZEDMIARU ROBÓT</t>
  </si>
  <si>
    <t>07.01.01.11</t>
  </si>
  <si>
    <t>2) Jako osobną pozycję przedmiarową przedstawiono zestaw podświetlanego znaku D-6 z systemem zasilania
 solarnego na podporze wspornikowej (1 szt.)</t>
  </si>
  <si>
    <t>1) Znaki do likwidacji wraz ze słupkami - C-13 - 3 szt.</t>
  </si>
  <si>
    <t>KALKULACJA SZACUNKOWA</t>
  </si>
  <si>
    <t>PRZEBUDOWA DROGI GMINNEJ (ROBOTY BRANŻOWE)</t>
  </si>
  <si>
    <t>PRZEBUDOWA I ZABEZPIECZENIE URZĄDZEŃ OBCYCH</t>
  </si>
  <si>
    <t>RAZEM [III]</t>
  </si>
  <si>
    <r>
      <t>[m</t>
    </r>
    <r>
      <rPr>
        <b/>
        <vertAlign val="superscript"/>
        <sz val="11"/>
        <rFont val="Calibri"/>
        <family val="2"/>
        <charset val="238"/>
      </rPr>
      <t>2</t>
    </r>
    <r>
      <rPr>
        <b/>
        <sz val="11"/>
        <rFont val="Calibri"/>
        <family val="2"/>
        <charset val="238"/>
      </rPr>
      <t>]</t>
    </r>
  </si>
  <si>
    <r>
      <t>[m</t>
    </r>
    <r>
      <rPr>
        <b/>
        <vertAlign val="superscript"/>
        <sz val="11"/>
        <rFont val="Calibri"/>
        <family val="2"/>
        <charset val="238"/>
      </rPr>
      <t>3</t>
    </r>
    <r>
      <rPr>
        <b/>
        <sz val="11"/>
        <rFont val="Calibri"/>
        <family val="2"/>
        <charset val="238"/>
      </rPr>
      <t>]</t>
    </r>
  </si>
  <si>
    <t>Tabela nr 10. Zestawienie oznakowania pionowego</t>
  </si>
  <si>
    <t>PODATEK VAT 23%:</t>
  </si>
  <si>
    <t>OGÓŁEM WARTOŚĆ KOSZTORYSOWA ROBÓT BRUTTO:</t>
  </si>
  <si>
    <t>kilometraż</t>
  </si>
  <si>
    <t>Długość. w pasie drogowym/dł. zakresu robót 
[m]</t>
  </si>
  <si>
    <r>
      <t>Średnica przepustu [</t>
    </r>
    <r>
      <rPr>
        <sz val="10"/>
        <rFont val="Symbol"/>
        <family val="1"/>
        <charset val="2"/>
      </rPr>
      <t>f] 
[</t>
    </r>
    <r>
      <rPr>
        <sz val="10"/>
        <rFont val="Arial"/>
        <family val="2"/>
        <charset val="238"/>
      </rPr>
      <t>cm]</t>
    </r>
  </si>
  <si>
    <t>Długość. przepustu z tworzywa
[m]</t>
  </si>
  <si>
    <t>Szerokość zjazdu na połączeniu z krawędzią jezdni DG
[m]</t>
  </si>
  <si>
    <t>strona</t>
  </si>
  <si>
    <t>zjazd na drogę wewnętrzną</t>
  </si>
  <si>
    <t>Rozebranie nawierzchni z mieszanek mineralno-bitumicznych. Wykonawca zapewni utylizację materiału z rozbiórki zgodnie z obowiązującymi przepisami.</t>
  </si>
  <si>
    <t>Rozbiórka ścianek czołowych przepustów pod zjazdami</t>
  </si>
  <si>
    <t>Ø500</t>
  </si>
  <si>
    <t xml:space="preserve">Karczowanie drzew </t>
  </si>
  <si>
    <t>36-55cm</t>
  </si>
  <si>
    <t>7-10cm</t>
  </si>
  <si>
    <t>15cm</t>
  </si>
  <si>
    <t>Ø600</t>
  </si>
  <si>
    <t>Wykonanie prefabrykowanych ścianek czołowych na rowach  
w rejonie wlotów/wylotów kanalizacji deszczowej</t>
  </si>
  <si>
    <t>1. Przepusty</t>
  </si>
  <si>
    <t>2. Kanalizacja deszczowa</t>
  </si>
  <si>
    <t>3. Odwodnienie powierzchniowe korpusu drogi</t>
  </si>
  <si>
    <t>60x40x8</t>
  </si>
  <si>
    <t xml:space="preserve">Wykonanie przewodowej części kanalizacji deszczowej z rur polipropylenowych PP ø400 </t>
  </si>
  <si>
    <t>Ø400</t>
  </si>
  <si>
    <t>Ø200</t>
  </si>
  <si>
    <t>Ø1200</t>
  </si>
  <si>
    <t>Ø1500</t>
  </si>
  <si>
    <t xml:space="preserve">Tabela nr 4. Elementy drogowe </t>
  </si>
  <si>
    <t>30x20cm</t>
  </si>
  <si>
    <t>2. Krawężniki drogowe wylewane ze ściekiem o wym. 20x30cm</t>
  </si>
  <si>
    <t>Betonowe krawężniki drogowe 20x30 wylewane monolitycznieo ze ściekiem o szer. 20cm (V=0,13m3/m)</t>
  </si>
  <si>
    <t xml:space="preserve">Wykonanie czterech rzędów kostki brukowej typu Stop (Hold) o gr. 8cm na podsypce cementwo- piaskowej o gr. 3cm wzdłuż krawędzi zatoki autobusowej. </t>
  </si>
  <si>
    <t>10x20cm</t>
  </si>
  <si>
    <t xml:space="preserve">Tabela nr 3. Odwodnienie korpusu </t>
  </si>
  <si>
    <t xml:space="preserve">Tabela nr 2. Roboty rozbiórkowe </t>
  </si>
  <si>
    <t>Tabela nr 1. Zjazdy indywidualne</t>
  </si>
  <si>
    <t>2. Obrzeża betonowe o wym. 8x30cm</t>
  </si>
  <si>
    <t xml:space="preserve">Nawierzchnia wartwy ścieralnej AC11S gr. 4cm </t>
  </si>
  <si>
    <t>Podbudowa z kruszywa łamanego 0/31,5 stabil. mech. o gr. 10cm</t>
  </si>
  <si>
    <t>Warstwa wiążąca z betonu asfaltowego AC16W gr. 5cm</t>
  </si>
  <si>
    <t>Warstwa podbudowy z betonu asfaltowego AC22P gr. 7cm</t>
  </si>
  <si>
    <t>Wyszczególnienie elementów rozliczeniowych
(Opis robót i obliczenie ich ilości)</t>
  </si>
  <si>
    <t>Wykonanie wyznaczenia granic projektowanego pasa drogowego (P.P.D.) w terenie wraz z stabilizacją granic słupkami granicznymi</t>
  </si>
  <si>
    <t>ROBOTY DROGOWE: BUDOWA DROGI GMINNEJ</t>
  </si>
  <si>
    <t>01.01.01.22</t>
  </si>
  <si>
    <t>3</t>
  </si>
  <si>
    <t>4</t>
  </si>
  <si>
    <t>5</t>
  </si>
  <si>
    <t>01.02.04.11</t>
  </si>
  <si>
    <t>Rozebranie nawierzchni żwirowej, gr. w-wy 15 cm</t>
  </si>
  <si>
    <t>6</t>
  </si>
  <si>
    <t>02.01.01.13</t>
  </si>
  <si>
    <t>7</t>
  </si>
  <si>
    <t>8</t>
  </si>
  <si>
    <t>9</t>
  </si>
  <si>
    <t>10</t>
  </si>
  <si>
    <t>11</t>
  </si>
  <si>
    <t xml:space="preserve">Wykonanie kanału deszczowego z rur PP o średnicy 40cm </t>
  </si>
  <si>
    <t>12</t>
  </si>
  <si>
    <t>Na wykonanie 1 mb przykanalika składa się:</t>
  </si>
  <si>
    <t>15</t>
  </si>
  <si>
    <t>Wykonanie przepustów z rur PP pod projektowanymi zjazdami - zgodnie z tab. 1 zjazdy indywidualne</t>
  </si>
  <si>
    <t>03.01.01.11</t>
  </si>
  <si>
    <t xml:space="preserve">Wykonanie ścianek czołowych </t>
  </si>
  <si>
    <t>Ułożenie przepustów pod koroną drogi, rury o średnicy 60 cm</t>
  </si>
  <si>
    <t>Podbudowa z kruszywa łamanego 0/31,5 stabil. mech. o gr. 20cm</t>
  </si>
  <si>
    <t>04.05.01</t>
  </si>
  <si>
    <t>Podbudowa i ulepszone podłoże z gruntu lub kruszywa stabilizowanego cementem</t>
  </si>
  <si>
    <t>Wykonanie podbudowy z gruntu stabilizowanego cementem gr. 15cm</t>
  </si>
  <si>
    <t>Wykonanie podbudowy z kruszywa łamanego 0/31,5mm stabilizowanego mechanicznie, gr. w-wy 20cm</t>
  </si>
  <si>
    <t>04.04.02.24</t>
  </si>
  <si>
    <t>04.05.01.12</t>
  </si>
  <si>
    <t>Wykonanie podbudowy z betonu asfaltowego, gr. w-wy 7cm.</t>
  </si>
  <si>
    <t>Wykonanie nawierzchni z betonu asfaltowego AC16W, warstwa wiążąca, gr. w-wy 5 cm</t>
  </si>
  <si>
    <t>05.03.05.26</t>
  </si>
  <si>
    <t>Przepusty z rur PP pod zjazdami o średnicy 50 cm</t>
  </si>
  <si>
    <t>16</t>
  </si>
  <si>
    <t>17</t>
  </si>
  <si>
    <t>18</t>
  </si>
  <si>
    <t>Cena jednostkowa</t>
  </si>
  <si>
    <t>Wartość robót netto</t>
  </si>
  <si>
    <t>RAZEM [A]</t>
  </si>
  <si>
    <t>RAZEM [B]</t>
  </si>
  <si>
    <t>RAZEM [C]</t>
  </si>
  <si>
    <t>RAZEM [D]</t>
  </si>
  <si>
    <t>RAZEM [E]</t>
  </si>
  <si>
    <t>RAZEM [F]</t>
  </si>
  <si>
    <t>RAZEM [G]</t>
  </si>
  <si>
    <t>OGÓŁEM [I]: WYMAGANIA OGÓLNE  (DZIAŁ OGÓLNY)</t>
  </si>
  <si>
    <t>Wyznaczenie trasy i punktów wysokościowych w terenie równinym</t>
  </si>
  <si>
    <t>Wykonanie wykopów mechanicznie w gr. kat. I-V z transportem urobku
 na odkład na odl. 2-5 km</t>
  </si>
  <si>
    <t>RAZEM [H]</t>
  </si>
  <si>
    <t>IV</t>
  </si>
  <si>
    <t>BRANŻA ELEKTROENERGETYCZNA</t>
  </si>
  <si>
    <t>11.</t>
  </si>
  <si>
    <t>K</t>
  </si>
  <si>
    <t>BRANŻA TELETECHNICZNA</t>
  </si>
  <si>
    <t>12.</t>
  </si>
  <si>
    <t>PRZEBUDOWA KABLA ŚWIATŁOWODOWEGO SSPW</t>
  </si>
  <si>
    <t>BUDOWA KANAŁU TECHNOLOGICZNEGO</t>
  </si>
  <si>
    <t>RAZEM [IV]</t>
  </si>
  <si>
    <t>V</t>
  </si>
  <si>
    <t>RAZEM [V]</t>
  </si>
  <si>
    <t>Wykonanie podbudowy z gruntu stabilizowanego cementem gr. 30cm</t>
  </si>
  <si>
    <t>1.3</t>
  </si>
  <si>
    <t>Wykonanie podbudowy z gruntu ulepszonego cementem gr. 30cm</t>
  </si>
  <si>
    <t>1.5</t>
  </si>
  <si>
    <t>1.4</t>
  </si>
  <si>
    <t>M</t>
  </si>
  <si>
    <t>O</t>
  </si>
  <si>
    <t xml:space="preserve">   CPV 32412100-5 </t>
  </si>
  <si>
    <t>CPV 32562200-2</t>
  </si>
  <si>
    <t>WARTOŚĆ KOSZTORYSOWA ROBÓT BEZ PODATKU VAT [I-V]:</t>
  </si>
  <si>
    <t xml:space="preserve">Wykonanie docelowej organizacji ruchu (oznakowanie pionowe i poziome) zgodnie z wymaganymi standardami oraz projektem stałej organizacji ruchu. </t>
  </si>
  <si>
    <t>Koszt dostosowania się do pozostałych wymagań Warunków Kontraktu,Wymagań Ogólnych zawartych w Specyfikacji Technicznej Wykonania i Odbioru Robót Budowlanych DM.00.00.00 oraz szczegółowych STWiORB. Koszty spełnienia wymagań zarządców/właścicieli istniejących sieci zgodnie z załączonymi do dokumentacji technicznej uzgodnieniami, decyzjami i warunkami technicznymi (w tym min. nadzór arecheologiczny).</t>
  </si>
  <si>
    <t>Umocnienie skarp rowów elementami prefabrykowanymi ażurowymi o wymiarach 60x40x8 cm na podsypce cementowo-piaskowej 1:4 o gr. 10 cm</t>
  </si>
  <si>
    <t>Wykonanie i zatwierdzenie projektu oznakowania robót i organizacji ruchu na czas prowadzenia robót (4 egz.) wraz z zakupem, ustawieniem, rozbiórką (po zakończeniu robót) i utrzymaniem oznakowania w trakcie realizacji robót</t>
  </si>
  <si>
    <t>DM 00.00.00</t>
  </si>
  <si>
    <t>Humusowanie z obsianiem skarp przy grubości humusu gr. 10 cm</t>
  </si>
  <si>
    <t>Umocnienie rowów elementami prefabrykowanymi żelbetowymi - koryta trapezowe typu głębokiego</t>
  </si>
  <si>
    <t>Ustawienie obrzeży betonowych o wymiarach 30x8 cm na ławie betonowej z oporem</t>
  </si>
  <si>
    <t>Wykonanie studni kanalizacyjnych przelotowych betonowych o średnicy ø120cm wraz z wykonaniem wykopu</t>
  </si>
  <si>
    <t>Wykonanie studzienek ściekowych z kregów betonowych o średnicy ø50cm, z wpustem żeliwnym klasy D400</t>
  </si>
  <si>
    <t>Umocnienie skarp rowów elementami prefabrykowanymi betonowymi ażurowymi 60x40x8 cm</t>
  </si>
  <si>
    <t>13.</t>
  </si>
  <si>
    <t>14.</t>
  </si>
  <si>
    <t>15.</t>
  </si>
  <si>
    <t>16.</t>
  </si>
  <si>
    <t>Wykonanie nawierzchni z betonu asfaltowego AC 11S warstwa ścieralna, gr. w-wy 4 cm</t>
  </si>
  <si>
    <r>
      <t xml:space="preserve">Rodzaj istn. 
nawierzchni jezdni:
</t>
    </r>
    <r>
      <rPr>
        <b/>
        <sz val="10"/>
        <rFont val="Arial CE"/>
        <charset val="238"/>
      </rPr>
      <t>A-bitumiczna
B- kostka przez chodnik+kruszywo za chodnikiem</t>
    </r>
  </si>
  <si>
    <t>Nawierzchnia z kruszywa łamanego 
0/31,5mm o gr. 20cm za chodnikiem
[m2]</t>
  </si>
  <si>
    <t>Warstwa wiążąca z betonu asfaltowego AC16W o gr. 4cm 
[m2]</t>
  </si>
  <si>
    <t>Warstwapodbudowy z kruszywa łamanego 0/31,5 stabilizowanego mechanicznie o gr. 20cm</t>
  </si>
  <si>
    <t>Warstwa gruntu stabilizowanego cementem  Rm=2,5 Mpa o gr. 30</t>
  </si>
  <si>
    <t>BITUMICZNE</t>
  </si>
  <si>
    <t>PRZEZ CHODNIK</t>
  </si>
  <si>
    <t>Podbudowa z betonu C12/15 o gr. 10cm</t>
  </si>
  <si>
    <t>Nawierzchnia z kostki brukowej betonowejo gr. 8cm na podsypce cementowo-piaskowej 1:4 gr. 5cm
[m2]</t>
  </si>
  <si>
    <t>0+042,56</t>
  </si>
  <si>
    <t>ODCINEK A</t>
  </si>
  <si>
    <t>0+076,76</t>
  </si>
  <si>
    <t>0+116,59</t>
  </si>
  <si>
    <t>0+138,53</t>
  </si>
  <si>
    <t>0+171,23</t>
  </si>
  <si>
    <t>0+210,00</t>
  </si>
  <si>
    <t>0+226,64</t>
  </si>
  <si>
    <t>0+240,00</t>
  </si>
  <si>
    <t>0+264,29</t>
  </si>
  <si>
    <t>0+292,42</t>
  </si>
  <si>
    <t>0+333,10</t>
  </si>
  <si>
    <t>0+396,46</t>
  </si>
  <si>
    <t>0+420,00</t>
  </si>
  <si>
    <t>0+475,52</t>
  </si>
  <si>
    <t>0+494,71</t>
  </si>
  <si>
    <t>0+506,59</t>
  </si>
  <si>
    <t>0+507,69</t>
  </si>
  <si>
    <t>0+539,83</t>
  </si>
  <si>
    <t>0+567,13</t>
  </si>
  <si>
    <t>0+570,87</t>
  </si>
  <si>
    <t>0+578,98</t>
  </si>
  <si>
    <t>0+662,27</t>
  </si>
  <si>
    <t>ODCINEK B</t>
  </si>
  <si>
    <t>Szerokość (nawierzchnia)
[m]</t>
  </si>
  <si>
    <t>Szerokość w nawiązaniu do istniejącej nawierzchni tłuczniowej</t>
  </si>
  <si>
    <t>Nawierzhnia z kruszywa za chodnikiem</t>
  </si>
  <si>
    <t>Zjazd do bramy wjazdowej</t>
  </si>
  <si>
    <t>Nawiązanie do szerokości istniejącej nawierzchni żwirowej</t>
  </si>
  <si>
    <t>Korytko grzebieniowe w zakresie zjazdu</t>
  </si>
  <si>
    <t>Zjazd podwójny</t>
  </si>
  <si>
    <t>Nawierzchnia za chodnikeim z kostki brukowej</t>
  </si>
  <si>
    <t>Korytko grzebieniowe w zakresie zjazdu. 
Nawiązanie do istniejącej nawierzchni bitumicznej</t>
  </si>
  <si>
    <t>Proj. umocnienie skarp wlotu/wylotu z płyt ażurowych 
o gr. 8cm na podsypce piaskowej o gr. 10cm
[m2]</t>
  </si>
  <si>
    <t>Dowiązanie sytuacyjne do istniejącje drogi wewnętrznej</t>
  </si>
  <si>
    <t>Nawiązanie do istniejącej nawierzchni bitumicznej</t>
  </si>
  <si>
    <t>0+030,60</t>
  </si>
  <si>
    <t>0+031,03</t>
  </si>
  <si>
    <t>0+055,54</t>
  </si>
  <si>
    <t>0+078,34</t>
  </si>
  <si>
    <t>0+105,02</t>
  </si>
  <si>
    <t>0+128,54</t>
  </si>
  <si>
    <t>0+140,00</t>
  </si>
  <si>
    <t>0+174,05</t>
  </si>
  <si>
    <t>0+199,25</t>
  </si>
  <si>
    <t>0+213,00</t>
  </si>
  <si>
    <t>0+230,60</t>
  </si>
  <si>
    <t>0+241,31</t>
  </si>
  <si>
    <t>0+259,14</t>
  </si>
  <si>
    <t>0+281,28</t>
  </si>
  <si>
    <t>0+310,37</t>
  </si>
  <si>
    <t>0+342,66</t>
  </si>
  <si>
    <t>0+364,44</t>
  </si>
  <si>
    <t>0+402.27</t>
  </si>
  <si>
    <t>0+407,58</t>
  </si>
  <si>
    <t>0+457,38</t>
  </si>
  <si>
    <t>0+476,35</t>
  </si>
  <si>
    <t>0+504,24</t>
  </si>
  <si>
    <t>0+527,13</t>
  </si>
  <si>
    <t>0+537,95</t>
  </si>
  <si>
    <t>0+542,30</t>
  </si>
  <si>
    <t>ODCINEK C</t>
  </si>
  <si>
    <t>Dodatkowo przewiduje się wykonanie dojścia dla pieszych z kostki brukowej betonowej o konstrukcji jak na chodniku - pow. 4m2</t>
  </si>
  <si>
    <t>Umocnienie na wlocie przepustu wliczone wg tab. 4 el. prefabrykowane</t>
  </si>
  <si>
    <t>Umocnienie na wlocie i wylocie przepustu wliczone wg tab. 4 el. prefabrykowane</t>
  </si>
  <si>
    <t>Korytko niestendardowe w zakresie zjazdu - zgodnie z rys. szczegółów</t>
  </si>
  <si>
    <t>Regulacja wysokościowa istniejącego włazu studni kanalizacyjnej zlokalizowanego w nawierzhcni zjazdu</t>
  </si>
  <si>
    <t>0+020,00</t>
  </si>
  <si>
    <t>0+049,35</t>
  </si>
  <si>
    <t>0+080,20</t>
  </si>
  <si>
    <t>0+102,21</t>
  </si>
  <si>
    <t>0+115,41</t>
  </si>
  <si>
    <t>0+138,59</t>
  </si>
  <si>
    <t>0+160,49</t>
  </si>
  <si>
    <t>0+175,04</t>
  </si>
  <si>
    <t>Zjazd do stacji transformatorowej</t>
  </si>
  <si>
    <t>Obramowanie krawężnikiem</t>
  </si>
  <si>
    <t>Obramowanie krawężnikiem lewej krawędzi zjazdu</t>
  </si>
  <si>
    <t>SUMA ODC. A, B, C</t>
  </si>
  <si>
    <t>Rozebranie podbudowy z kruszywa o łącznej grubości ok. 35 cm. Materiał z robiórki przechodzi na własnośc Wykonawcy.</t>
  </si>
  <si>
    <t>35cm</t>
  </si>
  <si>
    <t>Rozbiórka nawierzchni z prefabrykowanych płyt betonowych gr. 10cm na zjazdach. Materiał z robiórki przechodzi na własnośc Wykonawcy.</t>
  </si>
  <si>
    <t>Rozbiórka nawierzchni żwirowej o łącznej gr. około 15cm. Materiał 
z robiórki przechodzi na własnośc Wykonawcy.</t>
  </si>
  <si>
    <t>Rozbiórka nawierzchni tłuczniowej o łącznej gr. około 20cm. Materiał z robiórki przechodzi na własnośc Wykonawcy.</t>
  </si>
  <si>
    <t>Rozbiórka nawierzchni z kostki betonowej gr. 8cm na zjazdach. Materiał z robiórki przechodzi na własnośc Wykonawcy.</t>
  </si>
  <si>
    <t>8cm</t>
  </si>
  <si>
    <t>Karczowanie zakrzeczeń</t>
  </si>
  <si>
    <t xml:space="preserve">Rozbiórka przepustów żelbetowych pod droga gminną </t>
  </si>
  <si>
    <t>Rozbiórka i przełożenie stalowej bariery ochronnej w zakresie skrzyżowania z ul. Kolonia</t>
  </si>
  <si>
    <t>Budowa przepustów z rur PP pod drogą gminną</t>
  </si>
  <si>
    <t xml:space="preserve">Wykonanie przewodowej części kanalizacji deszczowej z rur polipropylenowych PP ø315 </t>
  </si>
  <si>
    <t>Ø315</t>
  </si>
  <si>
    <t xml:space="preserve">Wykonanie przewodowej części kanalizacji deszczowej z rur polipropylenowych PP ø500 </t>
  </si>
  <si>
    <t>Ø1000</t>
  </si>
  <si>
    <t xml:space="preserve">Wykonanie studni kanalizacyjnych przelotowych prefabrykownaych ø1000 </t>
  </si>
  <si>
    <t xml:space="preserve">Wykonanie studni kanalizacyjnych przelotowych prefabrykownaych ø1200 </t>
  </si>
  <si>
    <t xml:space="preserve">Wykonanie studni kanalizacyjnych wpadowo-przelotowych z wpustem deszczowym ø800 </t>
  </si>
  <si>
    <t>Ø800</t>
  </si>
  <si>
    <t xml:space="preserve">Wykonanie studni kanalizacyjnych połączeniowych prefabrykownaych ø1500 </t>
  </si>
  <si>
    <t>60x50x15</t>
  </si>
  <si>
    <t>Wykonanie korytka kolejowego z betonowych elementów prefabrykowanych wraz z podsypką piaskową gr. 10cm</t>
  </si>
  <si>
    <t>50x60x50cm</t>
  </si>
  <si>
    <t>30x60x13cm</t>
  </si>
  <si>
    <t>Wykonanie prefabrykowanego korytka typu gara-eog o wym. 62x52x19cm wraz z podsypką cementowo-piaskową gr. 5cm i ławą żwirową gr. 15cm</t>
  </si>
  <si>
    <t>62x52x19cm</t>
  </si>
  <si>
    <t>Wykonanie ścieków z prefabrykowanego korytka grzebieniowego na zjazdach o wym. 60x30x13cm wraz z podsypką cementowo-piaskową gr. 5cm i ławie betonowej z betonu C12/15 gr.15cm</t>
  </si>
  <si>
    <t>Wykonanie prefabrykowanego korytka trójkątnego o wym. 50x50x18cm wraz z podsypką cementowo-piaskową gr. 3cm i ławą żwirową gr. 15cm</t>
  </si>
  <si>
    <t>50x50x18m</t>
  </si>
  <si>
    <t>Wykonanie ścieków muldowych z betonowych elementów prefabrykowanych wym. 60x50x15cm wraz z podsypką cementowo-piskową gr. 5cm oraz ławą żwirową gr. 15cm*</t>
  </si>
  <si>
    <t>*nie obejmuje umocnień przy wylotach z przepustów pod zjazdami</t>
  </si>
  <si>
    <t>ZJAZDY BITUMICZNE/Z KOSTKI BRUKOWEJ - ZGODNIE Z TAB. 1</t>
  </si>
  <si>
    <t>Wykonanie korytka niestandardowego na zjazdach wraz z podsypką cementowo-piaskową gr. 5cm. Korytko niestandardowe składa się z ściętego ścieku trójkątnego, dwurzędowej kostki o wym. 20x10x8cm oraz krawężnika betonowego o wym. 12x25x100cm (zgodnie z rys. 5.1. Szczegóły)</t>
  </si>
  <si>
    <t>1. Krawężniki drogowe prefabrykowane o wym. 15x30cm</t>
  </si>
  <si>
    <t>Betonowe krawężniki drogowe o wym. 15x30cm na podsypce cementowo - piaskowej o gr. 5cm i ławie betonowej C12/16 (V=0,075m3/m)</t>
  </si>
  <si>
    <t>15x30cm</t>
  </si>
  <si>
    <t>Ustawienie obrzeży betonowych o wym. 8x30cm na podsypce cementowo-piaskowej 
o gr. 3cm i ławie betonowej z betonu C12/16 (V=0,029m3/m):</t>
  </si>
  <si>
    <t>DROGA GMINNA - UL. JAROSZA - KR3 (ODC. A)</t>
  </si>
  <si>
    <t>Tabela nr 5. Konstrukcje drogi gminnej odc. A, B, C</t>
  </si>
  <si>
    <t>DROGI GMINNE - KR1 (ODC. B, C)*</t>
  </si>
  <si>
    <t>*nie zawiera nawierzchni zjazdów</t>
  </si>
  <si>
    <t>Podbudowa z kruszywa łamanego 0/31,5 stabil. mech. o gr. 22cm</t>
  </si>
  <si>
    <t>Warstwa podłoża stabilizowanego cementem o Rm = 2,5 MPa gr. 30cm</t>
  </si>
  <si>
    <t>Warstwa wiążąca z betonu asfaltowego AC16W gr. 4cm</t>
  </si>
  <si>
    <t>Tabela nr 6. Konstrukcja chodnika dla pieszych</t>
  </si>
  <si>
    <t>Kostka brukowa betonowa gr. 6cm na podsypce cementowo-piaskowej 1:4 gr. 3cm</t>
  </si>
  <si>
    <t>Warstwa kruszywa stabilizowanego cementem o Rm = 2,5 MPa gr. 15cm</t>
  </si>
  <si>
    <t>CHODNIK DLA PIESZYCH*</t>
  </si>
  <si>
    <t>*dotyczy również opaski z kostki brukowej (odc. C)</t>
  </si>
  <si>
    <t>Tabela nr 7 Tabela robót ziemnych</t>
  </si>
  <si>
    <t>ODCINEK "A"</t>
  </si>
  <si>
    <t>ODCINEK "B"</t>
  </si>
  <si>
    <t>ODCINEK "C"</t>
  </si>
  <si>
    <r>
      <t xml:space="preserve">Wyznaczenie trasy i punktów wysokościowych dróg gminnych o łącznej długości ok. 1513 m. wraz z zjazdami, chodnikiem dla pieszych, elementami odwodnienia (studni, wpustów, ścieków itd.) oraz istniejących sieci uzbrojenia terenu, itd. </t>
    </r>
    <r>
      <rPr>
        <b/>
        <sz val="10"/>
        <rFont val="Times New Roman"/>
        <family val="1"/>
        <charset val="238"/>
      </rPr>
      <t xml:space="preserve">Kompletna obsługa geodezyjna inwestycji.
</t>
    </r>
    <r>
      <rPr>
        <sz val="10"/>
        <rFont val="Times New Roman"/>
        <family val="1"/>
        <charset val="238"/>
      </rPr>
      <t xml:space="preserve">&lt;L1=725m&gt;
&lt;L2=596m&gt;
&lt;L3=192m&gt;
</t>
    </r>
    <r>
      <rPr>
        <b/>
        <sz val="10"/>
        <rFont val="Times New Roman"/>
        <family val="1"/>
        <charset val="238"/>
      </rPr>
      <t>&lt;L=L1+L2+L2=1,513 km&gt;</t>
    </r>
  </si>
  <si>
    <t>Karczowanie drzew o średnicy 36-55 cm</t>
  </si>
  <si>
    <t>01.02.01.12</t>
  </si>
  <si>
    <t>Usunięcze drzew, w tym ścinanie gałęzi, dłużyc i karczowanie pni.  Materiały z wycinki stanowią własność Wykonawcy robót.
&lt;N=17 szt.&gt; wg Tabeli nr 2</t>
  </si>
  <si>
    <t>Karczowanie drobnych samosiejek drzew, krzaków i poszycia wraz z niszczeniem karpiny, zasypaniem i zagęszczeniem dołów. Drągowina, gałęzie stanowią własność Wykonawcy robót.
&lt;F=0,36 ha&gt; wg Tabeli nr 2</t>
  </si>
  <si>
    <t>Mechaniczne usunięcie warstwy urodzajnej (humusu) gr. w-wy 15cm z transportem na odkład. Transport i miejsce składowania (ewen. utylizacji) zapewnia Wykonawca robót. Darnina i humus przechodzi na własność Wykonawcy.
&lt;F=13 778,7 m2&gt;</t>
  </si>
  <si>
    <t>Rozebranie podbudowy z kruszywa, gr. w-wy 35 cm</t>
  </si>
  <si>
    <t>Rozebranie podbudowy z kruszywa, śr. gr. w-wy około 35cm w obrębie występowania nawierzchni bitumicznych w ciągu isntiejącego odcinka drogi gminnej.
&lt; F=1257,36 m2&gt; - wg Tabel nr 2</t>
  </si>
  <si>
    <t>Materiał z rozbiórki przechodzi na własność Wykonawcy.Transport materiału przez Wykonawcę na plac składowania.
&lt;V=1257,36m2 x 0,35m =440,08m3&gt;</t>
  </si>
  <si>
    <t>Rozebranie nawierzchni z tłucznia, gr. w-wy 20 cm</t>
  </si>
  <si>
    <t>Rozebranie nawierzchni z tłucznia, śr. gr. w-wy około 20cm. 
&lt; F=2 137,8 m2&gt; - wg Tabel nr 2</t>
  </si>
  <si>
    <t>Materiał z rozbiórki przechodzi na własność Wykonawcy. Transport materiału przez Wykonawcę na plac składowania.
&lt;V=2137,8 m2 x0,2m =427,56m3&gt;</t>
  </si>
  <si>
    <t>Rozebranie nawierzchni (w-wa ścieralna i wiążąca) z betonu asfaltowego o gr. w-wy 7-10cm w ciągu odcinka drogi gminnej.
&lt;F=1047,8 m2 &gt; - wg Tabel nr 2</t>
  </si>
  <si>
    <t>01.02.04.27</t>
  </si>
  <si>
    <t>Rozebranie nawierzchni z płyt betonowych</t>
  </si>
  <si>
    <t>01.02.04.24</t>
  </si>
  <si>
    <t>Rozebranie nawierzchni z kostki brukowje beotnowej gr. 8cm w zakresie zjazdu indywidualnego w km ok. 0+075 odc. A.
&lt;F=19,9 m2 &gt; - wg Tabel nr 2</t>
  </si>
  <si>
    <t>Rozebranie nawierzchni z płyt betonowych gr. 10cm w zakresie zjazdu indywidualnego w km ok. 0+660 odc. A.
&lt;F=9,2 m2 &gt; - wg Tabel nr 2</t>
  </si>
  <si>
    <t>Rozebranie nawierzchni żwirowej, śr. gr. w-wy około 15cm. 
&lt; F=1668,1 m2&gt; - wg Tabel nr 2</t>
  </si>
  <si>
    <t>Materiał z rozbiórki przechodzi na własność Wykonawcy. Transport materiału przez Wykonawcę na plac składowania.
&lt;V=1668,1 m2 x 0,15m =250,22m3&gt;</t>
  </si>
  <si>
    <t>01.02.04.33</t>
  </si>
  <si>
    <t>Rozebranie przepustów z rur betonowych o średnicy 50cm</t>
  </si>
  <si>
    <t>01.02.04.71</t>
  </si>
  <si>
    <t>Rozebranie przepustów z rur żelbetowych o średnicy 60cm</t>
  </si>
  <si>
    <t xml:space="preserve">Rozbiórka przepustów betonowych pod zjazdami </t>
  </si>
  <si>
    <r>
      <t xml:space="preserve">Rozbiórka przepustów z rur betonowych pod zjazdami o średnicy </t>
    </r>
    <r>
      <rPr>
        <sz val="10"/>
        <rFont val="Czcionka tekstu podstawowego"/>
        <charset val="238"/>
      </rPr>
      <t>ø5</t>
    </r>
    <r>
      <rPr>
        <sz val="10"/>
        <rFont val="Times New Roman"/>
        <family val="1"/>
        <charset val="238"/>
      </rPr>
      <t>0cm wraz z podsypką 
i fundamentem. Materiał z rozbiórki stanowi własność Wykonawcy. Transport materiału przez Wykonawcę na plac składowania.
&lt;L=29,0m&gt; - wg Tabeli nr 2</t>
    </r>
  </si>
  <si>
    <r>
      <t xml:space="preserve">Rozbiórka przepustów z rur żelbetowych pod drogą gminną o średnicy </t>
    </r>
    <r>
      <rPr>
        <sz val="10"/>
        <rFont val="Czcionka tekstu podstawowego"/>
        <charset val="238"/>
      </rPr>
      <t>ø6</t>
    </r>
    <r>
      <rPr>
        <sz val="10"/>
        <rFont val="Times New Roman"/>
        <family val="1"/>
        <charset val="238"/>
      </rPr>
      <t>0cm wraz z podsypką i fundamentem. Materiał z rozbiórki stanowi własność Wykonawcy. Transport materiału przez Wykonawcę na plac składowania.
&lt;L=20,0m&gt; - wg Tabeli nr 2</t>
    </r>
  </si>
  <si>
    <t>Rozebranie barier ochronnych stalowych</t>
  </si>
  <si>
    <t>Rozbiórka i przełożenie istniejących stalowych barier ochronnych w rejonie skrzyżowania odcinka "A" drogi gminnej z ul. Kolonia.
&lt;L=15,0m&gt; - wg Tabeli nr 2</t>
  </si>
  <si>
    <t>01.02.04.62</t>
  </si>
  <si>
    <t>Rozebranie żelbetowych ścianek czołowych  na wlotach i wylotach przepustów. Materiał z rozbiórki stanowi własność Wykonawcy. Transport materiału przez Wykonawcę na plac składowania. 
&lt;V=7,8 m3&gt;- wg Tabeli nr 2</t>
  </si>
  <si>
    <t>SUMA</t>
  </si>
  <si>
    <t>Wykonanie nasypów mechanicznie z gruntu uzyskanego z wykopu. W razie konieczności Wykonawca zapewni tymczasową powierzchnię składowania gruntu uzyskanego z wykopu w celu póxneijszego wykorzystania.
&lt;V= 1213 m3&gt; - wg Tabeli nr 7.</t>
  </si>
  <si>
    <t>02.03.01.13</t>
  </si>
  <si>
    <t>Wykonanie nasypów mechanicznie z gruntu kat. I-VI z pozyskaniem
 i transportem gruntu na odl. 2-5km</t>
  </si>
  <si>
    <t>Wymiana gruntu nienośnego</t>
  </si>
  <si>
    <t>Wykonanie nasypów mechanicznie z gruntu dostarczonego przez Wykonawcę robót Wykonawca pozyska grunt własnym staraniem i na własny koszt oraz zapewni transport w miejsce wbudowania.
&lt;V= 1530 m3&gt; - wg Tabeli nr 7.</t>
  </si>
  <si>
    <t>Wykonanie wykopów mechanicznie w gr. kat. I-V z transportem urobku na odkład. Wykonawca zapewni miejsce składowania gruntu własnym staraniem i na własny koszt.
&lt;V1=2987 m3 - odcinek A
V2=2790 m3 - odcinek B
V3=695 m3 - odcinek C
V4=1306 m3 - wymiana gruntu
Razem: V=V1+V2+V3+V4= 7778 m3&gt; - wg Tabeli nr 7</t>
  </si>
  <si>
    <t>Wykonanie przepustów z rur PP pod drogą gminną o śr. 60 cm. W rejonie skrzyżownaia z ul. Kolonia przedzielenie przepustu studnią połączeniową S15.
&lt;L= 32 m&gt; - wg Tabeli nr 3.</t>
  </si>
  <si>
    <t>Wykonanie ścianek czołowych KD o śr.60 z betonu C25/30 z użyciem deskowania, ścianki zbrojone dwoma rzędami siatki stalowej żebrowanej (A-III) fi 12mm co 20cm. Wykonanie wykopów pod podsypkę i fundamenty betonowe ścianek, izolacja R+2P. 
Ilość materiału wg tabeli nr 3</t>
  </si>
  <si>
    <t>03.02.01.11</t>
  </si>
  <si>
    <t>&lt;Wykonanie zasypki piaskowo-żwirowej: (1,5*1,55-(3,14*0,3*0,3))*1&gt;</t>
  </si>
  <si>
    <t>Na wykonanie 1 m kanału składa się:</t>
  </si>
  <si>
    <t xml:space="preserve">Wykonanie kanału deszczowego z rur PP o średnicy 31,5cm </t>
  </si>
  <si>
    <t xml:space="preserve">Wykonanie kanału deszczowego z rur PP o średnicy 50cm </t>
  </si>
  <si>
    <t>03.02.01.12</t>
  </si>
  <si>
    <t>03.02.01.13</t>
  </si>
  <si>
    <t>03.02.01.11-13</t>
  </si>
  <si>
    <t>Wykonanie części przewodowejkanalizacji deszczowej z rur karbowanych PP o śr. 40cm.
&lt;L= 98 m  &gt; - wg Tabeli nr 3</t>
  </si>
  <si>
    <t>Wykonanie części przewowdowej kanalizacji deszczowej z rur karbowanych PP o śr. 31,5cm.
&lt;L= 267,5 m  &gt; - wg Tabeli nr 3</t>
  </si>
  <si>
    <t>Wykonanie części przewodowej kanalizacji deszczowej z rur karbowanych PP o śr. 50cm.
&lt;L=252 m  &gt; - wg Tabeli nr 3</t>
  </si>
  <si>
    <t>Wykonanie przykanalików deszczowych z rur PP Dn20. Wykonanie próby szczelności kanałów deszczowych Dn200.
&lt;L=124,0 m&gt; - wg Tabeli nr 3</t>
  </si>
  <si>
    <t>Wykonanie studni deszczowych z wpustami krawężnikowymi klasy D400</t>
  </si>
  <si>
    <t>Wykonanie studni kanalizacyjnych wpadowo-przelotowych betonowych o średnicy ø80cm wraz z wykonaniem wykopu</t>
  </si>
  <si>
    <t>03.02.01.32</t>
  </si>
  <si>
    <t>03.02.01.34</t>
  </si>
  <si>
    <r>
      <t xml:space="preserve">Wykonanie studni kanalizacyjnych wpadowo-przelotowych systemowych z kręgów betonowych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80cm z wpustem deszczowym wraz z wykopem i zasypaniem. Studnie kompletne wraz fundamentem z betonu C16/20 gr. 20 cm i izolacją. 
&lt;N=3,0szt&gt; - wg Tabeli nr 3</t>
    </r>
  </si>
  <si>
    <r>
      <t xml:space="preserve">Wykonanie studni kanalizacyjnych przelotowych betonowych o średnicy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100cm wraz z wykonaniem wykopu</t>
    </r>
  </si>
  <si>
    <r>
      <t xml:space="preserve">Wykonanie studni kanalizacyjnych przelotowych systemowych z kręgów betonowych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100cm wraz z wykopem i zasypaniem. Studnie kompletne wraz fundamentem z betonu C16/20 gr. 20 cm i izolacją. 
&lt;N=8,0szt&gt; - wg Tabeli nr 3</t>
    </r>
  </si>
  <si>
    <r>
      <t xml:space="preserve">Wykonanie studni kanalizacyjnych przelotowych systemowych z kręgów betonowych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120cm wraz z wykopem i zasypaniem. Studnie kompletne wraz fundamentem z betonu C16/20 gr. 20 cm i izolacją. 
&lt;N=9,0szt&gt; - wg Tabeli nr 3</t>
    </r>
  </si>
  <si>
    <r>
      <t xml:space="preserve">Wykonanie studni kanalizacyjnej połączeniowej betonowej o średnicy </t>
    </r>
    <r>
      <rPr>
        <b/>
        <sz val="10"/>
        <rFont val="Czcionka tekstu podstawowego"/>
        <charset val="238"/>
      </rPr>
      <t>ø</t>
    </r>
    <r>
      <rPr>
        <b/>
        <sz val="10"/>
        <rFont val="Times New Roman"/>
        <family val="1"/>
        <charset val="238"/>
      </rPr>
      <t>150cm wraz z wykonaniem wykopu</t>
    </r>
  </si>
  <si>
    <r>
      <t xml:space="preserve">Wykonanie studni kanalizacyjnej S15 połączeniowej systemowej z kręgów betonowych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150cm wraz z wykopem i zasypaniem. Studnie kompletne wraz fundamentem z betonu C16/20 gr. 20 cm i izolacją. 
&lt;N=1,0szt&gt; - wg Tabeli nr 3</t>
    </r>
  </si>
  <si>
    <t xml:space="preserve">Wykonanie studzienek ściekowych o średnicy 500mm z osadnikiem i wpustem krawężnikowym klasy D400, na warstwie chudego betonu  o gr. 15 cm i ławie z pospółki o gr. 25cm wraz z wykonaniem wykopu i zasypaniem. Studzienki kompletne.
&lt;N=32,0szt&gt; - wg Tabeli nr 3  </t>
  </si>
  <si>
    <t>Wykonanie koryta mechanicznie wraz z profilowaniem i zagęszczaniem podłoża w gr. kat I-VI, głębok. koryta ponad 40 cm</t>
  </si>
  <si>
    <t>Wykonanie koryta mechanicznie wraz z profilowaniem i zagęszczaniem podłoża w gr. kat I-VI, głębok. koryta 31-40 cm</t>
  </si>
  <si>
    <t>04.01.01.14</t>
  </si>
  <si>
    <t>Wykonanie koryta pod konstrukcję chodnika oraz zjazdów przez chodnik wraz z profilowaniem i zagęszczaniem podłoża w gr. kat. I-VI. Średnia głębokość korytowania 38cm.
&lt;F1=132,2 m2 - zjazdy przez chodnik (T.1)
F2=1338,9 m2 - chodnik na szlaku (T.6)
 F = F1 + F2 = 1471,1&gt;- wg Tabeli nr 1 i 6</t>
  </si>
  <si>
    <t>Wykonanie koryta pod konstrukcję jezdni i chodników wraz z profilowaniem i zagęszczaniem podłoża w gr. kat. I-VI. Średnia głębokość korytowania 60cm.
&lt;F1 = 4541,23 m2 - KR3 (68cm)
F2 = 3508,24 m2 - KR1 (58cm)
F = F1 + F2 = 8049,47 m2 &gt;- wg Tabeli nr 6</t>
  </si>
  <si>
    <t>Oczyszczenie i skropienie emulsją asfaltową warstw konstrukcyjnych nieulepszonych mechanicznie:
&lt;F1=1099,34 m2&gt; - wg Tabeli nr 1 (Warstwa podbudowy z kruszywa łamanego 0/31,5 stabilizowanego mechanicznie o gr. 20cm)
&lt;F2= 3360,83 m2&gt; - wg Tabeli nr 5 (Podbudowa z kruszywa łamanego 0/31,5 stabil. mech. o gr. 20cm)
&lt;F3=4194,87 m2&gt; - wg Tabeli nr 5 (Podbudowa z kruszywa łamanego 0/31,5 stabil. mech. o gr. 22cm)
F=F1+F2+F3=8655,04 m2</t>
  </si>
  <si>
    <t>Wykonanie podbudowy z kruszywa łamanego 0/31,5mm stabilizowanego mechanicznie, gr. w-wy 10cm na chodniku dla pieszych.
&lt;F=1338,9 m2&gt; - wg Tabeli nr 6</t>
  </si>
  <si>
    <t>04.04.02.25</t>
  </si>
  <si>
    <t>Wykonanie podbudowy z kruszywa łamanego 0/31,5mm stabilizowanego mechanicznie, gr. w-wy 20cm na zjazdach bitumicznych oraz drogach gminnych (KR1).
&lt;F1=1099,34 m2 - zjazdy bitumiczne - wg Tabeli nr 1
F2=3360,83 m2 - droga gminna KR1 - wg Tabeli nr 5
F = F1 + F2 = 4460,17 m2&gt;</t>
  </si>
  <si>
    <t>Wykonanie podbudowy z kruszywa łamanego 0/31,5mm stabilizowanego mechanicznie, gr. w-wy 22cm</t>
  </si>
  <si>
    <t>Wykonanie podbudowy z kruszywa łamanego 0/31,5mm stabilizowanego mechanicznie, gr. w-wy 20cm w zakresie projektowanej konstrukcji zjazdów indywidualnych oraz jezdni DG.
&lt;F=4194,87 m2  - droga gminna KR3 - wg Tabeli nr 5&gt;</t>
  </si>
  <si>
    <t>Warstwa kruszywa stabilizowanego cementem  Rm=2,5 Mpa o gr. 15</t>
  </si>
  <si>
    <t>Wykonanie podbudowy z gruntu stabilizowanego cementem o Rm=2,5 MPa  gr. 15cm na projektowanym chodniku dla pieszych i zjazdach przez chodnik.
&lt;F1=132,2 m2 - wg Tabeli nr 1
F2=1338,9 - wg Tabeli nr 6
F = F1 + F2 = 1471,1  m2&gt;</t>
  </si>
  <si>
    <t>04.05.01.14</t>
  </si>
  <si>
    <t>Wykonanie podbudowy z gruntu stabilizowanego cementem o Rm=2,5 MPa  gr. 30cm
&lt;F1=1149,48 m2 - wg Tabeli 1
F2=4541,23 m2 - wg Tabeli 5
F3=3508,24 m2 - wg Tabeli 5
F = F1+F2+F3 = 9198,95 m2 &gt;</t>
  </si>
  <si>
    <t>Podbudowa z betonu C12/15</t>
  </si>
  <si>
    <t>Wykonanie podbudowy z betonu C12/15, gr. w-wy 10cm.</t>
  </si>
  <si>
    <t>Wykonanie podbudowy z betonu C12/15 , gr. w-wy 10cm na zjazdach przez chodnik dla pieszych.
&lt;F=132,2m2&gt; - wg Tabeli nr 1</t>
  </si>
  <si>
    <t>04.06.01</t>
  </si>
  <si>
    <t>04.06.01.11</t>
  </si>
  <si>
    <t>04.07.01.17</t>
  </si>
  <si>
    <t>Wykonanie podbudowy z betonu asfaltowego AC22P , gr. w-wy 7cm. 
&lt;F=3963,96m2&gt; - wg Tabeli nr 5</t>
  </si>
  <si>
    <t>Wykonanie nawierzchni z kruszywa łamanego 0/31,5mm o gr. 20cm:
&lt;F= 33,3 m2&gt; - wg Tabeli nr 1 - Nawierzchnia na zjazdach za chodnikiem</t>
  </si>
  <si>
    <t>05.02.01.14</t>
  </si>
  <si>
    <t>05.03.05.13</t>
  </si>
  <si>
    <t>Wykonanie nawierzchni z betonu asfaltowego AC16W, warstwa wiążąca, gr. w-wy 4 cm</t>
  </si>
  <si>
    <t>Wykonanie nawierzchni z betonu asfaltowego AC 16W na jezdni DG (KR1) oraz zjazdach bitumicznych, warstwa wiążąca,  gr. w-wy 4 cm. 
&lt;F1=1029,51 m2&gt; - wg Tabeli nr 1
&lt;F2=3036,54 m2&gt; - wg Tabeli nr 5
F=F1+F2= 4066,05 m2</t>
  </si>
  <si>
    <t>05.03.05.14</t>
  </si>
  <si>
    <t>Wykonanie nawierzchni z betonu asfaltowego AC 16W na jezdni DG (KR3), warstwa wiążąca,  gr. w-wy 5 cm. 
&lt;F=3886,99 m2&gt; - wg Tabeli nr 5</t>
  </si>
  <si>
    <t>Wykonanie nawierzchni ścieralnej z betonu asfaltowego AC 11S, gr. w-wy 4 cm 
&lt;F1=999,4 m2&gt; - wg Tabeli nr 1
&lt;F2=2948,1 m2&gt; - wg Tabeli nr 5 (KR1)
&lt;F3=3848,5 m2&gt; - wg Tabeli nr 5 (KR3)
 F = F1 + F2 + F3 = 7796 m2&gt;</t>
  </si>
  <si>
    <t>Humusowanie z obsianiem i pielęgnacją skarp przy grubości humusu 10 cm. Wykonawca pozyska  nasiona traw własnym staraniem i na własny koszt.
&lt;F=4 992,9 m2&gt; wg rys przekroje poprzeczne</t>
  </si>
  <si>
    <t>06.01.01.42</t>
  </si>
  <si>
    <t>Umocnienie skarp kostką brukową gr.8cm na betonie C8/10 gr. 10cm</t>
  </si>
  <si>
    <t>Umocnienie skarp brukowcem gr. 8cm na podbudowie z betonu C8/10 gr. 10cm</t>
  </si>
  <si>
    <t>Umocnienie skarp w obrębie wlotów i wylotów przepustów pod drogą gminną brukowcem gr. 8cm na podbudowie z betonu C8/10 gr. 10cm.
&lt;F=95,3 m2&gt; - wg Tabeli nr 3</t>
  </si>
  <si>
    <t>06.01.01.61</t>
  </si>
  <si>
    <t>Umocnienie dna rowów elementami prefabrykowanymi typu mulda 60x50x15 cm</t>
  </si>
  <si>
    <t>Umocnienie dna rowu - korytko muldowe 60x50x15cm
[m]</t>
  </si>
  <si>
    <t xml:space="preserve">Umocnienie korytkami muldowymi o wymiarach 60x50x15cm na podsypce cementowo-piaskowej 1:4 o gr. 5cm oraz ławie żwirowej o gr. 15cm umocnienia stosowane na wlotach i wylotach przepustów pod zjazdami, wylotach przykanalików oraz za chodnikiem/poboczem w przekroju.
&lt;L1=27 m - wg Tabeli nr 1 
L2=478,5 m- wg Tabeli nr 3 
L = L1 + L2 = 505,5 m&gt; </t>
  </si>
  <si>
    <t xml:space="preserve">Umocnienie korytkami trójkątnymi o wymiarach 50x50x18cm na podsypce cementowo-piaskowej 1:4 o gr. 3cm oraz ławie żwirowej o gr. 15cm umocnienia stosowane przy krawędzi jezdni DG odc. "B".
&lt;L=157,5 m - wg Tabeli nr 3&gt; </t>
  </si>
  <si>
    <t>06.01.01.66</t>
  </si>
  <si>
    <t>Umocnienie rowów korytami trapezowymi głebokimi (kolejowymi) o wymiarach 50x60x50 cm na podsypce cementowo-piaskowej 1:4 o gr.10 cm. Dopuszcza się zastosowanie elementów prefabrykowanych o innych wymiarach pod warunkiem zapewnienia równowaznych parametrów przepływu wody w rowie i uzyskaniu akceptacji Inspektora Nadzoru.
&lt;L=274,00 m&gt; - wg Tabeli nr 3</t>
  </si>
  <si>
    <t>06.01.01.68</t>
  </si>
  <si>
    <t>Umocnienie elementami prefabrykowanymi typu korytko grzebieniowe 30x60x13 cm</t>
  </si>
  <si>
    <t>Umocnienie korytkami grzebieniowymi o wymiarach 30x60x13cm na podsypce cementowo-piaskowej 1:4 o gr. 5cm oraz ławie betonowej z betony C12/15 o gr. 15cm. Umocnienia stosowane na zjazdach i innym powierzchniach przejazdowych.
&lt;L = 42 m&gt;  - wg Tabeli nr 3</t>
  </si>
  <si>
    <t>06.01.01.71</t>
  </si>
  <si>
    <t>Umocnienie elementami prefabrykowanymi - korytko typu gara eog 62x52x19 cm</t>
  </si>
  <si>
    <t>Umocnienie elementami prefabrykowanymi - korytko niestandardowe</t>
  </si>
  <si>
    <t>Wykonanie korytka niestandardowego na zjazdach wraz z podsypką cementowo-piaskową gr. 5cm. Korytko niestandardowe składa się z ściętego ścieku trójkątnego, dwurzędowej kostki o wym. 20x10x8cm oraz krawężnika betonowego o wym. 12x25x100cm (zgodnie z rys. 5.1. Szczegóły)
&lt;L = 50,5 m&gt;  - wg Tabeli nr 3</t>
  </si>
  <si>
    <t>06.01.01.72</t>
  </si>
  <si>
    <t>Umocnienie korytkami gara eog o wymiarach 62x52x19cm na podsypce cementowo-piaskowej 1:4 o gr. 5cm oraz ławie żwirowej o gr. 15cm.
&lt;L = 354,6 m&gt;  - wg Tabeli nr 3</t>
  </si>
  <si>
    <t>06.01.01.73</t>
  </si>
  <si>
    <t>Umocnienie skarp rowów elementami prefabrykowanymi ażurowymi o wymiarach 60x40x8 cm na podsypce cementowo-piaskowej 1:4 o gr. 10 cm  
&lt;F1=354,6 m2 - wg Tabeli nr 3
F2=11,7 m2 - wg Tabeli nr 1
F = F1+ F2 = 366,3 m2&gt;</t>
  </si>
  <si>
    <t>Wykonanie pobocza ulepszonego z kruszywa łamanego o gr. 10 cm</t>
  </si>
  <si>
    <t>Wykonanie pobocza ulepszonego z kruszywa łamanego stabil. mechanicznie o gr. 10 cm
&lt;F=2269,5 m2&gt; - wg rys. Plan sytuacyjny</t>
  </si>
  <si>
    <t xml:space="preserve">Ustawienie krawężników betonowych  o wymiarach 15x30 cm na ławie betonowej z oporem </t>
  </si>
  <si>
    <t xml:space="preserve">Ustawienie krawężników betonowych drogowych o wym. 15x30cm  na podsypce cementowo - piaskowej o gr. 5cm i ławie betonowej C12/16.
&lt;L=880,8 m&gt;- wg Tabeli nr 4 </t>
  </si>
  <si>
    <t>08.01.01.11</t>
  </si>
  <si>
    <t>Ustawienie obrzeży betonowych o wym. 8x30cm na podsypce cementowo-piaskowej o gr. 3cm i ławie betonowej z betonu C12/16.
&lt;L=788,6 m&gt; - wg Tabeli nr 4</t>
  </si>
  <si>
    <t>Chodniki z brukowej kostki betonowej</t>
  </si>
  <si>
    <t>08.02.02</t>
  </si>
  <si>
    <t>08.02.02.11</t>
  </si>
  <si>
    <t>Wykonanie chodnika z kostki brukowej betonowej o grubości 6cm, prostokątnej</t>
  </si>
  <si>
    <t>Wykonanie chodnika z kostki brukowej betonowej o grubości 8cm, prostokątnej</t>
  </si>
  <si>
    <t xml:space="preserve">Wykonanie nawierzchni chodnika na zjazdach z betonowej kostki brukowej wraz z podsypką cementowo-piakową 1:4 o gr. 5cm - kolor czerwony
&lt;L=132,2 m&gt;- wg Tabeli nr 1 </t>
  </si>
  <si>
    <t>08.02.02.13</t>
  </si>
  <si>
    <t xml:space="preserve">Wykonanie nawierzchni chodnika na szlaku z betonowej kostki brukowej wraz z podsypką cementowo-piakową 1:4 o gr. 3cm - kolor szary
W rejonie przejścia nad gazociągami wysokiego ciśnienia należy zastosować podsypkę piaskową.
&lt;L=1338,9 m&gt;- wg Tabeli nr 6 </t>
  </si>
  <si>
    <r>
      <t xml:space="preserve">OZNAKOWANIE DRÓG I URZĄDZENIA BEZPIECZEŃSTWA RUCHU
</t>
    </r>
    <r>
      <rPr>
        <sz val="10"/>
        <rFont val="Times New Roman"/>
        <family val="1"/>
        <charset val="238"/>
      </rPr>
      <t>Roboty w zakresie konstruowania, fundamentowania oraz wykonywania nawierzchni dróg</t>
    </r>
  </si>
  <si>
    <t>Ustawienie słupków z rur stalowych dla znaków drogowych zaprojektowanych zgodnie z Projektem Stałej Organizacji Ruchu</t>
  </si>
  <si>
    <t>Przymocowanie tarcz do słupków stalowych - rozmiar mały</t>
  </si>
  <si>
    <t>Ustawienie stalowych barier ochronnych drogowych w rejonie ścian czołowych przepustów zlokalizowanych pod drogą gminną
L = 55m - wg rys. Plan sytuacyjny</t>
  </si>
  <si>
    <t>Wykonanie malowania znaków poziomych zgodnie z Projektem Stałej Organizacji Ruchu orientacyjna powierzchnia malowania ok 110,0 m2.</t>
  </si>
  <si>
    <r>
      <t xml:space="preserve">Wykonanie przepustów pod zjazdami z rur PP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50cm wraz z podsypką 
i zasypką oraz ścianką czołową z wlocie i wylocie przepustu.
&lt;L=65,50 m&gt; - wg Tabeli nr 1</t>
    </r>
  </si>
  <si>
    <t>7.1</t>
  </si>
  <si>
    <t>11.1</t>
  </si>
  <si>
    <t>13</t>
  </si>
  <si>
    <t>14</t>
  </si>
  <si>
    <t>21</t>
  </si>
  <si>
    <t>22</t>
  </si>
  <si>
    <t>23</t>
  </si>
  <si>
    <t>23.1</t>
  </si>
  <si>
    <t>24</t>
  </si>
  <si>
    <t>24.1</t>
  </si>
  <si>
    <t>25</t>
  </si>
  <si>
    <t>26</t>
  </si>
  <si>
    <t>27</t>
  </si>
  <si>
    <t>28</t>
  </si>
  <si>
    <t>Oczyszczenie i skropienie emulsją asfaltową warstw konstrukcyjnych ulepszonych mechanicznie:
&lt;F1= 1029,51m2&gt;- wg Tabeli nr 1 (Warstwa wiążąca z betonu asfaltowego AC16W o gr. 4cm)
&lt;F2= 3963,96 m2&gt;- wg Tabeli nr 5 (Warstwa podbudowy z betonu asfaltowego AC22P gr. 7cm)
&lt;F3=3886,99 m2&gt; -wg Tabeli nr 5 (Warstwa wiążąca z betonu asfaltowego AC16W gr. 5cm)
&lt;F4=3036,54 m2&gt; wg Tabeli nr 5 (Warstwa wiążąca z betonu asfaltowego AC16W gr. 4cm)
F=F1+F2+F3+F4=11 970 m2</t>
  </si>
  <si>
    <t>PRZEDMIAR ROBÓT</t>
  </si>
  <si>
    <t>Wyszczególnienie elementów rozliczeniowych
(Opis robót)</t>
  </si>
  <si>
    <t>Rozebranie nawierzchni z kostki betonowej gr. 8cm</t>
  </si>
  <si>
    <t>Rozebranie nawierzchni z kostki brukowje beotnowej gr. 8cm w zakresie zjazdu indywidualnego w km ok. 0+075 odc. A.
&lt;F=9,2 m2 &gt; - wg Tabel nr 2</t>
  </si>
  <si>
    <t>Rozebranie nawierzchni z płyt betonowych gr. 10cm w zakresie zjazdu indywidualnego w km ok. 0+660 odc. A.
&lt;F=19,9 m2 &gt; - wg Tabel nr 2</t>
  </si>
  <si>
    <t>OGÓŁEM [II]: BRANŻA DROGOWA</t>
  </si>
  <si>
    <t>Umocnienie elementami prefabrykowanymi trójkątnymi 50x50x18 cm</t>
  </si>
  <si>
    <t>Budowa studni kablowych prefabrykowanych rozdzielczych SKR, typ SKR-2, grunt kategorii III - Lecz studnia SK-2</t>
  </si>
  <si>
    <t>Montaż elementów mechanicznej ochrony przed ingerencją osób nieuprawnionych w istniejących studniach kablowych, pokrywa dodatkowa z listwami, rama lekka</t>
  </si>
  <si>
    <t>szt</t>
  </si>
  <si>
    <t>Budowa kanalizacji kablowej pierwotnej z rur z tworzyw sztucznych w wykopie wykonanym machanicznie w gruncie kategorii III, 1 warstwa i 1 otwór w ciągu kanalizacji, 1 rura w warstwie - rury RHDPEk 110/95</t>
  </si>
  <si>
    <t>Budowa rurociągu kablowego na głębokości 1·m w wykopie wykonanym ręcznie, grunt kategorii III, HDPE Fi·40·mm w zwojach, 1 rura w rurociągu - rura fi40/3,7</t>
  </si>
  <si>
    <t>Montaż złączy rur polietylenowych w ziemi, rury HDPE Fi·40·mm, złączki skręcane</t>
  </si>
  <si>
    <t>Budowa rurociągu kablowego na głębokości 1·m w wykopie wykonanym ręcznie, grunt kategorii III, HDPE Fi·40·mm w zwojach, dodatek za każdą następną rurę w rurociągu - lecz kanalizacji wtórnej z wiązki mikrorur WMR 7x12/12</t>
  </si>
  <si>
    <t>Układanie rur ochronnych z PCW w wykopie, rura do Fi·110·mm</t>
  </si>
  <si>
    <t>Budowa rurociągu kablowego na głębokości 1·m w wykopie wykonanym ręcznie, grunt kategorii III, HDPE Fi·40·mm w zwojach, 1 rura w rurociągu - lecz układanie dodatkowej folii ostrzegawczo-lokalizacyjnej w gotowym wykopie</t>
  </si>
  <si>
    <t>Obsługa geodezyjna - wytyczenie trasy przyłącza oraz inwentaryzacja powykonawcza</t>
  </si>
  <si>
    <t>RAZEM [J]</t>
  </si>
  <si>
    <t>Odkopanie i demontaż słupów żelbetowych sprzętem mechanicznym z zasypaniem wykopu, pojedynczy BSW 14</t>
  </si>
  <si>
    <t>słup</t>
  </si>
  <si>
    <t>Wykopy ręczne pod słupy, słupy pojedyncze skrzyżowaniowe, żerdź 12·m - lecz o wysokości 13,5 m</t>
  </si>
  <si>
    <t>Zeszyt 5/99. Montaż i stawianie słupów wirowanych 1-żerdziowych linii napowietrznej SN, z ustojem prefabrykowanym, żerdź E-13,5/15</t>
  </si>
  <si>
    <t>Zabezpieczenie podziemnej części słupów</t>
  </si>
  <si>
    <t>Montaż łańcuchów izolatorowych pniowych do 30·kV, dla przewodów AFL-6 do 70·mm2 - ŁO1</t>
  </si>
  <si>
    <t>Montaż łańcuchów izolatorowych pniowych do 30·kV, dla przewodów AFL-6 do 70·mm2 - ŁO2/1</t>
  </si>
  <si>
    <t>Montaż i zawieszenie przewodów roboczych, AFL-6 70·mm2</t>
  </si>
  <si>
    <t>Dodatek na wykonanie skrzyżowań, droga lub tory kolejowe, przewody do 70·mm2</t>
  </si>
  <si>
    <t>skrzyż</t>
  </si>
  <si>
    <t>Regulacja zwisów, przewód o przekroju 70-95·mm2</t>
  </si>
  <si>
    <t>Koszt wyłączenia czynnej linii SN przez Rejon Energetyczny</t>
  </si>
  <si>
    <t>Nadzór właścicielski</t>
  </si>
  <si>
    <t>dni</t>
  </si>
  <si>
    <t>RAZEM [K]</t>
  </si>
  <si>
    <t>PRZEBUDOWA LINII SN 15 kV</t>
  </si>
  <si>
    <t>PRZEBUDOWA I ZABEZPIECZENIE LINII KABLOWEJ SN 15 kV</t>
  </si>
  <si>
    <t>Ręczne kopanie rowów dla kabli, szerokość dna do 0.4·m, kategoria gruntu III, głębokość rowu do 1.0·m</t>
  </si>
  <si>
    <t>Ręczne zasypywanie rowów do kabli, szerokość dna wykopu do 0.4·m, kategoria gruntu III, głębokość rowu do 0.8·m</t>
  </si>
  <si>
    <t>Nasypanie warstwy piasku na dnie rowu kablowego, o szerokości do 0,4·m - lecz 2 x 10 cm</t>
  </si>
  <si>
    <t>Mechaniczne przepychanie rur stalowych pod drogami i nasypami, za pierwszą rurę, do Fi·150·mm - lecz rurą O160/9,1</t>
  </si>
  <si>
    <t>Układanie kabli jednożyłowych układanych ręcznie w rowach kablowych, kabel do 2·kg/m, przykrycie kabla folią kalandrowaną z PCW uplastycznionego - kabla SN 15 kV XRUHAKXS 1x120</t>
  </si>
  <si>
    <t>Układanie kabli jednożyłowych w rurach, pustakach lub kanałach zamkniętych, do 3,0·kg/m -wciąganie  kabla SN 15 kV XRUHKXS 1x120 do rury</t>
  </si>
  <si>
    <t>Montaż w rowach muf przelotowych z taśm izolacyjnych na kablach energetycznych 1-żyłowych o izolacji i powłoce z tworzyw sztucznych, z żyłami Al, kabel do 20·kV, do 240·mm2 - na kablu SN 15 kV równoważnej POLJ 24/1x120-240</t>
  </si>
  <si>
    <t>Badanie linii kablowej średniego napięcia, niskiego napięcia i sterowniczej, kabel s.n.</t>
  </si>
  <si>
    <t>odcinek</t>
  </si>
  <si>
    <t>Ręczne kopanie rowów dla kabli, szerokość dna do 0.4·m, kategoria gruntu III, głębokość rowu do 1.2·m - wykonanie wykopów poprzecznych celem identyfikacji kabla</t>
  </si>
  <si>
    <t>Ręczne zasypywanie rowów do kabli, szerokość dna wykopu do 0.4·m, kategoria gruntu III, głębokość rowu do 1.0·m</t>
  </si>
  <si>
    <t>Układanie rur ochronnych z PCW w wykopie, rura do Fi·140·mm - rury ochronnej dwudzielnej fi 160 (kolor czerwony)</t>
  </si>
  <si>
    <t>usługa</t>
  </si>
  <si>
    <t>RAZEM [L]</t>
  </si>
  <si>
    <t>PRZEBUDOWA I ZABEZPIECZENIE KABLI Nn</t>
  </si>
  <si>
    <t>Mechaniczne przepychanie rur stalowych pod drogami i nasypami, za pierwszą rurę, do Fi·125·mm - rurą O110/6,3</t>
  </si>
  <si>
    <t>Układanie rur ochronnych z PCW w wykopie, rura do Fi·110·mm - rura fi 110/6,3</t>
  </si>
  <si>
    <t>Układanie kabli wielożyłowych układanych ręcznie w rowach kablowych, kabel do 1,0·kg/m, przykrycie kabla folią kalandrowaną z PCW uplastycznionego - kabla YAKXS 4x70</t>
  </si>
  <si>
    <t>Układanie kabli wielożyłowych w rurach, pustakach lub kanałach zamkniętych, do 1,0·kg/m - wciąganie do rury kabla  YAKXS 4x70</t>
  </si>
  <si>
    <t>Układanie kabli wielożyłowych układanych ręcznie w rowach kablowych, kabel do 2,0·kg/m, przykrycie kabla folią kalandrowaną z PCW uplastycznionego - kabla YAKXS 4x120</t>
  </si>
  <si>
    <t>Układanie kabli wielożyłowych w rurach, pustakach lub kanałach zamkniętych, do 3,0·kg/m - wciąganie kabla YAKXS 4x120 do rury</t>
  </si>
  <si>
    <t>Montaż w rowach muf przelotowych z rur termokurczliwych na kablach energetycznych o izolacji i powłoce z tworzyw sztucznych, do 1·kV, z żyłami Al, kabel wielożyłowy, do 120·mm2 - równoważnej POLJ-01/4X 70-120 - dla kabla YAKY 4x70</t>
  </si>
  <si>
    <t>Montaż w rowach muf przelotowych z rur termokurczliwych na kablach energetycznych o izolacji i powłoce z tworzyw sztucznych, do 1·kV, z żyłami Al, kabel wielożyłowy, do 120·mm2 - równoważnej POLJ-01/4X 70-120 - dla kabla YAKY 4x120</t>
  </si>
  <si>
    <t>Obróbka na sucho kabli  do 1·kV o izolacji i powłoce z tworzyw sztucznych, kabel Al 4-żyłowy do 120·mm2 - kabla YAKY 4x70</t>
  </si>
  <si>
    <t>Obróbka na sucho kabli  do 1·kV o izolacji i powłoce z tworzyw sztucznych, kabel Al 4-żyłowy do 120·mm2 - kabla 4x120</t>
  </si>
  <si>
    <t>Badanie linii kablowej nn o ilości żył do 4</t>
  </si>
  <si>
    <t>Układanie rur ochronnych z PCW w wykopie, rura do Fi·110·mm - rury 2-dzielnej fi 110</t>
  </si>
  <si>
    <t>Nadzór właścicielski PGE</t>
  </si>
  <si>
    <t>RAZEM [M]</t>
  </si>
  <si>
    <t>Budowa studni kablowych prefabrykowanych rozdzielczych SKR, typ SKR-2, grunt kategorii III - Lecz studnia SKR-2</t>
  </si>
  <si>
    <t>Budowa rurociągu kablowego na głębokości 1·m w wykopie wykonanym ręcznie, grunt kategorii III, HDPE Fi·40·mm w zwojach, dodatek za każdą następną rurę w rurociągu</t>
  </si>
  <si>
    <t>Wykonanie przepustów pod przeszkodami terenowymi metodą płucząco-wierconą sterowaną, kategoria gruntu III, przepust do 30·m, rury HDPE Fi·160·mm, nakłady podstawowe (na 1·m)</t>
  </si>
  <si>
    <t>Układanie rur ochronnych z PCW w wykopie, rura do Fi·140·mm - rury ochronnej fi 160/9,1</t>
  </si>
  <si>
    <t>Badanie szczelności zmontowanych odcinków, do 2·km, rurociągi kablowe w ziemi, sprężarka, rury Fi·40·mm</t>
  </si>
  <si>
    <t>Montaż złączy przelotowych na kablach światłowodowych ułożonych w rurociągu kablowym w ziemi, kabel tubowy, mufa termokurczliwa, jeden spajany światłowód - lecz odpięcie ze złącza kabla światłowodowego</t>
  </si>
  <si>
    <t>złącze</t>
  </si>
  <si>
    <t>Montaż złączy przelotowych na kablach światłowodowych ułożonych w rurociągu kablowym w ziemi, kabel tubowy, mufa termokurczliwa, dodatek za każdy następny spajany światłowód - lecz odpięcie ze złącza kabla światłowodowego</t>
  </si>
  <si>
    <t>Wyciąganie kabla w powłoce termoplastycznej z kanalizacji kablowej, otwór z 1-kablem, kabel do Fi·30·mm - wyciąganie kabla światłowodowego Z-XOTKtsd 24J z rurociągu kablowego</t>
  </si>
  <si>
    <t>Wciąganie kabli światłowodowych do rurociągów kablowych z rur HDPE Fi·40·mm metodą pneumatyczną tłoczkową, rury z warstwą poślizgową, kabel w odcinkach 2·km - ponowne wciąganie kabla światłowodowego Z-XOTKtsd 24J do rurociągu kablowego</t>
  </si>
  <si>
    <t>Montaż złączy przelotowych na kablach światłowodowych ułożonych w rurociągu kablowym w ziemi, kabel tubowy, mufa zapinana, jeden spajany światłowód</t>
  </si>
  <si>
    <t>Montaż złączy przelotowych na kablach światłowodowych ułożonych w rurociągu kablowym w ziemi, kabel tubowy, mufa zapinana, dodatek za każdy następny spajany światłowód</t>
  </si>
  <si>
    <t>Pomiary reflektometryczne linii światłowodowych, pomiary końcowe odcinka kontrolnego z kabla, mierzony 1 światłowód - kabla 24J</t>
  </si>
  <si>
    <t>Pomiary reflektometryczne linii światłowodowych, pomiary końcowe odcinka kontrolnego z kabla, dodatek za każdy następny zmierzony światłowód - kabla 24J</t>
  </si>
  <si>
    <t>Pomiary tłumienności optycznej linii światłowodowych metodą transmisyjną, pomiar indywidualny, mierzony 1 światłowód - kabla 24J</t>
  </si>
  <si>
    <t>Pomiary tłumienności optycznej linii światłowodowych metodą transmisyjną, pomiar indywidualny, dodatek za każdy następny zmierzony światłowód - kabla 24J</t>
  </si>
  <si>
    <t>Pomiary współczynnika dyspersji chromatycznej światłowodów, zmierzony 1 światłowód - kabla 24J</t>
  </si>
  <si>
    <t>Pomiary współczynnika dyspersji chromatycznej światłowodów, dodatek za każdy następny zmierzony światłowód - kabla 24J</t>
  </si>
  <si>
    <t>Nadzór właścicielski ORSS</t>
  </si>
  <si>
    <t>RAZEM [N]</t>
  </si>
  <si>
    <t>PRZEBUDOWA SIECI NAPOWIETRZNEJ ORANGE</t>
  </si>
  <si>
    <t>Zdemontowanie przewodów zawieszonych na hakach lub miejscach zewnętrznych poprzeczników w terenie bez przeszkód, 1 przewód, Fi·4·mm - demontaż jednostronny istniejących kabli przyłączowych</t>
  </si>
  <si>
    <t>Zdemontowanie słupów bliźniaczych żelbetowych w terenie płaskim, długości 8,5·m, grunt kategorii III</t>
  </si>
  <si>
    <t>Montaż i ustawienie słupów bliźniaczych żelbetowych z dwoma belkami ustojowymi w terenie płaskim, długość słupa 8,5·m, kategoria gruntu III</t>
  </si>
  <si>
    <t>Montaż haka na słupie stojącym, wielkość haka - 1</t>
  </si>
  <si>
    <t>Zawieszanie kabli nadziemnych na podbudowie słupowej, podnoszenie z ziemi, kabel ósemkowy o średnicy zewnętrznej do 15 mm - zawieszanie kabli samonośnych na podbudowie słupowej - ponowny montaż uprzednio zdemontowanych kabli samonośnych</t>
  </si>
  <si>
    <t>Zawieszanie kabli nadziemnych na podbudowie słupowej, podnoszenie z ziemi, kabel ósemkowy o średnicy zewnętrznej do 15 mm - zawieszanie kabli samonośnych na podbudowie słupowej - ponowny montaż uprzednio zdemontowanych jednostronnie kabli samonośnych przyłączowych</t>
  </si>
  <si>
    <t>Zawieszanie kabli nadziemnych na podbudowie słupowej, podnoszenie z ziemi, kabel ósemkowy o średnicy zewnętrznej do 15 mm - zawieszanie nowego kabla samonośnego XzTKMXpwn 15x4x0,5</t>
  </si>
  <si>
    <t>Wartość kabla XzTKMXpwn 15x4x0,5</t>
  </si>
  <si>
    <t>Regulacja zwisów, przewód o przekroju 25·mm2</t>
  </si>
  <si>
    <t>Montaż skrzynki słupowej - skrzynki słupowej SS-100</t>
  </si>
  <si>
    <t>Montaż skrzynki słupowej - skrzynki słupowej SS-200</t>
  </si>
  <si>
    <t>Montaż zespołów łączówek szczelinowych 1-stronnych, zabezpieczonych, łączówki w zespole o 100 parach zacisków</t>
  </si>
  <si>
    <t>Montaż zespołów łączówek szczelinowych 1-stronnych, zabezpieczonych, łączówki w zespole o 30 parach zacisków</t>
  </si>
  <si>
    <t>Montaż zespołów łączówek szczelinowych 1-stronnych, zabezpieczonych, łączówki w zespole o 10 parach zacisków</t>
  </si>
  <si>
    <t>Montaż uziomów szpilkowych miedziowanych, metoda ręczna, grunt kategorii III, głębokość 3·m</t>
  </si>
  <si>
    <t>Pomiary końcowe prądem stałym, kabel o liczbie par·30</t>
  </si>
  <si>
    <t>RAZEM [O]</t>
  </si>
  <si>
    <t>ZABEZPIECZENIE SIECI ŚWIATŁOWODOWEJ HAWE TELEKOM I PCSS POZNAŃ</t>
  </si>
  <si>
    <t>Ręczne kopanie rowów dla kabli, szerokość dna do 0.4·m, kategoria gruntu III, głębokość rowu do 1.2·m - wykonanie wykopów poprzecznych celem identyfikacji kabli</t>
  </si>
  <si>
    <t>Ręczne kopanie rowów dla kabli, szerokość dna do 0.4·m, kategoria gruntu III, głębokość rowu do 1.2·m</t>
  </si>
  <si>
    <t>Układanie rur ochronnych z PCW w wykopie, rura do Fi·140·mm - rury ochronnej dwudzielnej A-200-PS</t>
  </si>
  <si>
    <t>Nadzór właścicielski Hawe Telekom</t>
  </si>
  <si>
    <t>Nadzór właścicielski PCSS Poznań</t>
  </si>
  <si>
    <t>R</t>
  </si>
  <si>
    <t>RAZEM [P]</t>
  </si>
  <si>
    <t>ZABEZPIECZENIE SIECI ŚWIATŁOWODOWEJ TELNET ROPCZYCE</t>
  </si>
  <si>
    <t>Układanie rur ochronnych z PCW w wykopie, rura do Fi·110·mm - rury ochronnej dwudzielnej O110</t>
  </si>
  <si>
    <t>Nadzór właścicielski Telnet</t>
  </si>
  <si>
    <t>RAZEM [R]</t>
  </si>
  <si>
    <t>SST 01.03.06</t>
  </si>
  <si>
    <t xml:space="preserve">CPV 45231400-9 </t>
  </si>
  <si>
    <t>CPV 32412100-5 
            45232000-2</t>
  </si>
  <si>
    <t>S</t>
  </si>
  <si>
    <t>RAZEM [S]</t>
  </si>
  <si>
    <t>OGÓŁEM [IV]: BRANŻA TELETECHNICZNA</t>
  </si>
  <si>
    <t>BRANŻA TELETECHNCIZNA</t>
  </si>
  <si>
    <t>KOSZT DOSTOSOWANIA SIĘ DO WYMAGAŃ 
WARUNKÓW KONTRAKTU</t>
  </si>
  <si>
    <t>OZNAKOWANIE DRÓG I URZĄDZENIA 
BEZPIECZEŃSTWA RUCHU</t>
  </si>
  <si>
    <t>BRANŻA TELETECHNCZNA</t>
  </si>
  <si>
    <t>17.</t>
  </si>
  <si>
    <t>18.</t>
  </si>
  <si>
    <t>OGÓŁEM [III]: BRANŻA ELEKTROENERGETYCZNA</t>
  </si>
  <si>
    <t>OGÓŁEM [V]: BRANŻA SANITARNA</t>
  </si>
  <si>
    <t>Przebudowa podziemnych linii gazowych przy przebudowie i budowie dróg
Roboty budowlane w zakresie budowy i przebudowy gazociągów</t>
  </si>
  <si>
    <t>Zabezpieczenie istniejących gazociągów wysokiego ciśnienia w miejscach skrzyżowań z drogami o nawierzchni bitumicznej</t>
  </si>
  <si>
    <t>Przebudowa i zabezpieczenie odcinków sieci i przyłączy gazowych kolidujących z projektowaną drogą zgodnie z dokumentacją branżową. Odcinki gazociągów z rur PE100 RC SD11 oznacozne jako:
1 - 1.1, 1.1-1.2, 1.2-1.3, 1.3  -2,1a-1a', 1b-1b', 3-4, 5-6,</t>
  </si>
  <si>
    <t xml:space="preserve">Przebudowa i zbezpieczeie odcinków sieci i przyłączy woodociągowych kolidujących z projektowaną drogą zgodnie z dokumentacją branżową. Odcinki wodociągów z rur PE100 RC SD11 oznacozne jako:
W1-W2, W3-W4, </t>
  </si>
  <si>
    <t xml:space="preserve">Odcinek 1 - 1.1, L=11 m, dn 63 PE 100 RC SDR 11, RO 125x7,4 PE 100 SDR17 - L=10 m
</t>
  </si>
  <si>
    <t xml:space="preserve">Odcinek 1.1 - 1.2, L=288 m, dn 63 PE 100 RC SDR 11, </t>
  </si>
  <si>
    <t>Odcinek 1a - 1a', L=10,5 m, dn 25 PE 100 RC SDR 11, RO 90x5,2 PE 100 SDR17 L=8,5m</t>
  </si>
  <si>
    <t>Odcinek 1b - 1b', L=11,5 m, dn 63 PE 100 RC SDR 11, RO 110x6,3 PE 100 SDR17 L=9,0m</t>
  </si>
  <si>
    <t>Odcinek 3 - 4, L=14 m, dn 63 PE 100 RC SDR 11, RO 110x6,3 PE 100 SDR17 L=10,0m</t>
  </si>
  <si>
    <t>Odcinek 5 - 6, L=17 m, dn 63 PE 100 RC SDR 11, RO 125x7,4 PE 100 SDR17 L=17,0m</t>
  </si>
  <si>
    <t>Zabezpieczenie istniejących gazociągów wysokiego ciśnienia (DN400 - 1x oraz DN700 - 1x) za pomoca płyt odciążających o wymiarach 3.0x1.5m ułożonych nad istniejącymi gazociągami - wg dokumentacji branżowej</t>
  </si>
  <si>
    <t>Odcinek W1 - W2, L=20 m, dn 110 PE 100 RC SDR 11, RO 200x11,9 PE 100 SDR17 L=17,0m</t>
  </si>
  <si>
    <t>Odcinek W1a - W1b, L=5 m, dn 63PE 100 RC SDR 11, RO 200x11,9 PE 100 SDR17 L=17,0m</t>
  </si>
  <si>
    <t>Odcinek W3 - W4, L=13 m, dn 63 PE 100 RC SDR 11, RO 160x9,5 PE 100 SDR17 L=9,5m</t>
  </si>
  <si>
    <r>
      <t>W7</t>
    </r>
    <r>
      <rPr>
        <sz val="11"/>
        <color rgb="FF000000"/>
        <rFont val="Times New Roman"/>
        <family val="1"/>
        <charset val="238"/>
      </rPr>
      <t xml:space="preserve"> -istniejącą skrzynkę do zasuw projektuje się wyregulować do niwelety projektowanej drogi.</t>
    </r>
  </si>
  <si>
    <t>Regulacja wysokościowa, dostosowanie do projektowanej niwelety drogi istniejących skrzynek zasuw włazów i trzpieni oznaczone jako W7-W12</t>
  </si>
  <si>
    <t>W8 -istniejący właz studni kanalizacyjnej projektuje się wyregulować do niwelety projektowanej drogi</t>
  </si>
  <si>
    <t xml:space="preserve">W9 -istniejący właz studni kanalizacyjnej projektuje się wyregulować do niwelety projektowanej drogi. </t>
  </si>
  <si>
    <t xml:space="preserve">W10 -istniejący właz studni kanalizacyjnej projektuje się wyregulować do niwelety projektowanej drogi. </t>
  </si>
  <si>
    <t xml:space="preserve">W11 -istniejącą skrzynkę do zasuw projektuje się wyregulować do niwelety projektowanej drogi. </t>
  </si>
  <si>
    <t xml:space="preserve">W12 -istniejącą skrzynkę do zasuw projektuje się wyregulować do niwelety projektowanej drogi. </t>
  </si>
  <si>
    <t>T</t>
  </si>
  <si>
    <t>RAZEM [T]</t>
  </si>
  <si>
    <t>19.</t>
  </si>
  <si>
    <t xml:space="preserve">BUDOWA DRÓG GMINNYCH: ODCINEK „A” OD KM 0+000 DO KM 0+725,00 ODCINEK „B” OD KM 0+000 DO KM 0+597,00 ODCINEK „C” OD KM 0+000 DO KM 0+180,00 NA TERENIE OSIEDLA „KOLONIA” W MIEŚCIE ROPCZYCE WRAZ 
Z NIEZBĘDNĄ INFRASTRUKTURĄ I PRZEBUDOWĄ SIECI UZBROJENIA TERENU </t>
  </si>
  <si>
    <t>BUDOWA DRÓG GMINNYCH: ODCINEK „A” OD KM 0+000 DO KM 0+725,00 ODCINEK „B” OD KM 0+000 DO KM 0+597,00 ODCINEK „C” OD KM 0+000 DO KM 0+180,00 NA TERENIE OSIEDLA „KOLONIA” W MIEŚCIE ROPCZYCE WRAZ 
Z NIEZBĘDNĄ INFRASTRUKTURĄ I PRZEBUDOWĄ SIECI UZBROJENIA TERENU</t>
  </si>
  <si>
    <t>BRANŻA SANITARNA</t>
  </si>
  <si>
    <t xml:space="preserve">BRANŻA SANITARNA </t>
  </si>
  <si>
    <t>ROBOTY DROGOWE</t>
  </si>
  <si>
    <t>KOSZTORYS  OFERTOWY</t>
  </si>
  <si>
    <r>
      <t xml:space="preserve">Wykonanie studni kanalizacyjnych przelotowych betonowych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100cm wraz z wykonaniem wykopu</t>
    </r>
  </si>
  <si>
    <r>
      <t xml:space="preserve">Wykonanie studni kanalizacyjnej połączeniowej betonowej o średnicy </t>
    </r>
    <r>
      <rPr>
        <sz val="10"/>
        <rFont val="Czcionka tekstu podstawowego"/>
        <charset val="238"/>
      </rPr>
      <t>ø</t>
    </r>
    <r>
      <rPr>
        <sz val="10"/>
        <rFont val="Times New Roman"/>
        <family val="1"/>
        <charset val="238"/>
      </rPr>
      <t>150cm wraz z wykonaniem wykopu</t>
    </r>
  </si>
  <si>
    <t>PRZEBUDOWA I ZABEZPIECZENIE 
LINII KABLOWEJ SN 15 kV</t>
  </si>
  <si>
    <t>PRZEBUDOWA I ZABEZPIECZENIE KABLI nN</t>
  </si>
  <si>
    <t xml:space="preserve">PRZEBUDOWA I ZABEZPIECZENIE SIECI WODOCIĄGOWYCH </t>
  </si>
  <si>
    <t>PRZEBUDOWA I ZABEZPIECZENIE SIECI GAZOWYCH</t>
  </si>
  <si>
    <t xml:space="preserve">WARTOŚĆ KOSZTORYSOWA ROBÓT NETTO [I-V]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</si>
</sst>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0#\.##\.##\.##\."/>
    <numFmt numFmtId="165" formatCode="##\.##\.##\.00\."/>
    <numFmt numFmtId="166" formatCode="0.0"/>
    <numFmt numFmtId="167" formatCode="0.000"/>
    <numFmt numFmtId="168" formatCode="0\+000.00"/>
    <numFmt numFmtId="170" formatCode="#\ ###\ ###\ ##0.00####"/>
  </numFmts>
  <fonts count="69">
    <font>
      <sz val="11"/>
      <color theme="1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0"/>
      <color rgb="FFFF0000"/>
      <name val="Times New Roman"/>
      <family val="1"/>
      <charset val="238"/>
    </font>
    <font>
      <b/>
      <sz val="10"/>
      <name val="Arial CE"/>
      <charset val="238"/>
    </font>
    <font>
      <b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0"/>
      <name val="Czcionka tekstu podstawowego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b/>
      <sz val="10"/>
      <name val="Czcionka tekstu podstawowego"/>
      <charset val="238"/>
    </font>
    <font>
      <b/>
      <sz val="10"/>
      <color rgb="FFFF0000"/>
      <name val="Arial CE"/>
      <charset val="238"/>
    </font>
    <font>
      <sz val="10"/>
      <color rgb="FFFF000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Symbol"/>
      <family val="1"/>
      <charset val="2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b/>
      <sz val="12"/>
      <name val="Times New Roman"/>
      <family val="1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i/>
      <sz val="12"/>
      <name val="Arial"/>
      <family val="2"/>
      <charset val="238"/>
    </font>
    <font>
      <b/>
      <i/>
      <sz val="24"/>
      <name val="Arial"/>
      <family val="2"/>
      <charset val="238"/>
    </font>
    <font>
      <b/>
      <i/>
      <u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rgb="FFFF0000"/>
      <name val="Czcionka tekstu podstawowego"/>
      <charset val="238"/>
    </font>
    <font>
      <b/>
      <sz val="13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vertAlign val="superscript"/>
      <sz val="11"/>
      <name val="Calibri"/>
      <family val="2"/>
      <charset val="238"/>
    </font>
    <font>
      <sz val="10"/>
      <name val="MS Sans Serif"/>
      <family val="2"/>
      <charset val="238"/>
    </font>
    <font>
      <b/>
      <i/>
      <sz val="24"/>
      <color rgb="FFFF0000"/>
      <name val="Arial"/>
      <family val="2"/>
      <charset val="238"/>
    </font>
    <font>
      <b/>
      <sz val="16"/>
      <color rgb="FFFF0000"/>
      <name val="Times New Roman"/>
      <family val="1"/>
      <charset val="238"/>
    </font>
    <font>
      <b/>
      <sz val="12"/>
      <color rgb="FFFF0000"/>
      <name val="Arial CE"/>
      <family val="2"/>
      <charset val="238"/>
    </font>
    <font>
      <sz val="10"/>
      <color indexed="8"/>
      <name val="Arial"/>
      <family val="2"/>
    </font>
    <font>
      <sz val="11"/>
      <name val="Times New Roman CE"/>
      <charset val="238"/>
    </font>
    <font>
      <sz val="8"/>
      <name val="Calibri"/>
      <family val="2"/>
      <charset val="238"/>
      <scheme val="minor"/>
    </font>
    <font>
      <i/>
      <sz val="10"/>
      <name val="MS Sans Serif"/>
      <family val="2"/>
      <charset val="238"/>
    </font>
    <font>
      <b/>
      <i/>
      <sz val="10"/>
      <name val="Times New Roman"/>
      <family val="1"/>
      <charset val="238"/>
    </font>
    <font>
      <sz val="10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b/>
      <sz val="13"/>
      <name val="Arial CE"/>
      <family val="2"/>
      <charset val="238"/>
    </font>
    <font>
      <b/>
      <sz val="13"/>
      <name val="Calibri"/>
      <family val="2"/>
      <charset val="238"/>
    </font>
    <font>
      <b/>
      <i/>
      <sz val="14"/>
      <color rgb="FFFF0000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i/>
      <sz val="12"/>
      <color rgb="FFFF0000"/>
      <name val="Arial"/>
      <family val="2"/>
      <charset val="238"/>
    </font>
    <font>
      <b/>
      <i/>
      <sz val="13"/>
      <name val="Arial"/>
      <family val="2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2"/>
      <name val="Times New Roman"/>
      <family val="1"/>
      <charset val="238"/>
    </font>
    <font>
      <sz val="8"/>
      <color indexed="8"/>
      <name val="Tahoma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22"/>
      </patternFill>
    </fill>
    <fill>
      <patternFill patternType="solid">
        <fgColor indexed="47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41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9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37">
    <xf numFmtId="0" fontId="0" fillId="0" borderId="0"/>
    <xf numFmtId="0" fontId="4" fillId="0" borderId="0"/>
    <xf numFmtId="0" fontId="4" fillId="0" borderId="0"/>
    <xf numFmtId="0" fontId="4" fillId="0" borderId="0"/>
    <xf numFmtId="43" fontId="17" fillId="0" borderId="0" applyFont="0" applyFill="0" applyBorder="0" applyAlignment="0" applyProtection="0"/>
    <xf numFmtId="0" fontId="17" fillId="0" borderId="0"/>
    <xf numFmtId="0" fontId="20" fillId="0" borderId="0"/>
    <xf numFmtId="43" fontId="38" fillId="0" borderId="0" applyFont="0" applyFill="0" applyBorder="0" applyAlignment="0" applyProtection="0"/>
    <xf numFmtId="0" fontId="48" fillId="0" borderId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8" fillId="0" borderId="0"/>
    <xf numFmtId="0" fontId="49" fillId="0" borderId="11">
      <alignment horizontal="center"/>
    </xf>
    <xf numFmtId="9" fontId="17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38" fillId="0" borderId="0"/>
    <xf numFmtId="43" fontId="38" fillId="0" borderId="0" applyFont="0" applyFill="0" applyBorder="0" applyAlignment="0" applyProtection="0"/>
    <xf numFmtId="0" fontId="48" fillId="0" borderId="0"/>
    <xf numFmtId="0" fontId="4" fillId="0" borderId="0" applyNumberFormat="0" applyFont="0" applyFill="0" applyBorder="0" applyAlignment="0" applyProtection="0">
      <alignment vertical="top"/>
    </xf>
    <xf numFmtId="0" fontId="4" fillId="0" borderId="0" applyNumberFormat="0" applyFont="0" applyFill="0" applyBorder="0" applyAlignment="0" applyProtection="0">
      <alignment vertical="top"/>
    </xf>
    <xf numFmtId="0" fontId="38" fillId="0" borderId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38" fillId="0" borderId="0"/>
    <xf numFmtId="0" fontId="38" fillId="0" borderId="0"/>
  </cellStyleXfs>
  <cellXfs count="621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6" xfId="1" applyNumberFormat="1" applyFont="1" applyBorder="1" applyAlignment="1">
      <alignment horizontal="center" vertical="center"/>
    </xf>
    <xf numFmtId="0" fontId="6" fillId="6" borderId="0" xfId="2" applyFont="1" applyFill="1" applyAlignment="1">
      <alignment horizontal="left" vertical="center"/>
    </xf>
    <xf numFmtId="0" fontId="2" fillId="0" borderId="11" xfId="1" applyFont="1" applyBorder="1" applyAlignment="1">
      <alignment horizontal="left" vertical="center" wrapText="1"/>
    </xf>
    <xf numFmtId="4" fontId="7" fillId="0" borderId="11" xfId="2" applyNumberFormat="1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7" fillId="4" borderId="11" xfId="0" applyFont="1" applyFill="1" applyBorder="1" applyAlignment="1">
      <alignment horizontal="center" vertical="center" wrapText="1"/>
    </xf>
    <xf numFmtId="2" fontId="16" fillId="11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 vertical="center"/>
    </xf>
    <xf numFmtId="2" fontId="11" fillId="0" borderId="30" xfId="0" applyNumberFormat="1" applyFont="1" applyBorder="1" applyAlignment="1">
      <alignment horizontal="center" vertical="center" wrapText="1"/>
    </xf>
    <xf numFmtId="0" fontId="21" fillId="0" borderId="0" xfId="0" applyFont="1"/>
    <xf numFmtId="0" fontId="25" fillId="0" borderId="11" xfId="3" applyFont="1" applyBorder="1" applyAlignment="1">
      <alignment horizontal="center" vertical="center"/>
    </xf>
    <xf numFmtId="0" fontId="22" fillId="0" borderId="0" xfId="0" applyFont="1"/>
    <xf numFmtId="168" fontId="25" fillId="0" borderId="11" xfId="0" applyNumberFormat="1" applyFont="1" applyBorder="1" applyAlignment="1">
      <alignment horizontal="center" vertical="center"/>
    </xf>
    <xf numFmtId="0" fontId="27" fillId="0" borderId="11" xfId="3" applyFont="1" applyBorder="1" applyAlignment="1">
      <alignment horizontal="center" vertical="center"/>
    </xf>
    <xf numFmtId="168" fontId="27" fillId="0" borderId="11" xfId="3" applyNumberFormat="1" applyFont="1" applyBorder="1" applyAlignment="1">
      <alignment horizontal="center" vertical="center"/>
    </xf>
    <xf numFmtId="168" fontId="27" fillId="0" borderId="11" xfId="0" applyNumberFormat="1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4" fillId="0" borderId="0" xfId="0" applyFont="1"/>
    <xf numFmtId="0" fontId="28" fillId="0" borderId="0" xfId="0" applyFont="1"/>
    <xf numFmtId="0" fontId="28" fillId="0" borderId="0" xfId="0" applyFont="1" applyAlignment="1">
      <alignment horizontal="center"/>
    </xf>
    <xf numFmtId="0" fontId="25" fillId="0" borderId="12" xfId="3" applyFont="1" applyBorder="1" applyAlignment="1">
      <alignment horizontal="center" vertical="center"/>
    </xf>
    <xf numFmtId="0" fontId="26" fillId="0" borderId="8" xfId="3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168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0" xfId="3" applyFont="1" applyAlignment="1">
      <alignment horizontal="center" vertical="center"/>
    </xf>
    <xf numFmtId="0" fontId="25" fillId="0" borderId="0" xfId="3" applyFont="1" applyAlignment="1">
      <alignment horizontal="center" vertical="center"/>
    </xf>
    <xf numFmtId="0" fontId="27" fillId="14" borderId="0" xfId="3" applyFont="1" applyFill="1" applyAlignment="1">
      <alignment horizontal="center" vertical="center"/>
    </xf>
    <xf numFmtId="0" fontId="25" fillId="0" borderId="0" xfId="0" applyFont="1" applyAlignment="1">
      <alignment vertical="center"/>
    </xf>
    <xf numFmtId="168" fontId="25" fillId="0" borderId="0" xfId="0" applyNumberFormat="1" applyFont="1" applyAlignment="1">
      <alignment vertical="center"/>
    </xf>
    <xf numFmtId="0" fontId="0" fillId="14" borderId="0" xfId="0" applyFill="1"/>
    <xf numFmtId="0" fontId="27" fillId="0" borderId="18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2" xfId="3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29" fillId="12" borderId="11" xfId="3" applyFont="1" applyFill="1" applyBorder="1" applyAlignment="1">
      <alignment horizontal="center" vertical="center"/>
    </xf>
    <xf numFmtId="0" fontId="29" fillId="12" borderId="12" xfId="3" applyFont="1" applyFill="1" applyBorder="1" applyAlignment="1">
      <alignment horizontal="center" vertical="center"/>
    </xf>
    <xf numFmtId="0" fontId="29" fillId="12" borderId="29" xfId="3" applyFont="1" applyFill="1" applyBorder="1" applyAlignment="1">
      <alignment horizontal="center" vertical="center"/>
    </xf>
    <xf numFmtId="0" fontId="29" fillId="12" borderId="30" xfId="3" applyFont="1" applyFill="1" applyBorder="1" applyAlignment="1">
      <alignment horizontal="center" vertical="center"/>
    </xf>
    <xf numFmtId="0" fontId="29" fillId="0" borderId="8" xfId="3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8" fontId="25" fillId="0" borderId="14" xfId="0" applyNumberFormat="1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4" xfId="3" applyFont="1" applyBorder="1" applyAlignment="1">
      <alignment horizontal="center" vertical="center"/>
    </xf>
    <xf numFmtId="0" fontId="25" fillId="0" borderId="15" xfId="3" applyFont="1" applyBorder="1" applyAlignment="1">
      <alignment horizontal="center" vertical="center"/>
    </xf>
    <xf numFmtId="0" fontId="29" fillId="0" borderId="9" xfId="3" applyFont="1" applyBorder="1" applyAlignment="1">
      <alignment horizontal="center" vertical="center"/>
    </xf>
    <xf numFmtId="0" fontId="26" fillId="13" borderId="41" xfId="3" applyFont="1" applyFill="1" applyBorder="1" applyAlignment="1">
      <alignment vertical="center"/>
    </xf>
    <xf numFmtId="0" fontId="26" fillId="13" borderId="42" xfId="3" applyFont="1" applyFill="1" applyBorder="1" applyAlignment="1">
      <alignment vertical="center"/>
    </xf>
    <xf numFmtId="0" fontId="26" fillId="0" borderId="40" xfId="3" applyFont="1" applyBorder="1" applyAlignment="1">
      <alignment vertical="center"/>
    </xf>
    <xf numFmtId="0" fontId="26" fillId="0" borderId="41" xfId="3" applyFont="1" applyBorder="1" applyAlignment="1">
      <alignment vertical="center"/>
    </xf>
    <xf numFmtId="0" fontId="26" fillId="0" borderId="42" xfId="3" applyFont="1" applyBorder="1" applyAlignment="1">
      <alignment vertical="center"/>
    </xf>
    <xf numFmtId="0" fontId="26" fillId="10" borderId="21" xfId="3" applyFont="1" applyFill="1" applyBorder="1" applyAlignment="1">
      <alignment vertical="center" wrapText="1"/>
    </xf>
    <xf numFmtId="2" fontId="21" fillId="0" borderId="11" xfId="0" applyNumberFormat="1" applyFont="1" applyBorder="1" applyAlignment="1">
      <alignment horizontal="center" vertical="center" wrapText="1"/>
    </xf>
    <xf numFmtId="2" fontId="22" fillId="0" borderId="0" xfId="0" applyNumberFormat="1" applyFont="1" applyAlignment="1">
      <alignment horizontal="center"/>
    </xf>
    <xf numFmtId="0" fontId="42" fillId="0" borderId="0" xfId="0" applyFont="1"/>
    <xf numFmtId="0" fontId="27" fillId="0" borderId="14" xfId="0" applyFont="1" applyBorder="1" applyAlignment="1">
      <alignment horizontal="center" vertical="center"/>
    </xf>
    <xf numFmtId="0" fontId="27" fillId="0" borderId="14" xfId="3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4" fontId="15" fillId="0" borderId="0" xfId="0" applyNumberFormat="1" applyFont="1" applyAlignment="1">
      <alignment horizontal="center" vertical="center"/>
    </xf>
    <xf numFmtId="0" fontId="26" fillId="10" borderId="21" xfId="3" applyFont="1" applyFill="1" applyBorder="1" applyAlignment="1">
      <alignment horizontal="center" vertical="center" wrapText="1"/>
    </xf>
    <xf numFmtId="2" fontId="22" fillId="0" borderId="0" xfId="0" applyNumberFormat="1" applyFont="1" applyAlignment="1">
      <alignment horizontal="center" vertical="center" wrapText="1"/>
    </xf>
    <xf numFmtId="2" fontId="8" fillId="10" borderId="11" xfId="0" applyNumberFormat="1" applyFont="1" applyFill="1" applyBorder="1" applyAlignment="1">
      <alignment horizontal="center" vertical="center" wrapText="1"/>
    </xf>
    <xf numFmtId="2" fontId="2" fillId="0" borderId="11" xfId="1" applyNumberFormat="1" applyFont="1" applyBorder="1" applyAlignment="1">
      <alignment horizontal="center" vertical="center" wrapText="1"/>
    </xf>
    <xf numFmtId="164" fontId="7" fillId="0" borderId="11" xfId="1" quotePrefix="1" applyNumberFormat="1" applyFont="1" applyBorder="1" applyAlignment="1">
      <alignment horizontal="center" vertical="center" wrapText="1"/>
    </xf>
    <xf numFmtId="165" fontId="2" fillId="0" borderId="11" xfId="2" quotePrefix="1" applyNumberFormat="1" applyFont="1" applyBorder="1" applyAlignment="1">
      <alignment horizontal="center" vertical="center" wrapText="1"/>
    </xf>
    <xf numFmtId="165" fontId="3" fillId="0" borderId="11" xfId="2" quotePrefix="1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1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164" fontId="3" fillId="0" borderId="11" xfId="1" quotePrefix="1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vertical="center" wrapText="1"/>
    </xf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4" fontId="2" fillId="0" borderId="11" xfId="1" applyNumberFormat="1" applyFont="1" applyBorder="1" applyAlignment="1">
      <alignment horizontal="center" vertical="center"/>
    </xf>
    <xf numFmtId="165" fontId="3" fillId="0" borderId="11" xfId="2" applyNumberFormat="1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4" fontId="2" fillId="0" borderId="11" xfId="2" applyNumberFormat="1" applyFont="1" applyBorder="1" applyAlignment="1">
      <alignment horizontal="center" vertical="center"/>
    </xf>
    <xf numFmtId="164" fontId="3" fillId="5" borderId="11" xfId="1" quotePrefix="1" applyNumberFormat="1" applyFont="1" applyFill="1" applyBorder="1" applyAlignment="1">
      <alignment horizontal="center" vertical="center" wrapText="1"/>
    </xf>
    <xf numFmtId="164" fontId="2" fillId="0" borderId="11" xfId="1" quotePrefix="1" applyNumberFormat="1" applyFont="1" applyBorder="1" applyAlignment="1">
      <alignment horizontal="center" vertical="center" wrapText="1"/>
    </xf>
    <xf numFmtId="4" fontId="3" fillId="0" borderId="16" xfId="2" applyNumberFormat="1" applyFont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5" borderId="11" xfId="1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2" fontId="17" fillId="13" borderId="11" xfId="4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6" fillId="7" borderId="0" xfId="2" applyFont="1" applyFill="1" applyAlignment="1">
      <alignment horizontal="left" vertical="center"/>
    </xf>
    <xf numFmtId="166" fontId="6" fillId="0" borderId="0" xfId="0" applyNumberFormat="1" applyFont="1" applyAlignment="1">
      <alignment horizontal="center" vertical="center"/>
    </xf>
    <xf numFmtId="0" fontId="15" fillId="6" borderId="0" xfId="0" applyFont="1" applyFill="1" applyAlignment="1">
      <alignment vertical="center"/>
    </xf>
    <xf numFmtId="0" fontId="15" fillId="8" borderId="0" xfId="0" applyFont="1" applyFill="1" applyAlignment="1">
      <alignment vertical="center"/>
    </xf>
    <xf numFmtId="0" fontId="22" fillId="6" borderId="0" xfId="0" applyFont="1" applyFill="1" applyAlignment="1">
      <alignment vertical="center"/>
    </xf>
    <xf numFmtId="0" fontId="22" fillId="9" borderId="0" xfId="0" applyFont="1" applyFill="1" applyAlignment="1">
      <alignment vertical="center"/>
    </xf>
    <xf numFmtId="0" fontId="7" fillId="0" borderId="0" xfId="1" applyFont="1" applyAlignment="1">
      <alignment vertical="center" wrapText="1"/>
    </xf>
    <xf numFmtId="4" fontId="7" fillId="0" borderId="0" xfId="2" applyNumberFormat="1" applyFont="1" applyAlignment="1">
      <alignment horizontal="center" vertical="center"/>
    </xf>
    <xf numFmtId="0" fontId="6" fillId="0" borderId="0" xfId="2" applyFont="1" applyAlignment="1">
      <alignment horizontal="left"/>
    </xf>
    <xf numFmtId="0" fontId="22" fillId="0" borderId="0" xfId="0" applyFont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2" fontId="31" fillId="0" borderId="11" xfId="0" applyNumberFormat="1" applyFont="1" applyBorder="1" applyAlignment="1">
      <alignment horizontal="center" vertical="center" wrapText="1"/>
    </xf>
    <xf numFmtId="2" fontId="8" fillId="10" borderId="27" xfId="0" applyNumberFormat="1" applyFont="1" applyFill="1" applyBorder="1" applyAlignment="1">
      <alignment vertical="center" wrapText="1"/>
    </xf>
    <xf numFmtId="2" fontId="21" fillId="0" borderId="29" xfId="0" applyNumberFormat="1" applyFont="1" applyBorder="1" applyAlignment="1">
      <alignment horizontal="center" vertical="center" wrapText="1"/>
    </xf>
    <xf numFmtId="2" fontId="22" fillId="0" borderId="21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vertical="center"/>
    </xf>
    <xf numFmtId="2" fontId="15" fillId="10" borderId="19" xfId="0" applyNumberFormat="1" applyFont="1" applyFill="1" applyBorder="1" applyAlignment="1">
      <alignment vertical="center" wrapText="1"/>
    </xf>
    <xf numFmtId="2" fontId="15" fillId="10" borderId="17" xfId="0" applyNumberFormat="1" applyFont="1" applyFill="1" applyBorder="1" applyAlignment="1">
      <alignment vertical="center" wrapText="1"/>
    </xf>
    <xf numFmtId="2" fontId="22" fillId="0" borderId="57" xfId="0" applyNumberFormat="1" applyFont="1" applyBorder="1" applyAlignment="1">
      <alignment horizontal="left" vertical="center" wrapText="1"/>
    </xf>
    <xf numFmtId="2" fontId="21" fillId="0" borderId="18" xfId="0" applyNumberFormat="1" applyFont="1" applyBorder="1" applyAlignment="1">
      <alignment horizontal="left" vertical="center" wrapText="1"/>
    </xf>
    <xf numFmtId="2" fontId="22" fillId="0" borderId="20" xfId="0" applyNumberFormat="1" applyFont="1" applyBorder="1" applyAlignment="1">
      <alignment horizontal="left" vertical="center" wrapText="1"/>
    </xf>
    <xf numFmtId="2" fontId="21" fillId="0" borderId="31" xfId="0" applyNumberFormat="1" applyFont="1" applyBorder="1" applyAlignment="1">
      <alignment horizontal="left" vertical="center" wrapText="1"/>
    </xf>
    <xf numFmtId="2" fontId="21" fillId="0" borderId="56" xfId="0" applyNumberFormat="1" applyFont="1" applyBorder="1" applyAlignment="1">
      <alignment horizontal="left" vertical="center" wrapText="1"/>
    </xf>
    <xf numFmtId="2" fontId="21" fillId="0" borderId="58" xfId="0" applyNumberFormat="1" applyFont="1" applyBorder="1" applyAlignment="1">
      <alignment horizontal="left" vertical="center" wrapText="1"/>
    </xf>
    <xf numFmtId="2" fontId="17" fillId="0" borderId="30" xfId="0" applyNumberFormat="1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2" fontId="8" fillId="10" borderId="1" xfId="0" applyNumberFormat="1" applyFont="1" applyFill="1" applyBorder="1" applyAlignment="1">
      <alignment horizontal="center" vertical="center" wrapText="1"/>
    </xf>
    <xf numFmtId="2" fontId="8" fillId="10" borderId="2" xfId="0" applyNumberFormat="1" applyFont="1" applyFill="1" applyBorder="1" applyAlignment="1">
      <alignment horizontal="center" vertical="center" wrapText="1"/>
    </xf>
    <xf numFmtId="2" fontId="8" fillId="10" borderId="3" xfId="0" applyNumberFormat="1" applyFont="1" applyFill="1" applyBorder="1" applyAlignment="1">
      <alignment horizontal="center" vertical="center" wrapText="1"/>
    </xf>
    <xf numFmtId="2" fontId="8" fillId="10" borderId="35" xfId="0" applyNumberFormat="1" applyFont="1" applyFill="1" applyBorder="1" applyAlignment="1">
      <alignment horizontal="center" vertical="center" wrapText="1"/>
    </xf>
    <xf numFmtId="2" fontId="8" fillId="10" borderId="36" xfId="0" applyNumberFormat="1" applyFont="1" applyFill="1" applyBorder="1" applyAlignment="1">
      <alignment horizontal="center" vertical="center" wrapText="1"/>
    </xf>
    <xf numFmtId="2" fontId="11" fillId="0" borderId="12" xfId="0" applyNumberFormat="1" applyFont="1" applyBorder="1" applyAlignment="1">
      <alignment horizontal="center" vertical="center" wrapText="1"/>
    </xf>
    <xf numFmtId="167" fontId="11" fillId="0" borderId="29" xfId="0" applyNumberFormat="1" applyFont="1" applyBorder="1" applyAlignment="1">
      <alignment horizontal="center" vertical="center" wrapText="1"/>
    </xf>
    <xf numFmtId="0" fontId="30" fillId="10" borderId="11" xfId="5" applyFont="1" applyFill="1" applyBorder="1" applyAlignment="1">
      <alignment horizontal="center" vertical="center"/>
    </xf>
    <xf numFmtId="0" fontId="30" fillId="10" borderId="29" xfId="5" applyFont="1" applyFill="1" applyBorder="1" applyAlignment="1">
      <alignment horizontal="center" vertical="center"/>
    </xf>
    <xf numFmtId="0" fontId="30" fillId="10" borderId="30" xfId="5" applyFont="1" applyFill="1" applyBorder="1" applyAlignment="1">
      <alignment horizontal="center" vertical="center"/>
    </xf>
    <xf numFmtId="2" fontId="18" fillId="0" borderId="57" xfId="0" applyNumberFormat="1" applyFont="1" applyBorder="1" applyAlignment="1">
      <alignment vertical="center"/>
    </xf>
    <xf numFmtId="2" fontId="22" fillId="6" borderId="11" xfId="0" applyNumberFormat="1" applyFont="1" applyFill="1" applyBorder="1" applyAlignment="1">
      <alignment horizontal="center" vertical="center" wrapText="1"/>
    </xf>
    <xf numFmtId="167" fontId="39" fillId="6" borderId="11" xfId="0" applyNumberFormat="1" applyFont="1" applyFill="1" applyBorder="1" applyAlignment="1">
      <alignment horizontal="center" vertical="center" wrapText="1"/>
    </xf>
    <xf numFmtId="2" fontId="22" fillId="6" borderId="12" xfId="0" applyNumberFormat="1" applyFont="1" applyFill="1" applyBorder="1" applyAlignment="1">
      <alignment horizontal="center" vertical="center" wrapText="1"/>
    </xf>
    <xf numFmtId="2" fontId="22" fillId="0" borderId="57" xfId="0" applyNumberFormat="1" applyFont="1" applyBorder="1" applyAlignment="1">
      <alignment horizontal="center"/>
    </xf>
    <xf numFmtId="2" fontId="22" fillId="0" borderId="26" xfId="0" applyNumberFormat="1" applyFont="1" applyBorder="1" applyAlignment="1">
      <alignment horizontal="center"/>
    </xf>
    <xf numFmtId="2" fontId="47" fillId="0" borderId="0" xfId="0" applyNumberFormat="1" applyFont="1" applyAlignment="1">
      <alignment vertical="center"/>
    </xf>
    <xf numFmtId="2" fontId="47" fillId="0" borderId="26" xfId="0" applyNumberFormat="1" applyFont="1" applyBorder="1" applyAlignment="1">
      <alignment vertical="center"/>
    </xf>
    <xf numFmtId="2" fontId="11" fillId="0" borderId="39" xfId="0" applyNumberFormat="1" applyFont="1" applyBorder="1" applyAlignment="1">
      <alignment horizontal="center" vertical="center" wrapText="1"/>
    </xf>
    <xf numFmtId="2" fontId="39" fillId="0" borderId="22" xfId="0" applyNumberFormat="1" applyFont="1" applyBorder="1" applyAlignment="1">
      <alignment horizontal="center" vertical="center" wrapText="1"/>
    </xf>
    <xf numFmtId="2" fontId="39" fillId="0" borderId="26" xfId="0" applyNumberFormat="1" applyFont="1" applyBorder="1" applyAlignment="1">
      <alignment horizontal="center" vertical="center" wrapText="1"/>
    </xf>
    <xf numFmtId="2" fontId="11" fillId="0" borderId="32" xfId="0" applyNumberFormat="1" applyFont="1" applyBorder="1" applyAlignment="1">
      <alignment horizontal="center" vertical="center" wrapText="1"/>
    </xf>
    <xf numFmtId="2" fontId="23" fillId="0" borderId="46" xfId="0" applyNumberFormat="1" applyFont="1" applyBorder="1" applyAlignment="1">
      <alignment vertical="center"/>
    </xf>
    <xf numFmtId="2" fontId="40" fillId="0" borderId="4" xfId="0" applyNumberFormat="1" applyFont="1" applyBorder="1" applyAlignment="1">
      <alignment vertical="center"/>
    </xf>
    <xf numFmtId="2" fontId="40" fillId="0" borderId="6" xfId="0" applyNumberFormat="1" applyFont="1" applyBorder="1" applyAlignment="1">
      <alignment vertical="center"/>
    </xf>
    <xf numFmtId="2" fontId="40" fillId="0" borderId="0" xfId="0" applyNumberFormat="1" applyFont="1" applyAlignment="1">
      <alignment vertical="center"/>
    </xf>
    <xf numFmtId="168" fontId="31" fillId="0" borderId="35" xfId="5" applyNumberFormat="1" applyFont="1" applyBorder="1" applyAlignment="1">
      <alignment horizontal="center" vertical="center"/>
    </xf>
    <xf numFmtId="2" fontId="31" fillId="0" borderId="36" xfId="5" applyNumberFormat="1" applyFont="1" applyBorder="1"/>
    <xf numFmtId="4" fontId="42" fillId="0" borderId="36" xfId="5" applyNumberFormat="1" applyFont="1" applyBorder="1" applyAlignment="1">
      <alignment horizontal="right" vertical="center" shrinkToFit="1"/>
    </xf>
    <xf numFmtId="0" fontId="41" fillId="0" borderId="36" xfId="5" applyFont="1" applyBorder="1" applyAlignment="1">
      <alignment horizontal="center" vertical="center"/>
    </xf>
    <xf numFmtId="0" fontId="41" fillId="0" borderId="37" xfId="5" applyFont="1" applyBorder="1" applyAlignment="1">
      <alignment horizontal="center" vertical="center"/>
    </xf>
    <xf numFmtId="168" fontId="31" fillId="0" borderId="13" xfId="5" applyNumberFormat="1" applyFont="1" applyBorder="1" applyAlignment="1">
      <alignment horizontal="center" vertical="center"/>
    </xf>
    <xf numFmtId="2" fontId="31" fillId="0" borderId="14" xfId="5" applyNumberFormat="1" applyFont="1" applyBorder="1"/>
    <xf numFmtId="168" fontId="31" fillId="0" borderId="18" xfId="5" applyNumberFormat="1" applyFont="1" applyBorder="1" applyAlignment="1">
      <alignment horizontal="center" vertical="center"/>
    </xf>
    <xf numFmtId="2" fontId="31" fillId="0" borderId="11" xfId="5" applyNumberFormat="1" applyFont="1" applyBorder="1"/>
    <xf numFmtId="4" fontId="31" fillId="0" borderId="11" xfId="5" applyNumberFormat="1" applyFont="1" applyBorder="1" applyAlignment="1">
      <alignment horizontal="right" vertical="center" shrinkToFit="1"/>
    </xf>
    <xf numFmtId="0" fontId="22" fillId="0" borderId="11" xfId="0" applyFont="1" applyBorder="1" applyAlignment="1">
      <alignment vertical="center"/>
    </xf>
    <xf numFmtId="0" fontId="3" fillId="5" borderId="19" xfId="1" applyFont="1" applyFill="1" applyBorder="1" applyAlignment="1">
      <alignment vertical="center" wrapText="1"/>
    </xf>
    <xf numFmtId="165" fontId="52" fillId="0" borderId="11" xfId="2" applyNumberFormat="1" applyFont="1" applyBorder="1" applyAlignment="1">
      <alignment horizontal="center" vertical="center" wrapText="1"/>
    </xf>
    <xf numFmtId="49" fontId="3" fillId="5" borderId="11" xfId="1" applyNumberFormat="1" applyFont="1" applyFill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2" fillId="0" borderId="16" xfId="2" applyNumberFormat="1" applyFont="1" applyBorder="1" applyAlignment="1">
      <alignment horizontal="center" vertical="center"/>
    </xf>
    <xf numFmtId="164" fontId="3" fillId="0" borderId="21" xfId="1" quotePrefix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4" borderId="19" xfId="0" applyFont="1" applyFill="1" applyBorder="1" applyAlignment="1">
      <alignment vertical="center" wrapText="1"/>
    </xf>
    <xf numFmtId="2" fontId="18" fillId="0" borderId="11" xfId="0" applyNumberFormat="1" applyFont="1" applyBorder="1" applyAlignment="1">
      <alignment vertical="center"/>
    </xf>
    <xf numFmtId="0" fontId="3" fillId="4" borderId="25" xfId="0" applyFont="1" applyFill="1" applyBorder="1" applyAlignment="1">
      <alignment vertical="center" wrapText="1"/>
    </xf>
    <xf numFmtId="2" fontId="16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53" fillId="0" borderId="0" xfId="0" applyNumberFormat="1" applyFont="1" applyAlignment="1">
      <alignment horizontal="center"/>
    </xf>
    <xf numFmtId="2" fontId="54" fillId="6" borderId="0" xfId="4" applyNumberFormat="1" applyFont="1" applyFill="1" applyBorder="1" applyAlignment="1">
      <alignment horizontal="center" vertical="center" wrapText="1"/>
    </xf>
    <xf numFmtId="49" fontId="53" fillId="0" borderId="0" xfId="0" applyNumberFormat="1" applyFont="1" applyAlignment="1">
      <alignment horizontal="center"/>
    </xf>
    <xf numFmtId="2" fontId="21" fillId="10" borderId="14" xfId="0" applyNumberFormat="1" applyFont="1" applyFill="1" applyBorder="1" applyAlignment="1">
      <alignment horizontal="center" vertical="center" textRotation="90" wrapText="1"/>
    </xf>
    <xf numFmtId="2" fontId="21" fillId="10" borderId="14" xfId="0" applyNumberFormat="1" applyFont="1" applyFill="1" applyBorder="1" applyAlignment="1">
      <alignment horizontal="left" vertical="center" textRotation="90" wrapText="1"/>
    </xf>
    <xf numFmtId="2" fontId="21" fillId="10" borderId="11" xfId="0" applyNumberFormat="1" applyFont="1" applyFill="1" applyBorder="1" applyAlignment="1">
      <alignment horizontal="center" vertical="center" textRotation="90" wrapText="1"/>
    </xf>
    <xf numFmtId="2" fontId="18" fillId="0" borderId="34" xfId="0" applyNumberFormat="1" applyFont="1" applyBorder="1" applyAlignment="1">
      <alignment vertical="center"/>
    </xf>
    <xf numFmtId="1" fontId="17" fillId="13" borderId="11" xfId="4" applyNumberFormat="1" applyFont="1" applyFill="1" applyBorder="1" applyAlignment="1">
      <alignment horizontal="center" vertical="center" wrapText="1"/>
    </xf>
    <xf numFmtId="2" fontId="56" fillId="13" borderId="11" xfId="0" applyNumberFormat="1" applyFont="1" applyFill="1" applyBorder="1" applyAlignment="1">
      <alignment horizontal="center" vertical="center" wrapText="1"/>
    </xf>
    <xf numFmtId="2" fontId="21" fillId="13" borderId="11" xfId="4" applyNumberFormat="1" applyFont="1" applyFill="1" applyBorder="1" applyAlignment="1">
      <alignment horizontal="center" vertical="center" wrapText="1"/>
    </xf>
    <xf numFmtId="2" fontId="17" fillId="13" borderId="11" xfId="0" applyNumberFormat="1" applyFont="1" applyFill="1" applyBorder="1" applyAlignment="1">
      <alignment horizontal="center" vertical="center" wrapText="1"/>
    </xf>
    <xf numFmtId="2" fontId="17" fillId="13" borderId="21" xfId="4" applyNumberFormat="1" applyFont="1" applyFill="1" applyBorder="1" applyAlignment="1">
      <alignment horizontal="center" vertical="center" wrapText="1"/>
    </xf>
    <xf numFmtId="1" fontId="17" fillId="13" borderId="21" xfId="4" applyNumberFormat="1" applyFont="1" applyFill="1" applyBorder="1" applyAlignment="1">
      <alignment horizontal="center" vertical="center" wrapText="1"/>
    </xf>
    <xf numFmtId="2" fontId="56" fillId="13" borderId="21" xfId="0" applyNumberFormat="1" applyFont="1" applyFill="1" applyBorder="1" applyAlignment="1">
      <alignment horizontal="center" vertical="center" wrapText="1"/>
    </xf>
    <xf numFmtId="2" fontId="8" fillId="3" borderId="21" xfId="4" applyNumberFormat="1" applyFont="1" applyFill="1" applyBorder="1" applyAlignment="1">
      <alignment horizontal="center" vertical="center" wrapText="1"/>
    </xf>
    <xf numFmtId="1" fontId="8" fillId="3" borderId="21" xfId="4" applyNumberFormat="1" applyFont="1" applyFill="1" applyBorder="1" applyAlignment="1">
      <alignment horizontal="center" vertical="center" wrapText="1"/>
    </xf>
    <xf numFmtId="2" fontId="8" fillId="3" borderId="7" xfId="4" applyNumberFormat="1" applyFont="1" applyFill="1" applyBorder="1" applyAlignment="1">
      <alignment horizontal="center" vertical="center" wrapText="1"/>
    </xf>
    <xf numFmtId="2" fontId="8" fillId="3" borderId="8" xfId="4" applyNumberFormat="1" applyFont="1" applyFill="1" applyBorder="1" applyAlignment="1">
      <alignment horizontal="center" vertical="center" wrapText="1"/>
    </xf>
    <xf numFmtId="1" fontId="8" fillId="3" borderId="8" xfId="4" applyNumberFormat="1" applyFont="1" applyFill="1" applyBorder="1" applyAlignment="1">
      <alignment horizontal="center" vertical="center" wrapText="1"/>
    </xf>
    <xf numFmtId="2" fontId="8" fillId="3" borderId="9" xfId="4" applyNumberFormat="1" applyFont="1" applyFill="1" applyBorder="1" applyAlignment="1">
      <alignment horizontal="center" vertical="center" wrapText="1"/>
    </xf>
    <xf numFmtId="2" fontId="57" fillId="23" borderId="49" xfId="4" applyNumberFormat="1" applyFont="1" applyFill="1" applyBorder="1" applyAlignment="1">
      <alignment horizontal="center" vertical="center" wrapText="1"/>
    </xf>
    <xf numFmtId="2" fontId="57" fillId="23" borderId="41" xfId="4" applyNumberFormat="1" applyFont="1" applyFill="1" applyBorder="1" applyAlignment="1">
      <alignment horizontal="center" vertical="center" wrapText="1"/>
    </xf>
    <xf numFmtId="2" fontId="55" fillId="23" borderId="49" xfId="0" applyNumberFormat="1" applyFont="1" applyFill="1" applyBorder="1" applyAlignment="1">
      <alignment horizontal="center" vertical="center"/>
    </xf>
    <xf numFmtId="2" fontId="17" fillId="0" borderId="11" xfId="0" applyNumberFormat="1" applyFont="1" applyBorder="1" applyAlignment="1">
      <alignment horizontal="center" vertical="center" wrapText="1"/>
    </xf>
    <xf numFmtId="2" fontId="21" fillId="0" borderId="11" xfId="0" applyNumberFormat="1" applyFont="1" applyBorder="1" applyAlignment="1">
      <alignment horizontal="center"/>
    </xf>
    <xf numFmtId="2" fontId="21" fillId="0" borderId="0" xfId="0" applyNumberFormat="1" applyFont="1" applyAlignment="1">
      <alignment horizontal="center"/>
    </xf>
    <xf numFmtId="2" fontId="21" fillId="0" borderId="0" xfId="0" applyNumberFormat="1" applyFont="1" applyAlignment="1">
      <alignment horizontal="center" vertical="center" wrapText="1"/>
    </xf>
    <xf numFmtId="2" fontId="22" fillId="0" borderId="0" xfId="0" applyNumberFormat="1" applyFont="1" applyAlignment="1">
      <alignment horizontal="left" vertical="center" wrapText="1"/>
    </xf>
    <xf numFmtId="167" fontId="39" fillId="0" borderId="0" xfId="0" applyNumberFormat="1" applyFont="1" applyAlignment="1">
      <alignment horizontal="center" vertical="center" wrapText="1"/>
    </xf>
    <xf numFmtId="2" fontId="39" fillId="0" borderId="0" xfId="0" applyNumberFormat="1" applyFont="1" applyAlignment="1">
      <alignment horizontal="center" vertical="center" wrapText="1"/>
    </xf>
    <xf numFmtId="2" fontId="8" fillId="10" borderId="19" xfId="0" applyNumberFormat="1" applyFont="1" applyFill="1" applyBorder="1" applyAlignment="1">
      <alignment vertical="center" wrapText="1"/>
    </xf>
    <xf numFmtId="2" fontId="8" fillId="10" borderId="17" xfId="0" applyNumberFormat="1" applyFont="1" applyFill="1" applyBorder="1" applyAlignment="1">
      <alignment vertical="center" wrapText="1"/>
    </xf>
    <xf numFmtId="2" fontId="21" fillId="0" borderId="57" xfId="0" applyNumberFormat="1" applyFont="1" applyBorder="1" applyAlignment="1">
      <alignment horizontal="left" vertical="center" wrapText="1"/>
    </xf>
    <xf numFmtId="2" fontId="16" fillId="0" borderId="2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wrapText="1"/>
    </xf>
    <xf numFmtId="2" fontId="42" fillId="0" borderId="0" xfId="0" applyNumberFormat="1" applyFont="1"/>
    <xf numFmtId="3" fontId="30" fillId="0" borderId="8" xfId="5" applyNumberFormat="1" applyFont="1" applyBorder="1" applyAlignment="1">
      <alignment horizontal="right" shrinkToFit="1"/>
    </xf>
    <xf numFmtId="4" fontId="31" fillId="0" borderId="12" xfId="5" applyNumberFormat="1" applyFont="1" applyBorder="1" applyAlignment="1">
      <alignment horizontal="right" vertical="center" shrinkToFit="1"/>
    </xf>
    <xf numFmtId="3" fontId="30" fillId="0" borderId="9" xfId="5" applyNumberFormat="1" applyFont="1" applyBorder="1" applyAlignment="1">
      <alignment horizontal="right" shrinkToFit="1"/>
    </xf>
    <xf numFmtId="2" fontId="23" fillId="0" borderId="0" xfId="0" applyNumberFormat="1" applyFont="1" applyAlignment="1">
      <alignment vertical="center"/>
    </xf>
    <xf numFmtId="4" fontId="31" fillId="0" borderId="36" xfId="5" applyNumberFormat="1" applyFont="1" applyBorder="1" applyAlignment="1">
      <alignment horizontal="right" vertical="center" shrinkToFit="1"/>
    </xf>
    <xf numFmtId="0" fontId="30" fillId="0" borderId="36" xfId="5" applyFont="1" applyBorder="1" applyAlignment="1">
      <alignment horizontal="center" vertical="center"/>
    </xf>
    <xf numFmtId="0" fontId="30" fillId="0" borderId="37" xfId="5" applyFont="1" applyBorder="1" applyAlignment="1">
      <alignment horizontal="center" vertical="center"/>
    </xf>
    <xf numFmtId="0" fontId="3" fillId="4" borderId="11" xfId="0" applyFont="1" applyFill="1" applyBorder="1" applyAlignment="1">
      <alignment vertical="center" wrapText="1"/>
    </xf>
    <xf numFmtId="3" fontId="58" fillId="0" borderId="8" xfId="5" applyNumberFormat="1" applyFont="1" applyBorder="1" applyAlignment="1">
      <alignment horizontal="right" shrinkToFit="1"/>
    </xf>
    <xf numFmtId="3" fontId="58" fillId="0" borderId="9" xfId="5" applyNumberFormat="1" applyFont="1" applyBorder="1" applyAlignment="1">
      <alignment horizontal="right" shrinkToFit="1"/>
    </xf>
    <xf numFmtId="3" fontId="30" fillId="0" borderId="0" xfId="5" applyNumberFormat="1" applyFont="1" applyAlignment="1">
      <alignment horizontal="right" shrinkToFit="1"/>
    </xf>
    <xf numFmtId="0" fontId="30" fillId="0" borderId="0" xfId="5" applyFont="1" applyAlignment="1">
      <alignment horizontal="right" shrinkToFit="1"/>
    </xf>
    <xf numFmtId="3" fontId="30" fillId="0" borderId="41" xfId="5" applyNumberFormat="1" applyFont="1" applyBorder="1" applyAlignment="1">
      <alignment horizontal="right" shrinkToFit="1"/>
    </xf>
    <xf numFmtId="3" fontId="30" fillId="0" borderId="49" xfId="5" applyNumberFormat="1" applyFont="1" applyBorder="1" applyAlignment="1">
      <alignment horizontal="right" shrinkToFit="1"/>
    </xf>
    <xf numFmtId="0" fontId="12" fillId="0" borderId="11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left" vertical="center" wrapText="1"/>
    </xf>
    <xf numFmtId="4" fontId="12" fillId="0" borderId="11" xfId="2" applyNumberFormat="1" applyFont="1" applyBorder="1" applyAlignment="1" applyProtection="1">
      <alignment horizontal="center" vertical="center"/>
      <protection locked="0"/>
    </xf>
    <xf numFmtId="0" fontId="12" fillId="0" borderId="11" xfId="2" applyFont="1" applyBorder="1" applyAlignment="1">
      <alignment vertical="center" wrapText="1"/>
    </xf>
    <xf numFmtId="0" fontId="2" fillId="0" borderId="11" xfId="2" quotePrefix="1" applyFont="1" applyBorder="1" applyAlignment="1">
      <alignment horizontal="left" vertical="center" wrapText="1"/>
    </xf>
    <xf numFmtId="0" fontId="51" fillId="0" borderId="11" xfId="0" applyFont="1" applyBorder="1" applyAlignment="1">
      <alignment vertical="center"/>
    </xf>
    <xf numFmtId="0" fontId="3" fillId="0" borderId="18" xfId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164" fontId="5" fillId="2" borderId="18" xfId="1" applyNumberFormat="1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5" borderId="18" xfId="1" applyFont="1" applyFill="1" applyBorder="1" applyAlignment="1">
      <alignment horizontal="center" vertical="center" wrapText="1"/>
    </xf>
    <xf numFmtId="0" fontId="3" fillId="5" borderId="12" xfId="1" applyFont="1" applyFill="1" applyBorder="1" applyAlignment="1">
      <alignment vertical="center" wrapText="1"/>
    </xf>
    <xf numFmtId="2" fontId="3" fillId="0" borderId="12" xfId="1" applyNumberFormat="1" applyFont="1" applyBorder="1" applyAlignment="1">
      <alignment horizontal="center" vertical="center" wrapText="1"/>
    </xf>
    <xf numFmtId="0" fontId="3" fillId="4" borderId="12" xfId="0" applyFont="1" applyFill="1" applyBorder="1" applyAlignment="1">
      <alignment vertical="center" wrapText="1"/>
    </xf>
    <xf numFmtId="164" fontId="3" fillId="5" borderId="18" xfId="1" quotePrefix="1" applyNumberFormat="1" applyFont="1" applyFill="1" applyBorder="1" applyAlignment="1">
      <alignment horizontal="center" vertical="center" wrapText="1"/>
    </xf>
    <xf numFmtId="49" fontId="3" fillId="0" borderId="18" xfId="1" quotePrefix="1" applyNumberFormat="1" applyFont="1" applyBorder="1" applyAlignment="1">
      <alignment horizontal="center" vertical="center" wrapText="1"/>
    </xf>
    <xf numFmtId="4" fontId="3" fillId="0" borderId="12" xfId="1" applyNumberFormat="1" applyFont="1" applyBorder="1" applyAlignment="1">
      <alignment horizontal="center" vertical="center"/>
    </xf>
    <xf numFmtId="164" fontId="2" fillId="0" borderId="18" xfId="1" quotePrefix="1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/>
    </xf>
    <xf numFmtId="4" fontId="2" fillId="0" borderId="12" xfId="1" applyNumberFormat="1" applyFont="1" applyBorder="1" applyAlignment="1">
      <alignment horizontal="center" vertical="center"/>
    </xf>
    <xf numFmtId="49" fontId="2" fillId="0" borderId="18" xfId="1" quotePrefix="1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164" fontId="2" fillId="0" borderId="18" xfId="0" applyNumberFormat="1" applyFont="1" applyBorder="1" applyAlignment="1">
      <alignment horizontal="center" vertical="center" wrapText="1"/>
    </xf>
    <xf numFmtId="164" fontId="3" fillId="0" borderId="18" xfId="1" quotePrefix="1" applyNumberFormat="1" applyFont="1" applyBorder="1" applyAlignment="1">
      <alignment horizontal="center" vertical="center" wrapText="1"/>
    </xf>
    <xf numFmtId="4" fontId="3" fillId="0" borderId="12" xfId="2" applyNumberFormat="1" applyFont="1" applyBorder="1" applyAlignment="1">
      <alignment horizontal="center" vertical="center"/>
    </xf>
    <xf numFmtId="0" fontId="51" fillId="0" borderId="18" xfId="0" applyFont="1" applyBorder="1" applyAlignment="1">
      <alignment vertical="center"/>
    </xf>
    <xf numFmtId="4" fontId="12" fillId="0" borderId="12" xfId="2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165" fontId="52" fillId="0" borderId="18" xfId="2" applyNumberFormat="1" applyFont="1" applyBorder="1" applyAlignment="1">
      <alignment horizontal="center" vertical="center" wrapText="1"/>
    </xf>
    <xf numFmtId="4" fontId="2" fillId="0" borderId="12" xfId="2" applyNumberFormat="1" applyFont="1" applyBorder="1" applyAlignment="1">
      <alignment horizontal="center" vertical="center"/>
    </xf>
    <xf numFmtId="165" fontId="3" fillId="0" borderId="18" xfId="2" quotePrefix="1" applyNumberFormat="1" applyFont="1" applyBorder="1" applyAlignment="1">
      <alignment horizontal="center" vertical="center" wrapText="1"/>
    </xf>
    <xf numFmtId="165" fontId="3" fillId="0" borderId="18" xfId="2" applyNumberFormat="1" applyFont="1" applyBorder="1" applyAlignment="1">
      <alignment horizontal="center" vertical="center" wrapText="1"/>
    </xf>
    <xf numFmtId="165" fontId="2" fillId="0" borderId="18" xfId="2" quotePrefix="1" applyNumberFormat="1" applyFont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/>
    </xf>
    <xf numFmtId="0" fontId="2" fillId="0" borderId="29" xfId="2" applyFont="1" applyBorder="1" applyAlignment="1">
      <alignment horizontal="left" vertical="center" wrapText="1"/>
    </xf>
    <xf numFmtId="0" fontId="2" fillId="0" borderId="29" xfId="2" applyFont="1" applyBorder="1" applyAlignment="1">
      <alignment horizontal="center" vertical="center" wrapText="1"/>
    </xf>
    <xf numFmtId="4" fontId="2" fillId="0" borderId="29" xfId="2" quotePrefix="1" applyNumberFormat="1" applyFont="1" applyBorder="1" applyAlignment="1">
      <alignment horizontal="center" vertical="center"/>
    </xf>
    <xf numFmtId="4" fontId="2" fillId="0" borderId="30" xfId="2" applyNumberFormat="1" applyFont="1" applyBorder="1" applyAlignment="1">
      <alignment horizontal="center" vertical="center"/>
    </xf>
    <xf numFmtId="0" fontId="3" fillId="5" borderId="16" xfId="1" applyFont="1" applyFill="1" applyBorder="1" applyAlignment="1">
      <alignment vertical="center" wrapText="1"/>
    </xf>
    <xf numFmtId="0" fontId="3" fillId="4" borderId="16" xfId="0" applyFont="1" applyFill="1" applyBorder="1" applyAlignment="1">
      <alignment vertical="center" wrapText="1"/>
    </xf>
    <xf numFmtId="4" fontId="3" fillId="0" borderId="16" xfId="1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horizontal="center" vertical="center"/>
    </xf>
    <xf numFmtId="0" fontId="2" fillId="0" borderId="16" xfId="1" applyFont="1" applyBorder="1" applyAlignment="1">
      <alignment horizontal="center" vertical="center" wrapText="1"/>
    </xf>
    <xf numFmtId="4" fontId="12" fillId="0" borderId="16" xfId="2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2" applyFont="1" applyBorder="1" applyAlignment="1">
      <alignment horizontal="left" vertical="center"/>
    </xf>
    <xf numFmtId="166" fontId="6" fillId="0" borderId="11" xfId="0" applyNumberFormat="1" applyFont="1" applyBorder="1" applyAlignment="1">
      <alignment horizontal="center" vertical="center"/>
    </xf>
    <xf numFmtId="0" fontId="7" fillId="0" borderId="11" xfId="2" applyFont="1" applyBorder="1" applyAlignment="1">
      <alignment horizontal="left" vertical="center"/>
    </xf>
    <xf numFmtId="0" fontId="22" fillId="0" borderId="12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6" fillId="6" borderId="12" xfId="2" applyFont="1" applyFill="1" applyBorder="1" applyAlignment="1">
      <alignment horizontal="left" vertical="center"/>
    </xf>
    <xf numFmtId="0" fontId="6" fillId="0" borderId="12" xfId="0" applyFont="1" applyBorder="1" applyAlignment="1">
      <alignment vertical="center"/>
    </xf>
    <xf numFmtId="0" fontId="6" fillId="0" borderId="12" xfId="2" applyFont="1" applyBorder="1" applyAlignment="1">
      <alignment horizontal="left" vertical="center"/>
    </xf>
    <xf numFmtId="0" fontId="15" fillId="6" borderId="12" xfId="0" applyFont="1" applyFill="1" applyBorder="1" applyAlignment="1">
      <alignment vertical="center"/>
    </xf>
    <xf numFmtId="0" fontId="7" fillId="0" borderId="12" xfId="2" applyFont="1" applyBorder="1" applyAlignment="1">
      <alignment horizontal="left" vertical="center"/>
    </xf>
    <xf numFmtId="0" fontId="3" fillId="5" borderId="17" xfId="1" applyFont="1" applyFill="1" applyBorder="1" applyAlignment="1">
      <alignment vertical="center" wrapText="1"/>
    </xf>
    <xf numFmtId="0" fontId="3" fillId="4" borderId="17" xfId="0" applyFont="1" applyFill="1" applyBorder="1" applyAlignment="1">
      <alignment vertical="center" wrapText="1"/>
    </xf>
    <xf numFmtId="0" fontId="3" fillId="5" borderId="60" xfId="1" applyFont="1" applyFill="1" applyBorder="1" applyAlignment="1">
      <alignment vertical="center" wrapText="1"/>
    </xf>
    <xf numFmtId="0" fontId="3" fillId="0" borderId="20" xfId="1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4" fontId="3" fillId="0" borderId="52" xfId="0" applyNumberFormat="1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44" fillId="0" borderId="61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2" fillId="0" borderId="43" xfId="2" applyFont="1" applyBorder="1" applyAlignment="1">
      <alignment horizontal="left" vertical="center" wrapText="1"/>
    </xf>
    <xf numFmtId="0" fontId="2" fillId="0" borderId="43" xfId="2" applyFont="1" applyBorder="1" applyAlignment="1">
      <alignment horizontal="center" vertical="center" wrapText="1"/>
    </xf>
    <xf numFmtId="4" fontId="2" fillId="0" borderId="43" xfId="2" quotePrefix="1" applyNumberFormat="1" applyFont="1" applyBorder="1" applyAlignment="1">
      <alignment horizontal="center" vertical="center"/>
    </xf>
    <xf numFmtId="4" fontId="2" fillId="0" borderId="62" xfId="2" applyNumberFormat="1" applyFont="1" applyBorder="1" applyAlignment="1">
      <alignment horizontal="center" vertical="center"/>
    </xf>
    <xf numFmtId="0" fontId="6" fillId="0" borderId="43" xfId="2" applyFont="1" applyBorder="1" applyAlignment="1">
      <alignment horizontal="left"/>
    </xf>
    <xf numFmtId="0" fontId="7" fillId="0" borderId="63" xfId="2" applyFont="1" applyBorder="1" applyAlignment="1">
      <alignment horizontal="left" vertical="center"/>
    </xf>
    <xf numFmtId="164" fontId="5" fillId="2" borderId="35" xfId="1" applyNumberFormat="1" applyFont="1" applyFill="1" applyBorder="1" applyAlignment="1">
      <alignment horizontal="center" vertical="center" wrapText="1"/>
    </xf>
    <xf numFmtId="43" fontId="32" fillId="24" borderId="12" xfId="7" applyFont="1" applyFill="1" applyBorder="1" applyAlignment="1">
      <alignment horizontal="center" vertical="center" wrapText="1"/>
    </xf>
    <xf numFmtId="43" fontId="32" fillId="20" borderId="12" xfId="7" applyFont="1" applyFill="1" applyBorder="1" applyAlignment="1">
      <alignment horizontal="center" vertical="center" wrapText="1"/>
    </xf>
    <xf numFmtId="0" fontId="3" fillId="0" borderId="31" xfId="1" applyFont="1" applyBorder="1" applyAlignment="1">
      <alignment horizontal="center" vertical="center" wrapText="1"/>
    </xf>
    <xf numFmtId="43" fontId="32" fillId="3" borderId="12" xfId="0" applyNumberFormat="1" applyFont="1" applyFill="1" applyBorder="1" applyAlignment="1">
      <alignment vertical="center"/>
    </xf>
    <xf numFmtId="43" fontId="32" fillId="3" borderId="30" xfId="0" applyNumberFormat="1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4" fontId="32" fillId="20" borderId="15" xfId="1" applyNumberFormat="1" applyFont="1" applyFill="1" applyBorder="1" applyAlignment="1">
      <alignment vertical="center" wrapText="1"/>
    </xf>
    <xf numFmtId="0" fontId="44" fillId="0" borderId="20" xfId="0" applyFont="1" applyBorder="1" applyAlignment="1">
      <alignment horizontal="center" vertical="center"/>
    </xf>
    <xf numFmtId="0" fontId="32" fillId="0" borderId="34" xfId="1" applyFont="1" applyFill="1" applyBorder="1" applyAlignment="1">
      <alignment horizontal="right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61" fillId="0" borderId="11" xfId="6" applyFont="1" applyBorder="1" applyAlignment="1">
      <alignment horizontal="center" vertical="center"/>
    </xf>
    <xf numFmtId="49" fontId="3" fillId="4" borderId="11" xfId="25" applyNumberFormat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left" vertical="center" wrapText="1"/>
    </xf>
    <xf numFmtId="0" fontId="60" fillId="15" borderId="11" xfId="6" applyFont="1" applyFill="1" applyBorder="1" applyAlignment="1">
      <alignment horizontal="center" vertical="center"/>
    </xf>
    <xf numFmtId="0" fontId="16" fillId="0" borderId="0" xfId="5" applyFont="1"/>
    <xf numFmtId="0" fontId="33" fillId="15" borderId="11" xfId="6" applyFont="1" applyFill="1" applyBorder="1" applyAlignment="1">
      <alignment horizontal="center" vertical="center"/>
    </xf>
    <xf numFmtId="0" fontId="35" fillId="0" borderId="11" xfId="6" applyFont="1" applyBorder="1" applyAlignment="1">
      <alignment horizontal="center" vertical="center"/>
    </xf>
    <xf numFmtId="0" fontId="33" fillId="15" borderId="18" xfId="6" applyFont="1" applyFill="1" applyBorder="1" applyAlignment="1">
      <alignment horizontal="center" vertical="center"/>
    </xf>
    <xf numFmtId="0" fontId="35" fillId="0" borderId="18" xfId="6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 wrapText="1"/>
    </xf>
    <xf numFmtId="49" fontId="3" fillId="5" borderId="11" xfId="1" applyNumberFormat="1" applyFont="1" applyFill="1" applyBorder="1" applyAlignment="1">
      <alignment horizontal="center" vertical="center" wrapText="1"/>
    </xf>
    <xf numFmtId="4" fontId="3" fillId="0" borderId="11" xfId="1" applyNumberFormat="1" applyFont="1" applyBorder="1" applyAlignment="1">
      <alignment horizontal="center" vertical="center"/>
    </xf>
    <xf numFmtId="0" fontId="33" fillId="16" borderId="11" xfId="6" applyFont="1" applyFill="1" applyBorder="1" applyAlignment="1">
      <alignment horizontal="center" vertical="center" wrapText="1"/>
    </xf>
    <xf numFmtId="4" fontId="2" fillId="0" borderId="11" xfId="2" applyNumberFormat="1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 wrapText="1"/>
    </xf>
    <xf numFmtId="4" fontId="3" fillId="0" borderId="11" xfId="2" applyNumberFormat="1" applyFont="1" applyBorder="1" applyAlignment="1">
      <alignment horizontal="center" vertical="center"/>
    </xf>
    <xf numFmtId="49" fontId="3" fillId="0" borderId="18" xfId="1" applyNumberFormat="1" applyFont="1" applyBorder="1" applyAlignment="1">
      <alignment horizontal="center" vertical="center" wrapText="1"/>
    </xf>
    <xf numFmtId="49" fontId="3" fillId="4" borderId="11" xfId="25" applyNumberFormat="1" applyFont="1" applyFill="1" applyBorder="1" applyAlignment="1">
      <alignment horizontal="center" vertical="center" wrapText="1"/>
    </xf>
    <xf numFmtId="49" fontId="3" fillId="0" borderId="11" xfId="1" applyNumberFormat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2" fontId="2" fillId="0" borderId="11" xfId="1" applyNumberFormat="1" applyFont="1" applyBorder="1" applyAlignment="1">
      <alignment horizontal="center" vertical="center" wrapText="1"/>
    </xf>
    <xf numFmtId="0" fontId="3" fillId="5" borderId="11" xfId="1" applyFont="1" applyFill="1" applyBorder="1" applyAlignment="1">
      <alignment horizontal="center" vertical="center" wrapText="1"/>
    </xf>
    <xf numFmtId="165" fontId="3" fillId="0" borderId="11" xfId="2" applyNumberFormat="1" applyFont="1" applyBorder="1" applyAlignment="1">
      <alignment horizontal="center" vertical="center" wrapText="1"/>
    </xf>
    <xf numFmtId="0" fontId="33" fillId="16" borderId="18" xfId="6" applyFont="1" applyFill="1" applyBorder="1" applyAlignment="1">
      <alignment horizontal="center" vertical="center" wrapText="1"/>
    </xf>
    <xf numFmtId="0" fontId="33" fillId="16" borderId="12" xfId="6" applyFont="1" applyFill="1" applyBorder="1" applyAlignment="1">
      <alignment horizontal="center" vertical="center" wrapText="1"/>
    </xf>
    <xf numFmtId="4" fontId="35" fillId="0" borderId="12" xfId="6" applyNumberFormat="1" applyFont="1" applyBorder="1" applyAlignment="1">
      <alignment horizontal="center" vertical="center"/>
    </xf>
    <xf numFmtId="4" fontId="33" fillId="0" borderId="12" xfId="6" applyNumberFormat="1" applyFont="1" applyBorder="1" applyAlignment="1">
      <alignment horizontal="center" vertical="center"/>
    </xf>
    <xf numFmtId="4" fontId="33" fillId="15" borderId="12" xfId="6" applyNumberFormat="1" applyFont="1" applyFill="1" applyBorder="1" applyAlignment="1">
      <alignment horizontal="center" vertical="center"/>
    </xf>
    <xf numFmtId="164" fontId="3" fillId="0" borderId="11" xfId="1" quotePrefix="1" applyNumberFormat="1" applyFont="1" applyBorder="1" applyAlignment="1">
      <alignment horizontal="center" vertical="center" wrapText="1"/>
    </xf>
    <xf numFmtId="165" fontId="3" fillId="0" borderId="11" xfId="2" quotePrefix="1" applyNumberFormat="1" applyFont="1" applyBorder="1" applyAlignment="1">
      <alignment horizontal="center" vertical="center" wrapText="1"/>
    </xf>
    <xf numFmtId="164" fontId="3" fillId="0" borderId="11" xfId="1" applyNumberFormat="1" applyFont="1" applyBorder="1" applyAlignment="1">
      <alignment horizontal="center" vertical="center" wrapText="1"/>
    </xf>
    <xf numFmtId="0" fontId="3" fillId="0" borderId="11" xfId="2" applyFont="1" applyBorder="1" applyAlignment="1">
      <alignment horizontal="left" vertical="center" wrapText="1"/>
    </xf>
    <xf numFmtId="0" fontId="2" fillId="0" borderId="11" xfId="2" applyFont="1" applyBorder="1" applyAlignment="1">
      <alignment horizontal="left" vertical="center" wrapText="1"/>
    </xf>
    <xf numFmtId="0" fontId="3" fillId="0" borderId="11" xfId="1" quotePrefix="1" applyFont="1" applyBorder="1" applyAlignment="1">
      <alignment vertical="center" wrapText="1"/>
    </xf>
    <xf numFmtId="0" fontId="3" fillId="0" borderId="11" xfId="2" quotePrefix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3" fillId="5" borderId="11" xfId="1" applyFont="1" applyFill="1" applyBorder="1" applyAlignment="1">
      <alignment vertical="center" wrapText="1"/>
    </xf>
    <xf numFmtId="0" fontId="15" fillId="0" borderId="0" xfId="5" applyFont="1"/>
    <xf numFmtId="4" fontId="16" fillId="0" borderId="0" xfId="0" applyNumberFormat="1" applyFont="1"/>
    <xf numFmtId="0" fontId="16" fillId="0" borderId="34" xfId="0" applyFont="1" applyBorder="1"/>
    <xf numFmtId="0" fontId="16" fillId="0" borderId="0" xfId="0" applyFont="1"/>
    <xf numFmtId="0" fontId="15" fillId="0" borderId="0" xfId="0" quotePrefix="1" applyFont="1" applyAlignment="1">
      <alignment horizontal="center"/>
    </xf>
    <xf numFmtId="16" fontId="15" fillId="0" borderId="0" xfId="0" quotePrefix="1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/>
    <xf numFmtId="0" fontId="16" fillId="0" borderId="0" xfId="0" applyFont="1" applyAlignment="1">
      <alignment horizontal="center"/>
    </xf>
    <xf numFmtId="0" fontId="16" fillId="17" borderId="0" xfId="0" applyFont="1" applyFill="1"/>
    <xf numFmtId="0" fontId="16" fillId="0" borderId="0" xfId="0" applyFont="1" applyAlignment="1">
      <alignment horizontal="right"/>
    </xf>
    <xf numFmtId="0" fontId="32" fillId="0" borderId="29" xfId="1" applyFont="1" applyFill="1" applyBorder="1" applyAlignment="1">
      <alignment horizontal="right" vertical="center" wrapText="1"/>
    </xf>
    <xf numFmtId="0" fontId="17" fillId="0" borderId="57" xfId="5" applyFont="1" applyBorder="1"/>
    <xf numFmtId="0" fontId="37" fillId="0" borderId="57" xfId="5" applyFont="1" applyBorder="1" applyAlignment="1">
      <alignment horizontal="left" vertical="top" wrapText="1"/>
    </xf>
    <xf numFmtId="0" fontId="16" fillId="0" borderId="57" xfId="5" applyFont="1" applyBorder="1"/>
    <xf numFmtId="0" fontId="60" fillId="15" borderId="18" xfId="6" applyFont="1" applyFill="1" applyBorder="1" applyAlignment="1">
      <alignment horizontal="center" vertical="center"/>
    </xf>
    <xf numFmtId="4" fontId="60" fillId="15" borderId="12" xfId="6" applyNumberFormat="1" applyFont="1" applyFill="1" applyBorder="1" applyAlignment="1">
      <alignment horizontal="center" vertical="center"/>
    </xf>
    <xf numFmtId="0" fontId="61" fillId="0" borderId="18" xfId="6" applyFont="1" applyBorder="1" applyAlignment="1">
      <alignment horizontal="center" vertical="center"/>
    </xf>
    <xf numFmtId="4" fontId="61" fillId="0" borderId="12" xfId="6" applyNumberFormat="1" applyFont="1" applyBorder="1" applyAlignment="1">
      <alignment horizontal="center" vertical="center"/>
    </xf>
    <xf numFmtId="4" fontId="60" fillId="0" borderId="12" xfId="6" applyNumberFormat="1" applyFont="1" applyBorder="1" applyAlignment="1">
      <alignment horizontal="center" vertical="center"/>
    </xf>
    <xf numFmtId="4" fontId="62" fillId="21" borderId="12" xfId="6" applyNumberFormat="1" applyFont="1" applyFill="1" applyBorder="1" applyAlignment="1">
      <alignment horizontal="center" vertical="center"/>
    </xf>
    <xf numFmtId="4" fontId="62" fillId="21" borderId="30" xfId="6" applyNumberFormat="1" applyFont="1" applyFill="1" applyBorder="1" applyAlignment="1">
      <alignment horizontal="center" vertical="center"/>
    </xf>
    <xf numFmtId="164" fontId="5" fillId="0" borderId="11" xfId="1" applyNumberFormat="1" applyFont="1" applyFill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/>
    </xf>
    <xf numFmtId="0" fontId="63" fillId="0" borderId="48" xfId="1" applyFont="1" applyFill="1" applyBorder="1" applyAlignment="1">
      <alignment horizontal="left" vertical="center" wrapText="1"/>
    </xf>
    <xf numFmtId="164" fontId="64" fillId="0" borderId="11" xfId="1" applyNumberFormat="1" applyFont="1" applyFill="1" applyBorder="1" applyAlignment="1">
      <alignment horizontal="center" vertical="center" wrapText="1"/>
    </xf>
    <xf numFmtId="170" fontId="65" fillId="25" borderId="11" xfId="11" applyNumberFormat="1" applyFont="1" applyFill="1" applyBorder="1" applyAlignment="1">
      <alignment horizontal="center" vertical="center"/>
    </xf>
    <xf numFmtId="0" fontId="2" fillId="0" borderId="52" xfId="1" applyFont="1" applyFill="1" applyBorder="1" applyAlignment="1">
      <alignment horizontal="left" vertical="center" wrapText="1"/>
    </xf>
    <xf numFmtId="0" fontId="22" fillId="0" borderId="11" xfId="0" applyFont="1" applyBorder="1" applyAlignment="1">
      <alignment horizontal="center" vertical="center"/>
    </xf>
    <xf numFmtId="0" fontId="2" fillId="0" borderId="11" xfId="1" applyFont="1" applyFill="1" applyBorder="1" applyAlignment="1">
      <alignment horizontal="left" vertical="center" wrapText="1"/>
    </xf>
    <xf numFmtId="0" fontId="32" fillId="0" borderId="0" xfId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vertical="center"/>
    </xf>
    <xf numFmtId="4" fontId="22" fillId="0" borderId="12" xfId="0" applyNumberFormat="1" applyFont="1" applyBorder="1" applyAlignment="1">
      <alignment vertical="center"/>
    </xf>
    <xf numFmtId="4" fontId="6" fillId="6" borderId="12" xfId="2" applyNumberFormat="1" applyFont="1" applyFill="1" applyBorder="1" applyAlignment="1">
      <alignment horizontal="left" vertical="center"/>
    </xf>
    <xf numFmtId="4" fontId="6" fillId="0" borderId="12" xfId="0" applyNumberFormat="1" applyFont="1" applyBorder="1" applyAlignment="1">
      <alignment vertical="center"/>
    </xf>
    <xf numFmtId="4" fontId="6" fillId="0" borderId="12" xfId="2" applyNumberFormat="1" applyFont="1" applyBorder="1" applyAlignment="1">
      <alignment horizontal="left" vertical="center"/>
    </xf>
    <xf numFmtId="164" fontId="5" fillId="6" borderId="57" xfId="1" applyNumberFormat="1" applyFont="1" applyFill="1" applyBorder="1" applyAlignment="1">
      <alignment vertical="center" wrapText="1"/>
    </xf>
    <xf numFmtId="164" fontId="5" fillId="6" borderId="0" xfId="1" applyNumberFormat="1" applyFont="1" applyFill="1" applyBorder="1" applyAlignment="1">
      <alignment vertical="center" wrapText="1"/>
    </xf>
    <xf numFmtId="0" fontId="3" fillId="6" borderId="57" xfId="0" applyFont="1" applyFill="1" applyBorder="1" applyAlignment="1">
      <alignment vertical="center" wrapText="1"/>
    </xf>
    <xf numFmtId="0" fontId="3" fillId="6" borderId="0" xfId="0" applyFont="1" applyFill="1" applyBorder="1" applyAlignment="1">
      <alignment vertical="center" wrapText="1"/>
    </xf>
    <xf numFmtId="4" fontId="3" fillId="6" borderId="0" xfId="2" applyNumberFormat="1" applyFont="1" applyFill="1" applyBorder="1" applyAlignment="1">
      <alignment horizontal="center" vertical="center"/>
    </xf>
    <xf numFmtId="4" fontId="15" fillId="0" borderId="0" xfId="0" applyNumberFormat="1" applyFont="1" applyBorder="1" applyAlignment="1">
      <alignment horizontal="center" vertical="center"/>
    </xf>
    <xf numFmtId="4" fontId="2" fillId="0" borderId="11" xfId="1" applyNumberFormat="1" applyFont="1" applyBorder="1" applyAlignment="1">
      <alignment horizontal="left" vertical="center" wrapText="1"/>
    </xf>
    <xf numFmtId="4" fontId="2" fillId="0" borderId="11" xfId="0" applyNumberFormat="1" applyFont="1" applyBorder="1" applyAlignment="1">
      <alignment horizontal="center" vertical="center"/>
    </xf>
    <xf numFmtId="2" fontId="2" fillId="0" borderId="16" xfId="1" applyNumberFormat="1" applyFont="1" applyBorder="1" applyAlignment="1">
      <alignment horizontal="center" vertical="center" wrapText="1"/>
    </xf>
    <xf numFmtId="4" fontId="2" fillId="0" borderId="16" xfId="1" applyNumberFormat="1" applyFont="1" applyBorder="1" applyAlignment="1">
      <alignment horizontal="center" vertical="center" wrapText="1"/>
    </xf>
    <xf numFmtId="4" fontId="2" fillId="0" borderId="12" xfId="1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/>
    </xf>
    <xf numFmtId="164" fontId="2" fillId="0" borderId="11" xfId="1" applyNumberFormat="1" applyFont="1" applyBorder="1" applyAlignment="1">
      <alignment horizontal="center" vertical="center" wrapText="1"/>
    </xf>
    <xf numFmtId="0" fontId="2" fillId="0" borderId="11" xfId="1" quotePrefix="1" applyFont="1" applyBorder="1" applyAlignment="1">
      <alignment vertical="center" wrapText="1"/>
    </xf>
    <xf numFmtId="4" fontId="16" fillId="0" borderId="12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165" fontId="2" fillId="0" borderId="11" xfId="2" applyNumberFormat="1" applyFont="1" applyBorder="1" applyAlignment="1">
      <alignment horizontal="center" vertical="center" wrapText="1"/>
    </xf>
    <xf numFmtId="165" fontId="12" fillId="0" borderId="18" xfId="2" applyNumberFormat="1" applyFont="1" applyBorder="1" applyAlignment="1">
      <alignment horizontal="center" vertical="center" wrapText="1"/>
    </xf>
    <xf numFmtId="165" fontId="12" fillId="0" borderId="11" xfId="2" applyNumberFormat="1" applyFont="1" applyBorder="1" applyAlignment="1">
      <alignment horizontal="center" vertical="center" wrapText="1"/>
    </xf>
    <xf numFmtId="49" fontId="2" fillId="0" borderId="11" xfId="1" applyNumberFormat="1" applyFont="1" applyBorder="1" applyAlignment="1">
      <alignment horizontal="center" vertical="center" wrapText="1"/>
    </xf>
    <xf numFmtId="4" fontId="16" fillId="6" borderId="12" xfId="0" applyNumberFormat="1" applyFont="1" applyFill="1" applyBorder="1" applyAlignment="1">
      <alignment vertical="center"/>
    </xf>
    <xf numFmtId="0" fontId="16" fillId="0" borderId="11" xfId="0" applyFont="1" applyBorder="1" applyAlignment="1">
      <alignment vertical="center"/>
    </xf>
    <xf numFmtId="4" fontId="6" fillId="0" borderId="11" xfId="2" applyNumberFormat="1" applyFont="1" applyBorder="1" applyAlignment="1">
      <alignment horizontal="center" vertical="center"/>
    </xf>
    <xf numFmtId="0" fontId="67" fillId="0" borderId="34" xfId="1" applyFont="1" applyFill="1" applyBorder="1" applyAlignment="1">
      <alignment horizontal="right" vertical="center" wrapText="1"/>
    </xf>
    <xf numFmtId="49" fontId="65" fillId="25" borderId="65" xfId="11" applyNumberFormat="1" applyFont="1" applyFill="1" applyBorder="1" applyAlignment="1">
      <alignment horizontal="left" vertical="center" wrapText="1"/>
    </xf>
    <xf numFmtId="49" fontId="65" fillId="25" borderId="65" xfId="11" applyNumberFormat="1" applyFont="1" applyFill="1" applyBorder="1" applyAlignment="1">
      <alignment horizontal="center" vertical="center" wrapText="1"/>
    </xf>
    <xf numFmtId="170" fontId="65" fillId="25" borderId="65" xfId="11" applyNumberFormat="1" applyFont="1" applyFill="1" applyBorder="1" applyAlignment="1">
      <alignment horizontal="center" vertical="center"/>
    </xf>
    <xf numFmtId="170" fontId="65" fillId="25" borderId="67" xfId="11" applyNumberFormat="1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 wrapText="1"/>
    </xf>
    <xf numFmtId="49" fontId="65" fillId="25" borderId="65" xfId="0" applyNumberFormat="1" applyFont="1" applyFill="1" applyBorder="1" applyAlignment="1">
      <alignment vertical="center" wrapText="1"/>
    </xf>
    <xf numFmtId="49" fontId="65" fillId="25" borderId="65" xfId="0" applyNumberFormat="1" applyFont="1" applyFill="1" applyBorder="1" applyAlignment="1">
      <alignment horizontal="center" vertical="center" wrapText="1"/>
    </xf>
    <xf numFmtId="170" fontId="65" fillId="25" borderId="65" xfId="0" applyNumberFormat="1" applyFont="1" applyFill="1" applyBorder="1" applyAlignment="1">
      <alignment horizontal="center" vertical="center"/>
    </xf>
    <xf numFmtId="170" fontId="65" fillId="25" borderId="67" xfId="0" applyNumberFormat="1" applyFont="1" applyFill="1" applyBorder="1" applyAlignment="1">
      <alignment horizontal="center" vertical="center"/>
    </xf>
    <xf numFmtId="49" fontId="65" fillId="25" borderId="65" xfId="0" applyNumberFormat="1" applyFont="1" applyFill="1" applyBorder="1" applyAlignment="1">
      <alignment horizontal="left" vertical="center" wrapText="1"/>
    </xf>
    <xf numFmtId="164" fontId="6" fillId="0" borderId="11" xfId="1" quotePrefix="1" applyNumberFormat="1" applyFont="1" applyBorder="1" applyAlignment="1">
      <alignment horizontal="center" vertical="center" wrapText="1"/>
    </xf>
    <xf numFmtId="49" fontId="68" fillId="25" borderId="65" xfId="0" applyNumberFormat="1" applyFont="1" applyFill="1" applyBorder="1" applyAlignment="1">
      <alignment horizontal="center" vertical="center" wrapText="1"/>
    </xf>
    <xf numFmtId="170" fontId="2" fillId="25" borderId="65" xfId="0" applyNumberFormat="1" applyFont="1" applyFill="1" applyBorder="1" applyAlignment="1">
      <alignment horizontal="center" vertical="center"/>
    </xf>
    <xf numFmtId="49" fontId="68" fillId="25" borderId="66" xfId="0" applyNumberFormat="1" applyFont="1" applyFill="1" applyBorder="1" applyAlignment="1">
      <alignment horizontal="center" vertical="center" wrapText="1"/>
    </xf>
    <xf numFmtId="0" fontId="67" fillId="0" borderId="21" xfId="1" applyFont="1" applyFill="1" applyBorder="1" applyAlignment="1">
      <alignment horizontal="right" vertical="center" wrapText="1"/>
    </xf>
    <xf numFmtId="0" fontId="2" fillId="0" borderId="21" xfId="1" applyFont="1" applyFill="1" applyBorder="1" applyAlignment="1">
      <alignment horizontal="left" vertical="center" wrapText="1"/>
    </xf>
    <xf numFmtId="0" fontId="2" fillId="0" borderId="21" xfId="1" applyFont="1" applyBorder="1" applyAlignment="1">
      <alignment horizontal="center" vertical="center" wrapText="1"/>
    </xf>
    <xf numFmtId="4" fontId="2" fillId="0" borderId="21" xfId="1" applyNumberFormat="1" applyFont="1" applyBorder="1" applyAlignment="1">
      <alignment horizontal="center" vertical="center"/>
    </xf>
    <xf numFmtId="4" fontId="2" fillId="0" borderId="21" xfId="25" applyNumberFormat="1" applyFont="1" applyBorder="1" applyAlignment="1">
      <alignment horizontal="center" vertical="center" wrapText="1"/>
    </xf>
    <xf numFmtId="4" fontId="17" fillId="0" borderId="11" xfId="0" applyNumberFormat="1" applyFont="1" applyBorder="1" applyAlignment="1">
      <alignment horizontal="center" vertical="center"/>
    </xf>
    <xf numFmtId="49" fontId="2" fillId="0" borderId="18" xfId="1" applyNumberFormat="1" applyFont="1" applyBorder="1" applyAlignment="1">
      <alignment horizontal="center" vertical="center" wrapText="1"/>
    </xf>
    <xf numFmtId="2" fontId="2" fillId="0" borderId="12" xfId="1" applyNumberFormat="1" applyFont="1" applyBorder="1" applyAlignment="1">
      <alignment horizontal="center" vertical="center" wrapText="1"/>
    </xf>
    <xf numFmtId="170" fontId="2" fillId="25" borderId="67" xfId="0" applyNumberFormat="1" applyFont="1" applyFill="1" applyBorder="1" applyAlignment="1">
      <alignment horizontal="center" vertical="center"/>
    </xf>
    <xf numFmtId="49" fontId="65" fillId="25" borderId="68" xfId="11" applyNumberFormat="1" applyFont="1" applyFill="1" applyBorder="1" applyAlignment="1">
      <alignment horizontal="left" vertical="center" wrapText="1"/>
    </xf>
    <xf numFmtId="49" fontId="65" fillId="25" borderId="68" xfId="11" applyNumberFormat="1" applyFont="1" applyFill="1" applyBorder="1" applyAlignment="1">
      <alignment horizontal="center" vertical="center" wrapText="1"/>
    </xf>
    <xf numFmtId="170" fontId="65" fillId="25" borderId="69" xfId="11" applyNumberFormat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horizontal="left" vertical="center" wrapText="1"/>
    </xf>
    <xf numFmtId="0" fontId="2" fillId="0" borderId="29" xfId="1" applyFont="1" applyBorder="1" applyAlignment="1">
      <alignment horizontal="center" vertical="center" wrapText="1"/>
    </xf>
    <xf numFmtId="4" fontId="2" fillId="0" borderId="29" xfId="1" applyNumberFormat="1" applyFont="1" applyBorder="1" applyAlignment="1">
      <alignment horizontal="center" vertical="center"/>
    </xf>
    <xf numFmtId="4" fontId="2" fillId="0" borderId="30" xfId="25" applyNumberFormat="1" applyFont="1" applyBorder="1" applyAlignment="1">
      <alignment horizontal="center" vertical="center" wrapText="1"/>
    </xf>
    <xf numFmtId="0" fontId="60" fillId="0" borderId="0" xfId="5" applyFont="1" applyAlignment="1">
      <alignment horizontal="center" vertical="top" wrapText="1"/>
    </xf>
    <xf numFmtId="0" fontId="34" fillId="18" borderId="40" xfId="6" applyFont="1" applyFill="1" applyBorder="1" applyAlignment="1">
      <alignment horizontal="center" vertical="center" wrapText="1"/>
    </xf>
    <xf numFmtId="0" fontId="34" fillId="18" borderId="41" xfId="6" applyFont="1" applyFill="1" applyBorder="1" applyAlignment="1">
      <alignment horizontal="center" vertical="center" wrapText="1"/>
    </xf>
    <xf numFmtId="0" fontId="34" fillId="18" borderId="42" xfId="6" applyFont="1" applyFill="1" applyBorder="1" applyAlignment="1">
      <alignment horizontal="center" vertical="center" wrapText="1"/>
    </xf>
    <xf numFmtId="0" fontId="35" fillId="0" borderId="11" xfId="6" applyFont="1" applyBorder="1" applyAlignment="1">
      <alignment horizontal="left" vertical="center" wrapText="1"/>
    </xf>
    <xf numFmtId="49" fontId="61" fillId="0" borderId="11" xfId="6" applyNumberFormat="1" applyFont="1" applyBorder="1" applyAlignment="1">
      <alignment horizontal="left" vertical="center" wrapText="1"/>
    </xf>
    <xf numFmtId="49" fontId="33" fillId="15" borderId="11" xfId="6" applyNumberFormat="1" applyFont="1" applyFill="1" applyBorder="1" applyAlignment="1">
      <alignment horizontal="left" vertical="center" wrapText="1"/>
    </xf>
    <xf numFmtId="0" fontId="33" fillId="15" borderId="11" xfId="6" applyFont="1" applyFill="1" applyBorder="1" applyAlignment="1">
      <alignment horizontal="left" vertical="center" wrapText="1"/>
    </xf>
    <xf numFmtId="0" fontId="34" fillId="0" borderId="0" xfId="5" applyFont="1" applyBorder="1" applyAlignment="1">
      <alignment horizontal="center" vertical="center" wrapText="1"/>
    </xf>
    <xf numFmtId="0" fontId="34" fillId="0" borderId="26" xfId="5" applyFont="1" applyBorder="1" applyAlignment="1">
      <alignment horizontal="center" vertical="center" wrapText="1"/>
    </xf>
    <xf numFmtId="2" fontId="35" fillId="0" borderId="11" xfId="6" applyNumberFormat="1" applyFont="1" applyBorder="1" applyAlignment="1">
      <alignment horizontal="left" vertical="center" wrapText="1"/>
    </xf>
    <xf numFmtId="49" fontId="60" fillId="15" borderId="11" xfId="6" applyNumberFormat="1" applyFont="1" applyFill="1" applyBorder="1" applyAlignment="1">
      <alignment horizontal="center" vertical="center" wrapText="1"/>
    </xf>
    <xf numFmtId="0" fontId="60" fillId="15" borderId="11" xfId="6" applyFont="1" applyFill="1" applyBorder="1" applyAlignment="1">
      <alignment horizontal="center" vertical="center" wrapText="1"/>
    </xf>
    <xf numFmtId="0" fontId="59" fillId="0" borderId="0" xfId="5" applyFont="1" applyBorder="1" applyAlignment="1">
      <alignment horizontal="center" vertical="center" wrapText="1"/>
    </xf>
    <xf numFmtId="0" fontId="59" fillId="0" borderId="26" xfId="5" applyFont="1" applyBorder="1" applyAlignment="1">
      <alignment horizontal="center" vertical="center" wrapText="1"/>
    </xf>
    <xf numFmtId="0" fontId="33" fillId="16" borderId="11" xfId="6" applyFont="1" applyFill="1" applyBorder="1" applyAlignment="1">
      <alignment horizontal="center" vertical="center"/>
    </xf>
    <xf numFmtId="0" fontId="60" fillId="0" borderId="18" xfId="6" applyFont="1" applyBorder="1" applyAlignment="1">
      <alignment horizontal="right" vertical="center"/>
    </xf>
    <xf numFmtId="0" fontId="60" fillId="0" borderId="11" xfId="6" applyFont="1" applyBorder="1" applyAlignment="1">
      <alignment horizontal="right" vertical="center"/>
    </xf>
    <xf numFmtId="0" fontId="35" fillId="0" borderId="11" xfId="6" applyFont="1" applyBorder="1" applyAlignment="1">
      <alignment horizontal="left" vertical="center"/>
    </xf>
    <xf numFmtId="0" fontId="33" fillId="0" borderId="18" xfId="6" applyFont="1" applyBorder="1" applyAlignment="1">
      <alignment horizontal="right" vertical="center"/>
    </xf>
    <xf numFmtId="0" fontId="33" fillId="0" borderId="11" xfId="6" applyFont="1" applyBorder="1" applyAlignment="1">
      <alignment horizontal="right" vertical="center"/>
    </xf>
    <xf numFmtId="49" fontId="35" fillId="0" borderId="16" xfId="6" applyNumberFormat="1" applyFont="1" applyBorder="1" applyAlignment="1">
      <alignment horizontal="left" vertical="center" wrapText="1"/>
    </xf>
    <xf numFmtId="49" fontId="35" fillId="0" borderId="25" xfId="6" applyNumberFormat="1" applyFont="1" applyBorder="1" applyAlignment="1">
      <alignment horizontal="left" vertical="center" wrapText="1"/>
    </xf>
    <xf numFmtId="0" fontId="35" fillId="0" borderId="16" xfId="6" applyFont="1" applyBorder="1" applyAlignment="1">
      <alignment horizontal="left" vertical="center" wrapText="1"/>
    </xf>
    <xf numFmtId="0" fontId="35" fillId="0" borderId="25" xfId="6" applyFont="1" applyBorder="1" applyAlignment="1">
      <alignment horizontal="left" vertical="center" wrapText="1"/>
    </xf>
    <xf numFmtId="0" fontId="46" fillId="19" borderId="40" xfId="5" applyFont="1" applyFill="1" applyBorder="1" applyAlignment="1">
      <alignment horizontal="center" vertical="center" wrapText="1"/>
    </xf>
    <xf numFmtId="0" fontId="46" fillId="19" borderId="41" xfId="5" applyFont="1" applyFill="1" applyBorder="1" applyAlignment="1">
      <alignment horizontal="center" vertical="center" wrapText="1"/>
    </xf>
    <xf numFmtId="0" fontId="62" fillId="21" borderId="31" xfId="6" applyFont="1" applyFill="1" applyBorder="1" applyAlignment="1">
      <alignment horizontal="right" vertical="center"/>
    </xf>
    <xf numFmtId="0" fontId="62" fillId="21" borderId="29" xfId="6" applyFont="1" applyFill="1" applyBorder="1" applyAlignment="1">
      <alignment horizontal="right" vertical="center"/>
    </xf>
    <xf numFmtId="0" fontId="62" fillId="21" borderId="18" xfId="6" applyFont="1" applyFill="1" applyBorder="1" applyAlignment="1">
      <alignment horizontal="right" vertical="center"/>
    </xf>
    <xf numFmtId="0" fontId="62" fillId="21" borderId="11" xfId="6" applyFont="1" applyFill="1" applyBorder="1" applyAlignment="1">
      <alignment horizontal="right" vertical="center"/>
    </xf>
    <xf numFmtId="2" fontId="61" fillId="0" borderId="11" xfId="6" applyNumberFormat="1" applyFont="1" applyBorder="1" applyAlignment="1">
      <alignment horizontal="left" vertical="center" wrapText="1"/>
    </xf>
    <xf numFmtId="0" fontId="32" fillId="3" borderId="28" xfId="0" applyFont="1" applyFill="1" applyBorder="1" applyAlignment="1">
      <alignment horizontal="right" vertical="center"/>
    </xf>
    <xf numFmtId="0" fontId="32" fillId="3" borderId="54" xfId="0" applyFont="1" applyFill="1" applyBorder="1" applyAlignment="1">
      <alignment horizontal="right" vertical="center"/>
    </xf>
    <xf numFmtId="0" fontId="32" fillId="3" borderId="64" xfId="0" applyFont="1" applyFill="1" applyBorder="1" applyAlignment="1">
      <alignment horizontal="right" vertical="center"/>
    </xf>
    <xf numFmtId="0" fontId="32" fillId="20" borderId="56" xfId="1" applyFont="1" applyFill="1" applyBorder="1" applyAlignment="1">
      <alignment horizontal="right" vertical="center" wrapText="1"/>
    </xf>
    <xf numFmtId="0" fontId="32" fillId="20" borderId="34" xfId="1" applyFont="1" applyFill="1" applyBorder="1" applyAlignment="1">
      <alignment horizontal="right" vertical="center" wrapText="1"/>
    </xf>
    <xf numFmtId="0" fontId="32" fillId="20" borderId="45" xfId="1" applyFont="1" applyFill="1" applyBorder="1" applyAlignment="1">
      <alignment horizontal="right" vertical="center" wrapText="1"/>
    </xf>
    <xf numFmtId="164" fontId="5" fillId="2" borderId="19" xfId="1" applyNumberFormat="1" applyFont="1" applyFill="1" applyBorder="1" applyAlignment="1">
      <alignment horizontal="center" vertical="center" wrapText="1"/>
    </xf>
    <xf numFmtId="164" fontId="5" fillId="2" borderId="17" xfId="1" applyNumberFormat="1" applyFont="1" applyFill="1" applyBorder="1" applyAlignment="1">
      <alignment horizontal="center" vertical="center" wrapText="1"/>
    </xf>
    <xf numFmtId="0" fontId="32" fillId="3" borderId="27" xfId="0" applyFont="1" applyFill="1" applyBorder="1" applyAlignment="1">
      <alignment horizontal="right" vertical="center"/>
    </xf>
    <xf numFmtId="0" fontId="32" fillId="3" borderId="19" xfId="0" applyFont="1" applyFill="1" applyBorder="1" applyAlignment="1">
      <alignment horizontal="right" vertical="center"/>
    </xf>
    <xf numFmtId="0" fontId="32" fillId="3" borderId="25" xfId="0" applyFont="1" applyFill="1" applyBorder="1" applyAlignment="1">
      <alignment horizontal="right" vertical="center"/>
    </xf>
    <xf numFmtId="0" fontId="3" fillId="5" borderId="16" xfId="1" applyFont="1" applyFill="1" applyBorder="1" applyAlignment="1">
      <alignment horizontal="left" vertical="center" wrapText="1"/>
    </xf>
    <xf numFmtId="0" fontId="3" fillId="5" borderId="19" xfId="1" applyFont="1" applyFill="1" applyBorder="1" applyAlignment="1">
      <alignment horizontal="left" vertical="center" wrapText="1"/>
    </xf>
    <xf numFmtId="0" fontId="3" fillId="5" borderId="17" xfId="1" applyFont="1" applyFill="1" applyBorder="1" applyAlignment="1">
      <alignment horizontal="left" vertical="center" wrapText="1"/>
    </xf>
    <xf numFmtId="43" fontId="32" fillId="24" borderId="18" xfId="7" applyFont="1" applyFill="1" applyBorder="1" applyAlignment="1">
      <alignment horizontal="right" vertical="center" wrapText="1"/>
    </xf>
    <xf numFmtId="43" fontId="32" fillId="24" borderId="11" xfId="7" applyFont="1" applyFill="1" applyBorder="1" applyAlignment="1">
      <alignment horizontal="right" vertical="center" wrapText="1"/>
    </xf>
    <xf numFmtId="0" fontId="3" fillId="4" borderId="16" xfId="0" applyFont="1" applyFill="1" applyBorder="1" applyAlignment="1">
      <alignment horizontal="left" vertical="center" wrapText="1"/>
    </xf>
    <xf numFmtId="0" fontId="3" fillId="4" borderId="19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4" fontId="5" fillId="2" borderId="59" xfId="1" applyNumberFormat="1" applyFont="1" applyFill="1" applyBorder="1" applyAlignment="1">
      <alignment horizontal="center" vertical="center" wrapText="1"/>
    </xf>
    <xf numFmtId="164" fontId="5" fillId="2" borderId="51" xfId="1" applyNumberFormat="1" applyFont="1" applyFill="1" applyBorder="1" applyAlignment="1">
      <alignment horizontal="center" vertical="center" wrapText="1"/>
    </xf>
    <xf numFmtId="164" fontId="5" fillId="2" borderId="10" xfId="1" applyNumberFormat="1" applyFont="1" applyFill="1" applyBorder="1" applyAlignment="1">
      <alignment horizontal="center" vertical="center" wrapText="1"/>
    </xf>
    <xf numFmtId="0" fontId="32" fillId="20" borderId="27" xfId="1" applyFont="1" applyFill="1" applyBorder="1" applyAlignment="1">
      <alignment horizontal="right" vertical="center" wrapText="1"/>
    </xf>
    <xf numFmtId="0" fontId="32" fillId="20" borderId="19" xfId="1" applyFont="1" applyFill="1" applyBorder="1" applyAlignment="1">
      <alignment horizontal="right" vertical="center" wrapText="1"/>
    </xf>
    <xf numFmtId="0" fontId="32" fillId="20" borderId="25" xfId="1" applyFont="1" applyFill="1" applyBorder="1" applyAlignment="1">
      <alignment horizontal="right" vertical="center" wrapText="1"/>
    </xf>
    <xf numFmtId="164" fontId="5" fillId="2" borderId="44" xfId="1" applyNumberFormat="1" applyFont="1" applyFill="1" applyBorder="1" applyAlignment="1">
      <alignment horizontal="center" vertical="center" wrapText="1"/>
    </xf>
    <xf numFmtId="164" fontId="5" fillId="2" borderId="34" xfId="1" applyNumberFormat="1" applyFont="1" applyFill="1" applyBorder="1" applyAlignment="1">
      <alignment horizontal="center" vertical="center" wrapText="1"/>
    </xf>
    <xf numFmtId="164" fontId="5" fillId="2" borderId="39" xfId="1" applyNumberFormat="1" applyFont="1" applyFill="1" applyBorder="1" applyAlignment="1">
      <alignment horizontal="center" vertical="center" wrapText="1"/>
    </xf>
    <xf numFmtId="0" fontId="3" fillId="4" borderId="52" xfId="0" applyFont="1" applyFill="1" applyBorder="1" applyAlignment="1">
      <alignment horizontal="left" vertical="center" wrapText="1"/>
    </xf>
    <xf numFmtId="0" fontId="3" fillId="4" borderId="38" xfId="0" applyFont="1" applyFill="1" applyBorder="1" applyAlignment="1">
      <alignment horizontal="left" vertical="center" wrapText="1"/>
    </xf>
    <xf numFmtId="0" fontId="3" fillId="4" borderId="60" xfId="0" applyFont="1" applyFill="1" applyBorder="1" applyAlignment="1">
      <alignment horizontal="left" vertical="center" wrapText="1"/>
    </xf>
    <xf numFmtId="0" fontId="3" fillId="5" borderId="11" xfId="1" applyFont="1" applyFill="1" applyBorder="1" applyAlignment="1">
      <alignment horizontal="left" vertical="center" wrapText="1"/>
    </xf>
    <xf numFmtId="0" fontId="3" fillId="5" borderId="12" xfId="1" applyFont="1" applyFill="1" applyBorder="1" applyAlignment="1">
      <alignment horizontal="left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164" fontId="5" fillId="2" borderId="11" xfId="1" applyNumberFormat="1" applyFont="1" applyFill="1" applyBorder="1" applyAlignment="1">
      <alignment horizontal="center"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164" fontId="5" fillId="2" borderId="27" xfId="1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164" fontId="5" fillId="0" borderId="53" xfId="1" applyNumberFormat="1" applyFont="1" applyFill="1" applyBorder="1" applyAlignment="1">
      <alignment horizontal="center" vertical="center" wrapText="1"/>
    </xf>
    <xf numFmtId="164" fontId="5" fillId="0" borderId="33" xfId="1" applyNumberFormat="1" applyFont="1" applyFill="1" applyBorder="1" applyAlignment="1">
      <alignment horizontal="center" vertical="center" wrapText="1"/>
    </xf>
    <xf numFmtId="164" fontId="5" fillId="0" borderId="45" xfId="1" applyNumberFormat="1" applyFont="1" applyFill="1" applyBorder="1" applyAlignment="1">
      <alignment horizontal="center" vertical="center" wrapText="1"/>
    </xf>
    <xf numFmtId="164" fontId="5" fillId="0" borderId="21" xfId="1" applyNumberFormat="1" applyFont="1" applyFill="1" applyBorder="1" applyAlignment="1">
      <alignment horizontal="center" vertical="center" wrapText="1"/>
    </xf>
    <xf numFmtId="164" fontId="5" fillId="0" borderId="23" xfId="1" applyNumberFormat="1" applyFont="1" applyFill="1" applyBorder="1" applyAlignment="1">
      <alignment horizontal="center" vertical="center" wrapText="1"/>
    </xf>
    <xf numFmtId="164" fontId="5" fillId="0" borderId="14" xfId="1" applyNumberFormat="1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left" vertical="center" wrapText="1"/>
    </xf>
    <xf numFmtId="0" fontId="3" fillId="4" borderId="34" xfId="0" applyFont="1" applyFill="1" applyBorder="1" applyAlignment="1">
      <alignment horizontal="left" vertical="center" wrapText="1"/>
    </xf>
    <xf numFmtId="0" fontId="3" fillId="4" borderId="39" xfId="0" applyFont="1" applyFill="1" applyBorder="1" applyAlignment="1">
      <alignment horizontal="left" vertical="center" wrapText="1"/>
    </xf>
    <xf numFmtId="0" fontId="3" fillId="4" borderId="52" xfId="0" applyFont="1" applyFill="1" applyBorder="1" applyAlignment="1">
      <alignment vertical="center" wrapText="1"/>
    </xf>
    <xf numFmtId="0" fontId="3" fillId="4" borderId="38" xfId="0" applyFont="1" applyFill="1" applyBorder="1" applyAlignment="1">
      <alignment vertical="center" wrapText="1"/>
    </xf>
    <xf numFmtId="0" fontId="3" fillId="4" borderId="60" xfId="0" applyFont="1" applyFill="1" applyBorder="1" applyAlignment="1">
      <alignment vertical="center" wrapText="1"/>
    </xf>
    <xf numFmtId="0" fontId="22" fillId="0" borderId="21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64" fontId="5" fillId="2" borderId="16" xfId="1" applyNumberFormat="1" applyFont="1" applyFill="1" applyBorder="1" applyAlignment="1">
      <alignment horizontal="center" vertical="center" wrapText="1"/>
    </xf>
    <xf numFmtId="164" fontId="5" fillId="2" borderId="25" xfId="1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23" fillId="22" borderId="44" xfId="4" applyNumberFormat="1" applyFont="1" applyFill="1" applyBorder="1" applyAlignment="1">
      <alignment horizontal="center" vertical="center" wrapText="1"/>
    </xf>
    <xf numFmtId="2" fontId="25" fillId="22" borderId="34" xfId="4" applyNumberFormat="1" applyFont="1" applyFill="1" applyBorder="1" applyAlignment="1">
      <alignment horizontal="center" vertical="center" wrapText="1"/>
    </xf>
    <xf numFmtId="2" fontId="25" fillId="22" borderId="45" xfId="4" applyNumberFormat="1" applyFont="1" applyFill="1" applyBorder="1" applyAlignment="1">
      <alignment horizontal="center" vertical="center" wrapText="1"/>
    </xf>
    <xf numFmtId="2" fontId="55" fillId="23" borderId="40" xfId="0" applyNumberFormat="1" applyFont="1" applyFill="1" applyBorder="1" applyAlignment="1">
      <alignment horizontal="right" vertical="center"/>
    </xf>
    <xf numFmtId="2" fontId="55" fillId="23" borderId="41" xfId="0" applyNumberFormat="1" applyFont="1" applyFill="1" applyBorder="1" applyAlignment="1">
      <alignment horizontal="right" vertical="center"/>
    </xf>
    <xf numFmtId="2" fontId="55" fillId="23" borderId="42" xfId="0" applyNumberFormat="1" applyFont="1" applyFill="1" applyBorder="1" applyAlignment="1">
      <alignment horizontal="right" vertical="center"/>
    </xf>
    <xf numFmtId="2" fontId="47" fillId="13" borderId="19" xfId="0" applyNumberFormat="1" applyFont="1" applyFill="1" applyBorder="1" applyAlignment="1">
      <alignment horizontal="center" vertical="center"/>
    </xf>
    <xf numFmtId="2" fontId="47" fillId="13" borderId="25" xfId="0" applyNumberFormat="1" applyFont="1" applyFill="1" applyBorder="1" applyAlignment="1">
      <alignment horizontal="center" vertical="center"/>
    </xf>
    <xf numFmtId="2" fontId="18" fillId="0" borderId="16" xfId="0" applyNumberFormat="1" applyFont="1" applyBorder="1" applyAlignment="1">
      <alignment horizontal="center" vertical="center"/>
    </xf>
    <xf numFmtId="2" fontId="18" fillId="0" borderId="19" xfId="0" applyNumberFormat="1" applyFont="1" applyBorder="1" applyAlignment="1">
      <alignment horizontal="center" vertical="center"/>
    </xf>
    <xf numFmtId="2" fontId="18" fillId="0" borderId="25" xfId="0" applyNumberFormat="1" applyFont="1" applyBorder="1" applyAlignment="1">
      <alignment horizontal="center" vertical="center"/>
    </xf>
    <xf numFmtId="2" fontId="23" fillId="22" borderId="16" xfId="0" applyNumberFormat="1" applyFont="1" applyFill="1" applyBorder="1" applyAlignment="1">
      <alignment horizontal="center" vertical="center" wrapText="1"/>
    </xf>
    <xf numFmtId="2" fontId="21" fillId="22" borderId="19" xfId="0" applyNumberFormat="1" applyFont="1" applyFill="1" applyBorder="1" applyAlignment="1">
      <alignment horizontal="center" vertical="center" wrapText="1"/>
    </xf>
    <xf numFmtId="2" fontId="21" fillId="22" borderId="25" xfId="0" applyNumberFormat="1" applyFont="1" applyFill="1" applyBorder="1" applyAlignment="1">
      <alignment horizontal="center" vertical="center" wrapText="1"/>
    </xf>
    <xf numFmtId="2" fontId="8" fillId="10" borderId="11" xfId="0" applyNumberFormat="1" applyFont="1" applyFill="1" applyBorder="1" applyAlignment="1">
      <alignment horizontal="left" vertical="center" wrapText="1"/>
    </xf>
    <xf numFmtId="2" fontId="8" fillId="10" borderId="50" xfId="0" applyNumberFormat="1" applyFont="1" applyFill="1" applyBorder="1" applyAlignment="1">
      <alignment horizontal="center" vertical="center" wrapText="1"/>
    </xf>
    <xf numFmtId="2" fontId="8" fillId="10" borderId="51" xfId="0" applyNumberFormat="1" applyFont="1" applyFill="1" applyBorder="1" applyAlignment="1">
      <alignment horizontal="center" vertical="center" wrapText="1"/>
    </xf>
    <xf numFmtId="2" fontId="8" fillId="10" borderId="10" xfId="0" applyNumberFormat="1" applyFont="1" applyFill="1" applyBorder="1" applyAlignment="1">
      <alignment horizontal="center" vertical="center" wrapText="1"/>
    </xf>
    <xf numFmtId="2" fontId="8" fillId="10" borderId="28" xfId="0" applyNumberFormat="1" applyFont="1" applyFill="1" applyBorder="1" applyAlignment="1">
      <alignment horizontal="left" vertical="center" wrapText="1"/>
    </xf>
    <xf numFmtId="2" fontId="8" fillId="10" borderId="54" xfId="0" applyNumberFormat="1" applyFont="1" applyFill="1" applyBorder="1" applyAlignment="1">
      <alignment horizontal="left" vertical="center" wrapText="1"/>
    </xf>
    <xf numFmtId="2" fontId="8" fillId="10" borderId="55" xfId="0" applyNumberFormat="1" applyFont="1" applyFill="1" applyBorder="1" applyAlignment="1">
      <alignment horizontal="left" vertical="center" wrapText="1"/>
    </xf>
    <xf numFmtId="2" fontId="15" fillId="10" borderId="27" xfId="0" applyNumberFormat="1" applyFont="1" applyFill="1" applyBorder="1" applyAlignment="1">
      <alignment horizontal="left" vertical="center" wrapText="1"/>
    </xf>
    <xf numFmtId="2" fontId="15" fillId="10" borderId="19" xfId="0" applyNumberFormat="1" applyFont="1" applyFill="1" applyBorder="1" applyAlignment="1">
      <alignment horizontal="left" vertical="center" wrapText="1"/>
    </xf>
    <xf numFmtId="2" fontId="15" fillId="10" borderId="17" xfId="0" applyNumberFormat="1" applyFont="1" applyFill="1" applyBorder="1" applyAlignment="1">
      <alignment horizontal="left" vertical="center" wrapText="1"/>
    </xf>
    <xf numFmtId="2" fontId="8" fillId="10" borderId="27" xfId="0" applyNumberFormat="1" applyFont="1" applyFill="1" applyBorder="1" applyAlignment="1">
      <alignment horizontal="left" vertical="center" wrapText="1"/>
    </xf>
    <xf numFmtId="2" fontId="8" fillId="10" borderId="19" xfId="0" applyNumberFormat="1" applyFont="1" applyFill="1" applyBorder="1" applyAlignment="1">
      <alignment horizontal="left" vertical="center" wrapText="1"/>
    </xf>
    <xf numFmtId="2" fontId="8" fillId="10" borderId="17" xfId="0" applyNumberFormat="1" applyFont="1" applyFill="1" applyBorder="1" applyAlignment="1">
      <alignment horizontal="left" vertical="center" wrapText="1"/>
    </xf>
    <xf numFmtId="0" fontId="30" fillId="0" borderId="7" xfId="5" applyFont="1" applyBorder="1" applyAlignment="1">
      <alignment horizontal="right" shrinkToFit="1"/>
    </xf>
    <xf numFmtId="0" fontId="30" fillId="0" borderId="8" xfId="5" applyFont="1" applyBorder="1" applyAlignment="1">
      <alignment horizontal="right" shrinkToFit="1"/>
    </xf>
    <xf numFmtId="168" fontId="30" fillId="10" borderId="35" xfId="5" applyNumberFormat="1" applyFont="1" applyFill="1" applyBorder="1" applyAlignment="1">
      <alignment horizontal="center" vertical="center"/>
    </xf>
    <xf numFmtId="168" fontId="30" fillId="10" borderId="18" xfId="5" applyNumberFormat="1" applyFont="1" applyFill="1" applyBorder="1" applyAlignment="1">
      <alignment horizontal="center" vertical="center"/>
    </xf>
    <xf numFmtId="168" fontId="30" fillId="10" borderId="31" xfId="5" applyNumberFormat="1" applyFont="1" applyFill="1" applyBorder="1" applyAlignment="1">
      <alignment horizontal="center" vertical="center"/>
    </xf>
    <xf numFmtId="0" fontId="30" fillId="10" borderId="36" xfId="5" applyFont="1" applyFill="1" applyBorder="1" applyAlignment="1">
      <alignment horizontal="center" vertical="center" wrapText="1"/>
    </xf>
    <xf numFmtId="0" fontId="30" fillId="10" borderId="37" xfId="5" applyFont="1" applyFill="1" applyBorder="1" applyAlignment="1">
      <alignment horizontal="center" vertical="center" wrapText="1"/>
    </xf>
    <xf numFmtId="0" fontId="30" fillId="10" borderId="11" xfId="5" applyFont="1" applyFill="1" applyBorder="1" applyAlignment="1">
      <alignment horizontal="center" vertical="center" wrapText="1"/>
    </xf>
    <xf numFmtId="0" fontId="30" fillId="10" borderId="12" xfId="5" applyFont="1" applyFill="1" applyBorder="1" applyAlignment="1">
      <alignment horizontal="center" vertical="center" wrapText="1"/>
    </xf>
    <xf numFmtId="0" fontId="58" fillId="0" borderId="7" xfId="5" applyFont="1" applyBorder="1" applyAlignment="1">
      <alignment horizontal="right" shrinkToFit="1"/>
    </xf>
    <xf numFmtId="0" fontId="58" fillId="0" borderId="8" xfId="5" applyFont="1" applyBorder="1" applyAlignment="1">
      <alignment horizontal="right" shrinkToFit="1"/>
    </xf>
    <xf numFmtId="0" fontId="30" fillId="0" borderId="9" xfId="5" applyFont="1" applyBorder="1" applyAlignment="1">
      <alignment horizontal="right" shrinkToFit="1"/>
    </xf>
    <xf numFmtId="0" fontId="26" fillId="10" borderId="2" xfId="3" applyFont="1" applyFill="1" applyBorder="1" applyAlignment="1">
      <alignment horizontal="center" vertical="center" wrapText="1"/>
    </xf>
    <xf numFmtId="0" fontId="26" fillId="10" borderId="23" xfId="3" applyFont="1" applyFill="1" applyBorder="1" applyAlignment="1">
      <alignment horizontal="center" vertical="center" wrapText="1"/>
    </xf>
    <xf numFmtId="0" fontId="26" fillId="10" borderId="43" xfId="3" applyFont="1" applyFill="1" applyBorder="1" applyAlignment="1">
      <alignment horizontal="center" vertical="center" wrapText="1"/>
    </xf>
    <xf numFmtId="0" fontId="26" fillId="10" borderId="35" xfId="0" applyFont="1" applyFill="1" applyBorder="1" applyAlignment="1">
      <alignment horizontal="center" vertical="center"/>
    </xf>
    <xf numFmtId="0" fontId="26" fillId="10" borderId="18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/>
    </xf>
    <xf numFmtId="0" fontId="26" fillId="10" borderId="36" xfId="3" applyFont="1" applyFill="1" applyBorder="1" applyAlignment="1">
      <alignment horizontal="center" vertical="center"/>
    </xf>
    <xf numFmtId="0" fontId="26" fillId="10" borderId="11" xfId="3" applyFont="1" applyFill="1" applyBorder="1" applyAlignment="1">
      <alignment horizontal="center" vertical="center"/>
    </xf>
    <xf numFmtId="0" fontId="26" fillId="10" borderId="21" xfId="3" applyFont="1" applyFill="1" applyBorder="1" applyAlignment="1">
      <alignment horizontal="center" vertical="center"/>
    </xf>
    <xf numFmtId="0" fontId="26" fillId="10" borderId="36" xfId="3" applyFont="1" applyFill="1" applyBorder="1" applyAlignment="1">
      <alignment horizontal="center" vertical="center" wrapText="1"/>
    </xf>
    <xf numFmtId="0" fontId="26" fillId="10" borderId="11" xfId="3" applyFont="1" applyFill="1" applyBorder="1" applyAlignment="1">
      <alignment horizontal="center" vertical="center" wrapText="1"/>
    </xf>
    <xf numFmtId="0" fontId="26" fillId="10" borderId="21" xfId="3" applyFont="1" applyFill="1" applyBorder="1" applyAlignment="1">
      <alignment horizontal="center" vertical="center" wrapText="1"/>
    </xf>
    <xf numFmtId="2" fontId="23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10" borderId="5" xfId="3" applyFont="1" applyFill="1" applyBorder="1" applyAlignment="1">
      <alignment horizontal="center" vertical="center" wrapText="1"/>
    </xf>
    <xf numFmtId="0" fontId="26" fillId="10" borderId="47" xfId="3" applyFont="1" applyFill="1" applyBorder="1" applyAlignment="1">
      <alignment horizontal="center" vertical="center" wrapText="1"/>
    </xf>
    <xf numFmtId="0" fontId="26" fillId="10" borderId="48" xfId="3" applyFont="1" applyFill="1" applyBorder="1" applyAlignment="1">
      <alignment horizontal="center" vertical="center" wrapText="1"/>
    </xf>
    <xf numFmtId="0" fontId="26" fillId="10" borderId="33" xfId="3" applyFont="1" applyFill="1" applyBorder="1" applyAlignment="1">
      <alignment horizontal="center" vertical="center" wrapText="1"/>
    </xf>
    <xf numFmtId="0" fontId="29" fillId="12" borderId="18" xfId="0" applyFont="1" applyFill="1" applyBorder="1" applyAlignment="1">
      <alignment horizontal="right" vertical="center"/>
    </xf>
    <xf numFmtId="0" fontId="27" fillId="12" borderId="11" xfId="0" applyFont="1" applyFill="1" applyBorder="1" applyAlignment="1">
      <alignment horizontal="right" vertical="center"/>
    </xf>
    <xf numFmtId="168" fontId="29" fillId="13" borderId="18" xfId="0" applyNumberFormat="1" applyFont="1" applyFill="1" applyBorder="1" applyAlignment="1">
      <alignment horizontal="left" vertical="center"/>
    </xf>
    <xf numFmtId="168" fontId="29" fillId="13" borderId="11" xfId="0" applyNumberFormat="1" applyFont="1" applyFill="1" applyBorder="1" applyAlignment="1">
      <alignment horizontal="left" vertical="center"/>
    </xf>
    <xf numFmtId="168" fontId="29" fillId="13" borderId="12" xfId="0" applyNumberFormat="1" applyFont="1" applyFill="1" applyBorder="1" applyAlignment="1">
      <alignment horizontal="left" vertical="center"/>
    </xf>
    <xf numFmtId="0" fontId="26" fillId="12" borderId="2" xfId="3" applyFont="1" applyFill="1" applyBorder="1" applyAlignment="1">
      <alignment horizontal="center" vertical="center" wrapText="1"/>
    </xf>
    <xf numFmtId="0" fontId="26" fillId="12" borderId="23" xfId="3" applyFont="1" applyFill="1" applyBorder="1" applyAlignment="1">
      <alignment horizontal="center" vertical="center" wrapText="1"/>
    </xf>
    <xf numFmtId="0" fontId="26" fillId="12" borderId="3" xfId="3" applyFont="1" applyFill="1" applyBorder="1" applyAlignment="1">
      <alignment horizontal="center" vertical="center" wrapText="1"/>
    </xf>
    <xf numFmtId="0" fontId="26" fillId="12" borderId="24" xfId="3" applyFont="1" applyFill="1" applyBorder="1" applyAlignment="1">
      <alignment horizontal="center" vertical="center" wrapText="1"/>
    </xf>
    <xf numFmtId="0" fontId="26" fillId="10" borderId="5" xfId="3" applyFont="1" applyFill="1" applyBorder="1" applyAlignment="1">
      <alignment horizontal="center" vertical="center"/>
    </xf>
    <xf numFmtId="0" fontId="26" fillId="10" borderId="4" xfId="3" applyFont="1" applyFill="1" applyBorder="1" applyAlignment="1">
      <alignment horizontal="center" vertical="center"/>
    </xf>
    <xf numFmtId="0" fontId="26" fillId="10" borderId="47" xfId="3" applyFont="1" applyFill="1" applyBorder="1" applyAlignment="1">
      <alignment horizontal="center" vertical="center"/>
    </xf>
    <xf numFmtId="0" fontId="26" fillId="10" borderId="44" xfId="3" applyFont="1" applyFill="1" applyBorder="1" applyAlignment="1">
      <alignment horizontal="center" vertical="center"/>
    </xf>
    <xf numFmtId="0" fontId="26" fillId="10" borderId="34" xfId="3" applyFont="1" applyFill="1" applyBorder="1" applyAlignment="1">
      <alignment horizontal="center" vertical="center"/>
    </xf>
    <xf numFmtId="0" fontId="26" fillId="10" borderId="45" xfId="3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9" fillId="12" borderId="31" xfId="0" applyFont="1" applyFill="1" applyBorder="1" applyAlignment="1">
      <alignment horizontal="right" vertical="center"/>
    </xf>
    <xf numFmtId="0" fontId="27" fillId="12" borderId="29" xfId="0" applyFont="1" applyFill="1" applyBorder="1" applyAlignment="1">
      <alignment horizontal="right" vertical="center"/>
    </xf>
    <xf numFmtId="0" fontId="26" fillId="0" borderId="7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/>
    </xf>
  </cellXfs>
  <cellStyles count="37">
    <cellStyle name="Dziesiętny" xfId="7" builtinId="3"/>
    <cellStyle name="Dziesiętny 2" xfId="4"/>
    <cellStyle name="Dziesiętny 2 2" xfId="9"/>
    <cellStyle name="Dziesiętny 3" xfId="10"/>
    <cellStyle name="Dziesiętny 3 2" xfId="28"/>
    <cellStyle name="Dziesiętny 3 3" xfId="34"/>
    <cellStyle name="Dziesiętny 4" xfId="26"/>
    <cellStyle name="Dziesiętny 5" xfId="33"/>
    <cellStyle name="Normalny" xfId="0" builtinId="0"/>
    <cellStyle name="Normalny 2" xfId="3"/>
    <cellStyle name="Normalny 2 2" xfId="11"/>
    <cellStyle name="Normalny 2 2 2" xfId="30"/>
    <cellStyle name="Normalny 2 3" xfId="29"/>
    <cellStyle name="Normalny 3" xfId="8"/>
    <cellStyle name="Normalny 3 2" xfId="12"/>
    <cellStyle name="Normalny 3 2 2" xfId="13"/>
    <cellStyle name="Normalny 3 2 2 2" xfId="14"/>
    <cellStyle name="Normalny 3 2 3" xfId="15"/>
    <cellStyle name="Normalny 3 3" xfId="16"/>
    <cellStyle name="Normalny 3 3 2" xfId="17"/>
    <cellStyle name="Normalny 3 3 3" xfId="31"/>
    <cellStyle name="Normalny 3 4" xfId="18"/>
    <cellStyle name="Normalny 3 4 2" xfId="19"/>
    <cellStyle name="Normalny 3 5" xfId="20"/>
    <cellStyle name="Normalny 3 6" xfId="35"/>
    <cellStyle name="Normalny 4" xfId="21"/>
    <cellStyle name="Normalny 4 2" xfId="27"/>
    <cellStyle name="Normalny 4 3" xfId="36"/>
    <cellStyle name="Normalny 5" xfId="5"/>
    <cellStyle name="Normalny 6" xfId="22"/>
    <cellStyle name="Normalny 7" xfId="25"/>
    <cellStyle name="Normalny 8" xfId="32"/>
    <cellStyle name="Normalny_Arkusz1" xfId="6"/>
    <cellStyle name="Normalny_Tabela zbiorcza cz.1 (0030-0035)" xfId="1"/>
    <cellStyle name="Normalny_Wzór tabeli" xfId="2"/>
    <cellStyle name="Procentowy 2" xfId="24"/>
    <cellStyle name="TerespolD" xfId="23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96"/>
  <sheetViews>
    <sheetView topLeftCell="A26" zoomScale="85" zoomScaleNormal="85" workbookViewId="0">
      <selection activeCell="K36" sqref="K36"/>
    </sheetView>
  </sheetViews>
  <sheetFormatPr defaultRowHeight="15"/>
  <cols>
    <col min="1" max="1" width="14.42578125" style="16" customWidth="1"/>
    <col min="2" max="2" width="16" style="16" customWidth="1"/>
    <col min="3" max="3" width="9.140625" style="16"/>
    <col min="4" max="4" width="57.7109375" style="16" customWidth="1"/>
    <col min="5" max="5" width="25" style="16" customWidth="1"/>
    <col min="6" max="16384" width="9.140625" style="16"/>
  </cols>
  <sheetData>
    <row r="1" spans="1:16" ht="21" hidden="1" thickBot="1">
      <c r="A1" s="467" t="s">
        <v>252</v>
      </c>
      <c r="B1" s="468"/>
      <c r="C1" s="468"/>
      <c r="D1" s="468"/>
      <c r="E1" s="468"/>
    </row>
    <row r="2" spans="1:16" ht="15.75" thickBot="1">
      <c r="A2" s="318"/>
      <c r="B2" s="318"/>
      <c r="C2" s="318"/>
      <c r="D2" s="318"/>
      <c r="E2" s="318"/>
    </row>
    <row r="3" spans="1:16" ht="19.5" thickBot="1">
      <c r="A3" s="443" t="s">
        <v>228</v>
      </c>
      <c r="B3" s="444"/>
      <c r="C3" s="444"/>
      <c r="D3" s="444"/>
      <c r="E3" s="445"/>
    </row>
    <row r="4" spans="1:16" ht="18.75">
      <c r="A4" s="364"/>
      <c r="B4" s="450"/>
      <c r="C4" s="450"/>
      <c r="D4" s="450"/>
      <c r="E4" s="451"/>
    </row>
    <row r="5" spans="1:16" ht="119.25" customHeight="1">
      <c r="A5" s="365" t="s">
        <v>227</v>
      </c>
      <c r="B5" s="450" t="s">
        <v>833</v>
      </c>
      <c r="C5" s="450"/>
      <c r="D5" s="450"/>
      <c r="E5" s="451"/>
    </row>
    <row r="6" spans="1:16" ht="18.75">
      <c r="A6" s="366"/>
      <c r="B6" s="455"/>
      <c r="C6" s="455"/>
      <c r="D6" s="455"/>
      <c r="E6" s="456"/>
    </row>
    <row r="7" spans="1:16" ht="45" customHeight="1">
      <c r="A7" s="338" t="s">
        <v>144</v>
      </c>
      <c r="B7" s="326" t="s">
        <v>229</v>
      </c>
      <c r="C7" s="457" t="s">
        <v>230</v>
      </c>
      <c r="D7" s="457"/>
      <c r="E7" s="339" t="s">
        <v>231</v>
      </c>
    </row>
    <row r="8" spans="1:16" hidden="1">
      <c r="A8" s="367" t="s">
        <v>9</v>
      </c>
      <c r="B8" s="317" t="s">
        <v>5</v>
      </c>
      <c r="C8" s="453" t="s">
        <v>6</v>
      </c>
      <c r="D8" s="454"/>
      <c r="E8" s="368" t="s">
        <v>9</v>
      </c>
    </row>
    <row r="9" spans="1:16" ht="36" hidden="1" customHeight="1" thickBot="1">
      <c r="A9" s="369" t="s">
        <v>149</v>
      </c>
      <c r="B9" s="314" t="s">
        <v>7</v>
      </c>
      <c r="C9" s="447" t="s">
        <v>8</v>
      </c>
      <c r="D9" s="447"/>
      <c r="E9" s="370" t="e">
        <f>#REF!</f>
        <v>#REF!</v>
      </c>
      <c r="I9" s="442"/>
      <c r="J9" s="442"/>
      <c r="K9" s="442"/>
      <c r="L9" s="442"/>
      <c r="M9" s="442"/>
      <c r="N9" s="442"/>
      <c r="O9" s="442"/>
      <c r="P9" s="442"/>
    </row>
    <row r="10" spans="1:16" ht="26.25" hidden="1" customHeight="1" thickBot="1">
      <c r="A10" s="458" t="s">
        <v>232</v>
      </c>
      <c r="B10" s="459"/>
      <c r="C10" s="459"/>
      <c r="D10" s="459"/>
      <c r="E10" s="371" t="e">
        <f>E9</f>
        <v>#REF!</v>
      </c>
    </row>
    <row r="11" spans="1:16" ht="26.25" customHeight="1">
      <c r="A11" s="321" t="s">
        <v>9</v>
      </c>
      <c r="B11" s="319" t="s">
        <v>5</v>
      </c>
      <c r="C11" s="448" t="s">
        <v>6</v>
      </c>
      <c r="D11" s="449"/>
      <c r="E11" s="342" t="s">
        <v>9</v>
      </c>
    </row>
    <row r="12" spans="1:16" ht="35.25" customHeight="1">
      <c r="A12" s="322" t="s">
        <v>149</v>
      </c>
      <c r="B12" s="320" t="s">
        <v>7</v>
      </c>
      <c r="C12" s="446" t="s">
        <v>801</v>
      </c>
      <c r="D12" s="460"/>
      <c r="E12" s="340">
        <f>KO!H12</f>
        <v>0</v>
      </c>
    </row>
    <row r="13" spans="1:16" ht="26.25" customHeight="1">
      <c r="A13" s="461" t="s">
        <v>232</v>
      </c>
      <c r="B13" s="462"/>
      <c r="C13" s="462"/>
      <c r="D13" s="462"/>
      <c r="E13" s="341">
        <f>E12</f>
        <v>0</v>
      </c>
    </row>
    <row r="14" spans="1:16" ht="30" customHeight="1">
      <c r="A14" s="321" t="s">
        <v>9</v>
      </c>
      <c r="B14" s="319" t="s">
        <v>16</v>
      </c>
      <c r="C14" s="448" t="s">
        <v>302</v>
      </c>
      <c r="D14" s="449"/>
      <c r="E14" s="342" t="s">
        <v>9</v>
      </c>
    </row>
    <row r="15" spans="1:16" ht="24" customHeight="1">
      <c r="A15" s="322" t="s">
        <v>150</v>
      </c>
      <c r="B15" s="320" t="s">
        <v>17</v>
      </c>
      <c r="C15" s="452" t="s">
        <v>233</v>
      </c>
      <c r="D15" s="452"/>
      <c r="E15" s="340">
        <f>KO!H51</f>
        <v>0</v>
      </c>
    </row>
    <row r="16" spans="1:16" ht="24" customHeight="1">
      <c r="A16" s="322" t="s">
        <v>151</v>
      </c>
      <c r="B16" s="320" t="s">
        <v>47</v>
      </c>
      <c r="C16" s="452" t="s">
        <v>234</v>
      </c>
      <c r="D16" s="452"/>
      <c r="E16" s="340">
        <f>KO!H61</f>
        <v>0</v>
      </c>
    </row>
    <row r="17" spans="1:10" ht="24" customHeight="1">
      <c r="A17" s="322" t="s">
        <v>152</v>
      </c>
      <c r="B17" s="320" t="s">
        <v>56</v>
      </c>
      <c r="C17" s="452" t="s">
        <v>235</v>
      </c>
      <c r="D17" s="452"/>
      <c r="E17" s="340">
        <f>KO!H95</f>
        <v>0</v>
      </c>
    </row>
    <row r="18" spans="1:10" ht="24" customHeight="1">
      <c r="A18" s="322" t="s">
        <v>153</v>
      </c>
      <c r="B18" s="320" t="s">
        <v>76</v>
      </c>
      <c r="C18" s="452" t="s">
        <v>236</v>
      </c>
      <c r="D18" s="452"/>
      <c r="E18" s="340">
        <f>KO!H125</f>
        <v>0</v>
      </c>
    </row>
    <row r="19" spans="1:10" ht="24" customHeight="1">
      <c r="A19" s="322" t="s">
        <v>154</v>
      </c>
      <c r="B19" s="320" t="s">
        <v>93</v>
      </c>
      <c r="C19" s="446" t="s">
        <v>237</v>
      </c>
      <c r="D19" s="446"/>
      <c r="E19" s="340">
        <f>KO!H137</f>
        <v>0</v>
      </c>
    </row>
    <row r="20" spans="1:10" ht="24" customHeight="1">
      <c r="A20" s="322" t="s">
        <v>156</v>
      </c>
      <c r="B20" s="320" t="s">
        <v>99</v>
      </c>
      <c r="C20" s="446" t="s">
        <v>238</v>
      </c>
      <c r="D20" s="446"/>
      <c r="E20" s="340">
        <f>KO!H168</f>
        <v>0</v>
      </c>
      <c r="F20" s="318"/>
      <c r="G20" s="318"/>
      <c r="H20" s="318"/>
      <c r="I20" s="318"/>
      <c r="J20" s="318"/>
    </row>
    <row r="21" spans="1:10" ht="36" customHeight="1">
      <c r="A21" s="322" t="s">
        <v>157</v>
      </c>
      <c r="B21" s="320" t="s">
        <v>114</v>
      </c>
      <c r="C21" s="446" t="s">
        <v>802</v>
      </c>
      <c r="D21" s="446"/>
      <c r="E21" s="340">
        <f>KO!H181</f>
        <v>0</v>
      </c>
      <c r="F21" s="318"/>
      <c r="G21" s="318"/>
      <c r="H21" s="318"/>
      <c r="I21" s="318"/>
      <c r="J21" s="318"/>
    </row>
    <row r="22" spans="1:10" ht="24" customHeight="1">
      <c r="A22" s="322" t="s">
        <v>158</v>
      </c>
      <c r="B22" s="320" t="s">
        <v>5</v>
      </c>
      <c r="C22" s="446" t="s">
        <v>239</v>
      </c>
      <c r="D22" s="446"/>
      <c r="E22" s="340">
        <f>KO!H194</f>
        <v>0</v>
      </c>
      <c r="F22" s="318"/>
      <c r="G22" s="318"/>
      <c r="H22" s="318"/>
      <c r="I22" s="318"/>
      <c r="J22" s="318"/>
    </row>
    <row r="23" spans="1:10" ht="24" customHeight="1">
      <c r="A23" s="461" t="s">
        <v>240</v>
      </c>
      <c r="B23" s="462"/>
      <c r="C23" s="462"/>
      <c r="D23" s="462"/>
      <c r="E23" s="341">
        <f>SUM(E15:E22)</f>
        <v>0</v>
      </c>
      <c r="F23" s="318"/>
      <c r="G23" s="318"/>
      <c r="H23" s="318"/>
      <c r="I23" s="318"/>
      <c r="J23" s="318"/>
    </row>
    <row r="24" spans="1:10" ht="24" customHeight="1">
      <c r="A24" s="321" t="s">
        <v>9</v>
      </c>
      <c r="B24" s="319" t="s">
        <v>130</v>
      </c>
      <c r="C24" s="448" t="s">
        <v>352</v>
      </c>
      <c r="D24" s="449"/>
      <c r="E24" s="342" t="s">
        <v>9</v>
      </c>
      <c r="F24" s="318"/>
      <c r="G24" s="318"/>
      <c r="H24" s="318"/>
      <c r="I24" s="318"/>
      <c r="J24" s="318"/>
    </row>
    <row r="25" spans="1:10" ht="24" customHeight="1">
      <c r="A25" s="322" t="s">
        <v>159</v>
      </c>
      <c r="B25" s="320" t="s">
        <v>128</v>
      </c>
      <c r="C25" s="465" t="s">
        <v>713</v>
      </c>
      <c r="D25" s="466"/>
      <c r="E25" s="340">
        <f>KO!H209</f>
        <v>0</v>
      </c>
      <c r="F25" s="318"/>
      <c r="G25" s="318"/>
      <c r="H25" s="318"/>
      <c r="I25" s="318"/>
      <c r="J25" s="318"/>
    </row>
    <row r="26" spans="1:10" ht="33" customHeight="1">
      <c r="A26" s="322" t="s">
        <v>353</v>
      </c>
      <c r="B26" s="320" t="s">
        <v>354</v>
      </c>
      <c r="C26" s="465" t="s">
        <v>840</v>
      </c>
      <c r="D26" s="466"/>
      <c r="E26" s="340">
        <f>KO!H227</f>
        <v>0</v>
      </c>
      <c r="F26" s="318"/>
      <c r="G26" s="318"/>
      <c r="H26" s="318"/>
      <c r="I26" s="318"/>
      <c r="J26" s="318"/>
    </row>
    <row r="27" spans="1:10" ht="24" customHeight="1">
      <c r="A27" s="322" t="s">
        <v>356</v>
      </c>
      <c r="B27" s="320" t="s">
        <v>131</v>
      </c>
      <c r="C27" s="465" t="s">
        <v>841</v>
      </c>
      <c r="D27" s="466"/>
      <c r="E27" s="340">
        <f>KO!H248</f>
        <v>0</v>
      </c>
      <c r="F27" s="318"/>
      <c r="G27" s="318"/>
      <c r="H27" s="318"/>
      <c r="I27" s="318"/>
      <c r="J27" s="318"/>
    </row>
    <row r="28" spans="1:10" ht="24" customHeight="1">
      <c r="A28" s="461" t="s">
        <v>255</v>
      </c>
      <c r="B28" s="462"/>
      <c r="C28" s="462"/>
      <c r="D28" s="462"/>
      <c r="E28" s="341">
        <f>E25+E26+E27</f>
        <v>0</v>
      </c>
      <c r="F28" s="318"/>
      <c r="G28" s="318"/>
      <c r="H28" s="318"/>
      <c r="I28" s="318"/>
      <c r="J28" s="318"/>
    </row>
    <row r="29" spans="1:10" ht="24" customHeight="1">
      <c r="A29" s="321" t="s">
        <v>9</v>
      </c>
      <c r="B29" s="319" t="s">
        <v>351</v>
      </c>
      <c r="C29" s="448" t="s">
        <v>803</v>
      </c>
      <c r="D29" s="449"/>
      <c r="E29" s="342" t="s">
        <v>9</v>
      </c>
      <c r="F29" s="318"/>
      <c r="G29" s="318"/>
      <c r="H29" s="318"/>
      <c r="I29" s="318"/>
      <c r="J29" s="318"/>
    </row>
    <row r="30" spans="1:10" ht="36" customHeight="1">
      <c r="A30" s="322" t="s">
        <v>383</v>
      </c>
      <c r="B30" s="320" t="s">
        <v>367</v>
      </c>
      <c r="C30" s="465" t="s">
        <v>358</v>
      </c>
      <c r="D30" s="466"/>
      <c r="E30" s="340">
        <f>KO!H261</f>
        <v>0</v>
      </c>
      <c r="F30" s="318"/>
      <c r="G30" s="318"/>
      <c r="H30" s="318"/>
      <c r="I30" s="318"/>
      <c r="J30" s="318"/>
    </row>
    <row r="31" spans="1:10" ht="24" customHeight="1">
      <c r="A31" s="322" t="s">
        <v>384</v>
      </c>
      <c r="B31" s="320" t="s">
        <v>167</v>
      </c>
      <c r="C31" s="465" t="s">
        <v>357</v>
      </c>
      <c r="D31" s="466"/>
      <c r="E31" s="340">
        <f>KO!H287</f>
        <v>0</v>
      </c>
      <c r="F31" s="318"/>
      <c r="G31" s="318"/>
      <c r="H31" s="318"/>
      <c r="I31" s="318"/>
      <c r="J31" s="318"/>
    </row>
    <row r="32" spans="1:10" ht="24" customHeight="1">
      <c r="A32" s="322" t="s">
        <v>385</v>
      </c>
      <c r="B32" s="320" t="s">
        <v>368</v>
      </c>
      <c r="C32" s="465" t="s">
        <v>764</v>
      </c>
      <c r="D32" s="466"/>
      <c r="E32" s="340">
        <f>KO!H307</f>
        <v>0</v>
      </c>
      <c r="F32" s="318"/>
      <c r="G32" s="318"/>
      <c r="H32" s="318"/>
      <c r="I32" s="318"/>
      <c r="J32" s="318"/>
    </row>
    <row r="33" spans="1:10" ht="33.75" customHeight="1">
      <c r="A33" s="322" t="s">
        <v>386</v>
      </c>
      <c r="B33" s="320" t="s">
        <v>169</v>
      </c>
      <c r="C33" s="465" t="s">
        <v>782</v>
      </c>
      <c r="D33" s="466"/>
      <c r="E33" s="340">
        <f>KO!H316</f>
        <v>0</v>
      </c>
      <c r="F33" s="318"/>
      <c r="G33" s="318"/>
      <c r="H33" s="318"/>
      <c r="I33" s="318"/>
      <c r="J33" s="318"/>
    </row>
    <row r="34" spans="1:10" ht="32.25" customHeight="1">
      <c r="A34" s="322" t="s">
        <v>804</v>
      </c>
      <c r="B34" s="320" t="s">
        <v>788</v>
      </c>
      <c r="C34" s="465" t="s">
        <v>790</v>
      </c>
      <c r="D34" s="466"/>
      <c r="E34" s="340">
        <f>KO!H324</f>
        <v>0</v>
      </c>
      <c r="F34" s="318"/>
      <c r="G34" s="318"/>
      <c r="H34" s="318"/>
      <c r="I34" s="318"/>
      <c r="J34" s="318"/>
    </row>
    <row r="35" spans="1:10" ht="24" customHeight="1">
      <c r="A35" s="461" t="s">
        <v>359</v>
      </c>
      <c r="B35" s="462"/>
      <c r="C35" s="462"/>
      <c r="D35" s="462"/>
      <c r="E35" s="341">
        <f>E30+E31+E32+E33+E34</f>
        <v>0</v>
      </c>
      <c r="F35" s="318"/>
      <c r="G35" s="318"/>
      <c r="H35" s="318"/>
      <c r="I35" s="318"/>
      <c r="J35" s="318"/>
    </row>
    <row r="36" spans="1:10" ht="24" customHeight="1">
      <c r="A36" s="321" t="s">
        <v>9</v>
      </c>
      <c r="B36" s="319" t="s">
        <v>360</v>
      </c>
      <c r="C36" s="448" t="s">
        <v>835</v>
      </c>
      <c r="D36" s="449"/>
      <c r="E36" s="342" t="s">
        <v>9</v>
      </c>
      <c r="F36" s="318"/>
      <c r="G36" s="318"/>
      <c r="H36" s="318"/>
      <c r="I36" s="318"/>
      <c r="J36" s="318"/>
    </row>
    <row r="37" spans="1:10" ht="39" customHeight="1">
      <c r="A37" s="322" t="s">
        <v>805</v>
      </c>
      <c r="B37" s="320" t="s">
        <v>797</v>
      </c>
      <c r="C37" s="463" t="s">
        <v>843</v>
      </c>
      <c r="D37" s="464"/>
      <c r="E37" s="340">
        <f>KO!H332</f>
        <v>0</v>
      </c>
      <c r="F37" s="318"/>
      <c r="G37" s="318"/>
      <c r="H37" s="318"/>
      <c r="I37" s="318"/>
      <c r="J37" s="318"/>
    </row>
    <row r="38" spans="1:10" ht="39" customHeight="1">
      <c r="A38" s="322" t="s">
        <v>831</v>
      </c>
      <c r="B38" s="320" t="s">
        <v>829</v>
      </c>
      <c r="C38" s="463" t="s">
        <v>842</v>
      </c>
      <c r="D38" s="464"/>
      <c r="E38" s="340">
        <f>KO!H336</f>
        <v>0</v>
      </c>
      <c r="F38" s="318"/>
      <c r="G38" s="318"/>
      <c r="H38" s="318"/>
      <c r="I38" s="318"/>
      <c r="J38" s="318"/>
    </row>
    <row r="39" spans="1:10" ht="24" customHeight="1">
      <c r="A39" s="461" t="s">
        <v>361</v>
      </c>
      <c r="B39" s="462"/>
      <c r="C39" s="462"/>
      <c r="D39" s="462"/>
      <c r="E39" s="341">
        <f>E37+E38</f>
        <v>0</v>
      </c>
      <c r="F39" s="318"/>
      <c r="G39" s="318"/>
      <c r="H39" s="318"/>
      <c r="I39" s="318"/>
      <c r="J39" s="318"/>
    </row>
    <row r="40" spans="1:10" ht="15" hidden="1" customHeight="1">
      <c r="A40" s="367" t="s">
        <v>9</v>
      </c>
      <c r="B40" s="317" t="s">
        <v>130</v>
      </c>
      <c r="C40" s="453" t="s">
        <v>253</v>
      </c>
      <c r="D40" s="454"/>
      <c r="E40" s="342" t="s">
        <v>9</v>
      </c>
      <c r="F40" s="318"/>
      <c r="G40" s="318"/>
      <c r="H40" s="318"/>
      <c r="I40" s="318"/>
      <c r="J40" s="318"/>
    </row>
    <row r="41" spans="1:10" ht="15" hidden="1" customHeight="1">
      <c r="A41" s="369" t="s">
        <v>159</v>
      </c>
      <c r="B41" s="314" t="s">
        <v>128</v>
      </c>
      <c r="C41" s="473" t="s">
        <v>254</v>
      </c>
      <c r="D41" s="473"/>
      <c r="E41" s="340" t="e">
        <f>#REF!</f>
        <v>#REF!</v>
      </c>
      <c r="F41" s="318"/>
      <c r="G41" s="318"/>
      <c r="H41" s="318"/>
      <c r="I41" s="318"/>
      <c r="J41" s="318"/>
    </row>
    <row r="42" spans="1:10" ht="21" hidden="1" customHeight="1" thickBot="1">
      <c r="A42" s="458" t="s">
        <v>255</v>
      </c>
      <c r="B42" s="459"/>
      <c r="C42" s="459"/>
      <c r="D42" s="459"/>
      <c r="E42" s="341" t="e">
        <f>E41</f>
        <v>#REF!</v>
      </c>
      <c r="F42" s="318"/>
      <c r="G42" s="318"/>
      <c r="H42" s="318"/>
      <c r="I42" s="318"/>
      <c r="J42" s="352"/>
    </row>
    <row r="43" spans="1:10" ht="27" customHeight="1">
      <c r="A43" s="471" t="s">
        <v>844</v>
      </c>
      <c r="B43" s="472"/>
      <c r="C43" s="472"/>
      <c r="D43" s="472"/>
      <c r="E43" s="372">
        <f>E39+E35+E28+E23+E13</f>
        <v>0</v>
      </c>
      <c r="F43" s="318"/>
      <c r="G43" s="318"/>
      <c r="H43" s="318"/>
      <c r="I43" s="318"/>
      <c r="J43" s="318"/>
    </row>
    <row r="44" spans="1:10" ht="26.25" customHeight="1">
      <c r="A44" s="471" t="s">
        <v>241</v>
      </c>
      <c r="B44" s="472"/>
      <c r="C44" s="472"/>
      <c r="D44" s="472"/>
      <c r="E44" s="372">
        <f>0.23*E43</f>
        <v>0</v>
      </c>
      <c r="F44" s="318"/>
      <c r="G44" s="318"/>
      <c r="H44" s="318"/>
      <c r="I44" s="318"/>
      <c r="J44" s="318"/>
    </row>
    <row r="45" spans="1:10" ht="33.75" customHeight="1" thickBot="1">
      <c r="A45" s="469" t="s">
        <v>242</v>
      </c>
      <c r="B45" s="470"/>
      <c r="C45" s="470"/>
      <c r="D45" s="470"/>
      <c r="E45" s="373">
        <f>E43+E44</f>
        <v>0</v>
      </c>
      <c r="F45" s="318"/>
      <c r="G45" s="318"/>
      <c r="H45" s="318"/>
      <c r="I45" s="318"/>
      <c r="J45" s="318"/>
    </row>
    <row r="84" spans="1:11">
      <c r="A84" s="353">
        <f>E43</f>
        <v>0</v>
      </c>
    </row>
    <row r="85" spans="1:11">
      <c r="A85" s="354"/>
      <c r="B85" s="355"/>
      <c r="C85" s="356" t="s">
        <v>244</v>
      </c>
      <c r="D85" s="357" t="s">
        <v>245</v>
      </c>
      <c r="E85" s="356" t="s">
        <v>244</v>
      </c>
      <c r="F85" s="357" t="s">
        <v>245</v>
      </c>
      <c r="G85" s="356" t="s">
        <v>244</v>
      </c>
      <c r="H85" s="357" t="s">
        <v>245</v>
      </c>
      <c r="I85" s="358" t="s">
        <v>246</v>
      </c>
      <c r="J85" s="359" t="s">
        <v>247</v>
      </c>
      <c r="K85" s="355"/>
    </row>
    <row r="86" spans="1:11">
      <c r="A86" s="355">
        <f>INT(A$84/10000000)</f>
        <v>0</v>
      </c>
      <c r="B86" s="355"/>
      <c r="C86" s="360">
        <f>IF(AND(A86&gt;=0,A86&lt;=5),1,0)</f>
        <v>1</v>
      </c>
      <c r="D86" s="360">
        <f>IF(AND(A86&gt;=6,A86&lt;=9),1,0)</f>
        <v>0</v>
      </c>
      <c r="E86" s="361" t="str">
        <f>IF(A86=0,"",IF(A86=1,IF(A87=0,"dziesięć milionów ",""),IF(A86=2,"dwadzieścia ",IF(A86=3,"trzydzieści ",IF(A86=4,"czterdzieści ",IF(A86=5,"pięćdziesiąt ",""))))))</f>
        <v/>
      </c>
      <c r="F86" s="361" t="str">
        <f>IF(A86=6,"sześćdziesiąt ",IF(A86=7,"siedemdziesiąt ",IF(A86=8,"osiemdziesiąt ",IF(A86=9,"dziewięćdziesiąt ",""))))</f>
        <v/>
      </c>
      <c r="G86" s="355"/>
      <c r="H86" s="355"/>
      <c r="I86" s="355"/>
      <c r="J86" s="361" t="str">
        <f>IF(C86,E86&amp;I86,IF(D86,F86&amp;I86,""))</f>
        <v/>
      </c>
      <c r="K86" s="355"/>
    </row>
    <row r="87" spans="1:11">
      <c r="A87" s="354">
        <f>INT(A$84/1000000)-A86*10</f>
        <v>0</v>
      </c>
      <c r="B87" s="355"/>
      <c r="C87" s="360">
        <f t="shared" ref="C87:C93" si="0">IF(AND(A87&gt;=0,A87&lt;=5),1,0)</f>
        <v>1</v>
      </c>
      <c r="D87" s="360">
        <f t="shared" ref="D87:D93" si="1">IF(AND(A87&gt;=6,A87&lt;=9),1,0)</f>
        <v>0</v>
      </c>
      <c r="E87" s="361" t="str">
        <f>IF(A87=0,IF(AND(A86&lt;&gt;0,A86&lt;&gt;1),"milionów ",""),IF(A87=1,IF(A86=0,"jeden milion ","jeden milionów "),IF(A87=2,"dwa miliony ",IF(A87=3,"trzy miliony ",IF(A87=4,"cztery miliony ",IF(A87=5,"pięć milionów ",""))))))</f>
        <v/>
      </c>
      <c r="F87" s="361" t="str">
        <f>IF(A87=6,"sześć milionów ",IF(A87=7,"siedem milionów ",IF(A87=8,"osiem milionów ",IF(A87=9,"dziewięć milionów ",""))))</f>
        <v/>
      </c>
      <c r="G87" s="361" t="str">
        <f>IF(A87=0,"",IF(A87=1,"jedenaście milionów ",IF(A87=2,"dwanaście milionów ",IF(A87=3,"trzynaście milionów ",IF(A87=4,"czternaście milionów ",IF(A87=5,"piętnaście milionów ",""))))))</f>
        <v/>
      </c>
      <c r="H87" s="361" t="str">
        <f>IF(A87=6,"szesnaście milionów ",IF(A87=7,"siedemnaście milionów ",IF(A87=8,"osiemnaście milionów ",IF(A87=9,"dziewiętnaście milionów ",""))))</f>
        <v/>
      </c>
      <c r="I87" s="355"/>
      <c r="J87" s="361" t="str">
        <f>IF(A86=1,IF(C87,G87,IF(D87,H87)),IF(C87,E87,IF(D87,F87,"")))</f>
        <v/>
      </c>
      <c r="K87" s="355"/>
    </row>
    <row r="88" spans="1:11">
      <c r="A88" s="355">
        <f>INT(A$84/100000)-10*A87-100*A86</f>
        <v>0</v>
      </c>
      <c r="B88" s="355"/>
      <c r="C88" s="360">
        <f t="shared" si="0"/>
        <v>1</v>
      </c>
      <c r="D88" s="360">
        <f t="shared" si="1"/>
        <v>0</v>
      </c>
      <c r="E88" s="361" t="str">
        <f>IF(A88=0,"",IF(A88=1,"sto ",IF(A88=2,"dwieście ",IF(A88=3,"trzysta ",IF(A88=4,"czterysta ",IF(A88=5,"pięćset ",""))))))</f>
        <v/>
      </c>
      <c r="F88" s="361" t="str">
        <f>IF(A88=6,"sześćset ",IF(A88=7,"siedemset ",IF(A88=8,"osiemset ",IF(A88=9,"dziewięćset ",""))))</f>
        <v/>
      </c>
      <c r="G88" s="355"/>
      <c r="H88" s="355"/>
      <c r="I88" s="355"/>
      <c r="J88" s="361" t="str">
        <f>IF(C88,E88&amp;I88,IF(D88,F88&amp;I88,""))</f>
        <v/>
      </c>
      <c r="K88" s="355"/>
    </row>
    <row r="89" spans="1:11">
      <c r="A89" s="355">
        <f>INT(A$84/10000)-10*A88-100*A87-1000*A86</f>
        <v>0</v>
      </c>
      <c r="B89" s="355"/>
      <c r="C89" s="360">
        <f t="shared" si="0"/>
        <v>1</v>
      </c>
      <c r="D89" s="360">
        <f t="shared" si="1"/>
        <v>0</v>
      </c>
      <c r="E89" s="361" t="str">
        <f>IF(A89=0,"",IF(A89=1,IF(A90=0,"dziesięć tysięcy ",""),IF(A89=2,"dwadzieścia ",IF(A89=3,"trzydzieści ",IF(A89=4,"czterdzieści ",IF(A89=5,"pięćdziesiąt ",""))))))</f>
        <v/>
      </c>
      <c r="F89" s="361" t="str">
        <f>IF(A89=6,"sześćdziesiąt ",IF(A89=7,"siedemdziesiąt ",IF(A89=8,"osiemdziesiąt ",IF(A89=9,"dziewięćdziesiąt ",""))))</f>
        <v/>
      </c>
      <c r="G89" s="355"/>
      <c r="H89" s="355"/>
      <c r="I89" s="355"/>
      <c r="J89" s="361" t="str">
        <f>IF(C89,E89&amp;I89,IF(D89,F89&amp;I89,""))</f>
        <v/>
      </c>
      <c r="K89" s="355"/>
    </row>
    <row r="90" spans="1:11">
      <c r="A90" s="354">
        <f>INT(A$84/1000)-10*A89-100*A88-1000*A87-10000*A86</f>
        <v>0</v>
      </c>
      <c r="B90" s="355"/>
      <c r="C90" s="360">
        <f t="shared" si="0"/>
        <v>1</v>
      </c>
      <c r="D90" s="360">
        <f t="shared" si="1"/>
        <v>0</v>
      </c>
      <c r="E90" s="361" t="str">
        <f>IF(A90=0,IF(OR(AND(A89&lt;&gt;0,A89&lt;&gt;1),AND(A88&lt;&gt;0,A89=0)),"tysięcy ",""),IF(A90=1,IF(AND(A88=0,A89=0),"jeden tysiąc ","jeden tysięcy "),IF(A90=2,"dwa tysiące ",IF(A90=3,"trzy tysiące ",IF(A90=4,"cztery tysiące ",IF(A90=5,"pięć tysięcy ",""))))))</f>
        <v/>
      </c>
      <c r="F90" s="361" t="str">
        <f>IF(A90=6,"sześć tysięcy ",IF(A90=7,"siedem tysięcy ",IF(A90=8,"osiem tysięcy ",IF(A90=9,"dziewięć tysięcy ",""))))</f>
        <v/>
      </c>
      <c r="G90" s="361" t="str">
        <f>IF(A90=0,"",IF(A90=1,"jedenaście tysięcy ",IF(A90=2,"dwanaście tysięcy ",IF(A90=3,"trzynaście tysięcy ",IF(A90=4,"czternaście tysięcy ",IF(A90=5,"piętnaście tysięcy ",""))))))</f>
        <v/>
      </c>
      <c r="H90" s="361" t="str">
        <f>IF(A90=6,"szesnaście tysięcy ",IF(A90=7,"siedemnaście tysięcy ",IF(A90=8,"osiemnaście tysięcy ",IF(A90=9,"dziewiętnaście tysięcy ",""))))</f>
        <v/>
      </c>
      <c r="I90" s="355"/>
      <c r="J90" s="361" t="str">
        <f>IF(A89=1,IF(C90,G90,IF(D90,H90)),IF(C90,E90,IF(D90,F90,"")))</f>
        <v/>
      </c>
      <c r="K90" s="355"/>
    </row>
    <row r="91" spans="1:11">
      <c r="A91" s="355">
        <f>INT(A$84/100)-10*A90-100*A89-1000*A88-10000*A87-100000*A86</f>
        <v>0</v>
      </c>
      <c r="B91" s="355"/>
      <c r="C91" s="360">
        <f t="shared" si="0"/>
        <v>1</v>
      </c>
      <c r="D91" s="360">
        <f t="shared" si="1"/>
        <v>0</v>
      </c>
      <c r="E91" s="361" t="str">
        <f>IF(A91=0,"",IF(A91=1,"sto ",IF(A91=2,"dwieście ",IF(A91=3,"trzysta ",IF(A91=4,"czterysta ",IF(A91=5,"pięćset ",""))))))</f>
        <v/>
      </c>
      <c r="F91" s="361" t="str">
        <f>IF(A91=6,"sześćset ",IF(A91=7,"siedemset ",IF(A91=8,"osiemset ",IF(A91=9,"dziewięćset ",""))))</f>
        <v/>
      </c>
      <c r="G91" s="355"/>
      <c r="H91" s="355"/>
      <c r="I91" s="355"/>
      <c r="J91" s="361" t="str">
        <f>IF(C91,E91&amp;I91,IF(D91,F91&amp;I91,""))</f>
        <v/>
      </c>
      <c r="K91" s="355"/>
    </row>
    <row r="92" spans="1:11">
      <c r="A92" s="355">
        <f>INT(A$84/10)-10*A91-100*A90-1000*A89-10000*A88-100000*A87-1000000*A86</f>
        <v>0</v>
      </c>
      <c r="B92" s="355"/>
      <c r="C92" s="360">
        <f t="shared" si="0"/>
        <v>1</v>
      </c>
      <c r="D92" s="360">
        <f t="shared" si="1"/>
        <v>0</v>
      </c>
      <c r="E92" s="361" t="str">
        <f>IF(A92=0,"",IF(A92=1,IF(A93=0,"dziesięć ",""),IF(A92=2,"dwadzieścia ",IF(A92=3,"trzydzieści ",IF(A92=4,"czterdzieści ",IF(A92=5,"pięćdziesiąt ",""))))))</f>
        <v/>
      </c>
      <c r="F92" s="361" t="str">
        <f>IF(A92=6,"sześćdziesiąt ",IF(A92=7,"siedemdziesiąt ",IF(A92=8,"osiemdziesiąt ",IF(A92=9,"dziewięćdziesiąt ",""))))</f>
        <v/>
      </c>
      <c r="G92" s="355"/>
      <c r="H92" s="355"/>
      <c r="I92" s="355"/>
      <c r="J92" s="361" t="str">
        <f>IF(C92,E92&amp;I92,IF(D92,F92&amp;I92,""))</f>
        <v/>
      </c>
      <c r="K92" s="355"/>
    </row>
    <row r="93" spans="1:11">
      <c r="A93" s="354">
        <f>INT(A$84)-10*A92-100*A91-1000*A90-10000*A89-100000*A88-1000000*A87-10000000*A86</f>
        <v>0</v>
      </c>
      <c r="B93" s="355"/>
      <c r="C93" s="360">
        <f t="shared" si="0"/>
        <v>1</v>
      </c>
      <c r="D93" s="360">
        <f t="shared" si="1"/>
        <v>0</v>
      </c>
      <c r="E93" s="361" t="str">
        <f>IF(A93=0,"",IF(A93=1,"jeden ",IF(A93=2,"dwa ",IF(A93=3,"trzy ",IF(A93=4,"cztery ",IF(A93=5,"pięć ",""))))))</f>
        <v/>
      </c>
      <c r="F93" s="361" t="str">
        <f>IF(A93=6,"sześć ",IF(A93=7,"siedem ",IF(A93=8,"osiem ",IF(A93=9,"dziewięć ",""))))</f>
        <v/>
      </c>
      <c r="G93" s="361" t="str">
        <f>IF(A93=0,"",IF(A93=1,"jedenaście ",IF(A93=2,"dwanaście ",IF(A93=3,"trzynaście ",IF(A93=4,"czternaście ",IF(A93=5,"piętnaście ",""))))))</f>
        <v/>
      </c>
      <c r="H93" s="361" t="str">
        <f>IF(A93=6,"szesnaście ",IF(A93=7,"siedemnaście ",IF(A93=8,"osiemnaście ",IF(A93=9,"dziewiętnaście ",""))))</f>
        <v/>
      </c>
      <c r="I93" s="355"/>
      <c r="J93" s="361" t="str">
        <f>IF(A92=1,IF(C93,G93,IF(D93,H93)),IF(C93,E93,IF(D93,F93,"")))</f>
        <v/>
      </c>
      <c r="K93" s="355"/>
    </row>
    <row r="94" spans="1:11">
      <c r="A94" s="362">
        <f>ROUND((A84-TRUNC(A84,0))*100,0)</f>
        <v>0</v>
      </c>
      <c r="B94" s="355"/>
      <c r="C94" s="355"/>
      <c r="D94" s="355"/>
      <c r="E94" s="355"/>
      <c r="F94" s="355"/>
      <c r="G94" s="355"/>
      <c r="H94" s="355"/>
      <c r="I94" s="355"/>
      <c r="J94" s="361" t="str">
        <f>"zł "&amp;A94&amp;"/100"</f>
        <v>zł 0/100</v>
      </c>
      <c r="K94" s="355"/>
    </row>
    <row r="95" spans="1:11">
      <c r="A95" s="355"/>
      <c r="B95" s="355"/>
      <c r="C95" s="355"/>
      <c r="D95" s="355"/>
      <c r="E95" s="359" t="s">
        <v>243</v>
      </c>
      <c r="F95" s="355"/>
      <c r="G95" s="355"/>
      <c r="H95" s="355"/>
      <c r="I95" s="355"/>
      <c r="J95" s="355"/>
      <c r="K95" s="355"/>
    </row>
    <row r="96" spans="1:11">
      <c r="A96" s="353">
        <f>TRUNC(A84,1)</f>
        <v>0</v>
      </c>
      <c r="B96" s="355"/>
      <c r="C96" s="355"/>
      <c r="D96" s="355"/>
      <c r="E96" s="361" t="str">
        <f>J86&amp;J87&amp;J88&amp;J89&amp;J90&amp;J91&amp;J92&amp;J93&amp;J94</f>
        <v>zł 0/100</v>
      </c>
      <c r="F96" s="361"/>
      <c r="G96" s="361"/>
      <c r="H96" s="361"/>
      <c r="I96" s="361"/>
      <c r="J96" s="361"/>
      <c r="K96" s="355"/>
    </row>
  </sheetData>
  <mergeCells count="45">
    <mergeCell ref="A1:E1"/>
    <mergeCell ref="A45:D45"/>
    <mergeCell ref="C19:D19"/>
    <mergeCell ref="C38:D38"/>
    <mergeCell ref="A42:D42"/>
    <mergeCell ref="A44:D44"/>
    <mergeCell ref="A43:D43"/>
    <mergeCell ref="C22:D22"/>
    <mergeCell ref="C24:D24"/>
    <mergeCell ref="C25:D25"/>
    <mergeCell ref="C26:D26"/>
    <mergeCell ref="C29:D29"/>
    <mergeCell ref="C41:D41"/>
    <mergeCell ref="C40:D40"/>
    <mergeCell ref="A39:D39"/>
    <mergeCell ref="C16:D16"/>
    <mergeCell ref="C36:D36"/>
    <mergeCell ref="C37:D37"/>
    <mergeCell ref="C27:D27"/>
    <mergeCell ref="C17:D17"/>
    <mergeCell ref="A23:D23"/>
    <mergeCell ref="C32:D32"/>
    <mergeCell ref="C20:D20"/>
    <mergeCell ref="A28:D28"/>
    <mergeCell ref="A35:D35"/>
    <mergeCell ref="C30:D30"/>
    <mergeCell ref="C33:D33"/>
    <mergeCell ref="C34:D34"/>
    <mergeCell ref="C31:D31"/>
    <mergeCell ref="I9:P9"/>
    <mergeCell ref="A3:E3"/>
    <mergeCell ref="C21:D21"/>
    <mergeCell ref="C9:D9"/>
    <mergeCell ref="C14:D14"/>
    <mergeCell ref="B4:E4"/>
    <mergeCell ref="C18:D18"/>
    <mergeCell ref="C8:D8"/>
    <mergeCell ref="B6:E6"/>
    <mergeCell ref="C7:D7"/>
    <mergeCell ref="A10:D10"/>
    <mergeCell ref="C15:D15"/>
    <mergeCell ref="B5:E5"/>
    <mergeCell ref="C12:D12"/>
    <mergeCell ref="C11:D11"/>
    <mergeCell ref="A13:D13"/>
  </mergeCells>
  <pageMargins left="0.7" right="0.7" top="0.75" bottom="0.75" header="0.3" footer="0.3"/>
  <pageSetup paperSize="9" scale="7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367"/>
  <sheetViews>
    <sheetView workbookViewId="0">
      <selection sqref="A1:R1"/>
    </sheetView>
  </sheetViews>
  <sheetFormatPr defaultRowHeight="15"/>
  <cols>
    <col min="1" max="1" width="4.7109375" customWidth="1"/>
    <col min="3" max="3" width="5.7109375" customWidth="1"/>
    <col min="4" max="4" width="8.7109375" customWidth="1"/>
    <col min="5" max="5" width="6.7109375" customWidth="1"/>
    <col min="6" max="6" width="7.5703125" customWidth="1"/>
    <col min="7" max="7" width="9.28515625" customWidth="1"/>
    <col min="8" max="8" width="6.42578125" hidden="1" customWidth="1"/>
    <col min="9" max="9" width="6.5703125" hidden="1" customWidth="1"/>
    <col min="10" max="10" width="7.140625" customWidth="1"/>
    <col min="11" max="11" width="6.42578125" customWidth="1"/>
    <col min="12" max="13" width="7.7109375" customWidth="1"/>
    <col min="14" max="14" width="14" hidden="1" customWidth="1"/>
    <col min="15" max="15" width="6.7109375" hidden="1" customWidth="1"/>
    <col min="16" max="16" width="5.7109375" style="36" customWidth="1"/>
    <col min="17" max="17" width="5.7109375" style="36" hidden="1" customWidth="1"/>
    <col min="18" max="18" width="9.5703125" style="36" hidden="1" customWidth="1"/>
    <col min="19" max="19" width="11.7109375" style="36" hidden="1" customWidth="1"/>
    <col min="20" max="20" width="12.7109375" hidden="1" customWidth="1"/>
    <col min="21" max="21" width="8.42578125" hidden="1" customWidth="1"/>
    <col min="258" max="258" width="4.7109375" customWidth="1"/>
    <col min="260" max="260" width="5.7109375" customWidth="1"/>
    <col min="261" max="261" width="8.7109375" customWidth="1"/>
    <col min="262" max="262" width="6.7109375" customWidth="1"/>
    <col min="263" max="263" width="7.5703125" customWidth="1"/>
    <col min="264" max="264" width="9.28515625" customWidth="1"/>
    <col min="265" max="265" width="6.42578125" customWidth="1"/>
    <col min="266" max="266" width="6.5703125" customWidth="1"/>
    <col min="267" max="267" width="7.140625" customWidth="1"/>
    <col min="268" max="268" width="6.42578125" customWidth="1"/>
    <col min="269" max="269" width="8" customWidth="1"/>
    <col min="270" max="270" width="9.85546875" customWidth="1"/>
    <col min="271" max="271" width="6.7109375" customWidth="1"/>
    <col min="272" max="273" width="5.7109375" customWidth="1"/>
    <col min="274" max="274" width="9.5703125" customWidth="1"/>
    <col min="275" max="275" width="11.7109375" customWidth="1"/>
    <col min="276" max="276" width="12.7109375" customWidth="1"/>
    <col min="277" max="277" width="8.42578125" customWidth="1"/>
    <col min="514" max="514" width="4.7109375" customWidth="1"/>
    <col min="516" max="516" width="5.7109375" customWidth="1"/>
    <col min="517" max="517" width="8.7109375" customWidth="1"/>
    <col min="518" max="518" width="6.7109375" customWidth="1"/>
    <col min="519" max="519" width="7.5703125" customWidth="1"/>
    <col min="520" max="520" width="9.28515625" customWidth="1"/>
    <col min="521" max="521" width="6.42578125" customWidth="1"/>
    <col min="522" max="522" width="6.5703125" customWidth="1"/>
    <col min="523" max="523" width="7.140625" customWidth="1"/>
    <col min="524" max="524" width="6.42578125" customWidth="1"/>
    <col min="525" max="525" width="8" customWidth="1"/>
    <col min="526" max="526" width="9.85546875" customWidth="1"/>
    <col min="527" max="527" width="6.7109375" customWidth="1"/>
    <col min="528" max="529" width="5.7109375" customWidth="1"/>
    <col min="530" max="530" width="9.5703125" customWidth="1"/>
    <col min="531" max="531" width="11.7109375" customWidth="1"/>
    <col min="532" max="532" width="12.7109375" customWidth="1"/>
    <col min="533" max="533" width="8.42578125" customWidth="1"/>
    <col min="770" max="770" width="4.7109375" customWidth="1"/>
    <col min="772" max="772" width="5.7109375" customWidth="1"/>
    <col min="773" max="773" width="8.7109375" customWidth="1"/>
    <col min="774" max="774" width="6.7109375" customWidth="1"/>
    <col min="775" max="775" width="7.5703125" customWidth="1"/>
    <col min="776" max="776" width="9.28515625" customWidth="1"/>
    <col min="777" max="777" width="6.42578125" customWidth="1"/>
    <col min="778" max="778" width="6.5703125" customWidth="1"/>
    <col min="779" max="779" width="7.140625" customWidth="1"/>
    <col min="780" max="780" width="6.42578125" customWidth="1"/>
    <col min="781" max="781" width="8" customWidth="1"/>
    <col min="782" max="782" width="9.85546875" customWidth="1"/>
    <col min="783" max="783" width="6.7109375" customWidth="1"/>
    <col min="784" max="785" width="5.7109375" customWidth="1"/>
    <col min="786" max="786" width="9.5703125" customWidth="1"/>
    <col min="787" max="787" width="11.7109375" customWidth="1"/>
    <col min="788" max="788" width="12.7109375" customWidth="1"/>
    <col min="789" max="789" width="8.42578125" customWidth="1"/>
    <col min="1026" max="1026" width="4.7109375" customWidth="1"/>
    <col min="1028" max="1028" width="5.7109375" customWidth="1"/>
    <col min="1029" max="1029" width="8.7109375" customWidth="1"/>
    <col min="1030" max="1030" width="6.7109375" customWidth="1"/>
    <col min="1031" max="1031" width="7.5703125" customWidth="1"/>
    <col min="1032" max="1032" width="9.28515625" customWidth="1"/>
    <col min="1033" max="1033" width="6.42578125" customWidth="1"/>
    <col min="1034" max="1034" width="6.5703125" customWidth="1"/>
    <col min="1035" max="1035" width="7.140625" customWidth="1"/>
    <col min="1036" max="1036" width="6.42578125" customWidth="1"/>
    <col min="1037" max="1037" width="8" customWidth="1"/>
    <col min="1038" max="1038" width="9.85546875" customWidth="1"/>
    <col min="1039" max="1039" width="6.7109375" customWidth="1"/>
    <col min="1040" max="1041" width="5.7109375" customWidth="1"/>
    <col min="1042" max="1042" width="9.5703125" customWidth="1"/>
    <col min="1043" max="1043" width="11.7109375" customWidth="1"/>
    <col min="1044" max="1044" width="12.7109375" customWidth="1"/>
    <col min="1045" max="1045" width="8.42578125" customWidth="1"/>
    <col min="1282" max="1282" width="4.7109375" customWidth="1"/>
    <col min="1284" max="1284" width="5.7109375" customWidth="1"/>
    <col min="1285" max="1285" width="8.7109375" customWidth="1"/>
    <col min="1286" max="1286" width="6.7109375" customWidth="1"/>
    <col min="1287" max="1287" width="7.5703125" customWidth="1"/>
    <col min="1288" max="1288" width="9.28515625" customWidth="1"/>
    <col min="1289" max="1289" width="6.42578125" customWidth="1"/>
    <col min="1290" max="1290" width="6.5703125" customWidth="1"/>
    <col min="1291" max="1291" width="7.140625" customWidth="1"/>
    <col min="1292" max="1292" width="6.42578125" customWidth="1"/>
    <col min="1293" max="1293" width="8" customWidth="1"/>
    <col min="1294" max="1294" width="9.85546875" customWidth="1"/>
    <col min="1295" max="1295" width="6.7109375" customWidth="1"/>
    <col min="1296" max="1297" width="5.7109375" customWidth="1"/>
    <col min="1298" max="1298" width="9.5703125" customWidth="1"/>
    <col min="1299" max="1299" width="11.7109375" customWidth="1"/>
    <col min="1300" max="1300" width="12.7109375" customWidth="1"/>
    <col min="1301" max="1301" width="8.42578125" customWidth="1"/>
    <col min="1538" max="1538" width="4.7109375" customWidth="1"/>
    <col min="1540" max="1540" width="5.7109375" customWidth="1"/>
    <col min="1541" max="1541" width="8.7109375" customWidth="1"/>
    <col min="1542" max="1542" width="6.7109375" customWidth="1"/>
    <col min="1543" max="1543" width="7.5703125" customWidth="1"/>
    <col min="1544" max="1544" width="9.28515625" customWidth="1"/>
    <col min="1545" max="1545" width="6.42578125" customWidth="1"/>
    <col min="1546" max="1546" width="6.5703125" customWidth="1"/>
    <col min="1547" max="1547" width="7.140625" customWidth="1"/>
    <col min="1548" max="1548" width="6.42578125" customWidth="1"/>
    <col min="1549" max="1549" width="8" customWidth="1"/>
    <col min="1550" max="1550" width="9.85546875" customWidth="1"/>
    <col min="1551" max="1551" width="6.7109375" customWidth="1"/>
    <col min="1552" max="1553" width="5.7109375" customWidth="1"/>
    <col min="1554" max="1554" width="9.5703125" customWidth="1"/>
    <col min="1555" max="1555" width="11.7109375" customWidth="1"/>
    <col min="1556" max="1556" width="12.7109375" customWidth="1"/>
    <col min="1557" max="1557" width="8.42578125" customWidth="1"/>
    <col min="1794" max="1794" width="4.7109375" customWidth="1"/>
    <col min="1796" max="1796" width="5.7109375" customWidth="1"/>
    <col min="1797" max="1797" width="8.7109375" customWidth="1"/>
    <col min="1798" max="1798" width="6.7109375" customWidth="1"/>
    <col min="1799" max="1799" width="7.5703125" customWidth="1"/>
    <col min="1800" max="1800" width="9.28515625" customWidth="1"/>
    <col min="1801" max="1801" width="6.42578125" customWidth="1"/>
    <col min="1802" max="1802" width="6.5703125" customWidth="1"/>
    <col min="1803" max="1803" width="7.140625" customWidth="1"/>
    <col min="1804" max="1804" width="6.42578125" customWidth="1"/>
    <col min="1805" max="1805" width="8" customWidth="1"/>
    <col min="1806" max="1806" width="9.85546875" customWidth="1"/>
    <col min="1807" max="1807" width="6.7109375" customWidth="1"/>
    <col min="1808" max="1809" width="5.7109375" customWidth="1"/>
    <col min="1810" max="1810" width="9.5703125" customWidth="1"/>
    <col min="1811" max="1811" width="11.7109375" customWidth="1"/>
    <col min="1812" max="1812" width="12.7109375" customWidth="1"/>
    <col min="1813" max="1813" width="8.42578125" customWidth="1"/>
    <col min="2050" max="2050" width="4.7109375" customWidth="1"/>
    <col min="2052" max="2052" width="5.7109375" customWidth="1"/>
    <col min="2053" max="2053" width="8.7109375" customWidth="1"/>
    <col min="2054" max="2054" width="6.7109375" customWidth="1"/>
    <col min="2055" max="2055" width="7.5703125" customWidth="1"/>
    <col min="2056" max="2056" width="9.28515625" customWidth="1"/>
    <col min="2057" max="2057" width="6.42578125" customWidth="1"/>
    <col min="2058" max="2058" width="6.5703125" customWidth="1"/>
    <col min="2059" max="2059" width="7.140625" customWidth="1"/>
    <col min="2060" max="2060" width="6.42578125" customWidth="1"/>
    <col min="2061" max="2061" width="8" customWidth="1"/>
    <col min="2062" max="2062" width="9.85546875" customWidth="1"/>
    <col min="2063" max="2063" width="6.7109375" customWidth="1"/>
    <col min="2064" max="2065" width="5.7109375" customWidth="1"/>
    <col min="2066" max="2066" width="9.5703125" customWidth="1"/>
    <col min="2067" max="2067" width="11.7109375" customWidth="1"/>
    <col min="2068" max="2068" width="12.7109375" customWidth="1"/>
    <col min="2069" max="2069" width="8.42578125" customWidth="1"/>
    <col min="2306" max="2306" width="4.7109375" customWidth="1"/>
    <col min="2308" max="2308" width="5.7109375" customWidth="1"/>
    <col min="2309" max="2309" width="8.7109375" customWidth="1"/>
    <col min="2310" max="2310" width="6.7109375" customWidth="1"/>
    <col min="2311" max="2311" width="7.5703125" customWidth="1"/>
    <col min="2312" max="2312" width="9.28515625" customWidth="1"/>
    <col min="2313" max="2313" width="6.42578125" customWidth="1"/>
    <col min="2314" max="2314" width="6.5703125" customWidth="1"/>
    <col min="2315" max="2315" width="7.140625" customWidth="1"/>
    <col min="2316" max="2316" width="6.42578125" customWidth="1"/>
    <col min="2317" max="2317" width="8" customWidth="1"/>
    <col min="2318" max="2318" width="9.85546875" customWidth="1"/>
    <col min="2319" max="2319" width="6.7109375" customWidth="1"/>
    <col min="2320" max="2321" width="5.7109375" customWidth="1"/>
    <col min="2322" max="2322" width="9.5703125" customWidth="1"/>
    <col min="2323" max="2323" width="11.7109375" customWidth="1"/>
    <col min="2324" max="2324" width="12.7109375" customWidth="1"/>
    <col min="2325" max="2325" width="8.42578125" customWidth="1"/>
    <col min="2562" max="2562" width="4.7109375" customWidth="1"/>
    <col min="2564" max="2564" width="5.7109375" customWidth="1"/>
    <col min="2565" max="2565" width="8.7109375" customWidth="1"/>
    <col min="2566" max="2566" width="6.7109375" customWidth="1"/>
    <col min="2567" max="2567" width="7.5703125" customWidth="1"/>
    <col min="2568" max="2568" width="9.28515625" customWidth="1"/>
    <col min="2569" max="2569" width="6.42578125" customWidth="1"/>
    <col min="2570" max="2570" width="6.5703125" customWidth="1"/>
    <col min="2571" max="2571" width="7.140625" customWidth="1"/>
    <col min="2572" max="2572" width="6.42578125" customWidth="1"/>
    <col min="2573" max="2573" width="8" customWidth="1"/>
    <col min="2574" max="2574" width="9.85546875" customWidth="1"/>
    <col min="2575" max="2575" width="6.7109375" customWidth="1"/>
    <col min="2576" max="2577" width="5.7109375" customWidth="1"/>
    <col min="2578" max="2578" width="9.5703125" customWidth="1"/>
    <col min="2579" max="2579" width="11.7109375" customWidth="1"/>
    <col min="2580" max="2580" width="12.7109375" customWidth="1"/>
    <col min="2581" max="2581" width="8.42578125" customWidth="1"/>
    <col min="2818" max="2818" width="4.7109375" customWidth="1"/>
    <col min="2820" max="2820" width="5.7109375" customWidth="1"/>
    <col min="2821" max="2821" width="8.7109375" customWidth="1"/>
    <col min="2822" max="2822" width="6.7109375" customWidth="1"/>
    <col min="2823" max="2823" width="7.5703125" customWidth="1"/>
    <col min="2824" max="2824" width="9.28515625" customWidth="1"/>
    <col min="2825" max="2825" width="6.42578125" customWidth="1"/>
    <col min="2826" max="2826" width="6.5703125" customWidth="1"/>
    <col min="2827" max="2827" width="7.140625" customWidth="1"/>
    <col min="2828" max="2828" width="6.42578125" customWidth="1"/>
    <col min="2829" max="2829" width="8" customWidth="1"/>
    <col min="2830" max="2830" width="9.85546875" customWidth="1"/>
    <col min="2831" max="2831" width="6.7109375" customWidth="1"/>
    <col min="2832" max="2833" width="5.7109375" customWidth="1"/>
    <col min="2834" max="2834" width="9.5703125" customWidth="1"/>
    <col min="2835" max="2835" width="11.7109375" customWidth="1"/>
    <col min="2836" max="2836" width="12.7109375" customWidth="1"/>
    <col min="2837" max="2837" width="8.42578125" customWidth="1"/>
    <col min="3074" max="3074" width="4.7109375" customWidth="1"/>
    <col min="3076" max="3076" width="5.7109375" customWidth="1"/>
    <col min="3077" max="3077" width="8.7109375" customWidth="1"/>
    <col min="3078" max="3078" width="6.7109375" customWidth="1"/>
    <col min="3079" max="3079" width="7.5703125" customWidth="1"/>
    <col min="3080" max="3080" width="9.28515625" customWidth="1"/>
    <col min="3081" max="3081" width="6.42578125" customWidth="1"/>
    <col min="3082" max="3082" width="6.5703125" customWidth="1"/>
    <col min="3083" max="3083" width="7.140625" customWidth="1"/>
    <col min="3084" max="3084" width="6.42578125" customWidth="1"/>
    <col min="3085" max="3085" width="8" customWidth="1"/>
    <col min="3086" max="3086" width="9.85546875" customWidth="1"/>
    <col min="3087" max="3087" width="6.7109375" customWidth="1"/>
    <col min="3088" max="3089" width="5.7109375" customWidth="1"/>
    <col min="3090" max="3090" width="9.5703125" customWidth="1"/>
    <col min="3091" max="3091" width="11.7109375" customWidth="1"/>
    <col min="3092" max="3092" width="12.7109375" customWidth="1"/>
    <col min="3093" max="3093" width="8.42578125" customWidth="1"/>
    <col min="3330" max="3330" width="4.7109375" customWidth="1"/>
    <col min="3332" max="3332" width="5.7109375" customWidth="1"/>
    <col min="3333" max="3333" width="8.7109375" customWidth="1"/>
    <col min="3334" max="3334" width="6.7109375" customWidth="1"/>
    <col min="3335" max="3335" width="7.5703125" customWidth="1"/>
    <col min="3336" max="3336" width="9.28515625" customWidth="1"/>
    <col min="3337" max="3337" width="6.42578125" customWidth="1"/>
    <col min="3338" max="3338" width="6.5703125" customWidth="1"/>
    <col min="3339" max="3339" width="7.140625" customWidth="1"/>
    <col min="3340" max="3340" width="6.42578125" customWidth="1"/>
    <col min="3341" max="3341" width="8" customWidth="1"/>
    <col min="3342" max="3342" width="9.85546875" customWidth="1"/>
    <col min="3343" max="3343" width="6.7109375" customWidth="1"/>
    <col min="3344" max="3345" width="5.7109375" customWidth="1"/>
    <col min="3346" max="3346" width="9.5703125" customWidth="1"/>
    <col min="3347" max="3347" width="11.7109375" customWidth="1"/>
    <col min="3348" max="3348" width="12.7109375" customWidth="1"/>
    <col min="3349" max="3349" width="8.42578125" customWidth="1"/>
    <col min="3586" max="3586" width="4.7109375" customWidth="1"/>
    <col min="3588" max="3588" width="5.7109375" customWidth="1"/>
    <col min="3589" max="3589" width="8.7109375" customWidth="1"/>
    <col min="3590" max="3590" width="6.7109375" customWidth="1"/>
    <col min="3591" max="3591" width="7.5703125" customWidth="1"/>
    <col min="3592" max="3592" width="9.28515625" customWidth="1"/>
    <col min="3593" max="3593" width="6.42578125" customWidth="1"/>
    <col min="3594" max="3594" width="6.5703125" customWidth="1"/>
    <col min="3595" max="3595" width="7.140625" customWidth="1"/>
    <col min="3596" max="3596" width="6.42578125" customWidth="1"/>
    <col min="3597" max="3597" width="8" customWidth="1"/>
    <col min="3598" max="3598" width="9.85546875" customWidth="1"/>
    <col min="3599" max="3599" width="6.7109375" customWidth="1"/>
    <col min="3600" max="3601" width="5.7109375" customWidth="1"/>
    <col min="3602" max="3602" width="9.5703125" customWidth="1"/>
    <col min="3603" max="3603" width="11.7109375" customWidth="1"/>
    <col min="3604" max="3604" width="12.7109375" customWidth="1"/>
    <col min="3605" max="3605" width="8.42578125" customWidth="1"/>
    <col min="3842" max="3842" width="4.7109375" customWidth="1"/>
    <col min="3844" max="3844" width="5.7109375" customWidth="1"/>
    <col min="3845" max="3845" width="8.7109375" customWidth="1"/>
    <col min="3846" max="3846" width="6.7109375" customWidth="1"/>
    <col min="3847" max="3847" width="7.5703125" customWidth="1"/>
    <col min="3848" max="3848" width="9.28515625" customWidth="1"/>
    <col min="3849" max="3849" width="6.42578125" customWidth="1"/>
    <col min="3850" max="3850" width="6.5703125" customWidth="1"/>
    <col min="3851" max="3851" width="7.140625" customWidth="1"/>
    <col min="3852" max="3852" width="6.42578125" customWidth="1"/>
    <col min="3853" max="3853" width="8" customWidth="1"/>
    <col min="3854" max="3854" width="9.85546875" customWidth="1"/>
    <col min="3855" max="3855" width="6.7109375" customWidth="1"/>
    <col min="3856" max="3857" width="5.7109375" customWidth="1"/>
    <col min="3858" max="3858" width="9.5703125" customWidth="1"/>
    <col min="3859" max="3859" width="11.7109375" customWidth="1"/>
    <col min="3860" max="3860" width="12.7109375" customWidth="1"/>
    <col min="3861" max="3861" width="8.42578125" customWidth="1"/>
    <col min="4098" max="4098" width="4.7109375" customWidth="1"/>
    <col min="4100" max="4100" width="5.7109375" customWidth="1"/>
    <col min="4101" max="4101" width="8.7109375" customWidth="1"/>
    <col min="4102" max="4102" width="6.7109375" customWidth="1"/>
    <col min="4103" max="4103" width="7.5703125" customWidth="1"/>
    <col min="4104" max="4104" width="9.28515625" customWidth="1"/>
    <col min="4105" max="4105" width="6.42578125" customWidth="1"/>
    <col min="4106" max="4106" width="6.5703125" customWidth="1"/>
    <col min="4107" max="4107" width="7.140625" customWidth="1"/>
    <col min="4108" max="4108" width="6.42578125" customWidth="1"/>
    <col min="4109" max="4109" width="8" customWidth="1"/>
    <col min="4110" max="4110" width="9.85546875" customWidth="1"/>
    <col min="4111" max="4111" width="6.7109375" customWidth="1"/>
    <col min="4112" max="4113" width="5.7109375" customWidth="1"/>
    <col min="4114" max="4114" width="9.5703125" customWidth="1"/>
    <col min="4115" max="4115" width="11.7109375" customWidth="1"/>
    <col min="4116" max="4116" width="12.7109375" customWidth="1"/>
    <col min="4117" max="4117" width="8.42578125" customWidth="1"/>
    <col min="4354" max="4354" width="4.7109375" customWidth="1"/>
    <col min="4356" max="4356" width="5.7109375" customWidth="1"/>
    <col min="4357" max="4357" width="8.7109375" customWidth="1"/>
    <col min="4358" max="4358" width="6.7109375" customWidth="1"/>
    <col min="4359" max="4359" width="7.5703125" customWidth="1"/>
    <col min="4360" max="4360" width="9.28515625" customWidth="1"/>
    <col min="4361" max="4361" width="6.42578125" customWidth="1"/>
    <col min="4362" max="4362" width="6.5703125" customWidth="1"/>
    <col min="4363" max="4363" width="7.140625" customWidth="1"/>
    <col min="4364" max="4364" width="6.42578125" customWidth="1"/>
    <col min="4365" max="4365" width="8" customWidth="1"/>
    <col min="4366" max="4366" width="9.85546875" customWidth="1"/>
    <col min="4367" max="4367" width="6.7109375" customWidth="1"/>
    <col min="4368" max="4369" width="5.7109375" customWidth="1"/>
    <col min="4370" max="4370" width="9.5703125" customWidth="1"/>
    <col min="4371" max="4371" width="11.7109375" customWidth="1"/>
    <col min="4372" max="4372" width="12.7109375" customWidth="1"/>
    <col min="4373" max="4373" width="8.42578125" customWidth="1"/>
    <col min="4610" max="4610" width="4.7109375" customWidth="1"/>
    <col min="4612" max="4612" width="5.7109375" customWidth="1"/>
    <col min="4613" max="4613" width="8.7109375" customWidth="1"/>
    <col min="4614" max="4614" width="6.7109375" customWidth="1"/>
    <col min="4615" max="4615" width="7.5703125" customWidth="1"/>
    <col min="4616" max="4616" width="9.28515625" customWidth="1"/>
    <col min="4617" max="4617" width="6.42578125" customWidth="1"/>
    <col min="4618" max="4618" width="6.5703125" customWidth="1"/>
    <col min="4619" max="4619" width="7.140625" customWidth="1"/>
    <col min="4620" max="4620" width="6.42578125" customWidth="1"/>
    <col min="4621" max="4621" width="8" customWidth="1"/>
    <col min="4622" max="4622" width="9.85546875" customWidth="1"/>
    <col min="4623" max="4623" width="6.7109375" customWidth="1"/>
    <col min="4624" max="4625" width="5.7109375" customWidth="1"/>
    <col min="4626" max="4626" width="9.5703125" customWidth="1"/>
    <col min="4627" max="4627" width="11.7109375" customWidth="1"/>
    <col min="4628" max="4628" width="12.7109375" customWidth="1"/>
    <col min="4629" max="4629" width="8.42578125" customWidth="1"/>
    <col min="4866" max="4866" width="4.7109375" customWidth="1"/>
    <col min="4868" max="4868" width="5.7109375" customWidth="1"/>
    <col min="4869" max="4869" width="8.7109375" customWidth="1"/>
    <col min="4870" max="4870" width="6.7109375" customWidth="1"/>
    <col min="4871" max="4871" width="7.5703125" customWidth="1"/>
    <col min="4872" max="4872" width="9.28515625" customWidth="1"/>
    <col min="4873" max="4873" width="6.42578125" customWidth="1"/>
    <col min="4874" max="4874" width="6.5703125" customWidth="1"/>
    <col min="4875" max="4875" width="7.140625" customWidth="1"/>
    <col min="4876" max="4876" width="6.42578125" customWidth="1"/>
    <col min="4877" max="4877" width="8" customWidth="1"/>
    <col min="4878" max="4878" width="9.85546875" customWidth="1"/>
    <col min="4879" max="4879" width="6.7109375" customWidth="1"/>
    <col min="4880" max="4881" width="5.7109375" customWidth="1"/>
    <col min="4882" max="4882" width="9.5703125" customWidth="1"/>
    <col min="4883" max="4883" width="11.7109375" customWidth="1"/>
    <col min="4884" max="4884" width="12.7109375" customWidth="1"/>
    <col min="4885" max="4885" width="8.42578125" customWidth="1"/>
    <col min="5122" max="5122" width="4.7109375" customWidth="1"/>
    <col min="5124" max="5124" width="5.7109375" customWidth="1"/>
    <col min="5125" max="5125" width="8.7109375" customWidth="1"/>
    <col min="5126" max="5126" width="6.7109375" customWidth="1"/>
    <col min="5127" max="5127" width="7.5703125" customWidth="1"/>
    <col min="5128" max="5128" width="9.28515625" customWidth="1"/>
    <col min="5129" max="5129" width="6.42578125" customWidth="1"/>
    <col min="5130" max="5130" width="6.5703125" customWidth="1"/>
    <col min="5131" max="5131" width="7.140625" customWidth="1"/>
    <col min="5132" max="5132" width="6.42578125" customWidth="1"/>
    <col min="5133" max="5133" width="8" customWidth="1"/>
    <col min="5134" max="5134" width="9.85546875" customWidth="1"/>
    <col min="5135" max="5135" width="6.7109375" customWidth="1"/>
    <col min="5136" max="5137" width="5.7109375" customWidth="1"/>
    <col min="5138" max="5138" width="9.5703125" customWidth="1"/>
    <col min="5139" max="5139" width="11.7109375" customWidth="1"/>
    <col min="5140" max="5140" width="12.7109375" customWidth="1"/>
    <col min="5141" max="5141" width="8.42578125" customWidth="1"/>
    <col min="5378" max="5378" width="4.7109375" customWidth="1"/>
    <col min="5380" max="5380" width="5.7109375" customWidth="1"/>
    <col min="5381" max="5381" width="8.7109375" customWidth="1"/>
    <col min="5382" max="5382" width="6.7109375" customWidth="1"/>
    <col min="5383" max="5383" width="7.5703125" customWidth="1"/>
    <col min="5384" max="5384" width="9.28515625" customWidth="1"/>
    <col min="5385" max="5385" width="6.42578125" customWidth="1"/>
    <col min="5386" max="5386" width="6.5703125" customWidth="1"/>
    <col min="5387" max="5387" width="7.140625" customWidth="1"/>
    <col min="5388" max="5388" width="6.42578125" customWidth="1"/>
    <col min="5389" max="5389" width="8" customWidth="1"/>
    <col min="5390" max="5390" width="9.85546875" customWidth="1"/>
    <col min="5391" max="5391" width="6.7109375" customWidth="1"/>
    <col min="5392" max="5393" width="5.7109375" customWidth="1"/>
    <col min="5394" max="5394" width="9.5703125" customWidth="1"/>
    <col min="5395" max="5395" width="11.7109375" customWidth="1"/>
    <col min="5396" max="5396" width="12.7109375" customWidth="1"/>
    <col min="5397" max="5397" width="8.42578125" customWidth="1"/>
    <col min="5634" max="5634" width="4.7109375" customWidth="1"/>
    <col min="5636" max="5636" width="5.7109375" customWidth="1"/>
    <col min="5637" max="5637" width="8.7109375" customWidth="1"/>
    <col min="5638" max="5638" width="6.7109375" customWidth="1"/>
    <col min="5639" max="5639" width="7.5703125" customWidth="1"/>
    <col min="5640" max="5640" width="9.28515625" customWidth="1"/>
    <col min="5641" max="5641" width="6.42578125" customWidth="1"/>
    <col min="5642" max="5642" width="6.5703125" customWidth="1"/>
    <col min="5643" max="5643" width="7.140625" customWidth="1"/>
    <col min="5644" max="5644" width="6.42578125" customWidth="1"/>
    <col min="5645" max="5645" width="8" customWidth="1"/>
    <col min="5646" max="5646" width="9.85546875" customWidth="1"/>
    <col min="5647" max="5647" width="6.7109375" customWidth="1"/>
    <col min="5648" max="5649" width="5.7109375" customWidth="1"/>
    <col min="5650" max="5650" width="9.5703125" customWidth="1"/>
    <col min="5651" max="5651" width="11.7109375" customWidth="1"/>
    <col min="5652" max="5652" width="12.7109375" customWidth="1"/>
    <col min="5653" max="5653" width="8.42578125" customWidth="1"/>
    <col min="5890" max="5890" width="4.7109375" customWidth="1"/>
    <col min="5892" max="5892" width="5.7109375" customWidth="1"/>
    <col min="5893" max="5893" width="8.7109375" customWidth="1"/>
    <col min="5894" max="5894" width="6.7109375" customWidth="1"/>
    <col min="5895" max="5895" width="7.5703125" customWidth="1"/>
    <col min="5896" max="5896" width="9.28515625" customWidth="1"/>
    <col min="5897" max="5897" width="6.42578125" customWidth="1"/>
    <col min="5898" max="5898" width="6.5703125" customWidth="1"/>
    <col min="5899" max="5899" width="7.140625" customWidth="1"/>
    <col min="5900" max="5900" width="6.42578125" customWidth="1"/>
    <col min="5901" max="5901" width="8" customWidth="1"/>
    <col min="5902" max="5902" width="9.85546875" customWidth="1"/>
    <col min="5903" max="5903" width="6.7109375" customWidth="1"/>
    <col min="5904" max="5905" width="5.7109375" customWidth="1"/>
    <col min="5906" max="5906" width="9.5703125" customWidth="1"/>
    <col min="5907" max="5907" width="11.7109375" customWidth="1"/>
    <col min="5908" max="5908" width="12.7109375" customWidth="1"/>
    <col min="5909" max="5909" width="8.42578125" customWidth="1"/>
    <col min="6146" max="6146" width="4.7109375" customWidth="1"/>
    <col min="6148" max="6148" width="5.7109375" customWidth="1"/>
    <col min="6149" max="6149" width="8.7109375" customWidth="1"/>
    <col min="6150" max="6150" width="6.7109375" customWidth="1"/>
    <col min="6151" max="6151" width="7.5703125" customWidth="1"/>
    <col min="6152" max="6152" width="9.28515625" customWidth="1"/>
    <col min="6153" max="6153" width="6.42578125" customWidth="1"/>
    <col min="6154" max="6154" width="6.5703125" customWidth="1"/>
    <col min="6155" max="6155" width="7.140625" customWidth="1"/>
    <col min="6156" max="6156" width="6.42578125" customWidth="1"/>
    <col min="6157" max="6157" width="8" customWidth="1"/>
    <col min="6158" max="6158" width="9.85546875" customWidth="1"/>
    <col min="6159" max="6159" width="6.7109375" customWidth="1"/>
    <col min="6160" max="6161" width="5.7109375" customWidth="1"/>
    <col min="6162" max="6162" width="9.5703125" customWidth="1"/>
    <col min="6163" max="6163" width="11.7109375" customWidth="1"/>
    <col min="6164" max="6164" width="12.7109375" customWidth="1"/>
    <col min="6165" max="6165" width="8.42578125" customWidth="1"/>
    <col min="6402" max="6402" width="4.7109375" customWidth="1"/>
    <col min="6404" max="6404" width="5.7109375" customWidth="1"/>
    <col min="6405" max="6405" width="8.7109375" customWidth="1"/>
    <col min="6406" max="6406" width="6.7109375" customWidth="1"/>
    <col min="6407" max="6407" width="7.5703125" customWidth="1"/>
    <col min="6408" max="6408" width="9.28515625" customWidth="1"/>
    <col min="6409" max="6409" width="6.42578125" customWidth="1"/>
    <col min="6410" max="6410" width="6.5703125" customWidth="1"/>
    <col min="6411" max="6411" width="7.140625" customWidth="1"/>
    <col min="6412" max="6412" width="6.42578125" customWidth="1"/>
    <col min="6413" max="6413" width="8" customWidth="1"/>
    <col min="6414" max="6414" width="9.85546875" customWidth="1"/>
    <col min="6415" max="6415" width="6.7109375" customWidth="1"/>
    <col min="6416" max="6417" width="5.7109375" customWidth="1"/>
    <col min="6418" max="6418" width="9.5703125" customWidth="1"/>
    <col min="6419" max="6419" width="11.7109375" customWidth="1"/>
    <col min="6420" max="6420" width="12.7109375" customWidth="1"/>
    <col min="6421" max="6421" width="8.42578125" customWidth="1"/>
    <col min="6658" max="6658" width="4.7109375" customWidth="1"/>
    <col min="6660" max="6660" width="5.7109375" customWidth="1"/>
    <col min="6661" max="6661" width="8.7109375" customWidth="1"/>
    <col min="6662" max="6662" width="6.7109375" customWidth="1"/>
    <col min="6663" max="6663" width="7.5703125" customWidth="1"/>
    <col min="6664" max="6664" width="9.28515625" customWidth="1"/>
    <col min="6665" max="6665" width="6.42578125" customWidth="1"/>
    <col min="6666" max="6666" width="6.5703125" customWidth="1"/>
    <col min="6667" max="6667" width="7.140625" customWidth="1"/>
    <col min="6668" max="6668" width="6.42578125" customWidth="1"/>
    <col min="6669" max="6669" width="8" customWidth="1"/>
    <col min="6670" max="6670" width="9.85546875" customWidth="1"/>
    <col min="6671" max="6671" width="6.7109375" customWidth="1"/>
    <col min="6672" max="6673" width="5.7109375" customWidth="1"/>
    <col min="6674" max="6674" width="9.5703125" customWidth="1"/>
    <col min="6675" max="6675" width="11.7109375" customWidth="1"/>
    <col min="6676" max="6676" width="12.7109375" customWidth="1"/>
    <col min="6677" max="6677" width="8.42578125" customWidth="1"/>
    <col min="6914" max="6914" width="4.7109375" customWidth="1"/>
    <col min="6916" max="6916" width="5.7109375" customWidth="1"/>
    <col min="6917" max="6917" width="8.7109375" customWidth="1"/>
    <col min="6918" max="6918" width="6.7109375" customWidth="1"/>
    <col min="6919" max="6919" width="7.5703125" customWidth="1"/>
    <col min="6920" max="6920" width="9.28515625" customWidth="1"/>
    <col min="6921" max="6921" width="6.42578125" customWidth="1"/>
    <col min="6922" max="6922" width="6.5703125" customWidth="1"/>
    <col min="6923" max="6923" width="7.140625" customWidth="1"/>
    <col min="6924" max="6924" width="6.42578125" customWidth="1"/>
    <col min="6925" max="6925" width="8" customWidth="1"/>
    <col min="6926" max="6926" width="9.85546875" customWidth="1"/>
    <col min="6927" max="6927" width="6.7109375" customWidth="1"/>
    <col min="6928" max="6929" width="5.7109375" customWidth="1"/>
    <col min="6930" max="6930" width="9.5703125" customWidth="1"/>
    <col min="6931" max="6931" width="11.7109375" customWidth="1"/>
    <col min="6932" max="6932" width="12.7109375" customWidth="1"/>
    <col min="6933" max="6933" width="8.42578125" customWidth="1"/>
    <col min="7170" max="7170" width="4.7109375" customWidth="1"/>
    <col min="7172" max="7172" width="5.7109375" customWidth="1"/>
    <col min="7173" max="7173" width="8.7109375" customWidth="1"/>
    <col min="7174" max="7174" width="6.7109375" customWidth="1"/>
    <col min="7175" max="7175" width="7.5703125" customWidth="1"/>
    <col min="7176" max="7176" width="9.28515625" customWidth="1"/>
    <col min="7177" max="7177" width="6.42578125" customWidth="1"/>
    <col min="7178" max="7178" width="6.5703125" customWidth="1"/>
    <col min="7179" max="7179" width="7.140625" customWidth="1"/>
    <col min="7180" max="7180" width="6.42578125" customWidth="1"/>
    <col min="7181" max="7181" width="8" customWidth="1"/>
    <col min="7182" max="7182" width="9.85546875" customWidth="1"/>
    <col min="7183" max="7183" width="6.7109375" customWidth="1"/>
    <col min="7184" max="7185" width="5.7109375" customWidth="1"/>
    <col min="7186" max="7186" width="9.5703125" customWidth="1"/>
    <col min="7187" max="7187" width="11.7109375" customWidth="1"/>
    <col min="7188" max="7188" width="12.7109375" customWidth="1"/>
    <col min="7189" max="7189" width="8.42578125" customWidth="1"/>
    <col min="7426" max="7426" width="4.7109375" customWidth="1"/>
    <col min="7428" max="7428" width="5.7109375" customWidth="1"/>
    <col min="7429" max="7429" width="8.7109375" customWidth="1"/>
    <col min="7430" max="7430" width="6.7109375" customWidth="1"/>
    <col min="7431" max="7431" width="7.5703125" customWidth="1"/>
    <col min="7432" max="7432" width="9.28515625" customWidth="1"/>
    <col min="7433" max="7433" width="6.42578125" customWidth="1"/>
    <col min="7434" max="7434" width="6.5703125" customWidth="1"/>
    <col min="7435" max="7435" width="7.140625" customWidth="1"/>
    <col min="7436" max="7436" width="6.42578125" customWidth="1"/>
    <col min="7437" max="7437" width="8" customWidth="1"/>
    <col min="7438" max="7438" width="9.85546875" customWidth="1"/>
    <col min="7439" max="7439" width="6.7109375" customWidth="1"/>
    <col min="7440" max="7441" width="5.7109375" customWidth="1"/>
    <col min="7442" max="7442" width="9.5703125" customWidth="1"/>
    <col min="7443" max="7443" width="11.7109375" customWidth="1"/>
    <col min="7444" max="7444" width="12.7109375" customWidth="1"/>
    <col min="7445" max="7445" width="8.42578125" customWidth="1"/>
    <col min="7682" max="7682" width="4.7109375" customWidth="1"/>
    <col min="7684" max="7684" width="5.7109375" customWidth="1"/>
    <col min="7685" max="7685" width="8.7109375" customWidth="1"/>
    <col min="7686" max="7686" width="6.7109375" customWidth="1"/>
    <col min="7687" max="7687" width="7.5703125" customWidth="1"/>
    <col min="7688" max="7688" width="9.28515625" customWidth="1"/>
    <col min="7689" max="7689" width="6.42578125" customWidth="1"/>
    <col min="7690" max="7690" width="6.5703125" customWidth="1"/>
    <col min="7691" max="7691" width="7.140625" customWidth="1"/>
    <col min="7692" max="7692" width="6.42578125" customWidth="1"/>
    <col min="7693" max="7693" width="8" customWidth="1"/>
    <col min="7694" max="7694" width="9.85546875" customWidth="1"/>
    <col min="7695" max="7695" width="6.7109375" customWidth="1"/>
    <col min="7696" max="7697" width="5.7109375" customWidth="1"/>
    <col min="7698" max="7698" width="9.5703125" customWidth="1"/>
    <col min="7699" max="7699" width="11.7109375" customWidth="1"/>
    <col min="7700" max="7700" width="12.7109375" customWidth="1"/>
    <col min="7701" max="7701" width="8.42578125" customWidth="1"/>
    <col min="7938" max="7938" width="4.7109375" customWidth="1"/>
    <col min="7940" max="7940" width="5.7109375" customWidth="1"/>
    <col min="7941" max="7941" width="8.7109375" customWidth="1"/>
    <col min="7942" max="7942" width="6.7109375" customWidth="1"/>
    <col min="7943" max="7943" width="7.5703125" customWidth="1"/>
    <col min="7944" max="7944" width="9.28515625" customWidth="1"/>
    <col min="7945" max="7945" width="6.42578125" customWidth="1"/>
    <col min="7946" max="7946" width="6.5703125" customWidth="1"/>
    <col min="7947" max="7947" width="7.140625" customWidth="1"/>
    <col min="7948" max="7948" width="6.42578125" customWidth="1"/>
    <col min="7949" max="7949" width="8" customWidth="1"/>
    <col min="7950" max="7950" width="9.85546875" customWidth="1"/>
    <col min="7951" max="7951" width="6.7109375" customWidth="1"/>
    <col min="7952" max="7953" width="5.7109375" customWidth="1"/>
    <col min="7954" max="7954" width="9.5703125" customWidth="1"/>
    <col min="7955" max="7955" width="11.7109375" customWidth="1"/>
    <col min="7956" max="7956" width="12.7109375" customWidth="1"/>
    <col min="7957" max="7957" width="8.42578125" customWidth="1"/>
    <col min="8194" max="8194" width="4.7109375" customWidth="1"/>
    <col min="8196" max="8196" width="5.7109375" customWidth="1"/>
    <col min="8197" max="8197" width="8.7109375" customWidth="1"/>
    <col min="8198" max="8198" width="6.7109375" customWidth="1"/>
    <col min="8199" max="8199" width="7.5703125" customWidth="1"/>
    <col min="8200" max="8200" width="9.28515625" customWidth="1"/>
    <col min="8201" max="8201" width="6.42578125" customWidth="1"/>
    <col min="8202" max="8202" width="6.5703125" customWidth="1"/>
    <col min="8203" max="8203" width="7.140625" customWidth="1"/>
    <col min="8204" max="8204" width="6.42578125" customWidth="1"/>
    <col min="8205" max="8205" width="8" customWidth="1"/>
    <col min="8206" max="8206" width="9.85546875" customWidth="1"/>
    <col min="8207" max="8207" width="6.7109375" customWidth="1"/>
    <col min="8208" max="8209" width="5.7109375" customWidth="1"/>
    <col min="8210" max="8210" width="9.5703125" customWidth="1"/>
    <col min="8211" max="8211" width="11.7109375" customWidth="1"/>
    <col min="8212" max="8212" width="12.7109375" customWidth="1"/>
    <col min="8213" max="8213" width="8.42578125" customWidth="1"/>
    <col min="8450" max="8450" width="4.7109375" customWidth="1"/>
    <col min="8452" max="8452" width="5.7109375" customWidth="1"/>
    <col min="8453" max="8453" width="8.7109375" customWidth="1"/>
    <col min="8454" max="8454" width="6.7109375" customWidth="1"/>
    <col min="8455" max="8455" width="7.5703125" customWidth="1"/>
    <col min="8456" max="8456" width="9.28515625" customWidth="1"/>
    <col min="8457" max="8457" width="6.42578125" customWidth="1"/>
    <col min="8458" max="8458" width="6.5703125" customWidth="1"/>
    <col min="8459" max="8459" width="7.140625" customWidth="1"/>
    <col min="8460" max="8460" width="6.42578125" customWidth="1"/>
    <col min="8461" max="8461" width="8" customWidth="1"/>
    <col min="8462" max="8462" width="9.85546875" customWidth="1"/>
    <col min="8463" max="8463" width="6.7109375" customWidth="1"/>
    <col min="8464" max="8465" width="5.7109375" customWidth="1"/>
    <col min="8466" max="8466" width="9.5703125" customWidth="1"/>
    <col min="8467" max="8467" width="11.7109375" customWidth="1"/>
    <col min="8468" max="8468" width="12.7109375" customWidth="1"/>
    <col min="8469" max="8469" width="8.42578125" customWidth="1"/>
    <col min="8706" max="8706" width="4.7109375" customWidth="1"/>
    <col min="8708" max="8708" width="5.7109375" customWidth="1"/>
    <col min="8709" max="8709" width="8.7109375" customWidth="1"/>
    <col min="8710" max="8710" width="6.7109375" customWidth="1"/>
    <col min="8711" max="8711" width="7.5703125" customWidth="1"/>
    <col min="8712" max="8712" width="9.28515625" customWidth="1"/>
    <col min="8713" max="8713" width="6.42578125" customWidth="1"/>
    <col min="8714" max="8714" width="6.5703125" customWidth="1"/>
    <col min="8715" max="8715" width="7.140625" customWidth="1"/>
    <col min="8716" max="8716" width="6.42578125" customWidth="1"/>
    <col min="8717" max="8717" width="8" customWidth="1"/>
    <col min="8718" max="8718" width="9.85546875" customWidth="1"/>
    <col min="8719" max="8719" width="6.7109375" customWidth="1"/>
    <col min="8720" max="8721" width="5.7109375" customWidth="1"/>
    <col min="8722" max="8722" width="9.5703125" customWidth="1"/>
    <col min="8723" max="8723" width="11.7109375" customWidth="1"/>
    <col min="8724" max="8724" width="12.7109375" customWidth="1"/>
    <col min="8725" max="8725" width="8.42578125" customWidth="1"/>
    <col min="8962" max="8962" width="4.7109375" customWidth="1"/>
    <col min="8964" max="8964" width="5.7109375" customWidth="1"/>
    <col min="8965" max="8965" width="8.7109375" customWidth="1"/>
    <col min="8966" max="8966" width="6.7109375" customWidth="1"/>
    <col min="8967" max="8967" width="7.5703125" customWidth="1"/>
    <col min="8968" max="8968" width="9.28515625" customWidth="1"/>
    <col min="8969" max="8969" width="6.42578125" customWidth="1"/>
    <col min="8970" max="8970" width="6.5703125" customWidth="1"/>
    <col min="8971" max="8971" width="7.140625" customWidth="1"/>
    <col min="8972" max="8972" width="6.42578125" customWidth="1"/>
    <col min="8973" max="8973" width="8" customWidth="1"/>
    <col min="8974" max="8974" width="9.85546875" customWidth="1"/>
    <col min="8975" max="8975" width="6.7109375" customWidth="1"/>
    <col min="8976" max="8977" width="5.7109375" customWidth="1"/>
    <col min="8978" max="8978" width="9.5703125" customWidth="1"/>
    <col min="8979" max="8979" width="11.7109375" customWidth="1"/>
    <col min="8980" max="8980" width="12.7109375" customWidth="1"/>
    <col min="8981" max="8981" width="8.42578125" customWidth="1"/>
    <col min="9218" max="9218" width="4.7109375" customWidth="1"/>
    <col min="9220" max="9220" width="5.7109375" customWidth="1"/>
    <col min="9221" max="9221" width="8.7109375" customWidth="1"/>
    <col min="9222" max="9222" width="6.7109375" customWidth="1"/>
    <col min="9223" max="9223" width="7.5703125" customWidth="1"/>
    <col min="9224" max="9224" width="9.28515625" customWidth="1"/>
    <col min="9225" max="9225" width="6.42578125" customWidth="1"/>
    <col min="9226" max="9226" width="6.5703125" customWidth="1"/>
    <col min="9227" max="9227" width="7.140625" customWidth="1"/>
    <col min="9228" max="9228" width="6.42578125" customWidth="1"/>
    <col min="9229" max="9229" width="8" customWidth="1"/>
    <col min="9230" max="9230" width="9.85546875" customWidth="1"/>
    <col min="9231" max="9231" width="6.7109375" customWidth="1"/>
    <col min="9232" max="9233" width="5.7109375" customWidth="1"/>
    <col min="9234" max="9234" width="9.5703125" customWidth="1"/>
    <col min="9235" max="9235" width="11.7109375" customWidth="1"/>
    <col min="9236" max="9236" width="12.7109375" customWidth="1"/>
    <col min="9237" max="9237" width="8.42578125" customWidth="1"/>
    <col min="9474" max="9474" width="4.7109375" customWidth="1"/>
    <col min="9476" max="9476" width="5.7109375" customWidth="1"/>
    <col min="9477" max="9477" width="8.7109375" customWidth="1"/>
    <col min="9478" max="9478" width="6.7109375" customWidth="1"/>
    <col min="9479" max="9479" width="7.5703125" customWidth="1"/>
    <col min="9480" max="9480" width="9.28515625" customWidth="1"/>
    <col min="9481" max="9481" width="6.42578125" customWidth="1"/>
    <col min="9482" max="9482" width="6.5703125" customWidth="1"/>
    <col min="9483" max="9483" width="7.140625" customWidth="1"/>
    <col min="9484" max="9484" width="6.42578125" customWidth="1"/>
    <col min="9485" max="9485" width="8" customWidth="1"/>
    <col min="9486" max="9486" width="9.85546875" customWidth="1"/>
    <col min="9487" max="9487" width="6.7109375" customWidth="1"/>
    <col min="9488" max="9489" width="5.7109375" customWidth="1"/>
    <col min="9490" max="9490" width="9.5703125" customWidth="1"/>
    <col min="9491" max="9491" width="11.7109375" customWidth="1"/>
    <col min="9492" max="9492" width="12.7109375" customWidth="1"/>
    <col min="9493" max="9493" width="8.42578125" customWidth="1"/>
    <col min="9730" max="9730" width="4.7109375" customWidth="1"/>
    <col min="9732" max="9732" width="5.7109375" customWidth="1"/>
    <col min="9733" max="9733" width="8.7109375" customWidth="1"/>
    <col min="9734" max="9734" width="6.7109375" customWidth="1"/>
    <col min="9735" max="9735" width="7.5703125" customWidth="1"/>
    <col min="9736" max="9736" width="9.28515625" customWidth="1"/>
    <col min="9737" max="9737" width="6.42578125" customWidth="1"/>
    <col min="9738" max="9738" width="6.5703125" customWidth="1"/>
    <col min="9739" max="9739" width="7.140625" customWidth="1"/>
    <col min="9740" max="9740" width="6.42578125" customWidth="1"/>
    <col min="9741" max="9741" width="8" customWidth="1"/>
    <col min="9742" max="9742" width="9.85546875" customWidth="1"/>
    <col min="9743" max="9743" width="6.7109375" customWidth="1"/>
    <col min="9744" max="9745" width="5.7109375" customWidth="1"/>
    <col min="9746" max="9746" width="9.5703125" customWidth="1"/>
    <col min="9747" max="9747" width="11.7109375" customWidth="1"/>
    <col min="9748" max="9748" width="12.7109375" customWidth="1"/>
    <col min="9749" max="9749" width="8.42578125" customWidth="1"/>
    <col min="9986" max="9986" width="4.7109375" customWidth="1"/>
    <col min="9988" max="9988" width="5.7109375" customWidth="1"/>
    <col min="9989" max="9989" width="8.7109375" customWidth="1"/>
    <col min="9990" max="9990" width="6.7109375" customWidth="1"/>
    <col min="9991" max="9991" width="7.5703125" customWidth="1"/>
    <col min="9992" max="9992" width="9.28515625" customWidth="1"/>
    <col min="9993" max="9993" width="6.42578125" customWidth="1"/>
    <col min="9994" max="9994" width="6.5703125" customWidth="1"/>
    <col min="9995" max="9995" width="7.140625" customWidth="1"/>
    <col min="9996" max="9996" width="6.42578125" customWidth="1"/>
    <col min="9997" max="9997" width="8" customWidth="1"/>
    <col min="9998" max="9998" width="9.85546875" customWidth="1"/>
    <col min="9999" max="9999" width="6.7109375" customWidth="1"/>
    <col min="10000" max="10001" width="5.7109375" customWidth="1"/>
    <col min="10002" max="10002" width="9.5703125" customWidth="1"/>
    <col min="10003" max="10003" width="11.7109375" customWidth="1"/>
    <col min="10004" max="10004" width="12.7109375" customWidth="1"/>
    <col min="10005" max="10005" width="8.42578125" customWidth="1"/>
    <col min="10242" max="10242" width="4.7109375" customWidth="1"/>
    <col min="10244" max="10244" width="5.7109375" customWidth="1"/>
    <col min="10245" max="10245" width="8.7109375" customWidth="1"/>
    <col min="10246" max="10246" width="6.7109375" customWidth="1"/>
    <col min="10247" max="10247" width="7.5703125" customWidth="1"/>
    <col min="10248" max="10248" width="9.28515625" customWidth="1"/>
    <col min="10249" max="10249" width="6.42578125" customWidth="1"/>
    <col min="10250" max="10250" width="6.5703125" customWidth="1"/>
    <col min="10251" max="10251" width="7.140625" customWidth="1"/>
    <col min="10252" max="10252" width="6.42578125" customWidth="1"/>
    <col min="10253" max="10253" width="8" customWidth="1"/>
    <col min="10254" max="10254" width="9.85546875" customWidth="1"/>
    <col min="10255" max="10255" width="6.7109375" customWidth="1"/>
    <col min="10256" max="10257" width="5.7109375" customWidth="1"/>
    <col min="10258" max="10258" width="9.5703125" customWidth="1"/>
    <col min="10259" max="10259" width="11.7109375" customWidth="1"/>
    <col min="10260" max="10260" width="12.7109375" customWidth="1"/>
    <col min="10261" max="10261" width="8.42578125" customWidth="1"/>
    <col min="10498" max="10498" width="4.7109375" customWidth="1"/>
    <col min="10500" max="10500" width="5.7109375" customWidth="1"/>
    <col min="10501" max="10501" width="8.7109375" customWidth="1"/>
    <col min="10502" max="10502" width="6.7109375" customWidth="1"/>
    <col min="10503" max="10503" width="7.5703125" customWidth="1"/>
    <col min="10504" max="10504" width="9.28515625" customWidth="1"/>
    <col min="10505" max="10505" width="6.42578125" customWidth="1"/>
    <col min="10506" max="10506" width="6.5703125" customWidth="1"/>
    <col min="10507" max="10507" width="7.140625" customWidth="1"/>
    <col min="10508" max="10508" width="6.42578125" customWidth="1"/>
    <col min="10509" max="10509" width="8" customWidth="1"/>
    <col min="10510" max="10510" width="9.85546875" customWidth="1"/>
    <col min="10511" max="10511" width="6.7109375" customWidth="1"/>
    <col min="10512" max="10513" width="5.7109375" customWidth="1"/>
    <col min="10514" max="10514" width="9.5703125" customWidth="1"/>
    <col min="10515" max="10515" width="11.7109375" customWidth="1"/>
    <col min="10516" max="10516" width="12.7109375" customWidth="1"/>
    <col min="10517" max="10517" width="8.42578125" customWidth="1"/>
    <col min="10754" max="10754" width="4.7109375" customWidth="1"/>
    <col min="10756" max="10756" width="5.7109375" customWidth="1"/>
    <col min="10757" max="10757" width="8.7109375" customWidth="1"/>
    <col min="10758" max="10758" width="6.7109375" customWidth="1"/>
    <col min="10759" max="10759" width="7.5703125" customWidth="1"/>
    <col min="10760" max="10760" width="9.28515625" customWidth="1"/>
    <col min="10761" max="10761" width="6.42578125" customWidth="1"/>
    <col min="10762" max="10762" width="6.5703125" customWidth="1"/>
    <col min="10763" max="10763" width="7.140625" customWidth="1"/>
    <col min="10764" max="10764" width="6.42578125" customWidth="1"/>
    <col min="10765" max="10765" width="8" customWidth="1"/>
    <col min="10766" max="10766" width="9.85546875" customWidth="1"/>
    <col min="10767" max="10767" width="6.7109375" customWidth="1"/>
    <col min="10768" max="10769" width="5.7109375" customWidth="1"/>
    <col min="10770" max="10770" width="9.5703125" customWidth="1"/>
    <col min="10771" max="10771" width="11.7109375" customWidth="1"/>
    <col min="10772" max="10772" width="12.7109375" customWidth="1"/>
    <col min="10773" max="10773" width="8.42578125" customWidth="1"/>
    <col min="11010" max="11010" width="4.7109375" customWidth="1"/>
    <col min="11012" max="11012" width="5.7109375" customWidth="1"/>
    <col min="11013" max="11013" width="8.7109375" customWidth="1"/>
    <col min="11014" max="11014" width="6.7109375" customWidth="1"/>
    <col min="11015" max="11015" width="7.5703125" customWidth="1"/>
    <col min="11016" max="11016" width="9.28515625" customWidth="1"/>
    <col min="11017" max="11017" width="6.42578125" customWidth="1"/>
    <col min="11018" max="11018" width="6.5703125" customWidth="1"/>
    <col min="11019" max="11019" width="7.140625" customWidth="1"/>
    <col min="11020" max="11020" width="6.42578125" customWidth="1"/>
    <col min="11021" max="11021" width="8" customWidth="1"/>
    <col min="11022" max="11022" width="9.85546875" customWidth="1"/>
    <col min="11023" max="11023" width="6.7109375" customWidth="1"/>
    <col min="11024" max="11025" width="5.7109375" customWidth="1"/>
    <col min="11026" max="11026" width="9.5703125" customWidth="1"/>
    <col min="11027" max="11027" width="11.7109375" customWidth="1"/>
    <col min="11028" max="11028" width="12.7109375" customWidth="1"/>
    <col min="11029" max="11029" width="8.42578125" customWidth="1"/>
    <col min="11266" max="11266" width="4.7109375" customWidth="1"/>
    <col min="11268" max="11268" width="5.7109375" customWidth="1"/>
    <col min="11269" max="11269" width="8.7109375" customWidth="1"/>
    <col min="11270" max="11270" width="6.7109375" customWidth="1"/>
    <col min="11271" max="11271" width="7.5703125" customWidth="1"/>
    <col min="11272" max="11272" width="9.28515625" customWidth="1"/>
    <col min="11273" max="11273" width="6.42578125" customWidth="1"/>
    <col min="11274" max="11274" width="6.5703125" customWidth="1"/>
    <col min="11275" max="11275" width="7.140625" customWidth="1"/>
    <col min="11276" max="11276" width="6.42578125" customWidth="1"/>
    <col min="11277" max="11277" width="8" customWidth="1"/>
    <col min="11278" max="11278" width="9.85546875" customWidth="1"/>
    <col min="11279" max="11279" width="6.7109375" customWidth="1"/>
    <col min="11280" max="11281" width="5.7109375" customWidth="1"/>
    <col min="11282" max="11282" width="9.5703125" customWidth="1"/>
    <col min="11283" max="11283" width="11.7109375" customWidth="1"/>
    <col min="11284" max="11284" width="12.7109375" customWidth="1"/>
    <col min="11285" max="11285" width="8.42578125" customWidth="1"/>
    <col min="11522" max="11522" width="4.7109375" customWidth="1"/>
    <col min="11524" max="11524" width="5.7109375" customWidth="1"/>
    <col min="11525" max="11525" width="8.7109375" customWidth="1"/>
    <col min="11526" max="11526" width="6.7109375" customWidth="1"/>
    <col min="11527" max="11527" width="7.5703125" customWidth="1"/>
    <col min="11528" max="11528" width="9.28515625" customWidth="1"/>
    <col min="11529" max="11529" width="6.42578125" customWidth="1"/>
    <col min="11530" max="11530" width="6.5703125" customWidth="1"/>
    <col min="11531" max="11531" width="7.140625" customWidth="1"/>
    <col min="11532" max="11532" width="6.42578125" customWidth="1"/>
    <col min="11533" max="11533" width="8" customWidth="1"/>
    <col min="11534" max="11534" width="9.85546875" customWidth="1"/>
    <col min="11535" max="11535" width="6.7109375" customWidth="1"/>
    <col min="11536" max="11537" width="5.7109375" customWidth="1"/>
    <col min="11538" max="11538" width="9.5703125" customWidth="1"/>
    <col min="11539" max="11539" width="11.7109375" customWidth="1"/>
    <col min="11540" max="11540" width="12.7109375" customWidth="1"/>
    <col min="11541" max="11541" width="8.42578125" customWidth="1"/>
    <col min="11778" max="11778" width="4.7109375" customWidth="1"/>
    <col min="11780" max="11780" width="5.7109375" customWidth="1"/>
    <col min="11781" max="11781" width="8.7109375" customWidth="1"/>
    <col min="11782" max="11782" width="6.7109375" customWidth="1"/>
    <col min="11783" max="11783" width="7.5703125" customWidth="1"/>
    <col min="11784" max="11784" width="9.28515625" customWidth="1"/>
    <col min="11785" max="11785" width="6.42578125" customWidth="1"/>
    <col min="11786" max="11786" width="6.5703125" customWidth="1"/>
    <col min="11787" max="11787" width="7.140625" customWidth="1"/>
    <col min="11788" max="11788" width="6.42578125" customWidth="1"/>
    <col min="11789" max="11789" width="8" customWidth="1"/>
    <col min="11790" max="11790" width="9.85546875" customWidth="1"/>
    <col min="11791" max="11791" width="6.7109375" customWidth="1"/>
    <col min="11792" max="11793" width="5.7109375" customWidth="1"/>
    <col min="11794" max="11794" width="9.5703125" customWidth="1"/>
    <col min="11795" max="11795" width="11.7109375" customWidth="1"/>
    <col min="11796" max="11796" width="12.7109375" customWidth="1"/>
    <col min="11797" max="11797" width="8.42578125" customWidth="1"/>
    <col min="12034" max="12034" width="4.7109375" customWidth="1"/>
    <col min="12036" max="12036" width="5.7109375" customWidth="1"/>
    <col min="12037" max="12037" width="8.7109375" customWidth="1"/>
    <col min="12038" max="12038" width="6.7109375" customWidth="1"/>
    <col min="12039" max="12039" width="7.5703125" customWidth="1"/>
    <col min="12040" max="12040" width="9.28515625" customWidth="1"/>
    <col min="12041" max="12041" width="6.42578125" customWidth="1"/>
    <col min="12042" max="12042" width="6.5703125" customWidth="1"/>
    <col min="12043" max="12043" width="7.140625" customWidth="1"/>
    <col min="12044" max="12044" width="6.42578125" customWidth="1"/>
    <col min="12045" max="12045" width="8" customWidth="1"/>
    <col min="12046" max="12046" width="9.85546875" customWidth="1"/>
    <col min="12047" max="12047" width="6.7109375" customWidth="1"/>
    <col min="12048" max="12049" width="5.7109375" customWidth="1"/>
    <col min="12050" max="12050" width="9.5703125" customWidth="1"/>
    <col min="12051" max="12051" width="11.7109375" customWidth="1"/>
    <col min="12052" max="12052" width="12.7109375" customWidth="1"/>
    <col min="12053" max="12053" width="8.42578125" customWidth="1"/>
    <col min="12290" max="12290" width="4.7109375" customWidth="1"/>
    <col min="12292" max="12292" width="5.7109375" customWidth="1"/>
    <col min="12293" max="12293" width="8.7109375" customWidth="1"/>
    <col min="12294" max="12294" width="6.7109375" customWidth="1"/>
    <col min="12295" max="12295" width="7.5703125" customWidth="1"/>
    <col min="12296" max="12296" width="9.28515625" customWidth="1"/>
    <col min="12297" max="12297" width="6.42578125" customWidth="1"/>
    <col min="12298" max="12298" width="6.5703125" customWidth="1"/>
    <col min="12299" max="12299" width="7.140625" customWidth="1"/>
    <col min="12300" max="12300" width="6.42578125" customWidth="1"/>
    <col min="12301" max="12301" width="8" customWidth="1"/>
    <col min="12302" max="12302" width="9.85546875" customWidth="1"/>
    <col min="12303" max="12303" width="6.7109375" customWidth="1"/>
    <col min="12304" max="12305" width="5.7109375" customWidth="1"/>
    <col min="12306" max="12306" width="9.5703125" customWidth="1"/>
    <col min="12307" max="12307" width="11.7109375" customWidth="1"/>
    <col min="12308" max="12308" width="12.7109375" customWidth="1"/>
    <col min="12309" max="12309" width="8.42578125" customWidth="1"/>
    <col min="12546" max="12546" width="4.7109375" customWidth="1"/>
    <col min="12548" max="12548" width="5.7109375" customWidth="1"/>
    <col min="12549" max="12549" width="8.7109375" customWidth="1"/>
    <col min="12550" max="12550" width="6.7109375" customWidth="1"/>
    <col min="12551" max="12551" width="7.5703125" customWidth="1"/>
    <col min="12552" max="12552" width="9.28515625" customWidth="1"/>
    <col min="12553" max="12553" width="6.42578125" customWidth="1"/>
    <col min="12554" max="12554" width="6.5703125" customWidth="1"/>
    <col min="12555" max="12555" width="7.140625" customWidth="1"/>
    <col min="12556" max="12556" width="6.42578125" customWidth="1"/>
    <col min="12557" max="12557" width="8" customWidth="1"/>
    <col min="12558" max="12558" width="9.85546875" customWidth="1"/>
    <col min="12559" max="12559" width="6.7109375" customWidth="1"/>
    <col min="12560" max="12561" width="5.7109375" customWidth="1"/>
    <col min="12562" max="12562" width="9.5703125" customWidth="1"/>
    <col min="12563" max="12563" width="11.7109375" customWidth="1"/>
    <col min="12564" max="12564" width="12.7109375" customWidth="1"/>
    <col min="12565" max="12565" width="8.42578125" customWidth="1"/>
    <col min="12802" max="12802" width="4.7109375" customWidth="1"/>
    <col min="12804" max="12804" width="5.7109375" customWidth="1"/>
    <col min="12805" max="12805" width="8.7109375" customWidth="1"/>
    <col min="12806" max="12806" width="6.7109375" customWidth="1"/>
    <col min="12807" max="12807" width="7.5703125" customWidth="1"/>
    <col min="12808" max="12808" width="9.28515625" customWidth="1"/>
    <col min="12809" max="12809" width="6.42578125" customWidth="1"/>
    <col min="12810" max="12810" width="6.5703125" customWidth="1"/>
    <col min="12811" max="12811" width="7.140625" customWidth="1"/>
    <col min="12812" max="12812" width="6.42578125" customWidth="1"/>
    <col min="12813" max="12813" width="8" customWidth="1"/>
    <col min="12814" max="12814" width="9.85546875" customWidth="1"/>
    <col min="12815" max="12815" width="6.7109375" customWidth="1"/>
    <col min="12816" max="12817" width="5.7109375" customWidth="1"/>
    <col min="12818" max="12818" width="9.5703125" customWidth="1"/>
    <col min="12819" max="12819" width="11.7109375" customWidth="1"/>
    <col min="12820" max="12820" width="12.7109375" customWidth="1"/>
    <col min="12821" max="12821" width="8.42578125" customWidth="1"/>
    <col min="13058" max="13058" width="4.7109375" customWidth="1"/>
    <col min="13060" max="13060" width="5.7109375" customWidth="1"/>
    <col min="13061" max="13061" width="8.7109375" customWidth="1"/>
    <col min="13062" max="13062" width="6.7109375" customWidth="1"/>
    <col min="13063" max="13063" width="7.5703125" customWidth="1"/>
    <col min="13064" max="13064" width="9.28515625" customWidth="1"/>
    <col min="13065" max="13065" width="6.42578125" customWidth="1"/>
    <col min="13066" max="13066" width="6.5703125" customWidth="1"/>
    <col min="13067" max="13067" width="7.140625" customWidth="1"/>
    <col min="13068" max="13068" width="6.42578125" customWidth="1"/>
    <col min="13069" max="13069" width="8" customWidth="1"/>
    <col min="13070" max="13070" width="9.85546875" customWidth="1"/>
    <col min="13071" max="13071" width="6.7109375" customWidth="1"/>
    <col min="13072" max="13073" width="5.7109375" customWidth="1"/>
    <col min="13074" max="13074" width="9.5703125" customWidth="1"/>
    <col min="13075" max="13075" width="11.7109375" customWidth="1"/>
    <col min="13076" max="13076" width="12.7109375" customWidth="1"/>
    <col min="13077" max="13077" width="8.42578125" customWidth="1"/>
    <col min="13314" max="13314" width="4.7109375" customWidth="1"/>
    <col min="13316" max="13316" width="5.7109375" customWidth="1"/>
    <col min="13317" max="13317" width="8.7109375" customWidth="1"/>
    <col min="13318" max="13318" width="6.7109375" customWidth="1"/>
    <col min="13319" max="13319" width="7.5703125" customWidth="1"/>
    <col min="13320" max="13320" width="9.28515625" customWidth="1"/>
    <col min="13321" max="13321" width="6.42578125" customWidth="1"/>
    <col min="13322" max="13322" width="6.5703125" customWidth="1"/>
    <col min="13323" max="13323" width="7.140625" customWidth="1"/>
    <col min="13324" max="13324" width="6.42578125" customWidth="1"/>
    <col min="13325" max="13325" width="8" customWidth="1"/>
    <col min="13326" max="13326" width="9.85546875" customWidth="1"/>
    <col min="13327" max="13327" width="6.7109375" customWidth="1"/>
    <col min="13328" max="13329" width="5.7109375" customWidth="1"/>
    <col min="13330" max="13330" width="9.5703125" customWidth="1"/>
    <col min="13331" max="13331" width="11.7109375" customWidth="1"/>
    <col min="13332" max="13332" width="12.7109375" customWidth="1"/>
    <col min="13333" max="13333" width="8.42578125" customWidth="1"/>
    <col min="13570" max="13570" width="4.7109375" customWidth="1"/>
    <col min="13572" max="13572" width="5.7109375" customWidth="1"/>
    <col min="13573" max="13573" width="8.7109375" customWidth="1"/>
    <col min="13574" max="13574" width="6.7109375" customWidth="1"/>
    <col min="13575" max="13575" width="7.5703125" customWidth="1"/>
    <col min="13576" max="13576" width="9.28515625" customWidth="1"/>
    <col min="13577" max="13577" width="6.42578125" customWidth="1"/>
    <col min="13578" max="13578" width="6.5703125" customWidth="1"/>
    <col min="13579" max="13579" width="7.140625" customWidth="1"/>
    <col min="13580" max="13580" width="6.42578125" customWidth="1"/>
    <col min="13581" max="13581" width="8" customWidth="1"/>
    <col min="13582" max="13582" width="9.85546875" customWidth="1"/>
    <col min="13583" max="13583" width="6.7109375" customWidth="1"/>
    <col min="13584" max="13585" width="5.7109375" customWidth="1"/>
    <col min="13586" max="13586" width="9.5703125" customWidth="1"/>
    <col min="13587" max="13587" width="11.7109375" customWidth="1"/>
    <col min="13588" max="13588" width="12.7109375" customWidth="1"/>
    <col min="13589" max="13589" width="8.42578125" customWidth="1"/>
    <col min="13826" max="13826" width="4.7109375" customWidth="1"/>
    <col min="13828" max="13828" width="5.7109375" customWidth="1"/>
    <col min="13829" max="13829" width="8.7109375" customWidth="1"/>
    <col min="13830" max="13830" width="6.7109375" customWidth="1"/>
    <col min="13831" max="13831" width="7.5703125" customWidth="1"/>
    <col min="13832" max="13832" width="9.28515625" customWidth="1"/>
    <col min="13833" max="13833" width="6.42578125" customWidth="1"/>
    <col min="13834" max="13834" width="6.5703125" customWidth="1"/>
    <col min="13835" max="13835" width="7.140625" customWidth="1"/>
    <col min="13836" max="13836" width="6.42578125" customWidth="1"/>
    <col min="13837" max="13837" width="8" customWidth="1"/>
    <col min="13838" max="13838" width="9.85546875" customWidth="1"/>
    <col min="13839" max="13839" width="6.7109375" customWidth="1"/>
    <col min="13840" max="13841" width="5.7109375" customWidth="1"/>
    <col min="13842" max="13842" width="9.5703125" customWidth="1"/>
    <col min="13843" max="13843" width="11.7109375" customWidth="1"/>
    <col min="13844" max="13844" width="12.7109375" customWidth="1"/>
    <col min="13845" max="13845" width="8.42578125" customWidth="1"/>
    <col min="14082" max="14082" width="4.7109375" customWidth="1"/>
    <col min="14084" max="14084" width="5.7109375" customWidth="1"/>
    <col min="14085" max="14085" width="8.7109375" customWidth="1"/>
    <col min="14086" max="14086" width="6.7109375" customWidth="1"/>
    <col min="14087" max="14087" width="7.5703125" customWidth="1"/>
    <col min="14088" max="14088" width="9.28515625" customWidth="1"/>
    <col min="14089" max="14089" width="6.42578125" customWidth="1"/>
    <col min="14090" max="14090" width="6.5703125" customWidth="1"/>
    <col min="14091" max="14091" width="7.140625" customWidth="1"/>
    <col min="14092" max="14092" width="6.42578125" customWidth="1"/>
    <col min="14093" max="14093" width="8" customWidth="1"/>
    <col min="14094" max="14094" width="9.85546875" customWidth="1"/>
    <col min="14095" max="14095" width="6.7109375" customWidth="1"/>
    <col min="14096" max="14097" width="5.7109375" customWidth="1"/>
    <col min="14098" max="14098" width="9.5703125" customWidth="1"/>
    <col min="14099" max="14099" width="11.7109375" customWidth="1"/>
    <col min="14100" max="14100" width="12.7109375" customWidth="1"/>
    <col min="14101" max="14101" width="8.42578125" customWidth="1"/>
    <col min="14338" max="14338" width="4.7109375" customWidth="1"/>
    <col min="14340" max="14340" width="5.7109375" customWidth="1"/>
    <col min="14341" max="14341" width="8.7109375" customWidth="1"/>
    <col min="14342" max="14342" width="6.7109375" customWidth="1"/>
    <col min="14343" max="14343" width="7.5703125" customWidth="1"/>
    <col min="14344" max="14344" width="9.28515625" customWidth="1"/>
    <col min="14345" max="14345" width="6.42578125" customWidth="1"/>
    <col min="14346" max="14346" width="6.5703125" customWidth="1"/>
    <col min="14347" max="14347" width="7.140625" customWidth="1"/>
    <col min="14348" max="14348" width="6.42578125" customWidth="1"/>
    <col min="14349" max="14349" width="8" customWidth="1"/>
    <col min="14350" max="14350" width="9.85546875" customWidth="1"/>
    <col min="14351" max="14351" width="6.7109375" customWidth="1"/>
    <col min="14352" max="14353" width="5.7109375" customWidth="1"/>
    <col min="14354" max="14354" width="9.5703125" customWidth="1"/>
    <col min="14355" max="14355" width="11.7109375" customWidth="1"/>
    <col min="14356" max="14356" width="12.7109375" customWidth="1"/>
    <col min="14357" max="14357" width="8.42578125" customWidth="1"/>
    <col min="14594" max="14594" width="4.7109375" customWidth="1"/>
    <col min="14596" max="14596" width="5.7109375" customWidth="1"/>
    <col min="14597" max="14597" width="8.7109375" customWidth="1"/>
    <col min="14598" max="14598" width="6.7109375" customWidth="1"/>
    <col min="14599" max="14599" width="7.5703125" customWidth="1"/>
    <col min="14600" max="14600" width="9.28515625" customWidth="1"/>
    <col min="14601" max="14601" width="6.42578125" customWidth="1"/>
    <col min="14602" max="14602" width="6.5703125" customWidth="1"/>
    <col min="14603" max="14603" width="7.140625" customWidth="1"/>
    <col min="14604" max="14604" width="6.42578125" customWidth="1"/>
    <col min="14605" max="14605" width="8" customWidth="1"/>
    <col min="14606" max="14606" width="9.85546875" customWidth="1"/>
    <col min="14607" max="14607" width="6.7109375" customWidth="1"/>
    <col min="14608" max="14609" width="5.7109375" customWidth="1"/>
    <col min="14610" max="14610" width="9.5703125" customWidth="1"/>
    <col min="14611" max="14611" width="11.7109375" customWidth="1"/>
    <col min="14612" max="14612" width="12.7109375" customWidth="1"/>
    <col min="14613" max="14613" width="8.42578125" customWidth="1"/>
    <col min="14850" max="14850" width="4.7109375" customWidth="1"/>
    <col min="14852" max="14852" width="5.7109375" customWidth="1"/>
    <col min="14853" max="14853" width="8.7109375" customWidth="1"/>
    <col min="14854" max="14854" width="6.7109375" customWidth="1"/>
    <col min="14855" max="14855" width="7.5703125" customWidth="1"/>
    <col min="14856" max="14856" width="9.28515625" customWidth="1"/>
    <col min="14857" max="14857" width="6.42578125" customWidth="1"/>
    <col min="14858" max="14858" width="6.5703125" customWidth="1"/>
    <col min="14859" max="14859" width="7.140625" customWidth="1"/>
    <col min="14860" max="14860" width="6.42578125" customWidth="1"/>
    <col min="14861" max="14861" width="8" customWidth="1"/>
    <col min="14862" max="14862" width="9.85546875" customWidth="1"/>
    <col min="14863" max="14863" width="6.7109375" customWidth="1"/>
    <col min="14864" max="14865" width="5.7109375" customWidth="1"/>
    <col min="14866" max="14866" width="9.5703125" customWidth="1"/>
    <col min="14867" max="14867" width="11.7109375" customWidth="1"/>
    <col min="14868" max="14868" width="12.7109375" customWidth="1"/>
    <col min="14869" max="14869" width="8.42578125" customWidth="1"/>
    <col min="15106" max="15106" width="4.7109375" customWidth="1"/>
    <col min="15108" max="15108" width="5.7109375" customWidth="1"/>
    <col min="15109" max="15109" width="8.7109375" customWidth="1"/>
    <col min="15110" max="15110" width="6.7109375" customWidth="1"/>
    <col min="15111" max="15111" width="7.5703125" customWidth="1"/>
    <col min="15112" max="15112" width="9.28515625" customWidth="1"/>
    <col min="15113" max="15113" width="6.42578125" customWidth="1"/>
    <col min="15114" max="15114" width="6.5703125" customWidth="1"/>
    <col min="15115" max="15115" width="7.140625" customWidth="1"/>
    <col min="15116" max="15116" width="6.42578125" customWidth="1"/>
    <col min="15117" max="15117" width="8" customWidth="1"/>
    <col min="15118" max="15118" width="9.85546875" customWidth="1"/>
    <col min="15119" max="15119" width="6.7109375" customWidth="1"/>
    <col min="15120" max="15121" width="5.7109375" customWidth="1"/>
    <col min="15122" max="15122" width="9.5703125" customWidth="1"/>
    <col min="15123" max="15123" width="11.7109375" customWidth="1"/>
    <col min="15124" max="15124" width="12.7109375" customWidth="1"/>
    <col min="15125" max="15125" width="8.42578125" customWidth="1"/>
    <col min="15362" max="15362" width="4.7109375" customWidth="1"/>
    <col min="15364" max="15364" width="5.7109375" customWidth="1"/>
    <col min="15365" max="15365" width="8.7109375" customWidth="1"/>
    <col min="15366" max="15366" width="6.7109375" customWidth="1"/>
    <col min="15367" max="15367" width="7.5703125" customWidth="1"/>
    <col min="15368" max="15368" width="9.28515625" customWidth="1"/>
    <col min="15369" max="15369" width="6.42578125" customWidth="1"/>
    <col min="15370" max="15370" width="6.5703125" customWidth="1"/>
    <col min="15371" max="15371" width="7.140625" customWidth="1"/>
    <col min="15372" max="15372" width="6.42578125" customWidth="1"/>
    <col min="15373" max="15373" width="8" customWidth="1"/>
    <col min="15374" max="15374" width="9.85546875" customWidth="1"/>
    <col min="15375" max="15375" width="6.7109375" customWidth="1"/>
    <col min="15376" max="15377" width="5.7109375" customWidth="1"/>
    <col min="15378" max="15378" width="9.5703125" customWidth="1"/>
    <col min="15379" max="15379" width="11.7109375" customWidth="1"/>
    <col min="15380" max="15380" width="12.7109375" customWidth="1"/>
    <col min="15381" max="15381" width="8.42578125" customWidth="1"/>
    <col min="15618" max="15618" width="4.7109375" customWidth="1"/>
    <col min="15620" max="15620" width="5.7109375" customWidth="1"/>
    <col min="15621" max="15621" width="8.7109375" customWidth="1"/>
    <col min="15622" max="15622" width="6.7109375" customWidth="1"/>
    <col min="15623" max="15623" width="7.5703125" customWidth="1"/>
    <col min="15624" max="15624" width="9.28515625" customWidth="1"/>
    <col min="15625" max="15625" width="6.42578125" customWidth="1"/>
    <col min="15626" max="15626" width="6.5703125" customWidth="1"/>
    <col min="15627" max="15627" width="7.140625" customWidth="1"/>
    <col min="15628" max="15628" width="6.42578125" customWidth="1"/>
    <col min="15629" max="15629" width="8" customWidth="1"/>
    <col min="15630" max="15630" width="9.85546875" customWidth="1"/>
    <col min="15631" max="15631" width="6.7109375" customWidth="1"/>
    <col min="15632" max="15633" width="5.7109375" customWidth="1"/>
    <col min="15634" max="15634" width="9.5703125" customWidth="1"/>
    <col min="15635" max="15635" width="11.7109375" customWidth="1"/>
    <col min="15636" max="15636" width="12.7109375" customWidth="1"/>
    <col min="15637" max="15637" width="8.42578125" customWidth="1"/>
    <col min="15874" max="15874" width="4.7109375" customWidth="1"/>
    <col min="15876" max="15876" width="5.7109375" customWidth="1"/>
    <col min="15877" max="15877" width="8.7109375" customWidth="1"/>
    <col min="15878" max="15878" width="6.7109375" customWidth="1"/>
    <col min="15879" max="15879" width="7.5703125" customWidth="1"/>
    <col min="15880" max="15880" width="9.28515625" customWidth="1"/>
    <col min="15881" max="15881" width="6.42578125" customWidth="1"/>
    <col min="15882" max="15882" width="6.5703125" customWidth="1"/>
    <col min="15883" max="15883" width="7.140625" customWidth="1"/>
    <col min="15884" max="15884" width="6.42578125" customWidth="1"/>
    <col min="15885" max="15885" width="8" customWidth="1"/>
    <col min="15886" max="15886" width="9.85546875" customWidth="1"/>
    <col min="15887" max="15887" width="6.7109375" customWidth="1"/>
    <col min="15888" max="15889" width="5.7109375" customWidth="1"/>
    <col min="15890" max="15890" width="9.5703125" customWidth="1"/>
    <col min="15891" max="15891" width="11.7109375" customWidth="1"/>
    <col min="15892" max="15892" width="12.7109375" customWidth="1"/>
    <col min="15893" max="15893" width="8.42578125" customWidth="1"/>
    <col min="16130" max="16130" width="4.7109375" customWidth="1"/>
    <col min="16132" max="16132" width="5.7109375" customWidth="1"/>
    <col min="16133" max="16133" width="8.7109375" customWidth="1"/>
    <col min="16134" max="16134" width="6.7109375" customWidth="1"/>
    <col min="16135" max="16135" width="7.5703125" customWidth="1"/>
    <col min="16136" max="16136" width="9.28515625" customWidth="1"/>
    <col min="16137" max="16137" width="6.42578125" customWidth="1"/>
    <col min="16138" max="16138" width="6.5703125" customWidth="1"/>
    <col min="16139" max="16139" width="7.140625" customWidth="1"/>
    <col min="16140" max="16140" width="6.42578125" customWidth="1"/>
    <col min="16141" max="16141" width="8" customWidth="1"/>
    <col min="16142" max="16142" width="9.85546875" customWidth="1"/>
    <col min="16143" max="16143" width="6.7109375" customWidth="1"/>
    <col min="16144" max="16145" width="5.7109375" customWidth="1"/>
    <col min="16146" max="16146" width="9.5703125" customWidth="1"/>
    <col min="16147" max="16147" width="11.7109375" customWidth="1"/>
    <col min="16148" max="16148" width="12.7109375" customWidth="1"/>
    <col min="16149" max="16149" width="8.42578125" customWidth="1"/>
  </cols>
  <sheetData>
    <row r="1" spans="1:21" ht="18" thickBot="1">
      <c r="A1" s="595" t="s">
        <v>258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595"/>
      <c r="O1" s="595"/>
      <c r="P1" s="595"/>
      <c r="Q1" s="595"/>
      <c r="R1" s="595"/>
      <c r="S1" s="24"/>
      <c r="T1" s="24"/>
    </row>
    <row r="2" spans="1:21" ht="16.5" hidden="1" thickBot="1">
      <c r="A2" s="23"/>
      <c r="B2" s="24"/>
      <c r="C2" s="24"/>
      <c r="D2" s="24"/>
      <c r="E2" s="24"/>
      <c r="F2" s="24"/>
      <c r="G2" s="25"/>
      <c r="H2" s="23"/>
      <c r="I2" s="23"/>
      <c r="J2" s="23"/>
      <c r="K2" s="23"/>
      <c r="L2" s="23"/>
      <c r="M2" s="23"/>
      <c r="N2" s="23"/>
      <c r="O2" s="24"/>
      <c r="P2" s="24"/>
      <c r="Q2" s="24"/>
      <c r="R2" s="24"/>
      <c r="S2" s="24"/>
      <c r="T2" s="24"/>
    </row>
    <row r="3" spans="1:21" ht="15" customHeight="1">
      <c r="A3" s="586" t="s">
        <v>171</v>
      </c>
      <c r="B3" s="589" t="s">
        <v>165</v>
      </c>
      <c r="C3" s="589" t="s">
        <v>168</v>
      </c>
      <c r="D3" s="592" t="s">
        <v>172</v>
      </c>
      <c r="E3" s="589" t="s">
        <v>173</v>
      </c>
      <c r="F3" s="589" t="s">
        <v>174</v>
      </c>
      <c r="G3" s="592" t="s">
        <v>175</v>
      </c>
      <c r="H3" s="610" t="s">
        <v>176</v>
      </c>
      <c r="I3" s="611"/>
      <c r="J3" s="611"/>
      <c r="K3" s="612"/>
      <c r="L3" s="597" t="s">
        <v>203</v>
      </c>
      <c r="M3" s="598"/>
      <c r="N3" s="583" t="s">
        <v>177</v>
      </c>
      <c r="O3" s="583" t="s">
        <v>178</v>
      </c>
      <c r="P3" s="583" t="s">
        <v>179</v>
      </c>
      <c r="Q3" s="606" t="s">
        <v>180</v>
      </c>
      <c r="R3" s="606" t="s">
        <v>181</v>
      </c>
      <c r="S3" s="606" t="s">
        <v>182</v>
      </c>
      <c r="T3" s="606" t="s">
        <v>183</v>
      </c>
      <c r="U3" s="608" t="s">
        <v>184</v>
      </c>
    </row>
    <row r="4" spans="1:21">
      <c r="A4" s="587"/>
      <c r="B4" s="590"/>
      <c r="C4" s="590"/>
      <c r="D4" s="593"/>
      <c r="E4" s="590"/>
      <c r="F4" s="590"/>
      <c r="G4" s="593"/>
      <c r="H4" s="613"/>
      <c r="I4" s="614"/>
      <c r="J4" s="614"/>
      <c r="K4" s="615"/>
      <c r="L4" s="599"/>
      <c r="M4" s="600"/>
      <c r="N4" s="584"/>
      <c r="O4" s="584"/>
      <c r="P4" s="584"/>
      <c r="Q4" s="607"/>
      <c r="R4" s="607"/>
      <c r="S4" s="607"/>
      <c r="T4" s="607"/>
      <c r="U4" s="609"/>
    </row>
    <row r="5" spans="1:21" ht="26.25" thickBot="1">
      <c r="A5" s="588"/>
      <c r="B5" s="591"/>
      <c r="C5" s="591"/>
      <c r="D5" s="594"/>
      <c r="E5" s="591"/>
      <c r="F5" s="591"/>
      <c r="G5" s="594"/>
      <c r="H5" s="65" t="s">
        <v>185</v>
      </c>
      <c r="I5" s="65" t="s">
        <v>186</v>
      </c>
      <c r="J5" s="65" t="s">
        <v>187</v>
      </c>
      <c r="K5" s="65" t="s">
        <v>188</v>
      </c>
      <c r="L5" s="65" t="s">
        <v>176</v>
      </c>
      <c r="M5" s="57" t="s">
        <v>179</v>
      </c>
      <c r="N5" s="584"/>
      <c r="O5" s="584"/>
      <c r="P5" s="585"/>
      <c r="Q5" s="607"/>
      <c r="R5" s="607"/>
      <c r="S5" s="607"/>
      <c r="T5" s="607"/>
      <c r="U5" s="609"/>
    </row>
    <row r="6" spans="1:21" ht="15.75" thickBot="1">
      <c r="A6" s="54" t="s">
        <v>212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6"/>
      <c r="Q6" s="52"/>
      <c r="R6" s="52"/>
      <c r="S6" s="52"/>
      <c r="T6" s="52"/>
      <c r="U6" s="53"/>
    </row>
    <row r="7" spans="1:21" s="14" customFormat="1">
      <c r="A7" s="46">
        <v>1</v>
      </c>
      <c r="B7" s="47">
        <v>61</v>
      </c>
      <c r="C7" s="48" t="s">
        <v>169</v>
      </c>
      <c r="D7" s="48" t="s">
        <v>189</v>
      </c>
      <c r="E7" s="48" t="s">
        <v>198</v>
      </c>
      <c r="F7" s="48" t="s">
        <v>187</v>
      </c>
      <c r="G7" s="48" t="s">
        <v>195</v>
      </c>
      <c r="H7" s="49" t="s">
        <v>191</v>
      </c>
      <c r="I7" s="49" t="s">
        <v>191</v>
      </c>
      <c r="J7" s="49" t="s">
        <v>191</v>
      </c>
      <c r="K7" s="49" t="s">
        <v>191</v>
      </c>
      <c r="L7" s="49">
        <v>1</v>
      </c>
      <c r="M7" s="49">
        <v>1</v>
      </c>
      <c r="N7" s="49" t="s">
        <v>191</v>
      </c>
      <c r="O7" s="49" t="s">
        <v>191</v>
      </c>
      <c r="P7" s="49" t="s">
        <v>191</v>
      </c>
      <c r="Q7" s="49" t="s">
        <v>191</v>
      </c>
      <c r="R7" s="49" t="s">
        <v>191</v>
      </c>
      <c r="S7" s="49" t="s">
        <v>191</v>
      </c>
      <c r="T7" s="49" t="s">
        <v>191</v>
      </c>
      <c r="U7" s="50" t="s">
        <v>191</v>
      </c>
    </row>
    <row r="8" spans="1:21" s="14" customFormat="1">
      <c r="A8" s="21">
        <v>2</v>
      </c>
      <c r="B8" s="17">
        <v>159</v>
      </c>
      <c r="C8" s="22" t="s">
        <v>131</v>
      </c>
      <c r="D8" s="22" t="s">
        <v>192</v>
      </c>
      <c r="E8" s="48" t="s">
        <v>198</v>
      </c>
      <c r="F8" s="48" t="s">
        <v>187</v>
      </c>
      <c r="G8" s="22" t="s">
        <v>206</v>
      </c>
      <c r="H8" s="15" t="s">
        <v>191</v>
      </c>
      <c r="I8" s="15" t="s">
        <v>191</v>
      </c>
      <c r="J8" s="15" t="s">
        <v>191</v>
      </c>
      <c r="K8" s="15" t="s">
        <v>191</v>
      </c>
      <c r="L8" s="49">
        <v>1</v>
      </c>
      <c r="M8" s="49">
        <v>1</v>
      </c>
      <c r="N8" s="15" t="s">
        <v>191</v>
      </c>
      <c r="O8" s="15" t="s">
        <v>191</v>
      </c>
      <c r="P8" s="15" t="s">
        <v>191</v>
      </c>
      <c r="Q8" s="15" t="s">
        <v>191</v>
      </c>
      <c r="R8" s="15" t="s">
        <v>191</v>
      </c>
      <c r="S8" s="15" t="s">
        <v>191</v>
      </c>
      <c r="T8" s="15" t="s">
        <v>191</v>
      </c>
      <c r="U8" s="26" t="s">
        <v>191</v>
      </c>
    </row>
    <row r="9" spans="1:21" s="14" customFormat="1">
      <c r="A9" s="21">
        <v>3</v>
      </c>
      <c r="B9" s="17">
        <v>159</v>
      </c>
      <c r="C9" s="22" t="s">
        <v>131</v>
      </c>
      <c r="D9" s="22" t="s">
        <v>200</v>
      </c>
      <c r="E9" s="48" t="s">
        <v>198</v>
      </c>
      <c r="F9" s="48" t="s">
        <v>187</v>
      </c>
      <c r="G9" s="22" t="s">
        <v>204</v>
      </c>
      <c r="H9" s="15" t="s">
        <v>191</v>
      </c>
      <c r="I9" s="15" t="s">
        <v>191</v>
      </c>
      <c r="J9" s="15" t="s">
        <v>191</v>
      </c>
      <c r="K9" s="15" t="s">
        <v>191</v>
      </c>
      <c r="L9" s="49">
        <v>1</v>
      </c>
      <c r="M9" s="15" t="s">
        <v>191</v>
      </c>
      <c r="N9" s="15" t="s">
        <v>191</v>
      </c>
      <c r="O9" s="15" t="s">
        <v>191</v>
      </c>
      <c r="P9" s="15" t="s">
        <v>191</v>
      </c>
      <c r="Q9" s="15" t="s">
        <v>191</v>
      </c>
      <c r="R9" s="15" t="s">
        <v>191</v>
      </c>
      <c r="S9" s="15" t="s">
        <v>191</v>
      </c>
      <c r="T9" s="15" t="s">
        <v>191</v>
      </c>
      <c r="U9" s="26" t="s">
        <v>191</v>
      </c>
    </row>
    <row r="10" spans="1:21" s="14" customFormat="1">
      <c r="A10" s="21">
        <v>4</v>
      </c>
      <c r="B10" s="17">
        <v>190</v>
      </c>
      <c r="C10" s="22" t="s">
        <v>131</v>
      </c>
      <c r="D10" s="22" t="s">
        <v>205</v>
      </c>
      <c r="E10" s="48" t="s">
        <v>198</v>
      </c>
      <c r="F10" s="48" t="s">
        <v>187</v>
      </c>
      <c r="G10" s="22" t="s">
        <v>206</v>
      </c>
      <c r="H10" s="15" t="s">
        <v>191</v>
      </c>
      <c r="I10" s="15" t="s">
        <v>191</v>
      </c>
      <c r="J10" s="15" t="s">
        <v>191</v>
      </c>
      <c r="K10" s="15" t="s">
        <v>191</v>
      </c>
      <c r="L10" s="49">
        <v>1</v>
      </c>
      <c r="M10" s="49">
        <v>1</v>
      </c>
      <c r="N10" s="15" t="s">
        <v>191</v>
      </c>
      <c r="O10" s="15" t="s">
        <v>191</v>
      </c>
      <c r="P10" s="15" t="s">
        <v>191</v>
      </c>
      <c r="Q10" s="15" t="s">
        <v>191</v>
      </c>
      <c r="R10" s="15" t="s">
        <v>191</v>
      </c>
      <c r="S10" s="15" t="s">
        <v>191</v>
      </c>
      <c r="T10" s="15" t="s">
        <v>191</v>
      </c>
      <c r="U10" s="26" t="s">
        <v>191</v>
      </c>
    </row>
    <row r="11" spans="1:21" s="14" customFormat="1">
      <c r="A11" s="21">
        <v>5</v>
      </c>
      <c r="B11" s="17">
        <v>372</v>
      </c>
      <c r="C11" s="22" t="s">
        <v>131</v>
      </c>
      <c r="D11" s="22" t="s">
        <v>202</v>
      </c>
      <c r="E11" s="22" t="s">
        <v>190</v>
      </c>
      <c r="F11" s="48" t="s">
        <v>187</v>
      </c>
      <c r="G11" s="22" t="s">
        <v>206</v>
      </c>
      <c r="H11" s="15" t="s">
        <v>191</v>
      </c>
      <c r="I11" s="15" t="s">
        <v>191</v>
      </c>
      <c r="J11" s="15">
        <v>1</v>
      </c>
      <c r="K11" s="15" t="s">
        <v>191</v>
      </c>
      <c r="L11" s="15" t="s">
        <v>191</v>
      </c>
      <c r="M11" s="15" t="s">
        <v>191</v>
      </c>
      <c r="N11" s="15" t="s">
        <v>191</v>
      </c>
      <c r="O11" s="15" t="s">
        <v>191</v>
      </c>
      <c r="P11" s="15">
        <v>1</v>
      </c>
      <c r="Q11" s="15" t="s">
        <v>191</v>
      </c>
      <c r="R11" s="15" t="s">
        <v>191</v>
      </c>
      <c r="S11" s="15" t="s">
        <v>191</v>
      </c>
      <c r="T11" s="15" t="s">
        <v>191</v>
      </c>
      <c r="U11" s="26" t="s">
        <v>191</v>
      </c>
    </row>
    <row r="12" spans="1:21" s="14" customFormat="1">
      <c r="A12" s="21">
        <v>6</v>
      </c>
      <c r="B12" s="17">
        <v>558</v>
      </c>
      <c r="C12" s="22" t="s">
        <v>131</v>
      </c>
      <c r="D12" s="22" t="s">
        <v>189</v>
      </c>
      <c r="E12" s="22" t="s">
        <v>190</v>
      </c>
      <c r="F12" s="48" t="s">
        <v>187</v>
      </c>
      <c r="G12" s="22" t="s">
        <v>195</v>
      </c>
      <c r="H12" s="15" t="s">
        <v>191</v>
      </c>
      <c r="I12" s="15" t="s">
        <v>191</v>
      </c>
      <c r="J12" s="15">
        <v>1</v>
      </c>
      <c r="K12" s="15" t="s">
        <v>191</v>
      </c>
      <c r="L12" s="15" t="s">
        <v>191</v>
      </c>
      <c r="M12" s="15" t="s">
        <v>191</v>
      </c>
      <c r="N12" s="15" t="s">
        <v>191</v>
      </c>
      <c r="O12" s="15" t="s">
        <v>191</v>
      </c>
      <c r="P12" s="15">
        <v>1</v>
      </c>
      <c r="Q12" s="15" t="s">
        <v>191</v>
      </c>
      <c r="R12" s="15" t="s">
        <v>191</v>
      </c>
      <c r="S12" s="15" t="s">
        <v>191</v>
      </c>
      <c r="T12" s="15" t="s">
        <v>191</v>
      </c>
      <c r="U12" s="26" t="s">
        <v>191</v>
      </c>
    </row>
    <row r="13" spans="1:21" s="14" customFormat="1">
      <c r="A13" s="21">
        <v>7</v>
      </c>
      <c r="B13" s="17">
        <v>679</v>
      </c>
      <c r="C13" s="22" t="s">
        <v>131</v>
      </c>
      <c r="D13" s="22" t="s">
        <v>197</v>
      </c>
      <c r="E13" s="22" t="s">
        <v>190</v>
      </c>
      <c r="F13" s="22" t="s">
        <v>188</v>
      </c>
      <c r="G13" s="22" t="s">
        <v>196</v>
      </c>
      <c r="H13" s="15" t="s">
        <v>191</v>
      </c>
      <c r="I13" s="15" t="s">
        <v>191</v>
      </c>
      <c r="J13" s="15" t="s">
        <v>191</v>
      </c>
      <c r="K13" s="15">
        <v>1</v>
      </c>
      <c r="L13" s="15" t="s">
        <v>191</v>
      </c>
      <c r="M13" s="15" t="s">
        <v>191</v>
      </c>
      <c r="N13" s="15" t="s">
        <v>191</v>
      </c>
      <c r="O13" s="15" t="s">
        <v>191</v>
      </c>
      <c r="P13" s="15">
        <v>1</v>
      </c>
      <c r="Q13" s="15" t="s">
        <v>191</v>
      </c>
      <c r="R13" s="15" t="s">
        <v>191</v>
      </c>
      <c r="S13" s="15" t="s">
        <v>191</v>
      </c>
      <c r="T13" s="15" t="s">
        <v>191</v>
      </c>
      <c r="U13" s="26" t="s">
        <v>191</v>
      </c>
    </row>
    <row r="14" spans="1:21" s="14" customFormat="1" ht="15.75" thickBot="1">
      <c r="A14" s="21">
        <v>8</v>
      </c>
      <c r="B14" s="17">
        <v>682</v>
      </c>
      <c r="C14" s="22" t="s">
        <v>169</v>
      </c>
      <c r="D14" s="22" t="s">
        <v>197</v>
      </c>
      <c r="E14" s="22" t="s">
        <v>190</v>
      </c>
      <c r="F14" s="22" t="s">
        <v>188</v>
      </c>
      <c r="G14" s="22" t="s">
        <v>196</v>
      </c>
      <c r="H14" s="15" t="s">
        <v>191</v>
      </c>
      <c r="I14" s="15" t="s">
        <v>191</v>
      </c>
      <c r="J14" s="15" t="s">
        <v>191</v>
      </c>
      <c r="K14" s="15">
        <v>1</v>
      </c>
      <c r="L14" s="15" t="s">
        <v>191</v>
      </c>
      <c r="M14" s="15" t="s">
        <v>191</v>
      </c>
      <c r="N14" s="15" t="s">
        <v>191</v>
      </c>
      <c r="O14" s="15" t="s">
        <v>191</v>
      </c>
      <c r="P14" s="15">
        <v>1</v>
      </c>
      <c r="Q14" s="15" t="s">
        <v>191</v>
      </c>
      <c r="R14" s="15" t="s">
        <v>191</v>
      </c>
      <c r="S14" s="15" t="s">
        <v>191</v>
      </c>
      <c r="T14" s="15" t="s">
        <v>191</v>
      </c>
      <c r="U14" s="26" t="s">
        <v>191</v>
      </c>
    </row>
    <row r="15" spans="1:21" s="14" customFormat="1" ht="15.75" hidden="1" thickBot="1">
      <c r="A15" s="37">
        <v>9</v>
      </c>
      <c r="B15" s="20">
        <v>728</v>
      </c>
      <c r="C15" s="38" t="s">
        <v>131</v>
      </c>
      <c r="D15" s="38" t="s">
        <v>207</v>
      </c>
      <c r="E15" s="61" t="s">
        <v>198</v>
      </c>
      <c r="F15" s="61" t="s">
        <v>187</v>
      </c>
      <c r="G15" s="38" t="s">
        <v>195</v>
      </c>
      <c r="H15" s="18" t="s">
        <v>191</v>
      </c>
      <c r="I15" s="18" t="s">
        <v>191</v>
      </c>
      <c r="J15" s="18"/>
      <c r="K15" s="18"/>
      <c r="L15" s="62"/>
      <c r="M15" s="62"/>
      <c r="N15" s="18"/>
      <c r="O15" s="18"/>
      <c r="P15" s="18"/>
      <c r="Q15" s="15" t="s">
        <v>191</v>
      </c>
      <c r="R15" s="15" t="s">
        <v>191</v>
      </c>
      <c r="S15" s="15" t="s">
        <v>191</v>
      </c>
      <c r="T15" s="15" t="s">
        <v>191</v>
      </c>
      <c r="U15" s="26" t="s">
        <v>191</v>
      </c>
    </row>
    <row r="16" spans="1:21" s="14" customFormat="1" ht="15.75" hidden="1" thickBot="1">
      <c r="A16" s="37">
        <v>10</v>
      </c>
      <c r="B16" s="20">
        <v>742</v>
      </c>
      <c r="C16" s="38" t="s">
        <v>169</v>
      </c>
      <c r="D16" s="38" t="s">
        <v>207</v>
      </c>
      <c r="E16" s="38" t="s">
        <v>190</v>
      </c>
      <c r="F16" s="61" t="s">
        <v>187</v>
      </c>
      <c r="G16" s="38" t="s">
        <v>195</v>
      </c>
      <c r="H16" s="18" t="s">
        <v>191</v>
      </c>
      <c r="I16" s="18" t="s">
        <v>191</v>
      </c>
      <c r="J16" s="18"/>
      <c r="K16" s="18"/>
      <c r="L16" s="18"/>
      <c r="M16" s="18"/>
      <c r="N16" s="18"/>
      <c r="O16" s="18"/>
      <c r="P16" s="18"/>
      <c r="Q16" s="15" t="s">
        <v>191</v>
      </c>
      <c r="R16" s="15" t="s">
        <v>191</v>
      </c>
      <c r="S16" s="15" t="s">
        <v>191</v>
      </c>
      <c r="T16" s="15" t="s">
        <v>191</v>
      </c>
      <c r="U16" s="26" t="s">
        <v>191</v>
      </c>
    </row>
    <row r="17" spans="1:21" s="14" customFormat="1" ht="15.75" hidden="1" thickBot="1">
      <c r="A17" s="37">
        <v>11</v>
      </c>
      <c r="B17" s="20">
        <v>747</v>
      </c>
      <c r="C17" s="38" t="s">
        <v>131</v>
      </c>
      <c r="D17" s="38" t="s">
        <v>207</v>
      </c>
      <c r="E17" s="38" t="s">
        <v>190</v>
      </c>
      <c r="F17" s="61" t="s">
        <v>187</v>
      </c>
      <c r="G17" s="38" t="s">
        <v>195</v>
      </c>
      <c r="H17" s="18" t="s">
        <v>191</v>
      </c>
      <c r="I17" s="18" t="s">
        <v>191</v>
      </c>
      <c r="J17" s="18"/>
      <c r="K17" s="18"/>
      <c r="L17" s="18"/>
      <c r="M17" s="18"/>
      <c r="N17" s="18"/>
      <c r="O17" s="18"/>
      <c r="P17" s="18"/>
      <c r="Q17" s="15" t="s">
        <v>191</v>
      </c>
      <c r="R17" s="15" t="s">
        <v>191</v>
      </c>
      <c r="S17" s="15" t="s">
        <v>191</v>
      </c>
      <c r="T17" s="15" t="s">
        <v>191</v>
      </c>
      <c r="U17" s="26" t="s">
        <v>191</v>
      </c>
    </row>
    <row r="18" spans="1:21" s="14" customFormat="1" ht="15.75" hidden="1" thickBot="1">
      <c r="A18" s="37">
        <v>12</v>
      </c>
      <c r="B18" s="20">
        <v>876</v>
      </c>
      <c r="C18" s="38" t="s">
        <v>131</v>
      </c>
      <c r="D18" s="38" t="s">
        <v>194</v>
      </c>
      <c r="E18" s="38" t="s">
        <v>190</v>
      </c>
      <c r="F18" s="61" t="s">
        <v>187</v>
      </c>
      <c r="G18" s="38" t="s">
        <v>206</v>
      </c>
      <c r="H18" s="18" t="s">
        <v>191</v>
      </c>
      <c r="I18" s="18" t="s">
        <v>191</v>
      </c>
      <c r="J18" s="18"/>
      <c r="K18" s="18"/>
      <c r="L18" s="18"/>
      <c r="M18" s="18"/>
      <c r="N18" s="18"/>
      <c r="O18" s="18"/>
      <c r="P18" s="18"/>
      <c r="Q18" s="15" t="s">
        <v>191</v>
      </c>
      <c r="R18" s="15" t="s">
        <v>191</v>
      </c>
      <c r="S18" s="15" t="s">
        <v>191</v>
      </c>
      <c r="T18" s="15" t="s">
        <v>191</v>
      </c>
      <c r="U18" s="26" t="s">
        <v>191</v>
      </c>
    </row>
    <row r="19" spans="1:21" s="14" customFormat="1" ht="15.75" hidden="1" thickBot="1">
      <c r="A19" s="37">
        <v>13</v>
      </c>
      <c r="B19" s="20">
        <v>1099</v>
      </c>
      <c r="C19" s="38" t="s">
        <v>169</v>
      </c>
      <c r="D19" s="38" t="s">
        <v>208</v>
      </c>
      <c r="E19" s="61" t="s">
        <v>198</v>
      </c>
      <c r="F19" s="61" t="s">
        <v>187</v>
      </c>
      <c r="G19" s="38" t="s">
        <v>206</v>
      </c>
      <c r="H19" s="18" t="s">
        <v>191</v>
      </c>
      <c r="I19" s="18" t="s">
        <v>191</v>
      </c>
      <c r="J19" s="18"/>
      <c r="K19" s="18"/>
      <c r="L19" s="62"/>
      <c r="M19" s="62"/>
      <c r="N19" s="18"/>
      <c r="O19" s="18"/>
      <c r="P19" s="18"/>
      <c r="Q19" s="15" t="s">
        <v>191</v>
      </c>
      <c r="R19" s="15" t="s">
        <v>191</v>
      </c>
      <c r="S19" s="15" t="s">
        <v>191</v>
      </c>
      <c r="T19" s="15" t="s">
        <v>191</v>
      </c>
      <c r="U19" s="26" t="s">
        <v>191</v>
      </c>
    </row>
    <row r="20" spans="1:21" s="14" customFormat="1" ht="15.75" hidden="1" thickBot="1">
      <c r="A20" s="37">
        <v>14</v>
      </c>
      <c r="B20" s="20">
        <v>1099</v>
      </c>
      <c r="C20" s="38" t="s">
        <v>169</v>
      </c>
      <c r="D20" s="38" t="s">
        <v>194</v>
      </c>
      <c r="E20" s="38" t="s">
        <v>190</v>
      </c>
      <c r="F20" s="61" t="s">
        <v>187</v>
      </c>
      <c r="G20" s="38" t="s">
        <v>206</v>
      </c>
      <c r="H20" s="18" t="s">
        <v>191</v>
      </c>
      <c r="I20" s="18" t="s">
        <v>191</v>
      </c>
      <c r="J20" s="18"/>
      <c r="K20" s="18"/>
      <c r="L20" s="18"/>
      <c r="M20" s="18"/>
      <c r="N20" s="18"/>
      <c r="O20" s="18"/>
      <c r="P20" s="18"/>
      <c r="Q20" s="15" t="s">
        <v>191</v>
      </c>
      <c r="R20" s="15" t="s">
        <v>191</v>
      </c>
      <c r="S20" s="15" t="s">
        <v>191</v>
      </c>
      <c r="T20" s="15" t="s">
        <v>191</v>
      </c>
      <c r="U20" s="26" t="s">
        <v>191</v>
      </c>
    </row>
    <row r="21" spans="1:21" s="14" customFormat="1" ht="15.75" hidden="1" thickBot="1">
      <c r="A21" s="37">
        <v>15</v>
      </c>
      <c r="B21" s="20">
        <v>1200</v>
      </c>
      <c r="C21" s="38" t="s">
        <v>169</v>
      </c>
      <c r="D21" s="38" t="s">
        <v>209</v>
      </c>
      <c r="E21" s="61" t="s">
        <v>198</v>
      </c>
      <c r="F21" s="61" t="s">
        <v>187</v>
      </c>
      <c r="G21" s="38" t="s">
        <v>206</v>
      </c>
      <c r="H21" s="18" t="s">
        <v>191</v>
      </c>
      <c r="I21" s="18" t="s">
        <v>191</v>
      </c>
      <c r="J21" s="18"/>
      <c r="K21" s="18"/>
      <c r="L21" s="62"/>
      <c r="M21" s="62"/>
      <c r="N21" s="18"/>
      <c r="O21" s="18"/>
      <c r="P21" s="18"/>
      <c r="Q21" s="15" t="s">
        <v>191</v>
      </c>
      <c r="R21" s="15" t="s">
        <v>191</v>
      </c>
      <c r="S21" s="15" t="s">
        <v>191</v>
      </c>
      <c r="T21" s="15" t="s">
        <v>191</v>
      </c>
      <c r="U21" s="26" t="s">
        <v>191</v>
      </c>
    </row>
    <row r="22" spans="1:21" s="14" customFormat="1" ht="15.75" hidden="1" thickBot="1">
      <c r="A22" s="37">
        <v>16</v>
      </c>
      <c r="B22" s="20">
        <v>1259</v>
      </c>
      <c r="C22" s="38" t="s">
        <v>169</v>
      </c>
      <c r="D22" s="38" t="s">
        <v>207</v>
      </c>
      <c r="E22" s="38" t="s">
        <v>190</v>
      </c>
      <c r="F22" s="61" t="s">
        <v>187</v>
      </c>
      <c r="G22" s="38" t="s">
        <v>195</v>
      </c>
      <c r="H22" s="18" t="s">
        <v>191</v>
      </c>
      <c r="I22" s="18" t="s">
        <v>191</v>
      </c>
      <c r="J22" s="18"/>
      <c r="K22" s="18"/>
      <c r="L22" s="18"/>
      <c r="M22" s="18"/>
      <c r="N22" s="18"/>
      <c r="O22" s="18"/>
      <c r="P22" s="18"/>
      <c r="Q22" s="15" t="s">
        <v>191</v>
      </c>
      <c r="R22" s="15" t="s">
        <v>191</v>
      </c>
      <c r="S22" s="15" t="s">
        <v>191</v>
      </c>
      <c r="T22" s="15" t="s">
        <v>191</v>
      </c>
      <c r="U22" s="26" t="s">
        <v>191</v>
      </c>
    </row>
    <row r="23" spans="1:21" s="14" customFormat="1" ht="15.75" hidden="1" thickBot="1">
      <c r="A23" s="37">
        <v>17</v>
      </c>
      <c r="B23" s="20">
        <v>1264</v>
      </c>
      <c r="C23" s="38" t="s">
        <v>131</v>
      </c>
      <c r="D23" s="38" t="s">
        <v>207</v>
      </c>
      <c r="E23" s="38" t="s">
        <v>190</v>
      </c>
      <c r="F23" s="38" t="s">
        <v>187</v>
      </c>
      <c r="G23" s="38" t="s">
        <v>195</v>
      </c>
      <c r="H23" s="18" t="s">
        <v>191</v>
      </c>
      <c r="I23" s="18" t="s">
        <v>191</v>
      </c>
      <c r="J23" s="18"/>
      <c r="K23" s="18"/>
      <c r="L23" s="18"/>
      <c r="M23" s="18"/>
      <c r="N23" s="18"/>
      <c r="O23" s="18"/>
      <c r="P23" s="38"/>
      <c r="Q23" s="15" t="s">
        <v>191</v>
      </c>
      <c r="R23" s="15" t="s">
        <v>191</v>
      </c>
      <c r="S23" s="15" t="s">
        <v>191</v>
      </c>
      <c r="T23" s="15" t="s">
        <v>191</v>
      </c>
      <c r="U23" s="26" t="s">
        <v>191</v>
      </c>
    </row>
    <row r="24" spans="1:21" s="14" customFormat="1" ht="15.75" hidden="1" thickBot="1">
      <c r="A24" s="37">
        <v>18</v>
      </c>
      <c r="B24" s="20">
        <v>1274</v>
      </c>
      <c r="C24" s="38" t="s">
        <v>169</v>
      </c>
      <c r="D24" s="38" t="s">
        <v>189</v>
      </c>
      <c r="E24" s="61" t="s">
        <v>198</v>
      </c>
      <c r="F24" s="61" t="s">
        <v>187</v>
      </c>
      <c r="G24" s="38" t="s">
        <v>195</v>
      </c>
      <c r="H24" s="18" t="s">
        <v>191</v>
      </c>
      <c r="I24" s="18" t="s">
        <v>191</v>
      </c>
      <c r="J24" s="18"/>
      <c r="K24" s="18"/>
      <c r="L24" s="62"/>
      <c r="M24" s="62"/>
      <c r="N24" s="18"/>
      <c r="O24" s="18"/>
      <c r="P24" s="18"/>
      <c r="Q24" s="15" t="s">
        <v>191</v>
      </c>
      <c r="R24" s="15" t="s">
        <v>191</v>
      </c>
      <c r="S24" s="15" t="s">
        <v>191</v>
      </c>
      <c r="T24" s="15" t="s">
        <v>191</v>
      </c>
      <c r="U24" s="26" t="s">
        <v>191</v>
      </c>
    </row>
    <row r="25" spans="1:21" s="14" customFormat="1" ht="15.75" hidden="1" thickBot="1">
      <c r="A25" s="37">
        <v>19</v>
      </c>
      <c r="B25" s="20">
        <v>1392</v>
      </c>
      <c r="C25" s="38" t="s">
        <v>131</v>
      </c>
      <c r="D25" s="38" t="s">
        <v>194</v>
      </c>
      <c r="E25" s="38" t="s">
        <v>190</v>
      </c>
      <c r="F25" s="38" t="s">
        <v>187</v>
      </c>
      <c r="G25" s="38" t="s">
        <v>206</v>
      </c>
      <c r="H25" s="18" t="s">
        <v>191</v>
      </c>
      <c r="I25" s="18" t="s">
        <v>191</v>
      </c>
      <c r="J25" s="18"/>
      <c r="K25" s="18"/>
      <c r="L25" s="18"/>
      <c r="M25" s="18"/>
      <c r="N25" s="18"/>
      <c r="O25" s="18"/>
      <c r="P25" s="18"/>
      <c r="Q25" s="15" t="s">
        <v>191</v>
      </c>
      <c r="R25" s="15" t="s">
        <v>191</v>
      </c>
      <c r="S25" s="15" t="s">
        <v>191</v>
      </c>
      <c r="T25" s="15" t="s">
        <v>191</v>
      </c>
      <c r="U25" s="26" t="s">
        <v>191</v>
      </c>
    </row>
    <row r="26" spans="1:21" s="14" customFormat="1" ht="15.75" hidden="1" thickBot="1">
      <c r="A26" s="37">
        <v>20</v>
      </c>
      <c r="B26" s="20">
        <v>1800</v>
      </c>
      <c r="C26" s="38" t="s">
        <v>131</v>
      </c>
      <c r="D26" s="38" t="s">
        <v>210</v>
      </c>
      <c r="E26" s="38" t="s">
        <v>190</v>
      </c>
      <c r="F26" s="38" t="s">
        <v>187</v>
      </c>
      <c r="G26" s="38" t="s">
        <v>206</v>
      </c>
      <c r="H26" s="18" t="s">
        <v>191</v>
      </c>
      <c r="I26" s="18" t="s">
        <v>191</v>
      </c>
      <c r="J26" s="18"/>
      <c r="K26" s="18"/>
      <c r="L26" s="18"/>
      <c r="M26" s="18"/>
      <c r="N26" s="18"/>
      <c r="O26" s="18"/>
      <c r="P26" s="38"/>
      <c r="Q26" s="15" t="s">
        <v>191</v>
      </c>
      <c r="R26" s="15" t="s">
        <v>191</v>
      </c>
      <c r="S26" s="15" t="s">
        <v>191</v>
      </c>
      <c r="T26" s="15" t="s">
        <v>191</v>
      </c>
      <c r="U26" s="26" t="s">
        <v>191</v>
      </c>
    </row>
    <row r="27" spans="1:21" s="14" customFormat="1" ht="15.75" hidden="1" thickBot="1">
      <c r="A27" s="37">
        <v>21</v>
      </c>
      <c r="B27" s="20">
        <v>2075</v>
      </c>
      <c r="C27" s="38" t="s">
        <v>169</v>
      </c>
      <c r="D27" s="38" t="s">
        <v>192</v>
      </c>
      <c r="E27" s="61" t="s">
        <v>198</v>
      </c>
      <c r="F27" s="38" t="s">
        <v>187</v>
      </c>
      <c r="G27" s="38" t="s">
        <v>206</v>
      </c>
      <c r="H27" s="18" t="s">
        <v>191</v>
      </c>
      <c r="I27" s="18" t="s">
        <v>191</v>
      </c>
      <c r="J27" s="18"/>
      <c r="K27" s="18"/>
      <c r="L27" s="62"/>
      <c r="M27" s="62"/>
      <c r="N27" s="18"/>
      <c r="O27" s="18"/>
      <c r="P27" s="18"/>
      <c r="Q27" s="15" t="s">
        <v>191</v>
      </c>
      <c r="R27" s="15" t="s">
        <v>191</v>
      </c>
      <c r="S27" s="15" t="s">
        <v>191</v>
      </c>
      <c r="T27" s="15" t="s">
        <v>191</v>
      </c>
      <c r="U27" s="26" t="s">
        <v>191</v>
      </c>
    </row>
    <row r="28" spans="1:21" s="14" customFormat="1" ht="15.75" hidden="1" thickBot="1">
      <c r="A28" s="37">
        <v>22</v>
      </c>
      <c r="B28" s="20">
        <v>2075</v>
      </c>
      <c r="C28" s="38" t="s">
        <v>169</v>
      </c>
      <c r="D28" s="38" t="s">
        <v>200</v>
      </c>
      <c r="E28" s="61" t="s">
        <v>198</v>
      </c>
      <c r="F28" s="38" t="s">
        <v>187</v>
      </c>
      <c r="G28" s="38" t="s">
        <v>204</v>
      </c>
      <c r="H28" s="18" t="s">
        <v>191</v>
      </c>
      <c r="I28" s="18" t="s">
        <v>191</v>
      </c>
      <c r="J28" s="18"/>
      <c r="K28" s="18"/>
      <c r="L28" s="62"/>
      <c r="M28" s="18"/>
      <c r="N28" s="18"/>
      <c r="O28" s="18"/>
      <c r="P28" s="18"/>
      <c r="Q28" s="15" t="s">
        <v>191</v>
      </c>
      <c r="R28" s="15" t="s">
        <v>191</v>
      </c>
      <c r="S28" s="15" t="s">
        <v>191</v>
      </c>
      <c r="T28" s="15" t="s">
        <v>191</v>
      </c>
      <c r="U28" s="26" t="s">
        <v>191</v>
      </c>
    </row>
    <row r="29" spans="1:21" s="14" customFormat="1" ht="15.75" hidden="1" thickBot="1">
      <c r="A29" s="37">
        <v>23</v>
      </c>
      <c r="B29" s="20">
        <v>2213</v>
      </c>
      <c r="C29" s="38" t="s">
        <v>169</v>
      </c>
      <c r="D29" s="38" t="s">
        <v>199</v>
      </c>
      <c r="E29" s="61" t="s">
        <v>198</v>
      </c>
      <c r="F29" s="38" t="s">
        <v>186</v>
      </c>
      <c r="G29" s="38" t="s">
        <v>211</v>
      </c>
      <c r="H29" s="18" t="s">
        <v>191</v>
      </c>
      <c r="I29" s="18" t="s">
        <v>191</v>
      </c>
      <c r="J29" s="18"/>
      <c r="K29" s="18"/>
      <c r="L29" s="62"/>
      <c r="M29" s="62"/>
      <c r="N29" s="18"/>
      <c r="O29" s="18"/>
      <c r="P29" s="18"/>
      <c r="Q29" s="15" t="s">
        <v>191</v>
      </c>
      <c r="R29" s="15" t="s">
        <v>191</v>
      </c>
      <c r="S29" s="15" t="s">
        <v>191</v>
      </c>
      <c r="T29" s="15" t="s">
        <v>191</v>
      </c>
      <c r="U29" s="26" t="s">
        <v>191</v>
      </c>
    </row>
    <row r="30" spans="1:21" s="14" customFormat="1" ht="15.75" hidden="1" thickBot="1">
      <c r="A30" s="54" t="s">
        <v>213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6"/>
      <c r="Q30" s="52"/>
      <c r="R30" s="52"/>
      <c r="S30" s="52"/>
      <c r="T30" s="52"/>
      <c r="U30" s="53"/>
    </row>
    <row r="31" spans="1:21" s="14" customFormat="1" ht="15.75" hidden="1" thickBot="1">
      <c r="A31" s="21">
        <v>1</v>
      </c>
      <c r="B31" s="17">
        <v>12</v>
      </c>
      <c r="C31" s="22" t="s">
        <v>131</v>
      </c>
      <c r="D31" s="22" t="s">
        <v>193</v>
      </c>
      <c r="E31" s="22" t="s">
        <v>190</v>
      </c>
      <c r="F31" s="22" t="s">
        <v>187</v>
      </c>
      <c r="G31" s="22" t="s">
        <v>195</v>
      </c>
      <c r="H31" s="15" t="s">
        <v>191</v>
      </c>
      <c r="I31" s="15" t="s">
        <v>191</v>
      </c>
      <c r="J31" s="15"/>
      <c r="K31" s="15"/>
      <c r="L31" s="15"/>
      <c r="M31" s="15"/>
      <c r="N31" s="15"/>
      <c r="O31" s="15"/>
      <c r="P31" s="22"/>
      <c r="Q31" s="15" t="s">
        <v>191</v>
      </c>
      <c r="R31" s="15" t="s">
        <v>191</v>
      </c>
      <c r="S31" s="15" t="s">
        <v>191</v>
      </c>
      <c r="T31" s="15" t="s">
        <v>191</v>
      </c>
      <c r="U31" s="26" t="s">
        <v>191</v>
      </c>
    </row>
    <row r="32" spans="1:21" s="14" customFormat="1" ht="15.75" hidden="1" thickBot="1">
      <c r="A32" s="21">
        <v>2</v>
      </c>
      <c r="B32" s="17">
        <v>12</v>
      </c>
      <c r="C32" s="22" t="s">
        <v>131</v>
      </c>
      <c r="D32" s="22" t="s">
        <v>192</v>
      </c>
      <c r="E32" s="22" t="s">
        <v>190</v>
      </c>
      <c r="F32" s="22" t="s">
        <v>187</v>
      </c>
      <c r="G32" s="22" t="s">
        <v>206</v>
      </c>
      <c r="H32" s="15" t="s">
        <v>191</v>
      </c>
      <c r="I32" s="15" t="s">
        <v>191</v>
      </c>
      <c r="J32" s="15"/>
      <c r="K32" s="15"/>
      <c r="L32" s="15"/>
      <c r="M32" s="15"/>
      <c r="N32" s="15"/>
      <c r="O32" s="15"/>
      <c r="P32" s="15"/>
      <c r="Q32" s="15" t="s">
        <v>191</v>
      </c>
      <c r="R32" s="15" t="s">
        <v>191</v>
      </c>
      <c r="S32" s="15" t="s">
        <v>191</v>
      </c>
      <c r="T32" s="15" t="s">
        <v>191</v>
      </c>
      <c r="U32" s="26" t="s">
        <v>191</v>
      </c>
    </row>
    <row r="33" spans="1:21" s="14" customFormat="1" ht="15.75" hidden="1" thickBot="1">
      <c r="A33" s="21">
        <v>3</v>
      </c>
      <c r="B33" s="17">
        <v>26</v>
      </c>
      <c r="C33" s="22" t="s">
        <v>169</v>
      </c>
      <c r="D33" s="22" t="s">
        <v>201</v>
      </c>
      <c r="E33" s="48" t="s">
        <v>198</v>
      </c>
      <c r="F33" s="22" t="s">
        <v>187</v>
      </c>
      <c r="G33" s="22" t="s">
        <v>214</v>
      </c>
      <c r="H33" s="15" t="s">
        <v>191</v>
      </c>
      <c r="I33" s="15" t="s">
        <v>191</v>
      </c>
      <c r="J33" s="15"/>
      <c r="K33" s="15"/>
      <c r="L33" s="49"/>
      <c r="M33" s="49"/>
      <c r="N33" s="15"/>
      <c r="O33" s="15"/>
      <c r="P33" s="15"/>
      <c r="Q33" s="15" t="s">
        <v>191</v>
      </c>
      <c r="R33" s="15" t="s">
        <v>191</v>
      </c>
      <c r="S33" s="15" t="s">
        <v>191</v>
      </c>
      <c r="T33" s="15" t="s">
        <v>191</v>
      </c>
      <c r="U33" s="26" t="s">
        <v>191</v>
      </c>
    </row>
    <row r="34" spans="1:21" s="14" customFormat="1" ht="15.75" hidden="1" thickBot="1">
      <c r="A34" s="21">
        <v>4</v>
      </c>
      <c r="B34" s="17">
        <v>48</v>
      </c>
      <c r="C34" s="22" t="s">
        <v>169</v>
      </c>
      <c r="D34" s="22" t="s">
        <v>215</v>
      </c>
      <c r="E34" s="48" t="s">
        <v>198</v>
      </c>
      <c r="F34" s="22" t="s">
        <v>187</v>
      </c>
      <c r="G34" s="22" t="s">
        <v>196</v>
      </c>
      <c r="H34" s="15" t="s">
        <v>191</v>
      </c>
      <c r="I34" s="15" t="s">
        <v>191</v>
      </c>
      <c r="J34" s="15"/>
      <c r="K34" s="15"/>
      <c r="L34" s="49"/>
      <c r="M34" s="49"/>
      <c r="N34" s="15"/>
      <c r="O34" s="15"/>
      <c r="P34" s="15"/>
      <c r="Q34" s="15" t="s">
        <v>191</v>
      </c>
      <c r="R34" s="15" t="s">
        <v>191</v>
      </c>
      <c r="S34" s="15" t="s">
        <v>191</v>
      </c>
      <c r="T34" s="15" t="s">
        <v>191</v>
      </c>
      <c r="U34" s="26" t="s">
        <v>191</v>
      </c>
    </row>
    <row r="35" spans="1:21" s="14" customFormat="1" ht="15.75" hidden="1" thickBot="1">
      <c r="A35" s="21"/>
      <c r="B35" s="20"/>
      <c r="C35" s="38"/>
      <c r="D35" s="38"/>
      <c r="E35" s="38"/>
      <c r="F35" s="38"/>
      <c r="G35" s="3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39"/>
    </row>
    <row r="36" spans="1:21" s="14" customFormat="1" ht="15.75" hidden="1" thickBot="1">
      <c r="A36" s="21"/>
      <c r="B36" s="20"/>
      <c r="C36" s="38"/>
      <c r="D36" s="38"/>
      <c r="E36" s="38"/>
      <c r="F36" s="38"/>
      <c r="G36" s="3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39"/>
    </row>
    <row r="37" spans="1:21" s="14" customFormat="1" ht="15.75" hidden="1" thickBot="1">
      <c r="A37" s="21"/>
      <c r="B37" s="20"/>
      <c r="C37" s="38"/>
      <c r="D37" s="38"/>
      <c r="E37" s="38"/>
      <c r="F37" s="38"/>
      <c r="G37" s="3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39"/>
    </row>
    <row r="38" spans="1:21" s="14" customFormat="1" ht="15.75" hidden="1" thickBot="1">
      <c r="A38" s="21"/>
      <c r="B38" s="20"/>
      <c r="C38" s="38"/>
      <c r="D38" s="38"/>
      <c r="E38" s="38"/>
      <c r="F38" s="38"/>
      <c r="G38" s="3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39"/>
    </row>
    <row r="39" spans="1:21" s="14" customFormat="1" ht="15.75" hidden="1" thickBot="1">
      <c r="A39" s="21"/>
      <c r="B39" s="20"/>
      <c r="C39" s="38"/>
      <c r="D39" s="38"/>
      <c r="E39" s="38"/>
      <c r="F39" s="38"/>
      <c r="G39" s="3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39"/>
    </row>
    <row r="40" spans="1:21" s="14" customFormat="1" ht="15.75" hidden="1" thickBot="1">
      <c r="A40" s="37"/>
      <c r="B40" s="20"/>
      <c r="C40" s="38"/>
      <c r="D40" s="38"/>
      <c r="E40" s="38"/>
      <c r="F40" s="38"/>
      <c r="G40" s="3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39"/>
    </row>
    <row r="41" spans="1:21" s="14" customFormat="1" ht="15.75" hidden="1" thickBot="1">
      <c r="A41" s="37"/>
      <c r="B41" s="20"/>
      <c r="C41" s="38"/>
      <c r="D41" s="38"/>
      <c r="E41" s="38"/>
      <c r="F41" s="38"/>
      <c r="G41" s="3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39"/>
    </row>
    <row r="42" spans="1:21" s="14" customFormat="1" ht="15.75" hidden="1" thickBot="1">
      <c r="A42" s="37"/>
      <c r="B42" s="20"/>
      <c r="C42" s="38"/>
      <c r="D42" s="38"/>
      <c r="E42" s="38"/>
      <c r="F42" s="38"/>
      <c r="G42" s="3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39"/>
    </row>
    <row r="43" spans="1:21" s="14" customFormat="1" ht="15.75" hidden="1" thickBot="1">
      <c r="A43" s="37"/>
      <c r="B43" s="20"/>
      <c r="C43" s="38"/>
      <c r="D43" s="38"/>
      <c r="E43" s="38"/>
      <c r="F43" s="38"/>
      <c r="G43" s="3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39"/>
    </row>
    <row r="44" spans="1:21" s="16" customFormat="1" ht="15.75" hidden="1" thickBot="1">
      <c r="A44" s="37"/>
      <c r="B44" s="20"/>
      <c r="C44" s="38"/>
      <c r="D44" s="38"/>
      <c r="E44" s="38"/>
      <c r="F44" s="38"/>
      <c r="G44" s="3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39"/>
    </row>
    <row r="45" spans="1:21" s="14" customFormat="1" ht="15.75" hidden="1" thickBot="1">
      <c r="A45" s="37"/>
      <c r="B45" s="20"/>
      <c r="C45" s="38"/>
      <c r="D45" s="38"/>
      <c r="E45" s="38"/>
      <c r="F45" s="38"/>
      <c r="G45" s="3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39"/>
    </row>
    <row r="46" spans="1:21" s="14" customFormat="1" ht="15.75" hidden="1" thickBot="1">
      <c r="A46" s="37"/>
      <c r="B46" s="20"/>
      <c r="C46" s="38"/>
      <c r="D46" s="38"/>
      <c r="E46" s="38"/>
      <c r="F46" s="38"/>
      <c r="G46" s="3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39"/>
    </row>
    <row r="47" spans="1:21" s="14" customFormat="1" ht="15.75" hidden="1" thickBot="1">
      <c r="A47" s="37"/>
      <c r="B47" s="20"/>
      <c r="C47" s="38"/>
      <c r="D47" s="38"/>
      <c r="E47" s="38"/>
      <c r="F47" s="38"/>
      <c r="G47" s="3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39"/>
    </row>
    <row r="48" spans="1:21" s="14" customFormat="1" ht="15.75" hidden="1" thickBot="1">
      <c r="A48" s="37"/>
      <c r="B48" s="20"/>
      <c r="C48" s="38"/>
      <c r="D48" s="38"/>
      <c r="E48" s="38"/>
      <c r="F48" s="38"/>
      <c r="G48" s="3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39"/>
    </row>
    <row r="49" spans="1:21" s="14" customFormat="1" ht="15.75" hidden="1" thickBot="1">
      <c r="A49" s="37"/>
      <c r="B49" s="20"/>
      <c r="C49" s="38"/>
      <c r="D49" s="38"/>
      <c r="E49" s="38"/>
      <c r="F49" s="38"/>
      <c r="G49" s="3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39"/>
    </row>
    <row r="50" spans="1:21" s="14" customFormat="1" ht="15.75" hidden="1" thickBot="1">
      <c r="A50" s="37"/>
      <c r="B50" s="20"/>
      <c r="C50" s="38"/>
      <c r="D50" s="38"/>
      <c r="E50" s="38"/>
      <c r="F50" s="38"/>
      <c r="G50" s="3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39"/>
    </row>
    <row r="51" spans="1:21" s="14" customFormat="1" ht="15.75" hidden="1" thickBot="1">
      <c r="A51" s="37"/>
      <c r="B51" s="20"/>
      <c r="C51" s="38"/>
      <c r="D51" s="38"/>
      <c r="E51" s="38"/>
      <c r="F51" s="38"/>
      <c r="G51" s="3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39"/>
    </row>
    <row r="52" spans="1:21" s="14" customFormat="1" ht="15.75" hidden="1" thickBot="1">
      <c r="A52" s="37"/>
      <c r="B52" s="20"/>
      <c r="C52" s="38"/>
      <c r="D52" s="38"/>
      <c r="E52" s="38"/>
      <c r="F52" s="38"/>
      <c r="G52" s="3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39"/>
    </row>
    <row r="53" spans="1:21" s="14" customFormat="1" ht="15.75" hidden="1" thickBot="1">
      <c r="A53" s="37"/>
      <c r="B53" s="20"/>
      <c r="C53" s="38"/>
      <c r="D53" s="38"/>
      <c r="E53" s="38"/>
      <c r="F53" s="38"/>
      <c r="G53" s="3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39"/>
    </row>
    <row r="54" spans="1:21" s="14" customFormat="1" ht="15.75" hidden="1" thickBot="1">
      <c r="A54" s="37"/>
      <c r="B54" s="20"/>
      <c r="C54" s="38"/>
      <c r="D54" s="38"/>
      <c r="E54" s="38"/>
      <c r="F54" s="38"/>
      <c r="G54" s="38"/>
      <c r="H54" s="18"/>
      <c r="I54" s="18"/>
      <c r="J54" s="18"/>
      <c r="K54" s="18"/>
      <c r="L54" s="18"/>
      <c r="M54" s="18"/>
      <c r="N54" s="18"/>
      <c r="O54" s="18"/>
      <c r="P54" s="38"/>
      <c r="Q54" s="18"/>
      <c r="R54" s="18"/>
      <c r="S54" s="18"/>
      <c r="T54" s="18"/>
      <c r="U54" s="39"/>
    </row>
    <row r="55" spans="1:21" s="14" customFormat="1" ht="15.75" hidden="1" thickBot="1">
      <c r="A55" s="37"/>
      <c r="B55" s="20"/>
      <c r="C55" s="38"/>
      <c r="D55" s="38"/>
      <c r="E55" s="38"/>
      <c r="F55" s="38"/>
      <c r="G55" s="3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39"/>
    </row>
    <row r="56" spans="1:21" s="14" customFormat="1" ht="15.75" hidden="1" thickBot="1">
      <c r="A56" s="37"/>
      <c r="B56" s="20"/>
      <c r="C56" s="38"/>
      <c r="D56" s="38"/>
      <c r="E56" s="38"/>
      <c r="F56" s="38"/>
      <c r="G56" s="3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39"/>
    </row>
    <row r="57" spans="1:21" s="14" customFormat="1" ht="15.75" hidden="1" thickBot="1">
      <c r="A57" s="37"/>
      <c r="B57" s="20"/>
      <c r="C57" s="38"/>
      <c r="D57" s="38"/>
      <c r="E57" s="38"/>
      <c r="F57" s="38"/>
      <c r="G57" s="3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39"/>
    </row>
    <row r="58" spans="1:21" s="14" customFormat="1" ht="15.75" hidden="1" thickBot="1">
      <c r="A58" s="37"/>
      <c r="B58" s="20"/>
      <c r="C58" s="38"/>
      <c r="D58" s="38"/>
      <c r="E58" s="38"/>
      <c r="F58" s="38"/>
      <c r="G58" s="3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39"/>
    </row>
    <row r="59" spans="1:21" s="14" customFormat="1" ht="15.75" hidden="1" thickBot="1">
      <c r="A59" s="37"/>
      <c r="B59" s="20"/>
      <c r="C59" s="38"/>
      <c r="D59" s="38"/>
      <c r="E59" s="38"/>
      <c r="F59" s="38"/>
      <c r="G59" s="3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39"/>
    </row>
    <row r="60" spans="1:21" s="14" customFormat="1" ht="15.75" hidden="1" thickBot="1">
      <c r="A60" s="37"/>
      <c r="B60" s="20"/>
      <c r="C60" s="38"/>
      <c r="D60" s="38"/>
      <c r="E60" s="38"/>
      <c r="F60" s="38"/>
      <c r="G60" s="3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39"/>
    </row>
    <row r="61" spans="1:21" s="14" customFormat="1" ht="15.75" hidden="1" thickBot="1">
      <c r="A61" s="37"/>
      <c r="B61" s="20"/>
      <c r="C61" s="38"/>
      <c r="D61" s="38"/>
      <c r="E61" s="38"/>
      <c r="F61" s="38"/>
      <c r="G61" s="3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39"/>
    </row>
    <row r="62" spans="1:21" s="14" customFormat="1" ht="15.75" hidden="1" thickBot="1">
      <c r="A62" s="37"/>
      <c r="B62" s="20"/>
      <c r="C62" s="38"/>
      <c r="D62" s="38"/>
      <c r="E62" s="38"/>
      <c r="F62" s="38"/>
      <c r="G62" s="3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39"/>
    </row>
    <row r="63" spans="1:21" s="14" customFormat="1" ht="15.75" hidden="1" thickBot="1">
      <c r="A63" s="37"/>
      <c r="B63" s="20"/>
      <c r="C63" s="38"/>
      <c r="D63" s="38"/>
      <c r="E63" s="38"/>
      <c r="F63" s="38"/>
      <c r="G63" s="3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39"/>
    </row>
    <row r="64" spans="1:21" s="14" customFormat="1" ht="15.75" hidden="1" thickBot="1">
      <c r="A64" s="37"/>
      <c r="B64" s="20"/>
      <c r="C64" s="38"/>
      <c r="D64" s="38"/>
      <c r="E64" s="38"/>
      <c r="F64" s="38"/>
      <c r="G64" s="3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39"/>
    </row>
    <row r="65" spans="1:21" s="14" customFormat="1" ht="15.75" hidden="1" thickBot="1">
      <c r="A65" s="37"/>
      <c r="B65" s="20"/>
      <c r="C65" s="38"/>
      <c r="D65" s="38"/>
      <c r="E65" s="38"/>
      <c r="F65" s="38"/>
      <c r="G65" s="3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39"/>
    </row>
    <row r="66" spans="1:21" s="14" customFormat="1" ht="15.75" hidden="1" thickBot="1">
      <c r="A66" s="37"/>
      <c r="B66" s="20"/>
      <c r="C66" s="38"/>
      <c r="D66" s="38"/>
      <c r="E66" s="38"/>
      <c r="F66" s="38"/>
      <c r="G66" s="3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39"/>
    </row>
    <row r="67" spans="1:21" s="14" customFormat="1" ht="15.75" hidden="1" thickBot="1">
      <c r="A67" s="37"/>
      <c r="B67" s="20"/>
      <c r="C67" s="38"/>
      <c r="D67" s="38"/>
      <c r="E67" s="38"/>
      <c r="F67" s="38"/>
      <c r="G67" s="3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39"/>
    </row>
    <row r="68" spans="1:21" s="14" customFormat="1" ht="15.75" hidden="1" thickBot="1">
      <c r="A68" s="37"/>
      <c r="B68" s="20"/>
      <c r="C68" s="38"/>
      <c r="D68" s="38"/>
      <c r="E68" s="38"/>
      <c r="F68" s="38"/>
      <c r="G68" s="3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39"/>
    </row>
    <row r="69" spans="1:21" s="14" customFormat="1" ht="15.75" hidden="1" thickBot="1">
      <c r="A69" s="37"/>
      <c r="B69" s="20"/>
      <c r="C69" s="38"/>
      <c r="D69" s="38"/>
      <c r="E69" s="38"/>
      <c r="F69" s="38"/>
      <c r="G69" s="3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39"/>
    </row>
    <row r="70" spans="1:21" s="14" customFormat="1" ht="15.75" hidden="1" thickBot="1">
      <c r="A70" s="37"/>
      <c r="B70" s="20"/>
      <c r="C70" s="38"/>
      <c r="D70" s="38"/>
      <c r="E70" s="38"/>
      <c r="F70" s="38"/>
      <c r="G70" s="3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39"/>
    </row>
    <row r="71" spans="1:21" s="14" customFormat="1" ht="15.75" hidden="1" thickBot="1">
      <c r="A71" s="37"/>
      <c r="B71" s="20"/>
      <c r="C71" s="38"/>
      <c r="D71" s="38"/>
      <c r="E71" s="38"/>
      <c r="F71" s="38"/>
      <c r="G71" s="3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39"/>
    </row>
    <row r="72" spans="1:21" s="14" customFormat="1" ht="15.75" hidden="1" thickBot="1">
      <c r="A72" s="37"/>
      <c r="B72" s="20"/>
      <c r="C72" s="38"/>
      <c r="D72" s="38"/>
      <c r="E72" s="38"/>
      <c r="F72" s="38"/>
      <c r="G72" s="3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39"/>
    </row>
    <row r="73" spans="1:21" s="14" customFormat="1" ht="15.75" hidden="1" thickBot="1">
      <c r="A73" s="37"/>
      <c r="B73" s="20"/>
      <c r="C73" s="38"/>
      <c r="D73" s="38"/>
      <c r="E73" s="38"/>
      <c r="F73" s="38"/>
      <c r="G73" s="3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39"/>
    </row>
    <row r="74" spans="1:21" s="14" customFormat="1" ht="15.75" hidden="1" thickBot="1">
      <c r="A74" s="37"/>
      <c r="B74" s="20"/>
      <c r="C74" s="38"/>
      <c r="D74" s="38"/>
      <c r="E74" s="38"/>
      <c r="F74" s="38"/>
      <c r="G74" s="3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39"/>
    </row>
    <row r="75" spans="1:21" s="14" customFormat="1" ht="15.75" hidden="1" thickBot="1">
      <c r="A75" s="37"/>
      <c r="B75" s="20"/>
      <c r="C75" s="38"/>
      <c r="D75" s="38"/>
      <c r="E75" s="38"/>
      <c r="F75" s="38"/>
      <c r="G75" s="3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39"/>
    </row>
    <row r="76" spans="1:21" s="14" customFormat="1" ht="15.75" hidden="1" thickBot="1">
      <c r="A76" s="37"/>
      <c r="B76" s="20"/>
      <c r="C76" s="38"/>
      <c r="D76" s="38"/>
      <c r="E76" s="38"/>
      <c r="F76" s="38"/>
      <c r="G76" s="3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39"/>
    </row>
    <row r="77" spans="1:21" s="14" customFormat="1" ht="15.75" hidden="1" thickBot="1">
      <c r="A77" s="37"/>
      <c r="B77" s="20"/>
      <c r="C77" s="38"/>
      <c r="D77" s="38"/>
      <c r="E77" s="38"/>
      <c r="F77" s="38"/>
      <c r="G77" s="3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39"/>
    </row>
    <row r="78" spans="1:21" s="14" customFormat="1" ht="15.75" hidden="1" thickBot="1">
      <c r="A78" s="37"/>
      <c r="B78" s="20"/>
      <c r="C78" s="38"/>
      <c r="D78" s="38"/>
      <c r="E78" s="38"/>
      <c r="F78" s="38"/>
      <c r="G78" s="3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39"/>
    </row>
    <row r="79" spans="1:21" s="14" customFormat="1" ht="15.75" hidden="1" thickBot="1">
      <c r="A79" s="37"/>
      <c r="B79" s="20"/>
      <c r="C79" s="38"/>
      <c r="D79" s="38"/>
      <c r="E79" s="38"/>
      <c r="F79" s="38"/>
      <c r="G79" s="3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39"/>
    </row>
    <row r="80" spans="1:21" s="14" customFormat="1" ht="15.75" hidden="1" thickBot="1">
      <c r="A80" s="37"/>
      <c r="B80" s="20"/>
      <c r="C80" s="38"/>
      <c r="D80" s="38"/>
      <c r="E80" s="38"/>
      <c r="F80" s="38"/>
      <c r="G80" s="3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39"/>
    </row>
    <row r="81" spans="1:21" s="14" customFormat="1" ht="15.75" hidden="1" thickBot="1">
      <c r="A81" s="37"/>
      <c r="B81" s="20"/>
      <c r="C81" s="38"/>
      <c r="D81" s="38"/>
      <c r="E81" s="38"/>
      <c r="F81" s="38"/>
      <c r="G81" s="3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39"/>
    </row>
    <row r="82" spans="1:21" s="14" customFormat="1" ht="15.75" hidden="1" thickBot="1">
      <c r="A82" s="37"/>
      <c r="B82" s="20"/>
      <c r="C82" s="38"/>
      <c r="D82" s="38"/>
      <c r="E82" s="38"/>
      <c r="F82" s="38"/>
      <c r="G82" s="3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39"/>
    </row>
    <row r="83" spans="1:21" s="16" customFormat="1" ht="15.75" hidden="1" thickBot="1">
      <c r="A83" s="37"/>
      <c r="B83" s="20"/>
      <c r="C83" s="38"/>
      <c r="D83" s="38"/>
      <c r="E83" s="38"/>
      <c r="F83" s="38"/>
      <c r="G83" s="3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39"/>
    </row>
    <row r="84" spans="1:21" s="16" customFormat="1" ht="15.75" hidden="1" thickBot="1">
      <c r="A84" s="37"/>
      <c r="B84" s="20"/>
      <c r="C84" s="38"/>
      <c r="D84" s="38"/>
      <c r="E84" s="38"/>
      <c r="F84" s="38"/>
      <c r="G84" s="3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39"/>
    </row>
    <row r="85" spans="1:21" s="14" customFormat="1" ht="15.75" hidden="1" thickBot="1">
      <c r="A85" s="37"/>
      <c r="B85" s="20"/>
      <c r="C85" s="38"/>
      <c r="D85" s="38"/>
      <c r="E85" s="38"/>
      <c r="F85" s="38"/>
      <c r="G85" s="3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39"/>
    </row>
    <row r="86" spans="1:21" s="14" customFormat="1" ht="15.75" hidden="1" thickBot="1">
      <c r="A86" s="37"/>
      <c r="B86" s="20"/>
      <c r="C86" s="38"/>
      <c r="D86" s="38"/>
      <c r="E86" s="38"/>
      <c r="F86" s="38"/>
      <c r="G86" s="3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39"/>
    </row>
    <row r="87" spans="1:21" s="14" customFormat="1" ht="15.75" hidden="1" thickBot="1">
      <c r="A87" s="37"/>
      <c r="B87" s="20"/>
      <c r="C87" s="38"/>
      <c r="D87" s="38"/>
      <c r="E87" s="38"/>
      <c r="F87" s="38"/>
      <c r="G87" s="3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39"/>
    </row>
    <row r="88" spans="1:21" s="14" customFormat="1" ht="15.75" hidden="1" thickBot="1">
      <c r="A88" s="37"/>
      <c r="B88" s="20"/>
      <c r="C88" s="38"/>
      <c r="D88" s="38"/>
      <c r="E88" s="38"/>
      <c r="F88" s="38"/>
      <c r="G88" s="3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39"/>
    </row>
    <row r="89" spans="1:21" s="14" customFormat="1" ht="15.75" hidden="1" thickBot="1">
      <c r="A89" s="37"/>
      <c r="B89" s="20"/>
      <c r="C89" s="38"/>
      <c r="D89" s="38"/>
      <c r="E89" s="38"/>
      <c r="F89" s="38"/>
      <c r="G89" s="3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39"/>
    </row>
    <row r="90" spans="1:21" s="14" customFormat="1" ht="15.75" hidden="1" thickBot="1">
      <c r="A90" s="37"/>
      <c r="B90" s="20"/>
      <c r="C90" s="38"/>
      <c r="D90" s="38"/>
      <c r="E90" s="38"/>
      <c r="F90" s="38"/>
      <c r="G90" s="3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39"/>
    </row>
    <row r="91" spans="1:21" s="14" customFormat="1" ht="15.75" hidden="1" thickBot="1">
      <c r="A91" s="37"/>
      <c r="B91" s="20"/>
      <c r="C91" s="38"/>
      <c r="D91" s="38"/>
      <c r="E91" s="38"/>
      <c r="F91" s="38"/>
      <c r="G91" s="3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39"/>
    </row>
    <row r="92" spans="1:21" s="14" customFormat="1" ht="15.75" hidden="1" thickBot="1">
      <c r="A92" s="37"/>
      <c r="B92" s="20"/>
      <c r="C92" s="38"/>
      <c r="D92" s="38"/>
      <c r="E92" s="38"/>
      <c r="F92" s="38"/>
      <c r="G92" s="3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39"/>
    </row>
    <row r="93" spans="1:21" s="14" customFormat="1" ht="15.75" hidden="1" thickBot="1">
      <c r="A93" s="37"/>
      <c r="B93" s="20"/>
      <c r="C93" s="38"/>
      <c r="D93" s="38"/>
      <c r="E93" s="38"/>
      <c r="F93" s="38"/>
      <c r="G93" s="3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39"/>
    </row>
    <row r="94" spans="1:21" s="14" customFormat="1" ht="15.75" hidden="1" thickBot="1">
      <c r="A94" s="37"/>
      <c r="B94" s="20"/>
      <c r="C94" s="38"/>
      <c r="D94" s="38"/>
      <c r="E94" s="38"/>
      <c r="F94" s="38"/>
      <c r="G94" s="3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39"/>
    </row>
    <row r="95" spans="1:21" s="14" customFormat="1" ht="15.75" hidden="1" thickBot="1">
      <c r="A95" s="37"/>
      <c r="B95" s="20"/>
      <c r="C95" s="38"/>
      <c r="D95" s="38"/>
      <c r="E95" s="38"/>
      <c r="F95" s="38"/>
      <c r="G95" s="3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39"/>
    </row>
    <row r="96" spans="1:21" s="14" customFormat="1" ht="15.75" hidden="1" thickBot="1">
      <c r="A96" s="37"/>
      <c r="B96" s="20"/>
      <c r="C96" s="38"/>
      <c r="D96" s="38"/>
      <c r="E96" s="38"/>
      <c r="F96" s="38"/>
      <c r="G96" s="3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39"/>
    </row>
    <row r="97" spans="1:21" s="14" customFormat="1" ht="15.75" hidden="1" thickBot="1">
      <c r="A97" s="37"/>
      <c r="B97" s="20"/>
      <c r="C97" s="38"/>
      <c r="D97" s="38"/>
      <c r="E97" s="38"/>
      <c r="F97" s="38"/>
      <c r="G97" s="3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39"/>
    </row>
    <row r="98" spans="1:21" s="14" customFormat="1" ht="15.75" hidden="1" thickBot="1">
      <c r="A98" s="37"/>
      <c r="B98" s="20"/>
      <c r="C98" s="38"/>
      <c r="D98" s="38"/>
      <c r="E98" s="38"/>
      <c r="F98" s="38"/>
      <c r="G98" s="3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39"/>
    </row>
    <row r="99" spans="1:21" s="14" customFormat="1" ht="15.75" hidden="1" thickBot="1">
      <c r="A99" s="37"/>
      <c r="B99" s="20"/>
      <c r="C99" s="38"/>
      <c r="D99" s="38"/>
      <c r="E99" s="38"/>
      <c r="F99" s="38"/>
      <c r="G99" s="38"/>
      <c r="H99" s="18"/>
      <c r="I99" s="18"/>
      <c r="J99" s="18"/>
      <c r="K99" s="18"/>
      <c r="L99" s="18"/>
      <c r="M99" s="18"/>
      <c r="N99" s="18"/>
      <c r="O99" s="18"/>
      <c r="P99" s="38"/>
      <c r="Q99" s="18"/>
      <c r="R99" s="18"/>
      <c r="S99" s="18"/>
      <c r="T99" s="18"/>
      <c r="U99" s="39"/>
    </row>
    <row r="100" spans="1:21" s="14" customFormat="1" ht="15.75" hidden="1" thickBot="1">
      <c r="A100" s="37"/>
      <c r="B100" s="20"/>
      <c r="C100" s="38"/>
      <c r="D100" s="38"/>
      <c r="E100" s="38"/>
      <c r="F100" s="38"/>
      <c r="G100" s="3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39"/>
    </row>
    <row r="101" spans="1:21" s="16" customFormat="1" ht="15.75" hidden="1" thickBot="1">
      <c r="A101" s="37"/>
      <c r="B101" s="20"/>
      <c r="C101" s="38"/>
      <c r="D101" s="38"/>
      <c r="E101" s="38"/>
      <c r="F101" s="38"/>
      <c r="G101" s="3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39"/>
    </row>
    <row r="102" spans="1:21" s="14" customFormat="1" ht="15.75" hidden="1" thickBot="1">
      <c r="A102" s="37"/>
      <c r="B102" s="20"/>
      <c r="C102" s="38"/>
      <c r="D102" s="38"/>
      <c r="E102" s="38"/>
      <c r="F102" s="38"/>
      <c r="G102" s="38"/>
      <c r="H102" s="18"/>
      <c r="I102" s="18"/>
      <c r="J102" s="18"/>
      <c r="K102" s="18"/>
      <c r="L102" s="18"/>
      <c r="M102" s="18"/>
      <c r="N102" s="18"/>
      <c r="O102" s="18"/>
      <c r="P102" s="38"/>
      <c r="Q102" s="18"/>
      <c r="R102" s="18"/>
      <c r="S102" s="18"/>
      <c r="T102" s="18"/>
      <c r="U102" s="39"/>
    </row>
    <row r="103" spans="1:21" s="14" customFormat="1" ht="15.75" hidden="1" thickBot="1">
      <c r="A103" s="37"/>
      <c r="B103" s="20"/>
      <c r="C103" s="38"/>
      <c r="D103" s="38"/>
      <c r="E103" s="38"/>
      <c r="F103" s="38"/>
      <c r="G103" s="38"/>
      <c r="H103" s="18"/>
      <c r="I103" s="18"/>
      <c r="J103" s="18"/>
      <c r="K103" s="18"/>
      <c r="L103" s="18"/>
      <c r="M103" s="18"/>
      <c r="N103" s="18"/>
      <c r="O103" s="18"/>
      <c r="P103" s="38"/>
      <c r="Q103" s="18"/>
      <c r="R103" s="18"/>
      <c r="S103" s="18"/>
      <c r="T103" s="18"/>
      <c r="U103" s="39"/>
    </row>
    <row r="104" spans="1:21" s="16" customFormat="1" ht="15.75" hidden="1" thickBot="1">
      <c r="A104" s="37"/>
      <c r="B104" s="20"/>
      <c r="C104" s="38"/>
      <c r="D104" s="38"/>
      <c r="E104" s="38"/>
      <c r="F104" s="38"/>
      <c r="G104" s="38"/>
      <c r="H104" s="18"/>
      <c r="I104" s="18"/>
      <c r="J104" s="18"/>
      <c r="K104" s="18"/>
      <c r="L104" s="18"/>
      <c r="M104" s="18"/>
      <c r="N104" s="18"/>
      <c r="O104" s="18"/>
      <c r="P104" s="38"/>
      <c r="Q104" s="18"/>
      <c r="R104" s="18"/>
      <c r="S104" s="18"/>
      <c r="T104" s="18"/>
      <c r="U104" s="39"/>
    </row>
    <row r="105" spans="1:21" s="16" customFormat="1" ht="15.75" hidden="1" thickBot="1">
      <c r="A105" s="37"/>
      <c r="B105" s="20"/>
      <c r="C105" s="38"/>
      <c r="D105" s="38"/>
      <c r="E105" s="38"/>
      <c r="F105" s="38"/>
      <c r="G105" s="3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39"/>
    </row>
    <row r="106" spans="1:21" s="16" customFormat="1" ht="15.75" hidden="1" thickBot="1">
      <c r="A106" s="37"/>
      <c r="B106" s="20"/>
      <c r="C106" s="38"/>
      <c r="D106" s="38"/>
      <c r="E106" s="38"/>
      <c r="F106" s="3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39"/>
    </row>
    <row r="107" spans="1:21" s="14" customFormat="1" ht="15.75" hidden="1" thickBot="1">
      <c r="A107" s="37"/>
      <c r="B107" s="20"/>
      <c r="C107" s="38"/>
      <c r="D107" s="38"/>
      <c r="E107" s="38"/>
      <c r="F107" s="38"/>
      <c r="G107" s="3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39"/>
    </row>
    <row r="108" spans="1:21" s="14" customFormat="1" ht="15.75" hidden="1" thickBot="1">
      <c r="A108" s="37"/>
      <c r="B108" s="20"/>
      <c r="C108" s="38"/>
      <c r="D108" s="38"/>
      <c r="E108" s="38"/>
      <c r="F108" s="38"/>
      <c r="G108" s="3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39"/>
    </row>
    <row r="109" spans="1:21" s="14" customFormat="1" ht="15.75" hidden="1" thickBot="1">
      <c r="A109" s="37"/>
      <c r="B109" s="20"/>
      <c r="C109" s="38"/>
      <c r="D109" s="38"/>
      <c r="E109" s="38"/>
      <c r="F109" s="38"/>
      <c r="G109" s="3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39"/>
    </row>
    <row r="110" spans="1:21" s="14" customFormat="1" ht="15.75" hidden="1" thickBot="1">
      <c r="A110" s="37"/>
      <c r="B110" s="20"/>
      <c r="C110" s="38"/>
      <c r="D110" s="38"/>
      <c r="E110" s="38"/>
      <c r="F110" s="38"/>
      <c r="G110" s="3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39"/>
    </row>
    <row r="111" spans="1:21" s="14" customFormat="1" ht="15.75" hidden="1" thickBot="1">
      <c r="A111" s="37"/>
      <c r="B111" s="20"/>
      <c r="C111" s="38"/>
      <c r="D111" s="38"/>
      <c r="E111" s="38"/>
      <c r="F111" s="38"/>
      <c r="G111" s="3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39"/>
    </row>
    <row r="112" spans="1:21" s="14" customFormat="1" ht="15.75" hidden="1" thickBot="1">
      <c r="A112" s="37"/>
      <c r="B112" s="20"/>
      <c r="C112" s="38"/>
      <c r="D112" s="38"/>
      <c r="E112" s="38"/>
      <c r="F112" s="38"/>
      <c r="G112" s="3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39"/>
    </row>
    <row r="113" spans="1:21" s="14" customFormat="1" ht="15.75" hidden="1" thickBot="1">
      <c r="A113" s="37"/>
      <c r="B113" s="20"/>
      <c r="C113" s="38"/>
      <c r="D113" s="38"/>
      <c r="E113" s="38"/>
      <c r="F113" s="38"/>
      <c r="G113" s="3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39"/>
    </row>
    <row r="114" spans="1:21" s="16" customFormat="1" ht="15.75" hidden="1" thickBot="1">
      <c r="A114" s="37"/>
      <c r="B114" s="20"/>
      <c r="C114" s="38"/>
      <c r="D114" s="38"/>
      <c r="E114" s="38"/>
      <c r="F114" s="38"/>
      <c r="G114" s="3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39"/>
    </row>
    <row r="115" spans="1:21" s="16" customFormat="1" ht="15.75" hidden="1" thickBot="1">
      <c r="A115" s="37"/>
      <c r="B115" s="19"/>
      <c r="C115" s="18"/>
      <c r="D115" s="38"/>
      <c r="E115" s="38"/>
      <c r="F115" s="18"/>
      <c r="G115" s="3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39"/>
    </row>
    <row r="116" spans="1:21" s="14" customFormat="1" ht="15.75" hidden="1" thickBot="1">
      <c r="A116" s="37"/>
      <c r="B116" s="19"/>
      <c r="C116" s="38"/>
      <c r="D116" s="38"/>
      <c r="E116" s="38"/>
      <c r="F116" s="38"/>
      <c r="G116" s="3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39"/>
    </row>
    <row r="117" spans="1:21" s="14" customFormat="1" ht="15.75" hidden="1" thickBot="1">
      <c r="A117" s="37"/>
      <c r="B117" s="20"/>
      <c r="C117" s="38"/>
      <c r="D117" s="38"/>
      <c r="E117" s="38"/>
      <c r="F117" s="38"/>
      <c r="G117" s="3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39"/>
    </row>
    <row r="118" spans="1:21" s="14" customFormat="1" ht="15.75" hidden="1" thickBot="1">
      <c r="A118" s="37"/>
      <c r="B118" s="20"/>
      <c r="C118" s="38"/>
      <c r="D118" s="38"/>
      <c r="E118" s="38"/>
      <c r="F118" s="38"/>
      <c r="G118" s="3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39"/>
    </row>
    <row r="119" spans="1:21" s="14" customFormat="1" ht="15.75" hidden="1" thickBot="1">
      <c r="A119" s="37"/>
      <c r="B119" s="20"/>
      <c r="C119" s="38"/>
      <c r="D119" s="38"/>
      <c r="E119" s="38"/>
      <c r="F119" s="38"/>
      <c r="G119" s="3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39"/>
    </row>
    <row r="120" spans="1:21" s="14" customFormat="1" ht="15.75" hidden="1" thickBot="1">
      <c r="A120" s="37"/>
      <c r="B120" s="20"/>
      <c r="C120" s="38"/>
      <c r="D120" s="38"/>
      <c r="E120" s="38"/>
      <c r="F120" s="38"/>
      <c r="G120" s="3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39"/>
    </row>
    <row r="121" spans="1:21" s="14" customFormat="1" ht="15.75" hidden="1" thickBot="1">
      <c r="A121" s="37"/>
      <c r="B121" s="20"/>
      <c r="C121" s="38"/>
      <c r="D121" s="38"/>
      <c r="E121" s="38"/>
      <c r="F121" s="38"/>
      <c r="G121" s="38"/>
      <c r="H121" s="18"/>
      <c r="I121" s="18"/>
      <c r="J121" s="18"/>
      <c r="K121" s="18"/>
      <c r="L121" s="18"/>
      <c r="M121" s="18"/>
      <c r="N121" s="18"/>
      <c r="O121" s="18"/>
      <c r="P121" s="18"/>
      <c r="Q121" s="16"/>
      <c r="R121" s="18"/>
      <c r="S121" s="18"/>
      <c r="T121" s="18"/>
      <c r="U121" s="39"/>
    </row>
    <row r="122" spans="1:21" s="14" customFormat="1" ht="15.75" hidden="1" thickBot="1">
      <c r="A122" s="37"/>
      <c r="B122" s="20"/>
      <c r="C122" s="38"/>
      <c r="D122" s="38"/>
      <c r="E122" s="38"/>
      <c r="F122" s="38"/>
      <c r="G122" s="3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39"/>
    </row>
    <row r="123" spans="1:21" s="14" customFormat="1" ht="15.75" hidden="1" thickBot="1">
      <c r="A123" s="37"/>
      <c r="B123" s="20"/>
      <c r="C123" s="38"/>
      <c r="D123" s="38"/>
      <c r="E123" s="38"/>
      <c r="F123" s="38"/>
      <c r="G123" s="3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39"/>
    </row>
    <row r="124" spans="1:21" s="14" customFormat="1" ht="15.75" hidden="1" thickBot="1">
      <c r="A124" s="37"/>
      <c r="B124" s="20"/>
      <c r="C124" s="38"/>
      <c r="D124" s="38"/>
      <c r="E124" s="38"/>
      <c r="F124" s="38"/>
      <c r="G124" s="3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39"/>
    </row>
    <row r="125" spans="1:21" s="14" customFormat="1" ht="15.75" hidden="1" thickBot="1">
      <c r="A125" s="37"/>
      <c r="B125" s="19"/>
      <c r="C125" s="38"/>
      <c r="D125" s="38"/>
      <c r="E125" s="38"/>
      <c r="F125" s="38"/>
      <c r="G125" s="3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39"/>
    </row>
    <row r="126" spans="1:21" s="14" customFormat="1" ht="15.75" hidden="1" thickBot="1">
      <c r="A126" s="37"/>
      <c r="B126" s="19"/>
      <c r="C126" s="38"/>
      <c r="D126" s="38"/>
      <c r="E126" s="38"/>
      <c r="F126" s="38"/>
      <c r="G126" s="3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39"/>
    </row>
    <row r="127" spans="1:21" s="16" customFormat="1" ht="15.75" hidden="1" thickBot="1">
      <c r="A127" s="37"/>
      <c r="B127" s="19"/>
      <c r="C127" s="18"/>
      <c r="D127" s="38"/>
      <c r="E127" s="38"/>
      <c r="F127" s="18"/>
      <c r="G127" s="3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39"/>
    </row>
    <row r="128" spans="1:21" s="14" customFormat="1" ht="15.75" hidden="1" thickBot="1">
      <c r="A128" s="37"/>
      <c r="B128" s="19"/>
      <c r="C128" s="38"/>
      <c r="D128" s="38"/>
      <c r="E128" s="38"/>
      <c r="F128" s="18"/>
      <c r="G128" s="3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39"/>
    </row>
    <row r="129" spans="1:21" s="16" customFormat="1" ht="15.75" hidden="1" thickBot="1">
      <c r="A129" s="37"/>
      <c r="B129" s="19"/>
      <c r="C129" s="38"/>
      <c r="D129" s="38"/>
      <c r="E129" s="38"/>
      <c r="F129" s="18"/>
      <c r="G129" s="3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39"/>
    </row>
    <row r="130" spans="1:21" s="14" customFormat="1" ht="15.75" hidden="1" thickBot="1">
      <c r="A130" s="37"/>
      <c r="B130" s="20"/>
      <c r="C130" s="38"/>
      <c r="D130" s="38"/>
      <c r="E130" s="38"/>
      <c r="F130" s="18"/>
      <c r="G130" s="3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39"/>
    </row>
    <row r="131" spans="1:21" s="14" customFormat="1" ht="15.75" hidden="1" thickBot="1">
      <c r="A131" s="37"/>
      <c r="B131" s="20"/>
      <c r="C131" s="38"/>
      <c r="D131" s="38"/>
      <c r="E131" s="38"/>
      <c r="F131" s="18"/>
      <c r="G131" s="3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39"/>
    </row>
    <row r="132" spans="1:21" s="14" customFormat="1" ht="15.75" hidden="1" thickBot="1">
      <c r="A132" s="37"/>
      <c r="B132" s="20"/>
      <c r="C132" s="38"/>
      <c r="D132" s="38"/>
      <c r="E132" s="38"/>
      <c r="F132" s="38"/>
      <c r="G132" s="3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39"/>
    </row>
    <row r="133" spans="1:21" s="14" customFormat="1" ht="15.75" hidden="1" thickBot="1">
      <c r="A133" s="37"/>
      <c r="B133" s="20"/>
      <c r="C133" s="38"/>
      <c r="D133" s="38"/>
      <c r="E133" s="38"/>
      <c r="F133" s="38"/>
      <c r="G133" s="3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39"/>
    </row>
    <row r="134" spans="1:21" s="16" customFormat="1" ht="15.75" hidden="1" thickBot="1">
      <c r="A134" s="37"/>
      <c r="B134" s="20"/>
      <c r="C134" s="38"/>
      <c r="D134" s="38"/>
      <c r="E134" s="40"/>
      <c r="F134" s="38"/>
      <c r="G134" s="3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39"/>
    </row>
    <row r="135" spans="1:21" s="16" customFormat="1" ht="15.75" hidden="1" thickBot="1">
      <c r="A135" s="37"/>
      <c r="B135" s="20"/>
      <c r="C135" s="38"/>
      <c r="D135" s="38"/>
      <c r="E135" s="40"/>
      <c r="F135" s="38"/>
      <c r="G135" s="3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39"/>
    </row>
    <row r="136" spans="1:21" s="14" customFormat="1" ht="15.75" hidden="1" thickBot="1">
      <c r="A136" s="37"/>
      <c r="B136" s="20"/>
      <c r="C136" s="38"/>
      <c r="D136" s="38"/>
      <c r="E136" s="38"/>
      <c r="F136" s="38"/>
      <c r="G136" s="3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39"/>
    </row>
    <row r="137" spans="1:21" s="16" customFormat="1" ht="15.75" hidden="1" thickBot="1">
      <c r="A137" s="37"/>
      <c r="B137" s="20"/>
      <c r="C137" s="38"/>
      <c r="D137" s="38"/>
      <c r="E137" s="38"/>
      <c r="F137" s="38"/>
      <c r="G137" s="3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39"/>
    </row>
    <row r="138" spans="1:21" s="14" customFormat="1" ht="15.75" hidden="1" thickBot="1">
      <c r="A138" s="37"/>
      <c r="B138" s="20"/>
      <c r="C138" s="38"/>
      <c r="D138" s="38"/>
      <c r="E138" s="38"/>
      <c r="F138" s="38"/>
      <c r="G138" s="3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39"/>
    </row>
    <row r="139" spans="1:21" s="14" customFormat="1" ht="15.75" hidden="1" thickBot="1">
      <c r="A139" s="37"/>
      <c r="B139" s="20"/>
      <c r="C139" s="38"/>
      <c r="D139" s="38"/>
      <c r="E139" s="38"/>
      <c r="F139" s="38"/>
      <c r="G139" s="3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39"/>
    </row>
    <row r="140" spans="1:21" s="14" customFormat="1" ht="15.75" hidden="1" thickBot="1">
      <c r="A140" s="37"/>
      <c r="B140" s="20"/>
      <c r="C140" s="38"/>
      <c r="D140" s="38"/>
      <c r="E140" s="38"/>
      <c r="F140" s="38"/>
      <c r="G140" s="3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39"/>
    </row>
    <row r="141" spans="1:21" s="14" customFormat="1" ht="15.75" hidden="1" thickBot="1">
      <c r="A141" s="37"/>
      <c r="B141" s="20"/>
      <c r="C141" s="38"/>
      <c r="D141" s="38"/>
      <c r="E141" s="38"/>
      <c r="F141" s="38"/>
      <c r="G141" s="3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39"/>
    </row>
    <row r="142" spans="1:21" s="16" customFormat="1" ht="15.75" hidden="1" thickBot="1">
      <c r="A142" s="37"/>
      <c r="B142" s="20"/>
      <c r="C142" s="38"/>
      <c r="D142" s="38"/>
      <c r="E142" s="38"/>
      <c r="F142" s="38"/>
      <c r="G142" s="3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39"/>
    </row>
    <row r="143" spans="1:21" s="14" customFormat="1" ht="15.75" hidden="1" thickBot="1">
      <c r="A143" s="37"/>
      <c r="B143" s="20"/>
      <c r="C143" s="38"/>
      <c r="D143" s="38"/>
      <c r="E143" s="38"/>
      <c r="F143" s="38"/>
      <c r="G143" s="3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39"/>
    </row>
    <row r="144" spans="1:21" s="14" customFormat="1" ht="15.75" hidden="1" thickBot="1">
      <c r="A144" s="37"/>
      <c r="B144" s="20"/>
      <c r="C144" s="38"/>
      <c r="D144" s="38"/>
      <c r="E144" s="38"/>
      <c r="F144" s="38"/>
      <c r="G144" s="3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39"/>
    </row>
    <row r="145" spans="1:21" s="14" customFormat="1" ht="15.75" hidden="1" thickBot="1">
      <c r="A145" s="37"/>
      <c r="B145" s="20"/>
      <c r="C145" s="38"/>
      <c r="D145" s="38"/>
      <c r="E145" s="38"/>
      <c r="F145" s="38"/>
      <c r="G145" s="3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39"/>
    </row>
    <row r="146" spans="1:21" s="14" customFormat="1" ht="15.75" hidden="1" thickBot="1">
      <c r="A146" s="37"/>
      <c r="B146" s="20"/>
      <c r="C146" s="38"/>
      <c r="D146" s="38"/>
      <c r="E146" s="38"/>
      <c r="F146" s="38"/>
      <c r="G146" s="3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39"/>
    </row>
    <row r="147" spans="1:21" s="14" customFormat="1" ht="15.75" hidden="1" thickBot="1">
      <c r="A147" s="37"/>
      <c r="B147" s="20"/>
      <c r="C147" s="38"/>
      <c r="D147" s="38"/>
      <c r="E147" s="38"/>
      <c r="F147" s="38"/>
      <c r="G147" s="3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39"/>
    </row>
    <row r="148" spans="1:21" s="14" customFormat="1" ht="15.75" hidden="1" thickBot="1">
      <c r="A148" s="37"/>
      <c r="B148" s="20"/>
      <c r="C148" s="38"/>
      <c r="D148" s="38"/>
      <c r="E148" s="38"/>
      <c r="F148" s="38"/>
      <c r="G148" s="3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39"/>
    </row>
    <row r="149" spans="1:21" s="14" customFormat="1" ht="15.75" hidden="1" thickBot="1">
      <c r="A149" s="37"/>
      <c r="B149" s="20"/>
      <c r="C149" s="38"/>
      <c r="D149" s="38"/>
      <c r="E149" s="38"/>
      <c r="F149" s="38"/>
      <c r="G149" s="3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39"/>
    </row>
    <row r="150" spans="1:21" s="14" customFormat="1" ht="15.75" hidden="1" thickBot="1">
      <c r="A150" s="37"/>
      <c r="B150" s="20"/>
      <c r="C150" s="38"/>
      <c r="D150" s="38"/>
      <c r="E150" s="38"/>
      <c r="F150" s="38"/>
      <c r="G150" s="3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39"/>
    </row>
    <row r="151" spans="1:21" s="14" customFormat="1" ht="15.75" hidden="1" thickBot="1">
      <c r="A151" s="37"/>
      <c r="B151" s="20"/>
      <c r="C151" s="38"/>
      <c r="D151" s="38"/>
      <c r="E151" s="38"/>
      <c r="F151" s="38"/>
      <c r="G151" s="3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39"/>
    </row>
    <row r="152" spans="1:21" s="14" customFormat="1" ht="15.75" hidden="1" thickBot="1">
      <c r="A152" s="37"/>
      <c r="B152" s="20"/>
      <c r="C152" s="38"/>
      <c r="D152" s="38"/>
      <c r="E152" s="38"/>
      <c r="F152" s="38"/>
      <c r="G152" s="3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39"/>
    </row>
    <row r="153" spans="1:21" s="14" customFormat="1" ht="15.75" hidden="1" thickBot="1">
      <c r="A153" s="37"/>
      <c r="B153" s="20"/>
      <c r="C153" s="38"/>
      <c r="D153" s="38"/>
      <c r="E153" s="38"/>
      <c r="F153" s="38"/>
      <c r="G153" s="3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39"/>
    </row>
    <row r="154" spans="1:21" s="14" customFormat="1" ht="15.75" hidden="1" thickBot="1">
      <c r="A154" s="37"/>
      <c r="B154" s="20"/>
      <c r="C154" s="38"/>
      <c r="D154" s="38"/>
      <c r="E154" s="38"/>
      <c r="F154" s="38"/>
      <c r="G154" s="3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39"/>
    </row>
    <row r="155" spans="1:21" s="14" customFormat="1" ht="15.75" hidden="1" thickBot="1">
      <c r="A155" s="37"/>
      <c r="B155" s="20"/>
      <c r="C155" s="38"/>
      <c r="D155" s="38"/>
      <c r="E155" s="38"/>
      <c r="F155" s="38"/>
      <c r="G155" s="3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39"/>
    </row>
    <row r="156" spans="1:21" s="14" customFormat="1" ht="15.75" hidden="1" thickBot="1">
      <c r="A156" s="37"/>
      <c r="B156" s="20"/>
      <c r="C156" s="38"/>
      <c r="D156" s="38"/>
      <c r="E156" s="38"/>
      <c r="F156" s="38"/>
      <c r="G156" s="3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39"/>
    </row>
    <row r="157" spans="1:21" s="14" customFormat="1" ht="15.75" hidden="1" thickBot="1">
      <c r="A157" s="37"/>
      <c r="B157" s="20"/>
      <c r="C157" s="38"/>
      <c r="D157" s="38"/>
      <c r="E157" s="38"/>
      <c r="F157" s="38"/>
      <c r="G157" s="3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39"/>
    </row>
    <row r="158" spans="1:21" s="14" customFormat="1" ht="15.75" hidden="1" thickBot="1">
      <c r="A158" s="37"/>
      <c r="B158" s="20"/>
      <c r="C158" s="38"/>
      <c r="D158" s="38"/>
      <c r="E158" s="38"/>
      <c r="F158" s="38"/>
      <c r="G158" s="3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39"/>
    </row>
    <row r="159" spans="1:21" s="14" customFormat="1" ht="15.75" hidden="1" thickBot="1">
      <c r="A159" s="37"/>
      <c r="B159" s="20"/>
      <c r="C159" s="38"/>
      <c r="D159" s="38"/>
      <c r="E159" s="38"/>
      <c r="F159" s="38"/>
      <c r="G159" s="3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39"/>
    </row>
    <row r="160" spans="1:21" s="14" customFormat="1" ht="15.75" hidden="1" thickBot="1">
      <c r="A160" s="37"/>
      <c r="B160" s="20"/>
      <c r="C160" s="38"/>
      <c r="D160" s="38"/>
      <c r="E160" s="38"/>
      <c r="F160" s="38"/>
      <c r="G160" s="3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39"/>
    </row>
    <row r="161" spans="1:21" s="16" customFormat="1" ht="15.75" hidden="1" thickBot="1">
      <c r="A161" s="37"/>
      <c r="B161" s="20"/>
      <c r="C161" s="38"/>
      <c r="D161" s="38"/>
      <c r="E161" s="38"/>
      <c r="F161" s="38"/>
      <c r="G161" s="3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39"/>
    </row>
    <row r="162" spans="1:21" s="14" customFormat="1" ht="15.75" hidden="1" thickBot="1">
      <c r="A162" s="37"/>
      <c r="B162" s="20"/>
      <c r="C162" s="38"/>
      <c r="D162" s="38"/>
      <c r="E162" s="38"/>
      <c r="F162" s="38"/>
      <c r="G162" s="3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39"/>
    </row>
    <row r="163" spans="1:21" s="14" customFormat="1" ht="15.75" hidden="1" thickBot="1">
      <c r="A163" s="37"/>
      <c r="B163" s="20"/>
      <c r="C163" s="38"/>
      <c r="D163" s="38"/>
      <c r="E163" s="38"/>
      <c r="F163" s="38"/>
      <c r="G163" s="3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39"/>
    </row>
    <row r="164" spans="1:21" s="14" customFormat="1" ht="15.75" hidden="1" thickBot="1">
      <c r="A164" s="37"/>
      <c r="B164" s="20"/>
      <c r="C164" s="38"/>
      <c r="D164" s="38"/>
      <c r="E164" s="38"/>
      <c r="F164" s="38"/>
      <c r="G164" s="3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39"/>
    </row>
    <row r="165" spans="1:21" s="14" customFormat="1" ht="15.75" hidden="1" thickBot="1">
      <c r="A165" s="37"/>
      <c r="B165" s="20"/>
      <c r="C165" s="38"/>
      <c r="D165" s="38"/>
      <c r="E165" s="38"/>
      <c r="F165" s="38"/>
      <c r="G165" s="3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39"/>
    </row>
    <row r="166" spans="1:21" s="14" customFormat="1" ht="15.75" hidden="1" thickBot="1">
      <c r="A166" s="37"/>
      <c r="B166" s="20"/>
      <c r="C166" s="38"/>
      <c r="D166" s="38"/>
      <c r="E166" s="38"/>
      <c r="F166" s="38"/>
      <c r="G166" s="3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39"/>
    </row>
    <row r="167" spans="1:21" s="14" customFormat="1" ht="15.75" hidden="1" thickBot="1">
      <c r="A167" s="37"/>
      <c r="B167" s="20"/>
      <c r="C167" s="38"/>
      <c r="D167" s="38"/>
      <c r="E167" s="38"/>
      <c r="F167" s="38"/>
      <c r="G167" s="3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39"/>
    </row>
    <row r="168" spans="1:21" s="14" customFormat="1" ht="15.75" hidden="1" thickBot="1">
      <c r="A168" s="37"/>
      <c r="B168" s="20"/>
      <c r="C168" s="38"/>
      <c r="D168" s="38"/>
      <c r="E168" s="38"/>
      <c r="F168" s="38"/>
      <c r="G168" s="3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39"/>
    </row>
    <row r="169" spans="1:21" s="14" customFormat="1" ht="15.75" hidden="1" thickBot="1">
      <c r="A169" s="37"/>
      <c r="B169" s="20"/>
      <c r="C169" s="38"/>
      <c r="D169" s="38"/>
      <c r="E169" s="38"/>
      <c r="F169" s="38"/>
      <c r="G169" s="3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39"/>
    </row>
    <row r="170" spans="1:21" s="14" customFormat="1" ht="15.75" hidden="1" thickBot="1">
      <c r="A170" s="37"/>
      <c r="B170" s="20"/>
      <c r="C170" s="38"/>
      <c r="D170" s="38"/>
      <c r="E170" s="38"/>
      <c r="F170" s="38"/>
      <c r="G170" s="3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39"/>
    </row>
    <row r="171" spans="1:21" s="14" customFormat="1" ht="15.75" hidden="1" thickBot="1">
      <c r="A171" s="37"/>
      <c r="B171" s="20"/>
      <c r="C171" s="38"/>
      <c r="D171" s="38"/>
      <c r="E171" s="38"/>
      <c r="F171" s="38"/>
      <c r="G171" s="3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39"/>
    </row>
    <row r="172" spans="1:21" s="14" customFormat="1" ht="15.75" hidden="1" thickBot="1">
      <c r="A172" s="37"/>
      <c r="B172" s="20"/>
      <c r="C172" s="38"/>
      <c r="D172" s="38"/>
      <c r="E172" s="38"/>
      <c r="F172" s="38"/>
      <c r="G172" s="3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39"/>
    </row>
    <row r="173" spans="1:21" s="14" customFormat="1" ht="15.75" hidden="1" thickBot="1">
      <c r="A173" s="37"/>
      <c r="B173" s="20"/>
      <c r="C173" s="38"/>
      <c r="D173" s="38"/>
      <c r="E173" s="38"/>
      <c r="F173" s="38"/>
      <c r="G173" s="3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39"/>
    </row>
    <row r="174" spans="1:21" s="14" customFormat="1" ht="15.75" hidden="1" thickBot="1">
      <c r="A174" s="37"/>
      <c r="B174" s="20"/>
      <c r="C174" s="38"/>
      <c r="D174" s="38"/>
      <c r="E174" s="38"/>
      <c r="F174" s="38"/>
      <c r="G174" s="3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39"/>
    </row>
    <row r="175" spans="1:21" s="14" customFormat="1" ht="15.75" hidden="1" thickBot="1">
      <c r="A175" s="37"/>
      <c r="B175" s="20"/>
      <c r="C175" s="38"/>
      <c r="D175" s="38"/>
      <c r="E175" s="38"/>
      <c r="F175" s="38"/>
      <c r="G175" s="3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39"/>
    </row>
    <row r="176" spans="1:21" s="14" customFormat="1" ht="15.75" hidden="1" thickBot="1">
      <c r="A176" s="37"/>
      <c r="B176" s="20"/>
      <c r="C176" s="38"/>
      <c r="D176" s="38"/>
      <c r="E176" s="38"/>
      <c r="F176" s="38"/>
      <c r="G176" s="3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39"/>
    </row>
    <row r="177" spans="1:21" s="14" customFormat="1" ht="15.75" hidden="1" thickBot="1">
      <c r="A177" s="37"/>
      <c r="B177" s="20"/>
      <c r="C177" s="38"/>
      <c r="D177" s="38"/>
      <c r="E177" s="38"/>
      <c r="F177" s="38"/>
      <c r="G177" s="3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39"/>
    </row>
    <row r="178" spans="1:21" s="14" customFormat="1" ht="15.75" hidden="1" thickBot="1">
      <c r="A178" s="37"/>
      <c r="B178" s="20"/>
      <c r="C178" s="38"/>
      <c r="D178" s="38"/>
      <c r="E178" s="38"/>
      <c r="F178" s="38"/>
      <c r="G178" s="3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39"/>
    </row>
    <row r="179" spans="1:21" s="16" customFormat="1" ht="15.75" hidden="1" thickBot="1">
      <c r="A179" s="37"/>
      <c r="B179" s="20"/>
      <c r="C179" s="38"/>
      <c r="D179" s="38"/>
      <c r="E179" s="38"/>
      <c r="F179" s="38"/>
      <c r="G179" s="3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39"/>
    </row>
    <row r="180" spans="1:21" s="16" customFormat="1" ht="15.75" hidden="1" thickBot="1">
      <c r="A180" s="37"/>
      <c r="B180" s="20"/>
      <c r="C180" s="38"/>
      <c r="D180" s="38"/>
      <c r="E180" s="38"/>
      <c r="F180" s="38"/>
      <c r="G180" s="3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39"/>
    </row>
    <row r="181" spans="1:21" s="16" customFormat="1" ht="15.75" hidden="1" thickBot="1">
      <c r="A181" s="37"/>
      <c r="B181" s="20"/>
      <c r="C181" s="38"/>
      <c r="D181" s="38"/>
      <c r="E181" s="38"/>
      <c r="F181" s="38"/>
      <c r="G181" s="3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39"/>
    </row>
    <row r="182" spans="1:21" s="16" customFormat="1" ht="15.75" hidden="1" thickBot="1">
      <c r="A182" s="37"/>
      <c r="B182" s="20"/>
      <c r="C182" s="38"/>
      <c r="D182" s="38"/>
      <c r="E182" s="38"/>
      <c r="F182" s="38"/>
      <c r="G182" s="3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39"/>
    </row>
    <row r="183" spans="1:21" s="14" customFormat="1" ht="15.75" hidden="1" thickBot="1">
      <c r="A183" s="37"/>
      <c r="B183" s="20"/>
      <c r="C183" s="38"/>
      <c r="D183" s="38"/>
      <c r="E183" s="38"/>
      <c r="F183" s="38"/>
      <c r="G183" s="3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39"/>
    </row>
    <row r="184" spans="1:21" s="14" customFormat="1" ht="15.75" hidden="1" thickBot="1">
      <c r="A184" s="37"/>
      <c r="B184" s="20"/>
      <c r="C184" s="38"/>
      <c r="D184" s="38"/>
      <c r="E184" s="38"/>
      <c r="F184" s="38"/>
      <c r="G184" s="3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39"/>
    </row>
    <row r="185" spans="1:21" s="16" customFormat="1" ht="15.75" hidden="1" thickBot="1">
      <c r="A185" s="37"/>
      <c r="B185" s="20"/>
      <c r="C185" s="38"/>
      <c r="D185" s="38"/>
      <c r="E185" s="38"/>
      <c r="F185" s="38"/>
      <c r="G185" s="3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39"/>
    </row>
    <row r="186" spans="1:21" s="16" customFormat="1" ht="15.75" hidden="1" thickBot="1">
      <c r="A186" s="37"/>
      <c r="B186" s="20"/>
      <c r="C186" s="38"/>
      <c r="D186" s="38"/>
      <c r="E186" s="38"/>
      <c r="F186" s="38"/>
      <c r="G186" s="3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39"/>
    </row>
    <row r="187" spans="1:21" s="16" customFormat="1" ht="15.75" hidden="1" thickBot="1">
      <c r="A187" s="37"/>
      <c r="B187" s="20"/>
      <c r="C187" s="38"/>
      <c r="D187" s="38"/>
      <c r="E187" s="38"/>
      <c r="F187" s="38"/>
      <c r="G187" s="3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39"/>
    </row>
    <row r="188" spans="1:21" s="16" customFormat="1" ht="15.75" hidden="1" thickBot="1">
      <c r="A188" s="37"/>
      <c r="B188" s="20"/>
      <c r="C188" s="38"/>
      <c r="D188" s="38"/>
      <c r="E188" s="38"/>
      <c r="F188" s="38"/>
      <c r="G188" s="3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39"/>
    </row>
    <row r="189" spans="1:21" s="16" customFormat="1" ht="15.75" hidden="1" thickBot="1">
      <c r="A189" s="37"/>
      <c r="B189" s="20"/>
      <c r="C189" s="38"/>
      <c r="D189" s="38"/>
      <c r="E189" s="38"/>
      <c r="F189" s="38"/>
      <c r="G189" s="3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39"/>
    </row>
    <row r="190" spans="1:21" s="16" customFormat="1" ht="15.75" hidden="1" thickBot="1">
      <c r="A190" s="37"/>
      <c r="B190" s="20"/>
      <c r="C190" s="38"/>
      <c r="D190" s="38"/>
      <c r="E190" s="38"/>
      <c r="F190" s="38"/>
      <c r="G190" s="3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39"/>
    </row>
    <row r="191" spans="1:21" s="14" customFormat="1" ht="15.75" hidden="1" thickBot="1">
      <c r="A191" s="37"/>
      <c r="B191" s="20"/>
      <c r="C191" s="38"/>
      <c r="D191" s="38"/>
      <c r="E191" s="38"/>
      <c r="F191" s="38"/>
      <c r="G191" s="3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39"/>
    </row>
    <row r="192" spans="1:21" ht="15.75" hidden="1" thickBot="1">
      <c r="A192" s="37"/>
      <c r="B192" s="20"/>
      <c r="C192" s="38"/>
      <c r="D192" s="38"/>
      <c r="E192" s="38"/>
      <c r="F192" s="38"/>
      <c r="G192" s="3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39"/>
    </row>
    <row r="193" spans="1:21" s="14" customFormat="1" ht="15.75" hidden="1" thickBot="1">
      <c r="A193" s="37"/>
      <c r="B193" s="20"/>
      <c r="C193" s="38"/>
      <c r="D193" s="38"/>
      <c r="E193" s="38"/>
      <c r="F193" s="38"/>
      <c r="G193" s="3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39"/>
    </row>
    <row r="194" spans="1:21" s="14" customFormat="1" ht="15.75" hidden="1" thickBot="1">
      <c r="A194" s="37"/>
      <c r="B194" s="20"/>
      <c r="C194" s="38"/>
      <c r="D194" s="38"/>
      <c r="E194" s="38"/>
      <c r="F194" s="38"/>
      <c r="G194" s="3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39"/>
    </row>
    <row r="195" spans="1:21" s="14" customFormat="1" ht="15.75" hidden="1" thickBot="1">
      <c r="A195" s="37"/>
      <c r="B195" s="20"/>
      <c r="C195" s="38"/>
      <c r="D195" s="38"/>
      <c r="E195" s="38"/>
      <c r="F195" s="38"/>
      <c r="G195" s="3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39"/>
    </row>
    <row r="196" spans="1:21" s="14" customFormat="1" ht="15.75" hidden="1" thickBot="1">
      <c r="A196" s="37"/>
      <c r="B196" s="20"/>
      <c r="C196" s="38"/>
      <c r="D196" s="38"/>
      <c r="E196" s="38"/>
      <c r="F196" s="38"/>
      <c r="G196" s="3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39"/>
    </row>
    <row r="197" spans="1:21" s="16" customFormat="1" ht="15.75" hidden="1" thickBot="1">
      <c r="A197" s="37"/>
      <c r="B197" s="20"/>
      <c r="C197" s="38"/>
      <c r="D197" s="38"/>
      <c r="E197" s="38"/>
      <c r="F197" s="38"/>
      <c r="G197" s="3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39"/>
    </row>
    <row r="198" spans="1:21" s="16" customFormat="1" ht="15.75" hidden="1" thickBot="1">
      <c r="A198" s="37"/>
      <c r="B198" s="20"/>
      <c r="C198" s="38"/>
      <c r="D198" s="38"/>
      <c r="E198" s="38"/>
      <c r="F198" s="38"/>
      <c r="G198" s="3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39"/>
    </row>
    <row r="199" spans="1:21" s="16" customFormat="1" ht="15.75" hidden="1" thickBot="1">
      <c r="A199" s="37"/>
      <c r="B199" s="20"/>
      <c r="C199" s="38"/>
      <c r="D199" s="38"/>
      <c r="E199" s="38"/>
      <c r="F199" s="38"/>
      <c r="G199" s="3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39"/>
    </row>
    <row r="200" spans="1:21" s="14" customFormat="1" ht="15.75" hidden="1" thickBot="1">
      <c r="A200" s="37"/>
      <c r="B200" s="20"/>
      <c r="C200" s="38"/>
      <c r="D200" s="38"/>
      <c r="E200" s="38"/>
      <c r="F200" s="38"/>
      <c r="G200" s="3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39"/>
    </row>
    <row r="201" spans="1:21" ht="15.75" hidden="1" thickBot="1">
      <c r="A201" s="37"/>
      <c r="B201" s="20"/>
      <c r="C201" s="38"/>
      <c r="D201" s="38"/>
      <c r="E201" s="38"/>
      <c r="F201" s="38"/>
      <c r="G201" s="3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39"/>
    </row>
    <row r="202" spans="1:21" s="14" customFormat="1" ht="15.75" hidden="1" thickBot="1">
      <c r="A202" s="37"/>
      <c r="B202" s="20"/>
      <c r="C202" s="38"/>
      <c r="D202" s="38"/>
      <c r="E202" s="38"/>
      <c r="F202" s="38"/>
      <c r="G202" s="3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39"/>
    </row>
    <row r="203" spans="1:21" s="14" customFormat="1" ht="15.75" hidden="1" thickBot="1">
      <c r="A203" s="37"/>
      <c r="B203" s="20"/>
      <c r="C203" s="38"/>
      <c r="D203" s="38"/>
      <c r="E203" s="38"/>
      <c r="F203" s="38"/>
      <c r="G203" s="3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39"/>
    </row>
    <row r="204" spans="1:21" s="14" customFormat="1" ht="15.75" hidden="1" thickBot="1">
      <c r="A204" s="37"/>
      <c r="B204" s="20"/>
      <c r="C204" s="38"/>
      <c r="D204" s="38"/>
      <c r="E204" s="38"/>
      <c r="F204" s="38"/>
      <c r="G204" s="3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39"/>
    </row>
    <row r="205" spans="1:21" s="14" customFormat="1" ht="15.75" hidden="1" thickBot="1">
      <c r="A205" s="37"/>
      <c r="B205" s="20"/>
      <c r="C205" s="38"/>
      <c r="D205" s="38"/>
      <c r="E205" s="38"/>
      <c r="F205" s="38"/>
      <c r="G205" s="3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39"/>
    </row>
    <row r="206" spans="1:21" s="14" customFormat="1" ht="15.75" hidden="1" thickBot="1">
      <c r="A206" s="37"/>
      <c r="B206" s="20"/>
      <c r="C206" s="38"/>
      <c r="D206" s="38"/>
      <c r="E206" s="38"/>
      <c r="F206" s="38"/>
      <c r="G206" s="3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39"/>
    </row>
    <row r="207" spans="1:21" s="16" customFormat="1" ht="15.75" hidden="1" thickBot="1">
      <c r="A207" s="37"/>
      <c r="B207" s="20"/>
      <c r="C207" s="38"/>
      <c r="D207" s="38"/>
      <c r="E207" s="38"/>
      <c r="F207" s="38"/>
      <c r="G207" s="3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39"/>
    </row>
    <row r="208" spans="1:21" s="16" customFormat="1" ht="15.75" hidden="1" thickBot="1">
      <c r="A208" s="37"/>
      <c r="B208" s="20"/>
      <c r="C208" s="38"/>
      <c r="D208" s="38"/>
      <c r="E208" s="38"/>
      <c r="F208" s="38"/>
      <c r="G208" s="3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39"/>
    </row>
    <row r="209" spans="1:21" s="14" customFormat="1" ht="15.75" hidden="1" thickBot="1">
      <c r="A209" s="37"/>
      <c r="B209" s="20"/>
      <c r="C209" s="38"/>
      <c r="D209" s="38"/>
      <c r="E209" s="38"/>
      <c r="F209" s="38"/>
      <c r="G209" s="3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39"/>
    </row>
    <row r="210" spans="1:21" s="14" customFormat="1" ht="15.75" hidden="1" thickBot="1">
      <c r="A210" s="37"/>
      <c r="B210" s="20"/>
      <c r="C210" s="38"/>
      <c r="D210" s="38"/>
      <c r="E210" s="38"/>
      <c r="F210" s="38"/>
      <c r="G210" s="3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39"/>
    </row>
    <row r="211" spans="1:21" s="14" customFormat="1" ht="15.75" hidden="1" thickBot="1">
      <c r="A211" s="37"/>
      <c r="B211" s="20"/>
      <c r="C211" s="38"/>
      <c r="D211" s="38"/>
      <c r="E211" s="38"/>
      <c r="F211" s="38"/>
      <c r="G211" s="3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39"/>
    </row>
    <row r="212" spans="1:21" s="14" customFormat="1" ht="15.75" hidden="1" thickBot="1">
      <c r="A212" s="37"/>
      <c r="B212" s="20"/>
      <c r="C212" s="38"/>
      <c r="D212" s="38"/>
      <c r="E212" s="38"/>
      <c r="F212" s="38"/>
      <c r="G212" s="3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39"/>
    </row>
    <row r="213" spans="1:21" s="14" customFormat="1" ht="15.75" hidden="1" thickBot="1">
      <c r="A213" s="37"/>
      <c r="B213" s="20"/>
      <c r="C213" s="38"/>
      <c r="D213" s="38"/>
      <c r="E213" s="38"/>
      <c r="F213" s="38"/>
      <c r="G213" s="3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39"/>
    </row>
    <row r="214" spans="1:21" s="14" customFormat="1" ht="15.75" hidden="1" thickBot="1">
      <c r="A214" s="37"/>
      <c r="B214" s="20"/>
      <c r="C214" s="38"/>
      <c r="D214" s="38"/>
      <c r="E214" s="38"/>
      <c r="F214" s="38"/>
      <c r="G214" s="3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39"/>
    </row>
    <row r="215" spans="1:21" s="14" customFormat="1" ht="15.75" hidden="1" thickBot="1">
      <c r="A215" s="37"/>
      <c r="B215" s="20"/>
      <c r="C215" s="38"/>
      <c r="D215" s="38"/>
      <c r="E215" s="38"/>
      <c r="F215" s="38"/>
      <c r="G215" s="3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39"/>
    </row>
    <row r="216" spans="1:21" s="14" customFormat="1" ht="15.75" hidden="1" thickBot="1">
      <c r="A216" s="37"/>
      <c r="B216" s="20"/>
      <c r="C216" s="38"/>
      <c r="D216" s="38"/>
      <c r="E216" s="38"/>
      <c r="F216" s="38"/>
      <c r="G216" s="3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39"/>
    </row>
    <row r="217" spans="1:21" s="14" customFormat="1" ht="15.75" hidden="1" thickBot="1">
      <c r="A217" s="37"/>
      <c r="B217" s="20"/>
      <c r="C217" s="38"/>
      <c r="D217" s="38"/>
      <c r="E217" s="38"/>
      <c r="F217" s="38"/>
      <c r="G217" s="3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39"/>
    </row>
    <row r="218" spans="1:21" s="14" customFormat="1" ht="15.75" hidden="1" thickBot="1">
      <c r="A218" s="37"/>
      <c r="B218" s="20"/>
      <c r="C218" s="38"/>
      <c r="D218" s="38"/>
      <c r="E218" s="38"/>
      <c r="F218" s="38"/>
      <c r="G218" s="3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39"/>
    </row>
    <row r="219" spans="1:21" s="14" customFormat="1" ht="15.75" hidden="1" thickBot="1">
      <c r="A219" s="37"/>
      <c r="B219" s="20"/>
      <c r="C219" s="38"/>
      <c r="D219" s="38"/>
      <c r="E219" s="38"/>
      <c r="F219" s="38"/>
      <c r="G219" s="3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39"/>
    </row>
    <row r="220" spans="1:21" s="14" customFormat="1" ht="15.75" hidden="1" thickBot="1">
      <c r="A220" s="37"/>
      <c r="B220" s="20"/>
      <c r="C220" s="38"/>
      <c r="D220" s="38"/>
      <c r="E220" s="38"/>
      <c r="F220" s="38"/>
      <c r="G220" s="3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39"/>
    </row>
    <row r="221" spans="1:21" s="16" customFormat="1" ht="15.75" hidden="1" thickBot="1">
      <c r="A221" s="37"/>
      <c r="B221" s="20"/>
      <c r="C221" s="38"/>
      <c r="D221" s="38"/>
      <c r="E221" s="38"/>
      <c r="F221" s="38"/>
      <c r="G221" s="3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39"/>
    </row>
    <row r="222" spans="1:21" s="16" customFormat="1" ht="15.75" hidden="1" thickBot="1">
      <c r="A222" s="37"/>
      <c r="B222" s="20"/>
      <c r="C222" s="38"/>
      <c r="D222" s="38"/>
      <c r="E222" s="38"/>
      <c r="F222" s="38"/>
      <c r="G222" s="3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39"/>
    </row>
    <row r="223" spans="1:21" s="16" customFormat="1" ht="15.75" hidden="1" thickBot="1">
      <c r="A223" s="37"/>
      <c r="B223" s="20"/>
      <c r="C223" s="38"/>
      <c r="D223" s="38"/>
      <c r="E223" s="38"/>
      <c r="F223" s="38"/>
      <c r="G223" s="3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39"/>
    </row>
    <row r="224" spans="1:21" s="16" customFormat="1" ht="15.75" hidden="1" thickBot="1">
      <c r="A224" s="37"/>
      <c r="B224" s="20"/>
      <c r="C224" s="38"/>
      <c r="D224" s="38"/>
      <c r="E224" s="38"/>
      <c r="F224" s="38"/>
      <c r="G224" s="3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39"/>
    </row>
    <row r="225" spans="1:21" s="16" customFormat="1" ht="15.75" hidden="1" thickBot="1">
      <c r="A225" s="37"/>
      <c r="B225" s="20"/>
      <c r="C225" s="38"/>
      <c r="D225" s="38"/>
      <c r="E225" s="38"/>
      <c r="F225" s="38"/>
      <c r="G225" s="3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39"/>
    </row>
    <row r="226" spans="1:21" s="14" customFormat="1" ht="15.75" hidden="1" thickBot="1">
      <c r="A226" s="37"/>
      <c r="B226" s="20"/>
      <c r="C226" s="38"/>
      <c r="D226" s="38"/>
      <c r="E226" s="38"/>
      <c r="F226" s="38"/>
      <c r="G226" s="3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39"/>
    </row>
    <row r="227" spans="1:21" ht="15.75" hidden="1" thickBot="1">
      <c r="A227" s="37"/>
      <c r="B227" s="20"/>
      <c r="C227" s="38"/>
      <c r="D227" s="38"/>
      <c r="E227" s="38"/>
      <c r="F227" s="38"/>
      <c r="G227" s="3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39"/>
    </row>
    <row r="228" spans="1:21" s="14" customFormat="1" ht="15.75" hidden="1" thickBot="1">
      <c r="A228" s="37"/>
      <c r="B228" s="20"/>
      <c r="C228" s="38"/>
      <c r="D228" s="38"/>
      <c r="E228" s="38"/>
      <c r="F228" s="38"/>
      <c r="G228" s="3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39"/>
    </row>
    <row r="229" spans="1:21" s="14" customFormat="1" ht="15.75" hidden="1" thickBot="1">
      <c r="A229" s="37"/>
      <c r="B229" s="20"/>
      <c r="C229" s="38"/>
      <c r="D229" s="38"/>
      <c r="E229" s="38"/>
      <c r="F229" s="38"/>
      <c r="G229" s="3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39"/>
    </row>
    <row r="230" spans="1:21" s="14" customFormat="1" ht="15.75" hidden="1" thickBot="1">
      <c r="A230" s="37"/>
      <c r="B230" s="20"/>
      <c r="C230" s="38"/>
      <c r="D230" s="38"/>
      <c r="E230" s="38"/>
      <c r="F230" s="38"/>
      <c r="G230" s="3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39"/>
    </row>
    <row r="231" spans="1:21" s="14" customFormat="1" ht="15.75" hidden="1" thickBot="1">
      <c r="A231" s="37"/>
      <c r="B231" s="20"/>
      <c r="C231" s="38"/>
      <c r="D231" s="38"/>
      <c r="E231" s="38"/>
      <c r="F231" s="38"/>
      <c r="G231" s="3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39"/>
    </row>
    <row r="232" spans="1:21" s="14" customFormat="1" ht="15.75" hidden="1" thickBot="1">
      <c r="A232" s="37"/>
      <c r="B232" s="20"/>
      <c r="C232" s="38"/>
      <c r="D232" s="38"/>
      <c r="E232" s="38"/>
      <c r="F232" s="38"/>
      <c r="G232" s="3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39"/>
    </row>
    <row r="233" spans="1:21" s="14" customFormat="1" ht="15.75" hidden="1" thickBot="1">
      <c r="A233" s="37"/>
      <c r="B233" s="20"/>
      <c r="C233" s="38"/>
      <c r="D233" s="38"/>
      <c r="E233" s="38"/>
      <c r="F233" s="38"/>
      <c r="G233" s="3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39"/>
    </row>
    <row r="234" spans="1:21" s="14" customFormat="1" ht="15.75" hidden="1" thickBot="1">
      <c r="A234" s="37"/>
      <c r="B234" s="20"/>
      <c r="C234" s="38"/>
      <c r="D234" s="38"/>
      <c r="E234" s="38"/>
      <c r="F234" s="38"/>
      <c r="G234" s="3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39"/>
    </row>
    <row r="235" spans="1:21" s="14" customFormat="1" ht="15.75" hidden="1" thickBot="1">
      <c r="A235" s="37"/>
      <c r="B235" s="20"/>
      <c r="C235" s="38"/>
      <c r="D235" s="38"/>
      <c r="E235" s="38"/>
      <c r="F235" s="38"/>
      <c r="G235" s="3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39"/>
    </row>
    <row r="236" spans="1:21" s="14" customFormat="1" ht="15.75" hidden="1" thickBot="1">
      <c r="A236" s="37"/>
      <c r="B236" s="20"/>
      <c r="C236" s="38"/>
      <c r="D236" s="38"/>
      <c r="E236" s="38"/>
      <c r="F236" s="38"/>
      <c r="G236" s="3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39"/>
    </row>
    <row r="237" spans="1:21" s="14" customFormat="1" ht="15.75" hidden="1" thickBot="1">
      <c r="A237" s="37"/>
      <c r="B237" s="20"/>
      <c r="C237" s="38"/>
      <c r="D237" s="38"/>
      <c r="E237" s="38"/>
      <c r="F237" s="38"/>
      <c r="G237" s="3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39"/>
    </row>
    <row r="238" spans="1:21" s="14" customFormat="1" ht="15.75" hidden="1" thickBot="1">
      <c r="A238" s="37"/>
      <c r="B238" s="20"/>
      <c r="C238" s="38"/>
      <c r="D238" s="38"/>
      <c r="E238" s="38"/>
      <c r="F238" s="38"/>
      <c r="G238" s="3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39"/>
    </row>
    <row r="239" spans="1:21" s="14" customFormat="1" ht="15.75" hidden="1" thickBot="1">
      <c r="A239" s="37"/>
      <c r="B239" s="20"/>
      <c r="C239" s="38"/>
      <c r="D239" s="38"/>
      <c r="E239" s="38"/>
      <c r="F239" s="38"/>
      <c r="G239" s="3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39"/>
    </row>
    <row r="240" spans="1:21" s="14" customFormat="1" ht="15.75" hidden="1" thickBot="1">
      <c r="A240" s="37"/>
      <c r="B240" s="20"/>
      <c r="C240" s="38"/>
      <c r="D240" s="38"/>
      <c r="E240" s="38"/>
      <c r="F240" s="38"/>
      <c r="G240" s="3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39"/>
    </row>
    <row r="241" spans="1:21" s="16" customFormat="1" ht="15.75" hidden="1" thickBot="1">
      <c r="A241" s="37"/>
      <c r="B241" s="20"/>
      <c r="C241" s="38"/>
      <c r="D241" s="38"/>
      <c r="E241" s="38"/>
      <c r="F241" s="38"/>
      <c r="G241" s="3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39"/>
    </row>
    <row r="242" spans="1:21" s="14" customFormat="1" ht="15.75" hidden="1" thickBot="1">
      <c r="A242" s="37"/>
      <c r="B242" s="20"/>
      <c r="C242" s="38"/>
      <c r="D242" s="38"/>
      <c r="E242" s="38"/>
      <c r="F242" s="38"/>
      <c r="G242" s="3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39"/>
    </row>
    <row r="243" spans="1:21" ht="15.75" hidden="1" thickBot="1">
      <c r="A243" s="37"/>
      <c r="B243" s="20"/>
      <c r="C243" s="38"/>
      <c r="D243" s="38"/>
      <c r="E243" s="38"/>
      <c r="F243" s="38"/>
      <c r="G243" s="3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39"/>
    </row>
    <row r="244" spans="1:21" s="14" customFormat="1" ht="15.75" hidden="1" thickBot="1">
      <c r="A244" s="37"/>
      <c r="B244" s="20"/>
      <c r="C244" s="38"/>
      <c r="D244" s="38"/>
      <c r="E244" s="38"/>
      <c r="F244" s="38"/>
      <c r="G244" s="3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39"/>
    </row>
    <row r="245" spans="1:21" s="14" customFormat="1" ht="15.75" hidden="1" thickBot="1">
      <c r="A245" s="37"/>
      <c r="B245" s="20"/>
      <c r="C245" s="38"/>
      <c r="D245" s="38"/>
      <c r="E245" s="38"/>
      <c r="F245" s="38"/>
      <c r="G245" s="3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39"/>
    </row>
    <row r="246" spans="1:21" s="14" customFormat="1" ht="15.75" hidden="1" thickBot="1">
      <c r="A246" s="37"/>
      <c r="B246" s="20"/>
      <c r="C246" s="38"/>
      <c r="D246" s="38"/>
      <c r="E246" s="38"/>
      <c r="F246" s="38"/>
      <c r="G246" s="3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39"/>
    </row>
    <row r="247" spans="1:21" s="14" customFormat="1" ht="15.75" hidden="1" thickBot="1">
      <c r="A247" s="37"/>
      <c r="B247" s="20"/>
      <c r="C247" s="38"/>
      <c r="D247" s="38"/>
      <c r="E247" s="38"/>
      <c r="F247" s="38"/>
      <c r="G247" s="3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39"/>
    </row>
    <row r="248" spans="1:21" s="14" customFormat="1" ht="15.75" hidden="1" thickBot="1">
      <c r="A248" s="37"/>
      <c r="B248" s="20"/>
      <c r="C248" s="38"/>
      <c r="D248" s="38"/>
      <c r="E248" s="38"/>
      <c r="F248" s="38"/>
      <c r="G248" s="3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39"/>
    </row>
    <row r="249" spans="1:21" s="14" customFormat="1" ht="15.75" hidden="1" thickBot="1">
      <c r="A249" s="37"/>
      <c r="B249" s="20"/>
      <c r="C249" s="38"/>
      <c r="D249" s="38"/>
      <c r="E249" s="38"/>
      <c r="F249" s="38"/>
      <c r="G249" s="3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39"/>
    </row>
    <row r="250" spans="1:21" s="14" customFormat="1" ht="15.75" hidden="1" thickBot="1">
      <c r="A250" s="37"/>
      <c r="B250" s="20"/>
      <c r="C250" s="38"/>
      <c r="D250" s="38"/>
      <c r="E250" s="38"/>
      <c r="F250" s="38"/>
      <c r="G250" s="3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39"/>
    </row>
    <row r="251" spans="1:21" s="14" customFormat="1" ht="15.75" hidden="1" thickBot="1">
      <c r="A251" s="37"/>
      <c r="B251" s="20"/>
      <c r="C251" s="38"/>
      <c r="D251" s="38"/>
      <c r="E251" s="38"/>
      <c r="F251" s="38"/>
      <c r="G251" s="3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39"/>
    </row>
    <row r="252" spans="1:21" s="14" customFormat="1" ht="15.75" hidden="1" thickBot="1">
      <c r="A252" s="37"/>
      <c r="B252" s="20"/>
      <c r="C252" s="38"/>
      <c r="D252" s="38"/>
      <c r="E252" s="38"/>
      <c r="F252" s="38"/>
      <c r="G252" s="3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39"/>
    </row>
    <row r="253" spans="1:21" s="14" customFormat="1" ht="15.75" hidden="1" thickBot="1">
      <c r="A253" s="37"/>
      <c r="B253" s="20"/>
      <c r="C253" s="38"/>
      <c r="D253" s="38"/>
      <c r="E253" s="38"/>
      <c r="F253" s="38"/>
      <c r="G253" s="3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39"/>
    </row>
    <row r="254" spans="1:21" s="14" customFormat="1" ht="15.75" hidden="1" thickBot="1">
      <c r="A254" s="37"/>
      <c r="B254" s="20"/>
      <c r="C254" s="38"/>
      <c r="D254" s="38"/>
      <c r="E254" s="38"/>
      <c r="F254" s="38"/>
      <c r="G254" s="3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39"/>
    </row>
    <row r="255" spans="1:21" s="14" customFormat="1" ht="15.75" hidden="1" thickBot="1">
      <c r="A255" s="37"/>
      <c r="B255" s="20"/>
      <c r="C255" s="38"/>
      <c r="D255" s="38"/>
      <c r="E255" s="38"/>
      <c r="F255" s="38"/>
      <c r="G255" s="3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39"/>
    </row>
    <row r="256" spans="1:21" s="14" customFormat="1" ht="15.75" hidden="1" thickBot="1">
      <c r="A256" s="37"/>
      <c r="B256" s="20"/>
      <c r="C256" s="38"/>
      <c r="D256" s="38"/>
      <c r="E256" s="38"/>
      <c r="F256" s="38"/>
      <c r="G256" s="3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39"/>
    </row>
    <row r="257" spans="1:21" ht="15.75" hidden="1" thickBot="1">
      <c r="A257" s="37"/>
      <c r="B257" s="20"/>
      <c r="C257" s="38"/>
      <c r="D257" s="38"/>
      <c r="E257" s="38"/>
      <c r="F257" s="38"/>
      <c r="G257" s="3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39"/>
    </row>
    <row r="258" spans="1:21" s="14" customFormat="1" ht="15.75" hidden="1" thickBot="1">
      <c r="A258" s="37"/>
      <c r="B258" s="20"/>
      <c r="C258" s="38"/>
      <c r="D258" s="38"/>
      <c r="E258" s="38"/>
      <c r="F258" s="38"/>
      <c r="G258" s="3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39"/>
    </row>
    <row r="259" spans="1:21" s="14" customFormat="1" ht="15.75" hidden="1" thickBot="1">
      <c r="A259" s="37"/>
      <c r="B259" s="20"/>
      <c r="C259" s="38"/>
      <c r="D259" s="38"/>
      <c r="E259" s="38"/>
      <c r="F259" s="38"/>
      <c r="G259" s="3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39"/>
    </row>
    <row r="260" spans="1:21" s="14" customFormat="1" ht="15.75" hidden="1" thickBot="1">
      <c r="A260" s="37"/>
      <c r="B260" s="20"/>
      <c r="C260" s="38"/>
      <c r="D260" s="38"/>
      <c r="E260" s="38"/>
      <c r="F260" s="38"/>
      <c r="G260" s="3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39"/>
    </row>
    <row r="261" spans="1:21" s="14" customFormat="1" ht="15.75" hidden="1" thickBot="1">
      <c r="A261" s="37"/>
      <c r="B261" s="20"/>
      <c r="C261" s="38"/>
      <c r="D261" s="38"/>
      <c r="E261" s="38"/>
      <c r="F261" s="38"/>
      <c r="G261" s="3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39"/>
    </row>
    <row r="262" spans="1:21" ht="15.75" hidden="1" thickBot="1">
      <c r="A262" s="37"/>
      <c r="B262" s="20"/>
      <c r="C262" s="38"/>
      <c r="D262" s="38"/>
      <c r="E262" s="38"/>
      <c r="F262" s="38"/>
      <c r="G262" s="3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39"/>
    </row>
    <row r="263" spans="1:21" s="14" customFormat="1" ht="15.75" hidden="1" thickBot="1">
      <c r="A263" s="37"/>
      <c r="B263" s="20"/>
      <c r="C263" s="38"/>
      <c r="D263" s="38"/>
      <c r="E263" s="38"/>
      <c r="F263" s="38"/>
      <c r="G263" s="3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39"/>
    </row>
    <row r="264" spans="1:21" s="14" customFormat="1" ht="15.75" hidden="1" thickBot="1">
      <c r="A264" s="37"/>
      <c r="B264" s="20"/>
      <c r="C264" s="38"/>
      <c r="D264" s="38"/>
      <c r="E264" s="38"/>
      <c r="F264" s="38"/>
      <c r="G264" s="3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39"/>
    </row>
    <row r="265" spans="1:21" s="14" customFormat="1" ht="15.75" hidden="1" thickBot="1">
      <c r="A265" s="37"/>
      <c r="B265" s="20"/>
      <c r="C265" s="38"/>
      <c r="D265" s="38"/>
      <c r="E265" s="38"/>
      <c r="F265" s="38"/>
      <c r="G265" s="3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39"/>
    </row>
    <row r="266" spans="1:21" s="16" customFormat="1" ht="15.75" hidden="1" thickBot="1">
      <c r="A266" s="37"/>
      <c r="B266" s="20"/>
      <c r="C266" s="38"/>
      <c r="D266" s="38"/>
      <c r="E266" s="38"/>
      <c r="F266" s="38"/>
      <c r="G266" s="3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39"/>
    </row>
    <row r="267" spans="1:21" s="16" customFormat="1" ht="15.75" hidden="1" thickBot="1">
      <c r="A267" s="37"/>
      <c r="B267" s="20"/>
      <c r="C267" s="38"/>
      <c r="D267" s="38"/>
      <c r="E267" s="38"/>
      <c r="F267" s="38"/>
      <c r="G267" s="3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39"/>
    </row>
    <row r="268" spans="1:21" s="16" customFormat="1" ht="15.75" hidden="1" thickBot="1">
      <c r="A268" s="37"/>
      <c r="B268" s="20"/>
      <c r="C268" s="38"/>
      <c r="D268" s="38"/>
      <c r="E268" s="38"/>
      <c r="F268" s="38"/>
      <c r="G268" s="3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39"/>
    </row>
    <row r="269" spans="1:21" s="14" customFormat="1" ht="15.75" hidden="1" thickBot="1">
      <c r="A269" s="37"/>
      <c r="B269" s="20"/>
      <c r="C269" s="38"/>
      <c r="D269" s="38"/>
      <c r="E269" s="38"/>
      <c r="F269" s="38"/>
      <c r="G269" s="3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39"/>
    </row>
    <row r="270" spans="1:21" ht="15.75" hidden="1" thickBot="1">
      <c r="A270" s="37"/>
      <c r="B270" s="20"/>
      <c r="C270" s="38"/>
      <c r="D270" s="38"/>
      <c r="E270" s="38"/>
      <c r="F270" s="38"/>
      <c r="G270" s="3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39"/>
    </row>
    <row r="271" spans="1:21" s="14" customFormat="1" ht="15.75" hidden="1" thickBot="1">
      <c r="A271" s="37"/>
      <c r="B271" s="20"/>
      <c r="C271" s="38"/>
      <c r="D271" s="38"/>
      <c r="E271" s="38"/>
      <c r="F271" s="38"/>
      <c r="G271" s="3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39"/>
    </row>
    <row r="272" spans="1:21" s="14" customFormat="1" ht="15.75" hidden="1" thickBot="1">
      <c r="A272" s="37"/>
      <c r="B272" s="20"/>
      <c r="C272" s="38"/>
      <c r="D272" s="38"/>
      <c r="E272" s="38"/>
      <c r="F272" s="38"/>
      <c r="G272" s="3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39"/>
    </row>
    <row r="273" spans="1:21" s="14" customFormat="1" ht="15.75" hidden="1" thickBot="1">
      <c r="A273" s="37"/>
      <c r="B273" s="20"/>
      <c r="C273" s="38"/>
      <c r="D273" s="38"/>
      <c r="E273" s="38"/>
      <c r="F273" s="38"/>
      <c r="G273" s="3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39"/>
    </row>
    <row r="274" spans="1:21" s="14" customFormat="1" ht="15.75" hidden="1" thickBot="1">
      <c r="A274" s="37"/>
      <c r="B274" s="20"/>
      <c r="C274" s="38"/>
      <c r="D274" s="38"/>
      <c r="E274" s="38"/>
      <c r="F274" s="38"/>
      <c r="G274" s="3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39"/>
    </row>
    <row r="275" spans="1:21" s="14" customFormat="1" ht="15.75" hidden="1" thickBot="1">
      <c r="A275" s="37"/>
      <c r="B275" s="20"/>
      <c r="C275" s="38"/>
      <c r="D275" s="38"/>
      <c r="E275" s="38"/>
      <c r="F275" s="38"/>
      <c r="G275" s="3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39"/>
    </row>
    <row r="276" spans="1:21" ht="15.75" hidden="1" thickBot="1">
      <c r="A276" s="37"/>
      <c r="B276" s="20"/>
      <c r="C276" s="38"/>
      <c r="D276" s="38"/>
      <c r="E276" s="38"/>
      <c r="F276" s="38"/>
      <c r="G276" s="3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39"/>
    </row>
    <row r="277" spans="1:21" s="14" customFormat="1" ht="15.75" hidden="1" thickBot="1">
      <c r="A277" s="37"/>
      <c r="B277" s="20"/>
      <c r="C277" s="38"/>
      <c r="D277" s="38"/>
      <c r="E277" s="38"/>
      <c r="F277" s="38"/>
      <c r="G277" s="3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39"/>
    </row>
    <row r="278" spans="1:21" s="14" customFormat="1" ht="15.75" hidden="1" thickBot="1">
      <c r="A278" s="37"/>
      <c r="B278" s="20"/>
      <c r="C278" s="38"/>
      <c r="D278" s="38"/>
      <c r="E278" s="38"/>
      <c r="F278" s="38"/>
      <c r="G278" s="3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39"/>
    </row>
    <row r="279" spans="1:21" s="14" customFormat="1" ht="15.75" hidden="1" thickBot="1">
      <c r="A279" s="37"/>
      <c r="B279" s="20"/>
      <c r="C279" s="38"/>
      <c r="D279" s="38"/>
      <c r="E279" s="38"/>
      <c r="F279" s="38"/>
      <c r="G279" s="3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39"/>
    </row>
    <row r="280" spans="1:21" ht="15.75" hidden="1" thickBot="1">
      <c r="A280" s="37"/>
      <c r="B280" s="20"/>
      <c r="C280" s="38"/>
      <c r="D280" s="38"/>
      <c r="E280" s="38"/>
      <c r="F280" s="38"/>
      <c r="G280" s="3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39"/>
    </row>
    <row r="281" spans="1:21" s="14" customFormat="1" ht="15.75" hidden="1" thickBot="1">
      <c r="A281" s="37"/>
      <c r="B281" s="20"/>
      <c r="C281" s="38"/>
      <c r="D281" s="38"/>
      <c r="E281" s="38"/>
      <c r="F281" s="38"/>
      <c r="G281" s="3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39"/>
    </row>
    <row r="282" spans="1:21" s="14" customFormat="1" ht="15.75" hidden="1" thickBot="1">
      <c r="A282" s="37"/>
      <c r="B282" s="20"/>
      <c r="C282" s="38"/>
      <c r="D282" s="38"/>
      <c r="E282" s="38"/>
      <c r="F282" s="38"/>
      <c r="G282" s="3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39"/>
    </row>
    <row r="283" spans="1:21" s="14" customFormat="1" ht="15.75" hidden="1" thickBot="1">
      <c r="A283" s="37"/>
      <c r="B283" s="20"/>
      <c r="C283" s="38"/>
      <c r="D283" s="38"/>
      <c r="E283" s="38"/>
      <c r="F283" s="38"/>
      <c r="G283" s="3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39"/>
    </row>
    <row r="284" spans="1:21" s="14" customFormat="1" ht="15.75" hidden="1" thickBot="1">
      <c r="A284" s="37"/>
      <c r="B284" s="20"/>
      <c r="C284" s="38"/>
      <c r="D284" s="38"/>
      <c r="E284" s="38"/>
      <c r="F284" s="38"/>
      <c r="G284" s="3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39"/>
    </row>
    <row r="285" spans="1:21" ht="15.75" hidden="1" thickBot="1">
      <c r="A285" s="37"/>
      <c r="B285" s="20"/>
      <c r="C285" s="38"/>
      <c r="D285" s="38"/>
      <c r="E285" s="38"/>
      <c r="F285" s="38"/>
      <c r="G285" s="3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39"/>
    </row>
    <row r="286" spans="1:21" s="14" customFormat="1" ht="15.75" hidden="1" thickBot="1">
      <c r="A286" s="37"/>
      <c r="B286" s="20"/>
      <c r="C286" s="38"/>
      <c r="D286" s="38"/>
      <c r="E286" s="38"/>
      <c r="F286" s="38"/>
      <c r="G286" s="3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39"/>
    </row>
    <row r="287" spans="1:21" s="14" customFormat="1" ht="15.75" hidden="1" thickBot="1">
      <c r="A287" s="37"/>
      <c r="B287" s="20"/>
      <c r="C287" s="38"/>
      <c r="D287" s="38"/>
      <c r="E287" s="38"/>
      <c r="F287" s="38"/>
      <c r="G287" s="3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39"/>
    </row>
    <row r="288" spans="1:21" s="14" customFormat="1" ht="15.75" hidden="1" thickBot="1">
      <c r="A288" s="37"/>
      <c r="B288" s="20"/>
      <c r="C288" s="38"/>
      <c r="D288" s="38"/>
      <c r="E288" s="38"/>
      <c r="F288" s="38"/>
      <c r="G288" s="3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39"/>
    </row>
    <row r="289" spans="1:21" s="14" customFormat="1" ht="15.75" hidden="1" thickBot="1">
      <c r="A289" s="37"/>
      <c r="B289" s="20"/>
      <c r="C289" s="38"/>
      <c r="D289" s="38"/>
      <c r="E289" s="38"/>
      <c r="F289" s="38"/>
      <c r="G289" s="3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39"/>
    </row>
    <row r="290" spans="1:21" ht="15.75" hidden="1" thickBot="1">
      <c r="A290" s="37"/>
      <c r="B290" s="20"/>
      <c r="C290" s="38"/>
      <c r="D290" s="38"/>
      <c r="E290" s="38"/>
      <c r="F290" s="38"/>
      <c r="G290" s="3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39"/>
    </row>
    <row r="291" spans="1:21" s="14" customFormat="1" ht="15.75" hidden="1" thickBot="1">
      <c r="A291" s="37"/>
      <c r="B291" s="20"/>
      <c r="C291" s="38"/>
      <c r="D291" s="38"/>
      <c r="E291" s="38"/>
      <c r="F291" s="38"/>
      <c r="G291" s="3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39"/>
    </row>
    <row r="292" spans="1:21" s="14" customFormat="1" ht="15.75" hidden="1" thickBot="1">
      <c r="A292" s="37"/>
      <c r="B292" s="20"/>
      <c r="C292" s="38"/>
      <c r="D292" s="38"/>
      <c r="E292" s="38"/>
      <c r="F292" s="38"/>
      <c r="G292" s="3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39"/>
    </row>
    <row r="293" spans="1:21" s="14" customFormat="1" ht="15.75" hidden="1" thickBot="1">
      <c r="A293" s="37"/>
      <c r="B293" s="20"/>
      <c r="C293" s="38"/>
      <c r="D293" s="38"/>
      <c r="E293" s="38"/>
      <c r="F293" s="38"/>
      <c r="G293" s="3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39"/>
    </row>
    <row r="294" spans="1:21" s="14" customFormat="1" ht="15.75" hidden="1" thickBot="1">
      <c r="A294" s="37"/>
      <c r="B294" s="20"/>
      <c r="C294" s="38"/>
      <c r="D294" s="38"/>
      <c r="E294" s="38"/>
      <c r="F294" s="38"/>
      <c r="G294" s="3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39"/>
    </row>
    <row r="295" spans="1:21" s="14" customFormat="1" ht="15.75" hidden="1" thickBot="1">
      <c r="A295" s="37"/>
      <c r="B295" s="20"/>
      <c r="C295" s="38"/>
      <c r="D295" s="38"/>
      <c r="E295" s="38"/>
      <c r="F295" s="38"/>
      <c r="G295" s="3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39"/>
    </row>
    <row r="296" spans="1:21" s="14" customFormat="1" ht="15.75" hidden="1" thickBot="1">
      <c r="A296" s="37"/>
      <c r="B296" s="20"/>
      <c r="C296" s="38"/>
      <c r="D296" s="38"/>
      <c r="E296" s="38"/>
      <c r="F296" s="38"/>
      <c r="G296" s="3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39"/>
    </row>
    <row r="297" spans="1:21" s="14" customFormat="1" ht="15.75" hidden="1" thickBot="1">
      <c r="A297" s="37"/>
      <c r="B297" s="20"/>
      <c r="C297" s="38"/>
      <c r="D297" s="38"/>
      <c r="E297" s="38"/>
      <c r="F297" s="38"/>
      <c r="G297" s="3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39"/>
    </row>
    <row r="298" spans="1:21" s="14" customFormat="1" ht="15.75" hidden="1" thickBot="1">
      <c r="A298" s="37"/>
      <c r="B298" s="20"/>
      <c r="C298" s="38"/>
      <c r="D298" s="38"/>
      <c r="E298" s="38"/>
      <c r="F298" s="38"/>
      <c r="G298" s="3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39"/>
    </row>
    <row r="299" spans="1:21" s="14" customFormat="1" ht="15.75" hidden="1" thickBot="1">
      <c r="A299" s="37"/>
      <c r="B299" s="20"/>
      <c r="C299" s="38"/>
      <c r="D299" s="38"/>
      <c r="E299" s="38"/>
      <c r="F299" s="38"/>
      <c r="G299" s="3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39"/>
    </row>
    <row r="300" spans="1:21" s="14" customFormat="1" ht="15.75" hidden="1" thickBot="1">
      <c r="A300" s="37"/>
      <c r="B300" s="20"/>
      <c r="C300" s="38"/>
      <c r="D300" s="38"/>
      <c r="E300" s="38"/>
      <c r="F300" s="38"/>
      <c r="G300" s="3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39"/>
    </row>
    <row r="301" spans="1:21" s="14" customFormat="1" ht="15.75" hidden="1" thickBot="1">
      <c r="A301" s="37"/>
      <c r="B301" s="20"/>
      <c r="C301" s="38"/>
      <c r="D301" s="38"/>
      <c r="E301" s="38"/>
      <c r="F301" s="38"/>
      <c r="G301" s="3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39"/>
    </row>
    <row r="302" spans="1:21" ht="15.75" hidden="1" thickBot="1">
      <c r="A302" s="37"/>
      <c r="B302" s="20"/>
      <c r="C302" s="38"/>
      <c r="D302" s="38"/>
      <c r="E302" s="38"/>
      <c r="F302" s="38"/>
      <c r="G302" s="3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39"/>
    </row>
    <row r="303" spans="1:21" ht="15.75" hidden="1" thickBot="1">
      <c r="A303" s="37"/>
      <c r="B303" s="20"/>
      <c r="C303" s="38"/>
      <c r="D303" s="38"/>
      <c r="E303" s="38"/>
      <c r="F303" s="38"/>
      <c r="G303" s="3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39"/>
    </row>
    <row r="304" spans="1:21" ht="15.75" hidden="1" thickBot="1">
      <c r="A304" s="37"/>
      <c r="B304" s="20"/>
      <c r="C304" s="38"/>
      <c r="D304" s="38"/>
      <c r="E304" s="38"/>
      <c r="F304" s="38"/>
      <c r="G304" s="3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39"/>
    </row>
    <row r="305" spans="1:21" ht="15.75" hidden="1" thickBot="1">
      <c r="A305" s="601"/>
      <c r="B305" s="602"/>
      <c r="C305" s="602"/>
      <c r="D305" s="602"/>
      <c r="E305" s="602"/>
      <c r="F305" s="602"/>
      <c r="G305" s="602"/>
      <c r="H305" s="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2"/>
    </row>
    <row r="306" spans="1:21" ht="15.75" hidden="1" thickBot="1">
      <c r="A306" s="603"/>
      <c r="B306" s="604"/>
      <c r="C306" s="604"/>
      <c r="D306" s="604"/>
      <c r="E306" s="604"/>
      <c r="F306" s="604"/>
      <c r="G306" s="604"/>
      <c r="H306" s="604"/>
      <c r="I306" s="604"/>
      <c r="J306" s="604"/>
      <c r="K306" s="604"/>
      <c r="L306" s="604"/>
      <c r="M306" s="604"/>
      <c r="N306" s="604"/>
      <c r="O306" s="604"/>
      <c r="P306" s="604"/>
      <c r="Q306" s="604"/>
      <c r="R306" s="604"/>
      <c r="S306" s="604"/>
      <c r="T306" s="604"/>
      <c r="U306" s="605"/>
    </row>
    <row r="307" spans="1:21" ht="15.75" hidden="1" thickBot="1">
      <c r="A307" s="37"/>
      <c r="B307" s="20"/>
      <c r="C307" s="38"/>
      <c r="D307" s="38"/>
      <c r="E307" s="38"/>
      <c r="F307" s="38"/>
      <c r="G307" s="3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39"/>
    </row>
    <row r="308" spans="1:21" ht="15.75" hidden="1" thickBot="1">
      <c r="A308" s="37"/>
      <c r="B308" s="20"/>
      <c r="C308" s="38"/>
      <c r="D308" s="38"/>
      <c r="E308" s="38"/>
      <c r="F308" s="38"/>
      <c r="G308" s="3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39"/>
    </row>
    <row r="309" spans="1:21" ht="15.75" hidden="1" thickBot="1">
      <c r="A309" s="37"/>
      <c r="B309" s="20"/>
      <c r="C309" s="38"/>
      <c r="D309" s="38"/>
      <c r="E309" s="38"/>
      <c r="F309" s="38"/>
      <c r="G309" s="3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39"/>
    </row>
    <row r="310" spans="1:21" ht="15.75" hidden="1" thickBot="1">
      <c r="A310" s="37"/>
      <c r="B310" s="20"/>
      <c r="C310" s="38"/>
      <c r="D310" s="38"/>
      <c r="E310" s="38"/>
      <c r="F310" s="38"/>
      <c r="G310" s="3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39"/>
    </row>
    <row r="311" spans="1:21" ht="15.75" hidden="1" thickBot="1">
      <c r="A311" s="37"/>
      <c r="B311" s="20"/>
      <c r="C311" s="38"/>
      <c r="D311" s="38"/>
      <c r="E311" s="38"/>
      <c r="F311" s="38"/>
      <c r="G311" s="3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39"/>
    </row>
    <row r="312" spans="1:21" ht="15.75" hidden="1" thickBot="1">
      <c r="A312" s="37"/>
      <c r="B312" s="20"/>
      <c r="C312" s="38"/>
      <c r="D312" s="38"/>
      <c r="E312" s="38"/>
      <c r="F312" s="38"/>
      <c r="G312" s="3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39"/>
    </row>
    <row r="313" spans="1:21" ht="15.75" hidden="1" thickBot="1">
      <c r="A313" s="37"/>
      <c r="B313" s="20"/>
      <c r="C313" s="38"/>
      <c r="D313" s="38"/>
      <c r="E313" s="38"/>
      <c r="F313" s="38"/>
      <c r="G313" s="3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39"/>
    </row>
    <row r="314" spans="1:21" ht="15.75" hidden="1" thickBot="1">
      <c r="A314" s="37"/>
      <c r="B314" s="20"/>
      <c r="C314" s="38"/>
      <c r="D314" s="38"/>
      <c r="E314" s="38"/>
      <c r="F314" s="38"/>
      <c r="G314" s="3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39"/>
    </row>
    <row r="315" spans="1:21" ht="15.75" hidden="1" thickBot="1">
      <c r="A315" s="37"/>
      <c r="B315" s="20"/>
      <c r="C315" s="38"/>
      <c r="D315" s="38"/>
      <c r="E315" s="38"/>
      <c r="F315" s="38"/>
      <c r="G315" s="3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39"/>
    </row>
    <row r="316" spans="1:21" ht="15.75" hidden="1" thickBot="1">
      <c r="A316" s="37"/>
      <c r="B316" s="20"/>
      <c r="C316" s="38"/>
      <c r="D316" s="38"/>
      <c r="E316" s="38"/>
      <c r="F316" s="38"/>
      <c r="G316" s="3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39"/>
    </row>
    <row r="317" spans="1:21" ht="15.75" hidden="1" thickBot="1">
      <c r="A317" s="37"/>
      <c r="B317" s="20"/>
      <c r="C317" s="38"/>
      <c r="D317" s="38"/>
      <c r="E317" s="38"/>
      <c r="F317" s="38"/>
      <c r="G317" s="3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39"/>
    </row>
    <row r="318" spans="1:21" ht="15.75" hidden="1" thickBot="1">
      <c r="A318" s="37"/>
      <c r="B318" s="20"/>
      <c r="C318" s="38"/>
      <c r="D318" s="38"/>
      <c r="E318" s="38"/>
      <c r="F318" s="38"/>
      <c r="G318" s="3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39"/>
    </row>
    <row r="319" spans="1:21" ht="15.75" hidden="1" thickBot="1">
      <c r="A319" s="37"/>
      <c r="B319" s="20"/>
      <c r="C319" s="38"/>
      <c r="D319" s="38"/>
      <c r="E319" s="38"/>
      <c r="F319" s="38"/>
      <c r="G319" s="3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39"/>
    </row>
    <row r="320" spans="1:21" ht="15.75" hidden="1" thickBot="1">
      <c r="A320" s="37"/>
      <c r="B320" s="20"/>
      <c r="C320" s="38"/>
      <c r="D320" s="38"/>
      <c r="E320" s="38"/>
      <c r="F320" s="38"/>
      <c r="G320" s="3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39"/>
    </row>
    <row r="321" spans="1:21" ht="15.75" hidden="1" thickBot="1">
      <c r="A321" s="601"/>
      <c r="B321" s="602"/>
      <c r="C321" s="602"/>
      <c r="D321" s="602"/>
      <c r="E321" s="602"/>
      <c r="F321" s="602"/>
      <c r="G321" s="602"/>
      <c r="H321" s="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2"/>
    </row>
    <row r="322" spans="1:21" ht="15.75" hidden="1" thickBot="1">
      <c r="A322" s="603"/>
      <c r="B322" s="604"/>
      <c r="C322" s="604"/>
      <c r="D322" s="604"/>
      <c r="E322" s="604"/>
      <c r="F322" s="604"/>
      <c r="G322" s="604"/>
      <c r="H322" s="604"/>
      <c r="I322" s="604"/>
      <c r="J322" s="604"/>
      <c r="K322" s="604"/>
      <c r="L322" s="604"/>
      <c r="M322" s="604"/>
      <c r="N322" s="604"/>
      <c r="O322" s="604"/>
      <c r="P322" s="604"/>
      <c r="Q322" s="604"/>
      <c r="R322" s="604"/>
      <c r="S322" s="604"/>
      <c r="T322" s="604"/>
      <c r="U322" s="605"/>
    </row>
    <row r="323" spans="1:21" ht="15.75" hidden="1" thickBot="1">
      <c r="A323" s="37"/>
      <c r="B323" s="20"/>
      <c r="C323" s="38"/>
      <c r="D323" s="38"/>
      <c r="E323" s="38"/>
      <c r="F323" s="38"/>
      <c r="G323" s="3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39"/>
    </row>
    <row r="324" spans="1:21" ht="15.75" hidden="1" thickBot="1">
      <c r="A324" s="37"/>
      <c r="B324" s="20"/>
      <c r="C324" s="38"/>
      <c r="D324" s="38"/>
      <c r="E324" s="38"/>
      <c r="F324" s="38"/>
      <c r="G324" s="3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39"/>
    </row>
    <row r="325" spans="1:21" ht="15.75" hidden="1" thickBot="1">
      <c r="A325" s="37"/>
      <c r="B325" s="20"/>
      <c r="C325" s="38"/>
      <c r="D325" s="38"/>
      <c r="E325" s="38"/>
      <c r="F325" s="38"/>
      <c r="G325" s="3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39"/>
    </row>
    <row r="326" spans="1:21" ht="15.75" hidden="1" thickBot="1">
      <c r="A326" s="37"/>
      <c r="B326" s="20"/>
      <c r="C326" s="38"/>
      <c r="D326" s="38"/>
      <c r="E326" s="38"/>
      <c r="F326" s="38"/>
      <c r="G326" s="3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39"/>
    </row>
    <row r="327" spans="1:21" ht="15.75" hidden="1" thickBot="1">
      <c r="A327" s="37"/>
      <c r="B327" s="20"/>
      <c r="C327" s="38"/>
      <c r="D327" s="38"/>
      <c r="E327" s="38"/>
      <c r="F327" s="38"/>
      <c r="G327" s="3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39"/>
    </row>
    <row r="328" spans="1:21" ht="15.75" hidden="1" thickBot="1">
      <c r="A328" s="37"/>
      <c r="B328" s="20"/>
      <c r="C328" s="38"/>
      <c r="D328" s="38"/>
      <c r="E328" s="38"/>
      <c r="F328" s="38"/>
      <c r="G328" s="3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39"/>
    </row>
    <row r="329" spans="1:21" ht="15.75" hidden="1" thickBot="1">
      <c r="A329" s="37"/>
      <c r="B329" s="20"/>
      <c r="C329" s="38"/>
      <c r="D329" s="38"/>
      <c r="E329" s="38"/>
      <c r="F329" s="38"/>
      <c r="G329" s="3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39"/>
    </row>
    <row r="330" spans="1:21" ht="15.75" hidden="1" thickBot="1">
      <c r="A330" s="37"/>
      <c r="B330" s="20"/>
      <c r="C330" s="38"/>
      <c r="D330" s="38"/>
      <c r="E330" s="38"/>
      <c r="F330" s="38"/>
      <c r="G330" s="3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39"/>
    </row>
    <row r="331" spans="1:21" ht="15.75" hidden="1" thickBot="1">
      <c r="A331" s="37"/>
      <c r="B331" s="20"/>
      <c r="C331" s="38"/>
      <c r="D331" s="38"/>
      <c r="E331" s="38"/>
      <c r="F331" s="38"/>
      <c r="G331" s="3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39"/>
    </row>
    <row r="332" spans="1:21" ht="15.75" hidden="1" thickBot="1">
      <c r="A332" s="37"/>
      <c r="B332" s="20"/>
      <c r="C332" s="38"/>
      <c r="D332" s="38"/>
      <c r="E332" s="38"/>
      <c r="F332" s="38"/>
      <c r="G332" s="3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39"/>
    </row>
    <row r="333" spans="1:21" ht="15.75" hidden="1" thickBot="1">
      <c r="A333" s="601"/>
      <c r="B333" s="602"/>
      <c r="C333" s="602"/>
      <c r="D333" s="602"/>
      <c r="E333" s="602"/>
      <c r="F333" s="602"/>
      <c r="G333" s="602"/>
      <c r="H333" s="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2"/>
    </row>
    <row r="334" spans="1:21" ht="15.75" hidden="1" thickBot="1">
      <c r="A334" s="603"/>
      <c r="B334" s="604"/>
      <c r="C334" s="604"/>
      <c r="D334" s="604"/>
      <c r="E334" s="604"/>
      <c r="F334" s="604"/>
      <c r="G334" s="604"/>
      <c r="H334" s="604"/>
      <c r="I334" s="604"/>
      <c r="J334" s="604"/>
      <c r="K334" s="604"/>
      <c r="L334" s="604"/>
      <c r="M334" s="604"/>
      <c r="N334" s="604"/>
      <c r="O334" s="604"/>
      <c r="P334" s="604"/>
      <c r="Q334" s="604"/>
      <c r="R334" s="604"/>
      <c r="S334" s="604"/>
      <c r="T334" s="604"/>
      <c r="U334" s="605"/>
    </row>
    <row r="335" spans="1:21" ht="15.75" hidden="1" thickBot="1">
      <c r="A335" s="37"/>
      <c r="B335" s="20"/>
      <c r="C335" s="38"/>
      <c r="D335" s="38"/>
      <c r="E335" s="38"/>
      <c r="F335" s="38"/>
      <c r="G335" s="3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39"/>
    </row>
    <row r="336" spans="1:21" ht="15.75" hidden="1" thickBot="1">
      <c r="A336" s="37"/>
      <c r="B336" s="20"/>
      <c r="C336" s="38"/>
      <c r="D336" s="38"/>
      <c r="E336" s="38"/>
      <c r="F336" s="38"/>
      <c r="G336" s="3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39"/>
    </row>
    <row r="337" spans="1:22" ht="15.75" hidden="1" thickBot="1">
      <c r="A337" s="37"/>
      <c r="B337" s="20"/>
      <c r="C337" s="38"/>
      <c r="D337" s="38"/>
      <c r="E337" s="38"/>
      <c r="F337" s="38"/>
      <c r="G337" s="3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39"/>
    </row>
    <row r="338" spans="1:22" ht="15.75" hidden="1" thickBot="1">
      <c r="A338" s="37"/>
      <c r="B338" s="20"/>
      <c r="C338" s="38"/>
      <c r="D338" s="38"/>
      <c r="E338" s="38"/>
      <c r="F338" s="38"/>
      <c r="G338" s="3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39"/>
    </row>
    <row r="339" spans="1:22" ht="15.75" hidden="1" thickBot="1">
      <c r="A339" s="37"/>
      <c r="B339" s="20"/>
      <c r="C339" s="38"/>
      <c r="D339" s="38"/>
      <c r="E339" s="38"/>
      <c r="F339" s="38"/>
      <c r="G339" s="3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39"/>
    </row>
    <row r="340" spans="1:22" ht="15.75" hidden="1" thickBot="1">
      <c r="A340" s="37"/>
      <c r="B340" s="20"/>
      <c r="C340" s="38"/>
      <c r="D340" s="38"/>
      <c r="E340" s="38"/>
      <c r="F340" s="38"/>
      <c r="G340" s="3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39"/>
    </row>
    <row r="341" spans="1:22" ht="15.75" hidden="1" thickBot="1">
      <c r="A341" s="37"/>
      <c r="B341" s="20"/>
      <c r="C341" s="38"/>
      <c r="D341" s="38"/>
      <c r="E341" s="38"/>
      <c r="F341" s="38"/>
      <c r="G341" s="3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39"/>
    </row>
    <row r="342" spans="1:22" ht="15.75" hidden="1" thickBot="1">
      <c r="A342" s="37"/>
      <c r="B342" s="20"/>
      <c r="C342" s="38"/>
      <c r="D342" s="38"/>
      <c r="E342" s="38"/>
      <c r="F342" s="38"/>
      <c r="G342" s="3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39"/>
    </row>
    <row r="343" spans="1:22" ht="15.75" hidden="1" thickBot="1">
      <c r="A343" s="37"/>
      <c r="B343" s="20"/>
      <c r="C343" s="38"/>
      <c r="D343" s="38"/>
      <c r="E343" s="38"/>
      <c r="F343" s="38"/>
      <c r="G343" s="3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39"/>
    </row>
    <row r="344" spans="1:22" ht="15.75" hidden="1" thickBot="1">
      <c r="A344" s="37"/>
      <c r="B344" s="20"/>
      <c r="C344" s="38"/>
      <c r="D344" s="38"/>
      <c r="E344" s="38"/>
      <c r="F344" s="38"/>
      <c r="G344" s="3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39"/>
    </row>
    <row r="345" spans="1:22" ht="15.75" hidden="1" thickBot="1">
      <c r="A345" s="37"/>
      <c r="B345" s="20"/>
      <c r="C345" s="38"/>
      <c r="D345" s="38"/>
      <c r="E345" s="38"/>
      <c r="F345" s="38"/>
      <c r="G345" s="3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39"/>
    </row>
    <row r="346" spans="1:22" ht="15.75" hidden="1" thickBot="1">
      <c r="A346" s="601"/>
      <c r="B346" s="602"/>
      <c r="C346" s="602"/>
      <c r="D346" s="602"/>
      <c r="E346" s="602"/>
      <c r="F346" s="602"/>
      <c r="G346" s="602"/>
      <c r="H346" s="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2"/>
    </row>
    <row r="347" spans="1:22" ht="15.75" hidden="1" thickBot="1">
      <c r="A347" s="603"/>
      <c r="B347" s="604"/>
      <c r="C347" s="604"/>
      <c r="D347" s="604"/>
      <c r="E347" s="604"/>
      <c r="F347" s="604"/>
      <c r="G347" s="604"/>
      <c r="H347" s="604"/>
      <c r="I347" s="604"/>
      <c r="J347" s="604"/>
      <c r="K347" s="604"/>
      <c r="L347" s="604"/>
      <c r="M347" s="604"/>
      <c r="N347" s="604"/>
      <c r="O347" s="604"/>
      <c r="P347" s="604"/>
      <c r="Q347" s="604"/>
      <c r="R347" s="604"/>
      <c r="S347" s="604"/>
      <c r="T347" s="604"/>
      <c r="U347" s="605"/>
    </row>
    <row r="348" spans="1:22" ht="15.75" hidden="1" thickBot="1">
      <c r="A348" s="37"/>
      <c r="B348" s="20"/>
      <c r="C348" s="38"/>
      <c r="D348" s="38"/>
      <c r="E348" s="38"/>
      <c r="F348" s="38"/>
      <c r="G348" s="3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39"/>
    </row>
    <row r="349" spans="1:22" ht="15.75" hidden="1" thickBot="1">
      <c r="A349" s="617"/>
      <c r="B349" s="618"/>
      <c r="C349" s="618"/>
      <c r="D349" s="618"/>
      <c r="E349" s="618"/>
      <c r="F349" s="618"/>
      <c r="G349" s="618"/>
      <c r="H349" s="43"/>
      <c r="I349" s="43"/>
      <c r="J349" s="43"/>
      <c r="K349" s="43"/>
      <c r="L349" s="43"/>
      <c r="M349" s="43"/>
      <c r="N349" s="43"/>
      <c r="O349" s="43"/>
      <c r="P349" s="43"/>
      <c r="Q349" s="43"/>
      <c r="R349" s="43"/>
      <c r="S349" s="43"/>
      <c r="T349" s="43"/>
      <c r="U349" s="44"/>
    </row>
    <row r="350" spans="1:22" ht="15.75" thickBot="1">
      <c r="A350" s="619" t="s">
        <v>170</v>
      </c>
      <c r="B350" s="620"/>
      <c r="C350" s="620"/>
      <c r="D350" s="620"/>
      <c r="E350" s="620"/>
      <c r="F350" s="620"/>
      <c r="G350" s="620"/>
      <c r="H350" s="45"/>
      <c r="I350" s="45"/>
      <c r="J350" s="27">
        <f>ROUND(SUM(J7:J34),0)+4</f>
        <v>6</v>
      </c>
      <c r="K350" s="27">
        <f>ROUND(SUM(K7:K34),0)</f>
        <v>2</v>
      </c>
      <c r="L350" s="27">
        <f>ROUND(SUM(L7:L34),0)</f>
        <v>4</v>
      </c>
      <c r="M350" s="27">
        <f>ROUND(SUM(M7:M34),0)</f>
        <v>3</v>
      </c>
      <c r="N350" s="27"/>
      <c r="O350" s="27"/>
      <c r="P350" s="27">
        <f>ROUND(SUM(P7:P34),0)+3</f>
        <v>7</v>
      </c>
      <c r="Q350" s="45"/>
      <c r="R350" s="45"/>
      <c r="S350" s="45"/>
      <c r="T350" s="45"/>
      <c r="U350" s="51"/>
      <c r="V350" t="s">
        <v>219</v>
      </c>
    </row>
    <row r="351" spans="1:22">
      <c r="A351" s="596" t="s">
        <v>251</v>
      </c>
      <c r="B351" s="596"/>
      <c r="C351" s="596"/>
      <c r="D351" s="596"/>
      <c r="E351" s="596"/>
      <c r="F351" s="596"/>
      <c r="G351" s="596"/>
      <c r="H351" s="596"/>
      <c r="I351" s="596"/>
      <c r="J351" s="596"/>
      <c r="K351" s="596"/>
      <c r="L351" s="596"/>
      <c r="M351" s="596"/>
      <c r="N351" s="596"/>
      <c r="O351" s="596"/>
      <c r="P351" s="596"/>
      <c r="Q351" s="596"/>
      <c r="R351" s="596"/>
      <c r="S351" s="596"/>
      <c r="T351" s="596"/>
      <c r="U351" s="596"/>
    </row>
    <row r="352" spans="1:22" ht="25.5" customHeight="1">
      <c r="A352" s="616" t="s">
        <v>250</v>
      </c>
      <c r="B352" s="596"/>
      <c r="C352" s="596"/>
      <c r="D352" s="596"/>
      <c r="E352" s="596"/>
      <c r="F352" s="596"/>
      <c r="G352" s="596"/>
      <c r="H352" s="596"/>
      <c r="I352" s="596"/>
      <c r="J352" s="596"/>
      <c r="K352" s="596"/>
      <c r="L352" s="596"/>
      <c r="M352" s="596"/>
      <c r="N352" s="596"/>
      <c r="O352" s="596"/>
      <c r="P352" s="596"/>
      <c r="Q352" s="596"/>
      <c r="R352" s="596"/>
      <c r="S352" s="596"/>
      <c r="T352" s="596"/>
      <c r="U352" s="596"/>
    </row>
    <row r="353" spans="1:21">
      <c r="A353" s="35"/>
      <c r="B353" s="35"/>
      <c r="C353" s="35"/>
      <c r="D353" s="35"/>
      <c r="E353" s="35"/>
      <c r="F353" s="30"/>
      <c r="G353" s="30"/>
      <c r="H353" s="31"/>
      <c r="I353" s="32"/>
      <c r="J353" s="32"/>
      <c r="K353" s="31"/>
      <c r="L353" s="31"/>
      <c r="M353" s="31"/>
      <c r="N353" s="31"/>
      <c r="O353" s="31"/>
      <c r="P353" s="31"/>
      <c r="Q353" s="31"/>
      <c r="R353" s="31"/>
      <c r="S353" s="31"/>
      <c r="T353" s="32"/>
      <c r="U353" s="31"/>
    </row>
    <row r="354" spans="1:21">
      <c r="A354" s="34"/>
      <c r="B354" s="34"/>
      <c r="C354" s="34"/>
      <c r="D354" s="34"/>
      <c r="E354" s="34"/>
      <c r="F354" s="30"/>
      <c r="G354" s="30"/>
      <c r="H354" s="31"/>
      <c r="I354" s="32"/>
      <c r="J354" s="32"/>
      <c r="K354" s="31"/>
      <c r="L354" s="31"/>
      <c r="M354" s="31"/>
      <c r="N354" s="31"/>
      <c r="O354" s="31"/>
      <c r="P354" s="31"/>
      <c r="Q354" s="31"/>
      <c r="R354" s="31"/>
      <c r="S354" s="31"/>
      <c r="T354" s="32"/>
      <c r="U354" s="31"/>
    </row>
    <row r="355" spans="1:21">
      <c r="A355" s="34"/>
      <c r="B355" s="34"/>
      <c r="C355" s="34"/>
      <c r="D355" s="34"/>
      <c r="E355" s="34"/>
      <c r="F355" s="30"/>
      <c r="G355" s="30"/>
      <c r="H355" s="31"/>
      <c r="I355" s="32"/>
      <c r="J355" s="32"/>
      <c r="K355" s="31"/>
      <c r="L355" s="31"/>
      <c r="M355" s="31"/>
      <c r="N355" s="31"/>
      <c r="O355" s="31"/>
      <c r="P355" s="31"/>
      <c r="Q355" s="31"/>
      <c r="R355" s="31"/>
      <c r="S355" s="31"/>
      <c r="T355" s="32"/>
      <c r="U355" s="31"/>
    </row>
    <row r="356" spans="1:21">
      <c r="A356" s="34"/>
      <c r="B356" s="34"/>
      <c r="C356" s="34"/>
      <c r="D356" s="34"/>
      <c r="E356" s="34"/>
      <c r="F356" s="30"/>
      <c r="G356" s="30"/>
      <c r="H356" s="31"/>
      <c r="I356" s="31"/>
      <c r="J356" s="31"/>
      <c r="K356" s="31"/>
      <c r="L356" s="31"/>
      <c r="M356" s="31"/>
      <c r="N356" s="31"/>
      <c r="O356" s="31"/>
      <c r="P356" s="31"/>
      <c r="Q356" s="31"/>
      <c r="R356" s="31"/>
      <c r="S356" s="31"/>
      <c r="T356" s="32"/>
      <c r="U356" s="31"/>
    </row>
    <row r="357" spans="1:21">
      <c r="A357" s="34"/>
      <c r="B357" s="34"/>
      <c r="C357" s="34"/>
      <c r="D357" s="34"/>
      <c r="E357" s="34"/>
      <c r="F357" s="34"/>
      <c r="G357" s="30"/>
      <c r="H357" s="31"/>
      <c r="I357" s="32"/>
      <c r="J357" s="32"/>
      <c r="K357" s="31"/>
      <c r="L357" s="31"/>
      <c r="M357" s="32"/>
      <c r="N357" s="32"/>
      <c r="O357" s="31"/>
      <c r="P357" s="31"/>
      <c r="Q357" s="31"/>
      <c r="R357" s="31"/>
      <c r="S357" s="31"/>
      <c r="T357" s="32"/>
      <c r="U357" s="31"/>
    </row>
    <row r="358" spans="1:21">
      <c r="A358" s="34"/>
      <c r="B358" s="34"/>
      <c r="C358" s="34"/>
      <c r="D358" s="34"/>
      <c r="E358" s="34"/>
      <c r="F358" s="30"/>
      <c r="G358" s="30"/>
      <c r="H358" s="31"/>
      <c r="I358" s="32"/>
      <c r="J358" s="32"/>
      <c r="K358" s="31"/>
      <c r="L358" s="31"/>
      <c r="M358" s="32"/>
      <c r="N358" s="32"/>
      <c r="O358" s="31"/>
      <c r="P358" s="31"/>
      <c r="Q358" s="31"/>
      <c r="R358" s="31"/>
      <c r="S358" s="31"/>
      <c r="T358" s="32"/>
      <c r="U358" s="31"/>
    </row>
    <row r="359" spans="1:21">
      <c r="A359" s="28"/>
      <c r="B359" s="29"/>
      <c r="C359" s="30"/>
      <c r="D359" s="30"/>
      <c r="E359" s="30"/>
      <c r="F359" s="30"/>
      <c r="G359" s="30"/>
      <c r="H359" s="31"/>
      <c r="I359" s="32"/>
      <c r="J359" s="32"/>
      <c r="K359" s="31"/>
      <c r="L359" s="31"/>
      <c r="M359" s="32"/>
      <c r="N359" s="32"/>
      <c r="O359" s="31"/>
      <c r="P359" s="31"/>
      <c r="Q359" s="31"/>
      <c r="R359" s="31"/>
      <c r="S359" s="31"/>
      <c r="T359" s="32"/>
      <c r="U359" s="31"/>
    </row>
    <row r="360" spans="1:21">
      <c r="A360" s="28"/>
      <c r="B360" s="29"/>
      <c r="C360" s="30"/>
      <c r="D360" s="30"/>
      <c r="E360" s="30"/>
      <c r="F360" s="30"/>
      <c r="G360" s="30"/>
      <c r="H360" s="31"/>
      <c r="I360" s="32"/>
      <c r="J360" s="32"/>
      <c r="K360" s="31"/>
      <c r="L360" s="31"/>
      <c r="M360" s="32"/>
      <c r="N360" s="32"/>
      <c r="O360" s="31"/>
      <c r="P360" s="31"/>
      <c r="Q360" s="31"/>
      <c r="R360" s="31"/>
      <c r="S360" s="31"/>
      <c r="T360" s="31"/>
      <c r="U360" s="31"/>
    </row>
    <row r="361" spans="1:21">
      <c r="A361" s="28"/>
      <c r="B361" s="29"/>
      <c r="C361" s="30"/>
      <c r="D361" s="30"/>
      <c r="E361" s="30"/>
      <c r="F361" s="30"/>
      <c r="G361" s="30"/>
      <c r="H361" s="31"/>
      <c r="I361" s="32"/>
      <c r="J361" s="32"/>
      <c r="K361" s="31"/>
      <c r="L361" s="31"/>
      <c r="M361" s="32"/>
      <c r="N361" s="32"/>
      <c r="O361" s="31"/>
      <c r="P361" s="33"/>
      <c r="Q361" s="33"/>
      <c r="R361" s="33"/>
      <c r="S361" s="33"/>
      <c r="T361" s="31"/>
      <c r="U361" s="31"/>
    </row>
    <row r="362" spans="1:21">
      <c r="A362" s="28"/>
      <c r="B362" s="29"/>
      <c r="C362" s="30"/>
      <c r="D362" s="30"/>
      <c r="E362" s="30"/>
      <c r="F362" s="30"/>
      <c r="G362" s="30"/>
      <c r="H362" s="31"/>
      <c r="I362" s="31"/>
      <c r="J362" s="31"/>
      <c r="K362" s="31"/>
      <c r="L362" s="31"/>
      <c r="M362" s="31"/>
      <c r="N362" s="31"/>
      <c r="O362" s="31"/>
      <c r="P362" s="33"/>
      <c r="Q362" s="33"/>
      <c r="R362" s="33"/>
      <c r="S362" s="33"/>
      <c r="T362" s="31"/>
      <c r="U362" s="31"/>
    </row>
    <row r="363" spans="1:21">
      <c r="A363" s="28"/>
      <c r="B363" s="29"/>
      <c r="C363" s="30"/>
      <c r="D363" s="30"/>
      <c r="E363" s="30"/>
      <c r="F363" s="30"/>
      <c r="G363" s="30"/>
      <c r="H363" s="31"/>
      <c r="I363" s="31"/>
      <c r="J363" s="31"/>
      <c r="K363" s="31"/>
      <c r="L363" s="31"/>
      <c r="M363" s="31"/>
      <c r="N363" s="31"/>
      <c r="O363" s="31"/>
      <c r="P363" s="33"/>
      <c r="Q363" s="33"/>
      <c r="R363" s="33"/>
      <c r="S363" s="33"/>
      <c r="T363" s="31"/>
      <c r="U363" s="31"/>
    </row>
    <row r="364" spans="1:21">
      <c r="A364" s="28"/>
      <c r="B364" s="29"/>
      <c r="C364" s="30"/>
      <c r="D364" s="30"/>
      <c r="E364" s="30"/>
      <c r="F364" s="30"/>
      <c r="G364" s="30"/>
      <c r="H364" s="31"/>
      <c r="I364" s="31"/>
      <c r="J364" s="31"/>
      <c r="K364" s="31"/>
      <c r="L364" s="31"/>
      <c r="M364" s="31"/>
      <c r="N364" s="31"/>
      <c r="O364" s="31"/>
      <c r="P364" s="33"/>
      <c r="Q364" s="33"/>
      <c r="R364" s="33"/>
      <c r="S364" s="33"/>
      <c r="T364" s="31"/>
      <c r="U364" s="31"/>
    </row>
    <row r="365" spans="1:21">
      <c r="A365" s="28"/>
      <c r="B365" s="29"/>
      <c r="C365" s="30"/>
      <c r="D365" s="30"/>
      <c r="E365" s="30"/>
      <c r="F365" s="30"/>
      <c r="G365" s="30"/>
      <c r="H365" s="31"/>
      <c r="I365" s="31"/>
      <c r="J365" s="31"/>
      <c r="K365" s="31"/>
      <c r="L365" s="31"/>
      <c r="M365" s="31"/>
      <c r="N365" s="31"/>
      <c r="O365" s="31"/>
      <c r="P365" s="33"/>
      <c r="Q365" s="33"/>
      <c r="R365" s="33"/>
      <c r="S365" s="33"/>
      <c r="T365" s="31"/>
      <c r="U365" s="31"/>
    </row>
    <row r="366" spans="1:21">
      <c r="A366" s="28"/>
      <c r="B366" s="29"/>
      <c r="C366" s="30"/>
      <c r="D366" s="30"/>
      <c r="E366" s="30"/>
      <c r="F366" s="30"/>
      <c r="G366" s="30"/>
      <c r="H366" s="31"/>
      <c r="I366" s="31"/>
      <c r="J366" s="31"/>
      <c r="K366" s="31"/>
      <c r="L366" s="31"/>
      <c r="M366" s="31"/>
      <c r="N366" s="31"/>
      <c r="O366" s="31"/>
      <c r="P366" s="33"/>
      <c r="Q366" s="33"/>
      <c r="R366" s="33"/>
      <c r="S366" s="33"/>
      <c r="T366" s="31"/>
      <c r="U366" s="31"/>
    </row>
    <row r="367" spans="1:21">
      <c r="A367" s="28"/>
      <c r="B367" s="29"/>
      <c r="C367" s="30"/>
      <c r="D367" s="30"/>
      <c r="E367" s="30"/>
      <c r="F367" s="30"/>
      <c r="G367" s="30"/>
      <c r="H367" s="31"/>
      <c r="I367" s="31"/>
      <c r="J367" s="31"/>
      <c r="K367" s="31"/>
      <c r="L367" s="31"/>
      <c r="M367" s="31"/>
      <c r="N367" s="31"/>
      <c r="O367" s="31"/>
      <c r="P367" s="33"/>
      <c r="Q367" s="33"/>
      <c r="R367" s="33"/>
      <c r="S367" s="33"/>
      <c r="T367" s="31"/>
      <c r="U367" s="31"/>
    </row>
  </sheetData>
  <mergeCells count="30">
    <mergeCell ref="A352:U352"/>
    <mergeCell ref="A346:G346"/>
    <mergeCell ref="A347:U347"/>
    <mergeCell ref="A349:G349"/>
    <mergeCell ref="A350:G350"/>
    <mergeCell ref="A1:R1"/>
    <mergeCell ref="A351:U351"/>
    <mergeCell ref="L3:M4"/>
    <mergeCell ref="A305:G305"/>
    <mergeCell ref="A306:U306"/>
    <mergeCell ref="A321:G321"/>
    <mergeCell ref="A322:U322"/>
    <mergeCell ref="A333:G333"/>
    <mergeCell ref="A334:U334"/>
    <mergeCell ref="Q3:Q5"/>
    <mergeCell ref="R3:R5"/>
    <mergeCell ref="S3:S5"/>
    <mergeCell ref="T3:T5"/>
    <mergeCell ref="U3:U5"/>
    <mergeCell ref="G3:G5"/>
    <mergeCell ref="H3:K4"/>
    <mergeCell ref="N3:N5"/>
    <mergeCell ref="O3:O5"/>
    <mergeCell ref="P3:P5"/>
    <mergeCell ref="A3:A5"/>
    <mergeCell ref="B3:B5"/>
    <mergeCell ref="C3:C5"/>
    <mergeCell ref="D3:D5"/>
    <mergeCell ref="E3:E5"/>
    <mergeCell ref="F3:F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FJ360"/>
  <sheetViews>
    <sheetView tabSelected="1" view="pageBreakPreview" topLeftCell="A248" zoomScale="115" zoomScaleNormal="100" zoomScaleSheetLayoutView="115" workbookViewId="0">
      <selection activeCell="K294" sqref="K294"/>
    </sheetView>
  </sheetViews>
  <sheetFormatPr defaultRowHeight="15"/>
  <cols>
    <col min="1" max="1" width="10.7109375" style="63" customWidth="1"/>
    <col min="2" max="2" width="20.140625" style="63" customWidth="1"/>
    <col min="3" max="3" width="70.140625" style="99" customWidth="1"/>
    <col min="4" max="4" width="10.42578125" style="111" customWidth="1"/>
    <col min="5" max="5" width="9.7109375" style="64" hidden="1" customWidth="1"/>
    <col min="6" max="6" width="12.28515625" style="112" customWidth="1"/>
    <col min="7" max="7" width="11.28515625" style="63" customWidth="1"/>
    <col min="8" max="8" width="19.7109375" style="63" customWidth="1"/>
    <col min="9" max="16384" width="9.140625" style="63"/>
  </cols>
  <sheetData>
    <row r="1" spans="1:13" s="96" customFormat="1" ht="24" customHeight="1">
      <c r="A1" s="495" t="s">
        <v>837</v>
      </c>
      <c r="B1" s="496"/>
      <c r="C1" s="496"/>
      <c r="D1" s="496"/>
      <c r="E1" s="496"/>
      <c r="F1" s="496"/>
      <c r="G1" s="496"/>
      <c r="H1" s="497"/>
    </row>
    <row r="2" spans="1:13" s="96" customFormat="1" ht="52.5" customHeight="1">
      <c r="A2" s="498" t="s">
        <v>832</v>
      </c>
      <c r="B2" s="499"/>
      <c r="C2" s="499"/>
      <c r="D2" s="499"/>
      <c r="E2" s="499"/>
      <c r="F2" s="499"/>
      <c r="G2" s="499"/>
      <c r="H2" s="500"/>
    </row>
    <row r="3" spans="1:13" ht="45" customHeight="1" thickBot="1">
      <c r="A3" s="291" t="s">
        <v>0</v>
      </c>
      <c r="B3" s="171" t="s">
        <v>1</v>
      </c>
      <c r="C3" s="172" t="s">
        <v>681</v>
      </c>
      <c r="D3" s="172" t="s">
        <v>2</v>
      </c>
      <c r="E3" s="292" t="s">
        <v>3</v>
      </c>
      <c r="F3" s="293" t="s">
        <v>4</v>
      </c>
      <c r="G3" s="292" t="s">
        <v>338</v>
      </c>
      <c r="H3" s="294" t="s">
        <v>339</v>
      </c>
    </row>
    <row r="4" spans="1:13" ht="19.5" customHeight="1">
      <c r="A4" s="303" t="s">
        <v>5</v>
      </c>
      <c r="B4" s="501" t="s">
        <v>6</v>
      </c>
      <c r="C4" s="502"/>
      <c r="D4" s="502"/>
      <c r="E4" s="502"/>
      <c r="F4" s="502"/>
      <c r="G4" s="502"/>
      <c r="H4" s="503"/>
    </row>
    <row r="5" spans="1:13" ht="26.25" customHeight="1">
      <c r="A5" s="238" t="s">
        <v>7</v>
      </c>
      <c r="B5" s="74" t="s">
        <v>376</v>
      </c>
      <c r="C5" s="490" t="s">
        <v>8</v>
      </c>
      <c r="D5" s="491"/>
      <c r="E5" s="491"/>
      <c r="F5" s="491"/>
      <c r="G5" s="491"/>
      <c r="H5" s="492"/>
      <c r="M5" s="99"/>
    </row>
    <row r="6" spans="1:13" ht="18.75" customHeight="1">
      <c r="A6" s="239" t="s">
        <v>9</v>
      </c>
      <c r="B6" s="93" t="s">
        <v>10</v>
      </c>
      <c r="C6" s="269" t="s">
        <v>11</v>
      </c>
      <c r="D6" s="165"/>
      <c r="E6" s="165"/>
      <c r="F6" s="165"/>
      <c r="G6" s="165"/>
      <c r="H6" s="290"/>
    </row>
    <row r="7" spans="1:13" ht="26.25" customHeight="1">
      <c r="A7" s="252" t="s">
        <v>12</v>
      </c>
      <c r="B7" s="400" t="s">
        <v>10</v>
      </c>
      <c r="C7" s="394" t="s">
        <v>13</v>
      </c>
      <c r="D7" s="395" t="s">
        <v>14</v>
      </c>
      <c r="E7" s="335">
        <v>1</v>
      </c>
      <c r="F7" s="396">
        <f t="shared" ref="F7:F11" si="0">E7</f>
        <v>1</v>
      </c>
      <c r="G7" s="397"/>
      <c r="H7" s="398"/>
    </row>
    <row r="8" spans="1:13" ht="40.5" customHeight="1">
      <c r="A8" s="252" t="s">
        <v>15</v>
      </c>
      <c r="B8" s="400" t="s">
        <v>10</v>
      </c>
      <c r="C8" s="394" t="s">
        <v>301</v>
      </c>
      <c r="D8" s="395" t="s">
        <v>14</v>
      </c>
      <c r="E8" s="335">
        <v>1</v>
      </c>
      <c r="F8" s="396">
        <f t="shared" si="0"/>
        <v>1</v>
      </c>
      <c r="G8" s="397"/>
      <c r="H8" s="398"/>
    </row>
    <row r="9" spans="1:13" ht="51" customHeight="1">
      <c r="A9" s="252" t="s">
        <v>363</v>
      </c>
      <c r="B9" s="400" t="s">
        <v>10</v>
      </c>
      <c r="C9" s="394" t="s">
        <v>375</v>
      </c>
      <c r="D9" s="395" t="s">
        <v>14</v>
      </c>
      <c r="E9" s="335">
        <v>1</v>
      </c>
      <c r="F9" s="396">
        <f t="shared" si="0"/>
        <v>1</v>
      </c>
      <c r="G9" s="397"/>
      <c r="H9" s="398"/>
    </row>
    <row r="10" spans="1:13" ht="43.5" customHeight="1">
      <c r="A10" s="252" t="s">
        <v>366</v>
      </c>
      <c r="B10" s="400" t="s">
        <v>10</v>
      </c>
      <c r="C10" s="394" t="s">
        <v>372</v>
      </c>
      <c r="D10" s="395" t="s">
        <v>14</v>
      </c>
      <c r="E10" s="335">
        <v>1</v>
      </c>
      <c r="F10" s="396">
        <f t="shared" si="0"/>
        <v>1</v>
      </c>
      <c r="G10" s="397"/>
      <c r="H10" s="398"/>
    </row>
    <row r="11" spans="1:13" ht="84" customHeight="1">
      <c r="A11" s="432" t="s">
        <v>365</v>
      </c>
      <c r="B11" s="400" t="s">
        <v>10</v>
      </c>
      <c r="C11" s="394" t="s">
        <v>373</v>
      </c>
      <c r="D11" s="395" t="s">
        <v>14</v>
      </c>
      <c r="E11" s="335">
        <v>1</v>
      </c>
      <c r="F11" s="396">
        <f t="shared" si="0"/>
        <v>1</v>
      </c>
      <c r="G11" s="397"/>
      <c r="H11" s="398"/>
    </row>
    <row r="12" spans="1:13" ht="28.5" customHeight="1">
      <c r="A12" s="488" t="s">
        <v>340</v>
      </c>
      <c r="B12" s="489"/>
      <c r="C12" s="489"/>
      <c r="D12" s="489"/>
      <c r="E12" s="489"/>
      <c r="F12" s="489"/>
      <c r="G12" s="489"/>
      <c r="H12" s="304">
        <f>H7+H8+H9+H10+H11</f>
        <v>0</v>
      </c>
    </row>
    <row r="13" spans="1:13" ht="28.5" customHeight="1">
      <c r="A13" s="504" t="s">
        <v>347</v>
      </c>
      <c r="B13" s="505"/>
      <c r="C13" s="505"/>
      <c r="D13" s="505"/>
      <c r="E13" s="505"/>
      <c r="F13" s="505"/>
      <c r="G13" s="506"/>
      <c r="H13" s="305">
        <f>H12</f>
        <v>0</v>
      </c>
    </row>
    <row r="14" spans="1:13" ht="20.25" customHeight="1">
      <c r="A14" s="237" t="s">
        <v>16</v>
      </c>
      <c r="B14" s="480" t="s">
        <v>836</v>
      </c>
      <c r="C14" s="480"/>
      <c r="D14" s="480"/>
      <c r="E14" s="480"/>
      <c r="F14" s="480"/>
      <c r="G14" s="480"/>
      <c r="H14" s="481"/>
    </row>
    <row r="15" spans="1:13" s="1" customFormat="1" ht="27" customHeight="1">
      <c r="A15" s="238" t="s">
        <v>17</v>
      </c>
      <c r="B15" s="74" t="s">
        <v>18</v>
      </c>
      <c r="C15" s="270" t="s">
        <v>19</v>
      </c>
      <c r="D15" s="174"/>
      <c r="E15" s="174"/>
      <c r="F15" s="174"/>
      <c r="G15" s="174"/>
      <c r="H15" s="289"/>
    </row>
    <row r="16" spans="1:13" ht="18" customHeight="1">
      <c r="A16" s="243" t="s">
        <v>9</v>
      </c>
      <c r="B16" s="88" t="s">
        <v>20</v>
      </c>
      <c r="C16" s="269" t="s">
        <v>21</v>
      </c>
      <c r="D16" s="165"/>
      <c r="E16" s="165"/>
      <c r="F16" s="165"/>
      <c r="G16" s="165"/>
      <c r="H16" s="288"/>
    </row>
    <row r="17" spans="1:8" s="101" customFormat="1" ht="18.75" customHeight="1">
      <c r="A17" s="249">
        <v>2</v>
      </c>
      <c r="B17" s="89" t="s">
        <v>303</v>
      </c>
      <c r="C17" s="82" t="s">
        <v>22</v>
      </c>
      <c r="D17" s="323" t="s">
        <v>23</v>
      </c>
      <c r="E17" s="84" t="s">
        <v>9</v>
      </c>
      <c r="F17" s="3">
        <f>SUM(E18:E18)</f>
        <v>1.51</v>
      </c>
      <c r="G17" s="397"/>
      <c r="H17" s="398"/>
    </row>
    <row r="18" spans="1:8" ht="108" hidden="1" customHeight="1">
      <c r="A18" s="246"/>
      <c r="B18" s="89"/>
      <c r="C18" s="82" t="s">
        <v>529</v>
      </c>
      <c r="D18" s="83" t="s">
        <v>23</v>
      </c>
      <c r="E18" s="84">
        <v>1.51</v>
      </c>
      <c r="F18" s="272" t="s">
        <v>9</v>
      </c>
      <c r="G18" s="309"/>
      <c r="H18" s="280"/>
    </row>
    <row r="19" spans="1:8" ht="17.25" customHeight="1">
      <c r="A19" s="243" t="s">
        <v>9</v>
      </c>
      <c r="B19" s="88" t="s">
        <v>24</v>
      </c>
      <c r="C19" s="485" t="s">
        <v>25</v>
      </c>
      <c r="D19" s="486"/>
      <c r="E19" s="486"/>
      <c r="F19" s="486"/>
      <c r="G19" s="486"/>
      <c r="H19" s="487"/>
    </row>
    <row r="20" spans="1:8" ht="27" customHeight="1">
      <c r="A20" s="249" t="s">
        <v>304</v>
      </c>
      <c r="B20" s="400" t="s">
        <v>531</v>
      </c>
      <c r="C20" s="82" t="s">
        <v>530</v>
      </c>
      <c r="D20" s="323" t="s">
        <v>26</v>
      </c>
      <c r="E20" s="84" t="s">
        <v>9</v>
      </c>
      <c r="F20" s="399">
        <f>E21</f>
        <v>17</v>
      </c>
      <c r="G20" s="397"/>
      <c r="H20" s="398"/>
    </row>
    <row r="21" spans="1:8" ht="48" hidden="1" customHeight="1">
      <c r="A21" s="246"/>
      <c r="B21" s="89"/>
      <c r="C21" s="82" t="s">
        <v>532</v>
      </c>
      <c r="D21" s="323" t="s">
        <v>26</v>
      </c>
      <c r="E21" s="84">
        <f>'2. Roboty rozbiórkowe '!D9</f>
        <v>17</v>
      </c>
      <c r="F21" s="399" t="s">
        <v>9</v>
      </c>
      <c r="G21" s="383"/>
      <c r="H21" s="384"/>
    </row>
    <row r="22" spans="1:8" ht="16.5" customHeight="1">
      <c r="A22" s="249" t="s">
        <v>305</v>
      </c>
      <c r="B22" s="400" t="s">
        <v>27</v>
      </c>
      <c r="C22" s="82" t="s">
        <v>28</v>
      </c>
      <c r="D22" s="323" t="s">
        <v>29</v>
      </c>
      <c r="E22" s="84" t="s">
        <v>9</v>
      </c>
      <c r="F22" s="399">
        <f>E23</f>
        <v>0.36</v>
      </c>
      <c r="G22" s="84"/>
      <c r="H22" s="398"/>
    </row>
    <row r="23" spans="1:8" ht="62.25" hidden="1" customHeight="1">
      <c r="A23" s="246"/>
      <c r="B23" s="89"/>
      <c r="C23" s="82" t="s">
        <v>533</v>
      </c>
      <c r="D23" s="83" t="s">
        <v>29</v>
      </c>
      <c r="E23" s="84">
        <f>'2. Roboty rozbiórkowe '!D10</f>
        <v>0.36</v>
      </c>
      <c r="F23" s="272" t="s">
        <v>9</v>
      </c>
      <c r="G23" s="276"/>
      <c r="H23" s="280"/>
    </row>
    <row r="24" spans="1:8" ht="18" customHeight="1">
      <c r="A24" s="243" t="s">
        <v>9</v>
      </c>
      <c r="B24" s="75" t="s">
        <v>30</v>
      </c>
      <c r="C24" s="269" t="s">
        <v>31</v>
      </c>
      <c r="D24" s="165"/>
      <c r="E24" s="165"/>
      <c r="F24" s="165"/>
      <c r="G24" s="165"/>
      <c r="H24" s="288"/>
    </row>
    <row r="25" spans="1:8" s="101" customFormat="1" ht="28.5" customHeight="1">
      <c r="A25" s="249" t="s">
        <v>306</v>
      </c>
      <c r="B25" s="89" t="s">
        <v>32</v>
      </c>
      <c r="C25" s="82" t="s">
        <v>35</v>
      </c>
      <c r="D25" s="323" t="s">
        <v>34</v>
      </c>
      <c r="E25" s="84" t="s">
        <v>9</v>
      </c>
      <c r="F25" s="3">
        <f>E26</f>
        <v>13778.7</v>
      </c>
      <c r="G25" s="84"/>
      <c r="H25" s="398"/>
    </row>
    <row r="26" spans="1:8" ht="56.25" hidden="1" customHeight="1">
      <c r="A26" s="246"/>
      <c r="B26" s="89"/>
      <c r="C26" s="82" t="s">
        <v>534</v>
      </c>
      <c r="D26" s="83" t="s">
        <v>34</v>
      </c>
      <c r="E26" s="84">
        <v>13778.7</v>
      </c>
      <c r="F26" s="3" t="s">
        <v>9</v>
      </c>
      <c r="G26" s="276"/>
      <c r="H26" s="280"/>
    </row>
    <row r="27" spans="1:8" ht="18" customHeight="1">
      <c r="A27" s="243" t="s">
        <v>9</v>
      </c>
      <c r="B27" s="75" t="s">
        <v>36</v>
      </c>
      <c r="C27" s="269" t="s">
        <v>37</v>
      </c>
      <c r="D27" s="165"/>
      <c r="E27" s="165"/>
      <c r="F27" s="165"/>
      <c r="G27" s="165"/>
      <c r="H27" s="288"/>
    </row>
    <row r="28" spans="1:8" ht="18" customHeight="1">
      <c r="A28" s="249" t="s">
        <v>309</v>
      </c>
      <c r="B28" s="89" t="s">
        <v>307</v>
      </c>
      <c r="C28" s="82" t="s">
        <v>535</v>
      </c>
      <c r="D28" s="323" t="s">
        <v>34</v>
      </c>
      <c r="E28" s="84" t="s">
        <v>9</v>
      </c>
      <c r="F28" s="3">
        <f>SUM(E29)</f>
        <v>1257.3599999999999</v>
      </c>
      <c r="G28" s="84"/>
      <c r="H28" s="398"/>
    </row>
    <row r="29" spans="1:8" ht="49.5" hidden="1" customHeight="1">
      <c r="A29" s="246"/>
      <c r="B29" s="89"/>
      <c r="C29" s="82" t="s">
        <v>536</v>
      </c>
      <c r="D29" s="323" t="s">
        <v>34</v>
      </c>
      <c r="E29" s="84">
        <f>'2. Roboty rozbiórkowe '!D4</f>
        <v>1257.3599999999999</v>
      </c>
      <c r="F29" s="3" t="s">
        <v>9</v>
      </c>
      <c r="G29" s="276"/>
      <c r="H29" s="384"/>
    </row>
    <row r="30" spans="1:8" ht="49.5" hidden="1" customHeight="1">
      <c r="A30" s="249" t="s">
        <v>223</v>
      </c>
      <c r="B30" s="80" t="str">
        <f>B28</f>
        <v>01.02.04.11</v>
      </c>
      <c r="C30" s="76" t="s">
        <v>537</v>
      </c>
      <c r="D30" s="77" t="s">
        <v>39</v>
      </c>
      <c r="E30" s="78">
        <f>E29*0.35</f>
        <v>440.08</v>
      </c>
      <c r="F30" s="169">
        <f>E30</f>
        <v>440.08</v>
      </c>
      <c r="G30" s="276"/>
      <c r="H30" s="384"/>
    </row>
    <row r="31" spans="1:8" s="101" customFormat="1" ht="19.5" customHeight="1">
      <c r="A31" s="249" t="s">
        <v>311</v>
      </c>
      <c r="B31" s="89" t="s">
        <v>38</v>
      </c>
      <c r="C31" s="82" t="s">
        <v>538</v>
      </c>
      <c r="D31" s="323" t="s">
        <v>34</v>
      </c>
      <c r="E31" s="84" t="s">
        <v>9</v>
      </c>
      <c r="F31" s="3">
        <f>SUM(E32)</f>
        <v>2137.8000000000002</v>
      </c>
      <c r="G31" s="84"/>
      <c r="H31" s="398"/>
    </row>
    <row r="32" spans="1:8" ht="29.25" hidden="1" customHeight="1">
      <c r="A32" s="246"/>
      <c r="B32" s="89"/>
      <c r="C32" s="82" t="s">
        <v>539</v>
      </c>
      <c r="D32" s="323" t="s">
        <v>34</v>
      </c>
      <c r="E32" s="84">
        <f>'2. Roboty rozbiórkowe '!D5</f>
        <v>2137.8000000000002</v>
      </c>
      <c r="F32" s="3" t="s">
        <v>9</v>
      </c>
      <c r="G32" s="276"/>
      <c r="H32" s="384"/>
    </row>
    <row r="33" spans="1:166" s="102" customFormat="1" ht="43.5" hidden="1" customHeight="1">
      <c r="A33" s="249" t="s">
        <v>665</v>
      </c>
      <c r="B33" s="80" t="str">
        <f>B31</f>
        <v>01.02.04.21</v>
      </c>
      <c r="C33" s="76" t="s">
        <v>540</v>
      </c>
      <c r="D33" s="77" t="s">
        <v>39</v>
      </c>
      <c r="E33" s="78">
        <f>E32*0.2</f>
        <v>427.56</v>
      </c>
      <c r="F33" s="169">
        <f>E33</f>
        <v>427.56</v>
      </c>
      <c r="G33" s="277"/>
      <c r="H33" s="385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</row>
    <row r="34" spans="1:166" s="102" customFormat="1" ht="20.25" customHeight="1">
      <c r="A34" s="249" t="s">
        <v>312</v>
      </c>
      <c r="B34" s="89" t="s">
        <v>40</v>
      </c>
      <c r="C34" s="82" t="s">
        <v>41</v>
      </c>
      <c r="D34" s="323" t="s">
        <v>34</v>
      </c>
      <c r="E34" s="84" t="s">
        <v>9</v>
      </c>
      <c r="F34" s="3">
        <f>SUM(E35)</f>
        <v>1047.8</v>
      </c>
      <c r="G34" s="84"/>
      <c r="H34" s="398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</row>
    <row r="35" spans="1:166" s="102" customFormat="1" ht="45" hidden="1" customHeight="1">
      <c r="A35" s="246"/>
      <c r="B35" s="89"/>
      <c r="C35" s="82" t="s">
        <v>541</v>
      </c>
      <c r="D35" s="323" t="s">
        <v>34</v>
      </c>
      <c r="E35" s="84">
        <f>'2. Roboty rozbiórkowe '!D3</f>
        <v>1047.8</v>
      </c>
      <c r="F35" s="3" t="s">
        <v>9</v>
      </c>
      <c r="G35" s="277"/>
      <c r="H35" s="385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</row>
    <row r="36" spans="1:166" s="102" customFormat="1" ht="21" customHeight="1">
      <c r="A36" s="249" t="s">
        <v>313</v>
      </c>
      <c r="B36" s="89" t="s">
        <v>544</v>
      </c>
      <c r="C36" s="82" t="s">
        <v>682</v>
      </c>
      <c r="D36" s="323" t="s">
        <v>34</v>
      </c>
      <c r="E36" s="84" t="s">
        <v>9</v>
      </c>
      <c r="F36" s="3">
        <v>9.1999999999999993</v>
      </c>
      <c r="G36" s="84"/>
      <c r="H36" s="398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</row>
    <row r="37" spans="1:166" s="102" customFormat="1" ht="45" hidden="1" customHeight="1">
      <c r="A37" s="246"/>
      <c r="B37" s="89"/>
      <c r="C37" s="82" t="s">
        <v>545</v>
      </c>
      <c r="D37" s="323" t="s">
        <v>34</v>
      </c>
      <c r="E37" s="84">
        <f>'2. Roboty rozbiórkowe '!D5</f>
        <v>2137.8000000000002</v>
      </c>
      <c r="F37" s="3" t="s">
        <v>9</v>
      </c>
      <c r="G37" s="277"/>
      <c r="H37" s="385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</row>
    <row r="38" spans="1:166" s="102" customFormat="1" ht="21" customHeight="1">
      <c r="A38" s="249" t="s">
        <v>314</v>
      </c>
      <c r="B38" s="89" t="s">
        <v>542</v>
      </c>
      <c r="C38" s="82" t="s">
        <v>543</v>
      </c>
      <c r="D38" s="323" t="s">
        <v>34</v>
      </c>
      <c r="E38" s="84" t="s">
        <v>9</v>
      </c>
      <c r="F38" s="3">
        <v>19.899999999999999</v>
      </c>
      <c r="G38" s="84"/>
      <c r="H38" s="398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</row>
    <row r="39" spans="1:166" s="102" customFormat="1" ht="45" hidden="1" customHeight="1">
      <c r="A39" s="246"/>
      <c r="B39" s="89"/>
      <c r="C39" s="82" t="s">
        <v>546</v>
      </c>
      <c r="D39" s="323" t="s">
        <v>34</v>
      </c>
      <c r="E39" s="84">
        <f>'2. Roboty rozbiórkowe '!D8</f>
        <v>9.1999999999999993</v>
      </c>
      <c r="F39" s="3" t="s">
        <v>9</v>
      </c>
      <c r="G39" s="277"/>
      <c r="H39" s="385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</row>
    <row r="40" spans="1:166" s="102" customFormat="1" ht="19.5" customHeight="1">
      <c r="A40" s="249" t="s">
        <v>315</v>
      </c>
      <c r="B40" s="89" t="s">
        <v>549</v>
      </c>
      <c r="C40" s="82" t="s">
        <v>308</v>
      </c>
      <c r="D40" s="323" t="s">
        <v>34</v>
      </c>
      <c r="E40" s="84" t="s">
        <v>9</v>
      </c>
      <c r="F40" s="3">
        <f>SUM(E41)</f>
        <v>1668.1</v>
      </c>
      <c r="G40" s="84"/>
      <c r="H40" s="398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</row>
    <row r="41" spans="1:166" s="102" customFormat="1" ht="33.75" hidden="1" customHeight="1">
      <c r="A41" s="246"/>
      <c r="B41" s="89"/>
      <c r="C41" s="82" t="s">
        <v>547</v>
      </c>
      <c r="D41" s="323" t="s">
        <v>34</v>
      </c>
      <c r="E41" s="84">
        <f>'2. Roboty rozbiórkowe '!D6</f>
        <v>1668.1</v>
      </c>
      <c r="F41" s="3" t="s">
        <v>9</v>
      </c>
      <c r="G41" s="277"/>
      <c r="H41" s="385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</row>
    <row r="42" spans="1:166" s="102" customFormat="1" ht="45" hidden="1" customHeight="1">
      <c r="A42" s="249" t="s">
        <v>666</v>
      </c>
      <c r="B42" s="80" t="str">
        <f>B40</f>
        <v>01.02.04.33</v>
      </c>
      <c r="C42" s="76" t="s">
        <v>548</v>
      </c>
      <c r="D42" s="77" t="s">
        <v>39</v>
      </c>
      <c r="E42" s="78">
        <f>E41*0.15</f>
        <v>250.22</v>
      </c>
      <c r="F42" s="169">
        <f>E42</f>
        <v>250.22</v>
      </c>
      <c r="G42" s="277"/>
      <c r="H42" s="385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</row>
    <row r="43" spans="1:166" s="102" customFormat="1" ht="22.5" customHeight="1">
      <c r="A43" s="249" t="s">
        <v>317</v>
      </c>
      <c r="B43" s="400" t="s">
        <v>558</v>
      </c>
      <c r="C43" s="82" t="s">
        <v>556</v>
      </c>
      <c r="D43" s="323" t="s">
        <v>42</v>
      </c>
      <c r="E43" s="84" t="s">
        <v>9</v>
      </c>
      <c r="F43" s="3">
        <f>E44</f>
        <v>15</v>
      </c>
      <c r="G43" s="84"/>
      <c r="H43" s="398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</row>
    <row r="44" spans="1:166" s="102" customFormat="1" ht="46.5" hidden="1" customHeight="1">
      <c r="A44" s="249"/>
      <c r="B44" s="323"/>
      <c r="C44" s="76" t="s">
        <v>557</v>
      </c>
      <c r="D44" s="84" t="s">
        <v>42</v>
      </c>
      <c r="E44" s="84">
        <f>'2. Roboty rozbiórkowe '!D14</f>
        <v>15</v>
      </c>
      <c r="F44" s="273" t="s">
        <v>9</v>
      </c>
      <c r="G44" s="277"/>
      <c r="H44" s="385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</row>
    <row r="45" spans="1:166" s="102" customFormat="1" ht="21" customHeight="1">
      <c r="A45" s="249" t="s">
        <v>667</v>
      </c>
      <c r="B45" s="400" t="s">
        <v>551</v>
      </c>
      <c r="C45" s="82" t="s">
        <v>550</v>
      </c>
      <c r="D45" s="323" t="s">
        <v>42</v>
      </c>
      <c r="E45" s="84" t="s">
        <v>9</v>
      </c>
      <c r="F45" s="3">
        <f>E46</f>
        <v>29</v>
      </c>
      <c r="G45" s="84"/>
      <c r="H45" s="398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s="102" customFormat="1" ht="62.25" hidden="1" customHeight="1">
      <c r="A46" s="252"/>
      <c r="B46" s="323"/>
      <c r="C46" s="76" t="s">
        <v>554</v>
      </c>
      <c r="D46" s="84" t="s">
        <v>42</v>
      </c>
      <c r="E46" s="84">
        <f>'2. Roboty rozbiórkowe '!D11</f>
        <v>29</v>
      </c>
      <c r="F46" s="273" t="s">
        <v>9</v>
      </c>
      <c r="G46" s="277"/>
      <c r="H46" s="385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s="102" customFormat="1" ht="26.25" customHeight="1">
      <c r="A47" s="249" t="s">
        <v>668</v>
      </c>
      <c r="B47" s="400" t="s">
        <v>43</v>
      </c>
      <c r="C47" s="82" t="s">
        <v>552</v>
      </c>
      <c r="D47" s="323" t="s">
        <v>42</v>
      </c>
      <c r="E47" s="84" t="s">
        <v>9</v>
      </c>
      <c r="F47" s="3">
        <f>E48</f>
        <v>20</v>
      </c>
      <c r="G47" s="84"/>
      <c r="H47" s="398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</row>
    <row r="48" spans="1:166" s="102" customFormat="1" ht="62.25" hidden="1" customHeight="1">
      <c r="A48" s="252"/>
      <c r="B48" s="323"/>
      <c r="C48" s="76" t="s">
        <v>555</v>
      </c>
      <c r="D48" s="84" t="s">
        <v>42</v>
      </c>
      <c r="E48" s="84">
        <f>'2. Roboty rozbiórkowe '!D13</f>
        <v>20</v>
      </c>
      <c r="F48" s="273" t="s">
        <v>9</v>
      </c>
      <c r="G48" s="277"/>
      <c r="H48" s="385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</row>
    <row r="49" spans="1:165" s="102" customFormat="1" ht="19.5" customHeight="1">
      <c r="A49" s="249" t="s">
        <v>319</v>
      </c>
      <c r="B49" s="89" t="s">
        <v>44</v>
      </c>
      <c r="C49" s="82" t="s">
        <v>45</v>
      </c>
      <c r="D49" s="323" t="s">
        <v>39</v>
      </c>
      <c r="E49" s="84" t="s">
        <v>9</v>
      </c>
      <c r="F49" s="3">
        <f>SUM(E50)</f>
        <v>7.8</v>
      </c>
      <c r="G49" s="84"/>
      <c r="H49" s="398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</row>
    <row r="50" spans="1:165" s="102" customFormat="1" ht="57.75" hidden="1" customHeight="1">
      <c r="A50" s="253"/>
      <c r="B50" s="80"/>
      <c r="C50" s="76" t="s">
        <v>559</v>
      </c>
      <c r="D50" s="77" t="s">
        <v>39</v>
      </c>
      <c r="E50" s="78">
        <f>'2. Roboty rozbiórkowe '!D12</f>
        <v>7.8</v>
      </c>
      <c r="F50" s="169" t="s">
        <v>9</v>
      </c>
      <c r="G50" s="277"/>
      <c r="H50" s="28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</row>
    <row r="51" spans="1:165" s="102" customFormat="1" ht="28.5" customHeight="1">
      <c r="A51" s="488" t="s">
        <v>341</v>
      </c>
      <c r="B51" s="489"/>
      <c r="C51" s="489"/>
      <c r="D51" s="489"/>
      <c r="E51" s="489"/>
      <c r="F51" s="489"/>
      <c r="G51" s="489"/>
      <c r="H51" s="304">
        <f>H17+H20+H22+H25+H28+H31+H34+H36+H38+H40+H43+H45+H47+H49</f>
        <v>0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</row>
    <row r="52" spans="1:165" s="102" customFormat="1" ht="27" customHeight="1">
      <c r="A52" s="238" t="s">
        <v>47</v>
      </c>
      <c r="B52" s="74" t="s">
        <v>48</v>
      </c>
      <c r="C52" s="270" t="s">
        <v>49</v>
      </c>
      <c r="D52" s="174"/>
      <c r="E52" s="174"/>
      <c r="F52" s="174"/>
      <c r="G52" s="174"/>
      <c r="H52" s="289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</row>
    <row r="53" spans="1:165" s="102" customFormat="1" ht="20.25" customHeight="1">
      <c r="A53" s="239" t="s">
        <v>9</v>
      </c>
      <c r="B53" s="75" t="s">
        <v>50</v>
      </c>
      <c r="C53" s="269" t="s">
        <v>51</v>
      </c>
      <c r="D53" s="165"/>
      <c r="E53" s="165"/>
      <c r="F53" s="165"/>
      <c r="G53" s="165"/>
      <c r="H53" s="288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</row>
    <row r="54" spans="1:165" s="102" customFormat="1" ht="27.75" customHeight="1">
      <c r="A54" s="249" t="s">
        <v>335</v>
      </c>
      <c r="B54" s="400" t="s">
        <v>310</v>
      </c>
      <c r="C54" s="401" t="s">
        <v>349</v>
      </c>
      <c r="D54" s="323" t="s">
        <v>39</v>
      </c>
      <c r="E54" s="84" t="s">
        <v>9</v>
      </c>
      <c r="F54" s="3">
        <f>E55</f>
        <v>7778</v>
      </c>
      <c r="G54" s="84"/>
      <c r="H54" s="398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</row>
    <row r="55" spans="1:165" s="102" customFormat="1" ht="98.25" hidden="1" customHeight="1">
      <c r="A55" s="254"/>
      <c r="B55" s="79"/>
      <c r="C55" s="82" t="s">
        <v>566</v>
      </c>
      <c r="D55" s="83" t="s">
        <v>39</v>
      </c>
      <c r="E55" s="84">
        <f>'7. Tab. robót ziemnych'!D81</f>
        <v>7778</v>
      </c>
      <c r="F55" s="271" t="s">
        <v>9</v>
      </c>
      <c r="G55" s="277"/>
      <c r="H55" s="283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</row>
    <row r="56" spans="1:165" s="101" customFormat="1" ht="22.5" customHeight="1">
      <c r="A56" s="239" t="s">
        <v>9</v>
      </c>
      <c r="B56" s="75" t="s">
        <v>52</v>
      </c>
      <c r="C56" s="269" t="s">
        <v>53</v>
      </c>
      <c r="D56" s="165"/>
      <c r="E56" s="165"/>
      <c r="F56" s="165"/>
      <c r="G56" s="165"/>
      <c r="H56" s="288"/>
    </row>
    <row r="57" spans="1:165" s="101" customFormat="1" ht="19.5" customHeight="1">
      <c r="A57" s="249" t="s">
        <v>336</v>
      </c>
      <c r="B57" s="400" t="s">
        <v>54</v>
      </c>
      <c r="C57" s="5" t="s">
        <v>55</v>
      </c>
      <c r="D57" s="334" t="s">
        <v>39</v>
      </c>
      <c r="E57" s="327" t="s">
        <v>9</v>
      </c>
      <c r="F57" s="170">
        <f>E58</f>
        <v>1213</v>
      </c>
      <c r="G57" s="84"/>
      <c r="H57" s="398"/>
    </row>
    <row r="58" spans="1:165" s="101" customFormat="1" ht="54" hidden="1" customHeight="1">
      <c r="A58" s="246"/>
      <c r="B58" s="89"/>
      <c r="C58" s="5" t="s">
        <v>561</v>
      </c>
      <c r="D58" s="323" t="s">
        <v>39</v>
      </c>
      <c r="E58" s="84">
        <f>'7. Tab. robót ziemnych'!F81</f>
        <v>1213</v>
      </c>
      <c r="F58" s="3" t="s">
        <v>9</v>
      </c>
      <c r="G58" s="277"/>
      <c r="H58" s="402"/>
    </row>
    <row r="59" spans="1:165" s="101" customFormat="1" ht="28.5" customHeight="1">
      <c r="A59" s="249" t="s">
        <v>337</v>
      </c>
      <c r="B59" s="400" t="s">
        <v>562</v>
      </c>
      <c r="C59" s="5" t="s">
        <v>563</v>
      </c>
      <c r="D59" s="334" t="s">
        <v>39</v>
      </c>
      <c r="E59" s="327" t="s">
        <v>9</v>
      </c>
      <c r="F59" s="170">
        <f>E60</f>
        <v>1530</v>
      </c>
      <c r="G59" s="84"/>
      <c r="H59" s="398"/>
    </row>
    <row r="60" spans="1:165" s="101" customFormat="1" ht="53.25" hidden="1" customHeight="1">
      <c r="A60" s="254"/>
      <c r="B60" s="79"/>
      <c r="C60" s="5" t="s">
        <v>565</v>
      </c>
      <c r="D60" s="83" t="s">
        <v>39</v>
      </c>
      <c r="E60" s="84">
        <f>'7. Tab. robót ziemnych'!E81-E58</f>
        <v>1530</v>
      </c>
      <c r="F60" s="3" t="s">
        <v>9</v>
      </c>
      <c r="G60" s="277"/>
      <c r="H60" s="282"/>
    </row>
    <row r="61" spans="1:165" s="101" customFormat="1" ht="30.75" customHeight="1">
      <c r="A61" s="488" t="s">
        <v>342</v>
      </c>
      <c r="B61" s="489"/>
      <c r="C61" s="489"/>
      <c r="D61" s="489"/>
      <c r="E61" s="489"/>
      <c r="F61" s="489"/>
      <c r="G61" s="489"/>
      <c r="H61" s="304">
        <f>H54+H57+H59</f>
        <v>0</v>
      </c>
    </row>
    <row r="62" spans="1:165" s="2" customFormat="1" ht="32.25" customHeight="1">
      <c r="A62" s="238" t="s">
        <v>56</v>
      </c>
      <c r="B62" s="74" t="s">
        <v>57</v>
      </c>
      <c r="C62" s="270" t="s">
        <v>58</v>
      </c>
      <c r="D62" s="174"/>
      <c r="E62" s="174"/>
      <c r="F62" s="174"/>
      <c r="G62" s="174"/>
      <c r="H62" s="289"/>
    </row>
    <row r="63" spans="1:165" s="2" customFormat="1" ht="19.5" customHeight="1">
      <c r="A63" s="239" t="s">
        <v>9</v>
      </c>
      <c r="B63" s="75" t="s">
        <v>59</v>
      </c>
      <c r="C63" s="269" t="s">
        <v>60</v>
      </c>
      <c r="D63" s="165"/>
      <c r="E63" s="165"/>
      <c r="F63" s="165"/>
      <c r="G63" s="165"/>
      <c r="H63" s="288"/>
    </row>
    <row r="64" spans="1:165" s="2" customFormat="1" ht="25.5" customHeight="1">
      <c r="A64" s="252">
        <v>19</v>
      </c>
      <c r="B64" s="400" t="s">
        <v>321</v>
      </c>
      <c r="C64" s="5" t="s">
        <v>323</v>
      </c>
      <c r="D64" s="334" t="s">
        <v>42</v>
      </c>
      <c r="E64" s="323" t="s">
        <v>9</v>
      </c>
      <c r="F64" s="396">
        <f>E65</f>
        <v>32</v>
      </c>
      <c r="G64" s="84"/>
      <c r="H64" s="398"/>
    </row>
    <row r="65" spans="1:8" s="2" customFormat="1" ht="43.5" hidden="1" customHeight="1">
      <c r="A65" s="252"/>
      <c r="B65" s="323"/>
      <c r="C65" s="5" t="s">
        <v>567</v>
      </c>
      <c r="D65" s="323" t="s">
        <v>42</v>
      </c>
      <c r="E65" s="335">
        <f>'3. Odwodnienie korpusu'!D4</f>
        <v>32</v>
      </c>
      <c r="F65" s="3" t="s">
        <v>9</v>
      </c>
      <c r="G65" s="276"/>
      <c r="H65" s="386"/>
    </row>
    <row r="66" spans="1:8" s="2" customFormat="1" ht="24" customHeight="1">
      <c r="A66" s="252">
        <v>20</v>
      </c>
      <c r="B66" s="400" t="s">
        <v>61</v>
      </c>
      <c r="C66" s="5" t="s">
        <v>322</v>
      </c>
      <c r="D66" s="334" t="s">
        <v>39</v>
      </c>
      <c r="E66" s="323" t="s">
        <v>9</v>
      </c>
      <c r="F66" s="396">
        <f>E67</f>
        <v>3.3</v>
      </c>
      <c r="G66" s="84"/>
      <c r="H66" s="398"/>
    </row>
    <row r="67" spans="1:8" s="2" customFormat="1" ht="60.75" hidden="1" customHeight="1">
      <c r="A67" s="254"/>
      <c r="B67" s="79"/>
      <c r="C67" s="5" t="s">
        <v>568</v>
      </c>
      <c r="D67" s="83" t="s">
        <v>39</v>
      </c>
      <c r="E67" s="68">
        <f>'3. Odwodnienie korpusu'!D10</f>
        <v>3.3</v>
      </c>
      <c r="F67" s="3" t="s">
        <v>9</v>
      </c>
      <c r="G67" s="275"/>
      <c r="H67" s="284"/>
    </row>
    <row r="68" spans="1:8" s="2" customFormat="1" ht="18" customHeight="1">
      <c r="A68" s="239" t="s">
        <v>9</v>
      </c>
      <c r="B68" s="75" t="s">
        <v>66</v>
      </c>
      <c r="C68" s="269" t="s">
        <v>67</v>
      </c>
      <c r="D68" s="165"/>
      <c r="E68" s="165"/>
      <c r="F68" s="165"/>
      <c r="G68" s="165"/>
      <c r="H68" s="288"/>
    </row>
    <row r="69" spans="1:8" s="2" customFormat="1" ht="18" customHeight="1">
      <c r="A69" s="249" t="s">
        <v>669</v>
      </c>
      <c r="B69" s="400" t="s">
        <v>569</v>
      </c>
      <c r="C69" s="5" t="s">
        <v>572</v>
      </c>
      <c r="D69" s="334" t="s">
        <v>42</v>
      </c>
      <c r="E69" s="327" t="s">
        <v>9</v>
      </c>
      <c r="F69" s="170">
        <f>E70</f>
        <v>267.5</v>
      </c>
      <c r="G69" s="84"/>
      <c r="H69" s="398"/>
    </row>
    <row r="70" spans="1:8" s="2" customFormat="1" ht="30.75" hidden="1" customHeight="1">
      <c r="A70" s="246"/>
      <c r="B70" s="89"/>
      <c r="C70" s="5" t="s">
        <v>578</v>
      </c>
      <c r="D70" s="323" t="s">
        <v>42</v>
      </c>
      <c r="E70" s="84">
        <f>'3. Odwodnienie korpusu'!D9</f>
        <v>267.5</v>
      </c>
      <c r="F70" s="3" t="s">
        <v>9</v>
      </c>
      <c r="G70" s="276"/>
      <c r="H70" s="386"/>
    </row>
    <row r="71" spans="1:8" s="2" customFormat="1" ht="22.5" customHeight="1">
      <c r="A71" s="249" t="s">
        <v>670</v>
      </c>
      <c r="B71" s="400" t="s">
        <v>574</v>
      </c>
      <c r="C71" s="5" t="s">
        <v>316</v>
      </c>
      <c r="D71" s="334" t="s">
        <v>42</v>
      </c>
      <c r="E71" s="327" t="s">
        <v>9</v>
      </c>
      <c r="F71" s="170">
        <f>E72</f>
        <v>98</v>
      </c>
      <c r="G71" s="84"/>
      <c r="H71" s="398"/>
    </row>
    <row r="72" spans="1:8" s="2" customFormat="1" ht="32.25" hidden="1" customHeight="1">
      <c r="A72" s="246"/>
      <c r="B72" s="89"/>
      <c r="C72" s="5" t="s">
        <v>577</v>
      </c>
      <c r="D72" s="323" t="s">
        <v>42</v>
      </c>
      <c r="E72" s="84">
        <f>'3. Odwodnienie korpusu'!D8</f>
        <v>98</v>
      </c>
      <c r="F72" s="3" t="s">
        <v>9</v>
      </c>
      <c r="G72" s="276"/>
      <c r="H72" s="386"/>
    </row>
    <row r="73" spans="1:8" s="2" customFormat="1" ht="21" customHeight="1">
      <c r="A73" s="249" t="s">
        <v>671</v>
      </c>
      <c r="B73" s="400" t="s">
        <v>575</v>
      </c>
      <c r="C73" s="5" t="s">
        <v>573</v>
      </c>
      <c r="D73" s="334" t="s">
        <v>42</v>
      </c>
      <c r="E73" s="327" t="s">
        <v>9</v>
      </c>
      <c r="F73" s="170">
        <f>E74</f>
        <v>252</v>
      </c>
      <c r="G73" s="84"/>
      <c r="H73" s="398"/>
    </row>
    <row r="74" spans="1:8" s="2" customFormat="1" ht="32.25" hidden="1" customHeight="1">
      <c r="A74" s="246"/>
      <c r="B74" s="89"/>
      <c r="C74" s="5" t="s">
        <v>579</v>
      </c>
      <c r="D74" s="323" t="s">
        <v>42</v>
      </c>
      <c r="E74" s="84">
        <f>'3. Odwodnienie korpusu'!D7</f>
        <v>252</v>
      </c>
      <c r="F74" s="3" t="s">
        <v>9</v>
      </c>
      <c r="G74" s="276"/>
      <c r="H74" s="386"/>
    </row>
    <row r="75" spans="1:8" s="2" customFormat="1" ht="18" hidden="1" customHeight="1">
      <c r="A75" s="249" t="s">
        <v>672</v>
      </c>
      <c r="B75" s="80" t="s">
        <v>576</v>
      </c>
      <c r="C75" s="76" t="s">
        <v>571</v>
      </c>
      <c r="D75" s="77" t="s">
        <v>9</v>
      </c>
      <c r="E75" s="78" t="s">
        <v>9</v>
      </c>
      <c r="F75" s="169" t="s">
        <v>9</v>
      </c>
      <c r="G75" s="276"/>
      <c r="H75" s="386"/>
    </row>
    <row r="76" spans="1:8" s="2" customFormat="1" ht="18" hidden="1" customHeight="1">
      <c r="A76" s="256"/>
      <c r="B76" s="234"/>
      <c r="C76" s="230" t="s">
        <v>62</v>
      </c>
      <c r="D76" s="229" t="s">
        <v>63</v>
      </c>
      <c r="E76" s="231">
        <v>2.25</v>
      </c>
      <c r="F76" s="274">
        <v>2.25</v>
      </c>
      <c r="G76" s="276"/>
      <c r="H76" s="386"/>
    </row>
    <row r="77" spans="1:8" s="2" customFormat="1" ht="25.5" hidden="1" customHeight="1">
      <c r="A77" s="256"/>
      <c r="B77" s="234"/>
      <c r="C77" s="230" t="s">
        <v>64</v>
      </c>
      <c r="D77" s="229" t="s">
        <v>63</v>
      </c>
      <c r="E77" s="231">
        <v>0.38</v>
      </c>
      <c r="F77" s="274">
        <v>0.38</v>
      </c>
      <c r="G77" s="276"/>
      <c r="H77" s="386"/>
    </row>
    <row r="78" spans="1:8" s="2" customFormat="1" ht="18" hidden="1" customHeight="1">
      <c r="A78" s="256"/>
      <c r="B78" s="234"/>
      <c r="C78" s="230" t="s">
        <v>570</v>
      </c>
      <c r="D78" s="229" t="s">
        <v>63</v>
      </c>
      <c r="E78" s="231">
        <v>2.04</v>
      </c>
      <c r="F78" s="274">
        <v>2.04</v>
      </c>
      <c r="G78" s="276"/>
      <c r="H78" s="386"/>
    </row>
    <row r="79" spans="1:8" s="2" customFormat="1" ht="18" customHeight="1">
      <c r="A79" s="249" t="s">
        <v>673</v>
      </c>
      <c r="B79" s="400" t="s">
        <v>71</v>
      </c>
      <c r="C79" s="5" t="s">
        <v>72</v>
      </c>
      <c r="D79" s="334" t="s">
        <v>42</v>
      </c>
      <c r="E79" s="327" t="s">
        <v>9</v>
      </c>
      <c r="F79" s="170">
        <f>E80</f>
        <v>124</v>
      </c>
      <c r="G79" s="84"/>
      <c r="H79" s="398"/>
    </row>
    <row r="80" spans="1:8" s="2" customFormat="1" ht="44.25" hidden="1" customHeight="1">
      <c r="A80" s="246"/>
      <c r="B80" s="80"/>
      <c r="C80" s="5" t="s">
        <v>580</v>
      </c>
      <c r="D80" s="323" t="s">
        <v>42</v>
      </c>
      <c r="E80" s="84">
        <f>'3. Odwodnienie korpusu'!D11</f>
        <v>124</v>
      </c>
      <c r="F80" s="3" t="s">
        <v>9</v>
      </c>
      <c r="G80" s="276"/>
      <c r="H80" s="386"/>
    </row>
    <row r="81" spans="1:8" s="2" customFormat="1" ht="12.75" hidden="1">
      <c r="A81" s="249" t="s">
        <v>674</v>
      </c>
      <c r="B81" s="80" t="s">
        <v>71</v>
      </c>
      <c r="C81" s="76" t="s">
        <v>318</v>
      </c>
      <c r="D81" s="77" t="s">
        <v>9</v>
      </c>
      <c r="E81" s="78" t="s">
        <v>9</v>
      </c>
      <c r="F81" s="169" t="s">
        <v>9</v>
      </c>
      <c r="G81" s="276"/>
      <c r="H81" s="386"/>
    </row>
    <row r="82" spans="1:8" s="2" customFormat="1" ht="14.25" hidden="1">
      <c r="A82" s="253"/>
      <c r="B82" s="80"/>
      <c r="C82" s="232" t="s">
        <v>68</v>
      </c>
      <c r="D82" s="229" t="s">
        <v>63</v>
      </c>
      <c r="E82" s="231">
        <f>1*1.2*1</f>
        <v>1.2</v>
      </c>
      <c r="F82" s="274">
        <f>E82</f>
        <v>1.2</v>
      </c>
      <c r="G82" s="276"/>
      <c r="H82" s="386"/>
    </row>
    <row r="83" spans="1:8" s="2" customFormat="1" ht="25.5" hidden="1">
      <c r="A83" s="253"/>
      <c r="B83" s="80"/>
      <c r="C83" s="232" t="s">
        <v>69</v>
      </c>
      <c r="D83" s="229" t="s">
        <v>63</v>
      </c>
      <c r="E83" s="231">
        <f>1*0.2</f>
        <v>0.2</v>
      </c>
      <c r="F83" s="274">
        <f>E83</f>
        <v>0.2</v>
      </c>
      <c r="G83" s="276"/>
      <c r="H83" s="386"/>
    </row>
    <row r="84" spans="1:8" s="2" customFormat="1" ht="25.5" hidden="1">
      <c r="A84" s="253"/>
      <c r="B84" s="80"/>
      <c r="C84" s="230" t="s">
        <v>70</v>
      </c>
      <c r="D84" s="229" t="s">
        <v>63</v>
      </c>
      <c r="E84" s="231">
        <f>(1*0.8-(3.14*0.1*0.1))*1</f>
        <v>0.77</v>
      </c>
      <c r="F84" s="274">
        <f>E84</f>
        <v>0.77</v>
      </c>
      <c r="G84" s="276"/>
      <c r="H84" s="386"/>
    </row>
    <row r="85" spans="1:8" s="2" customFormat="1" ht="33.75" customHeight="1">
      <c r="A85" s="249" t="s">
        <v>675</v>
      </c>
      <c r="B85" s="400" t="s">
        <v>73</v>
      </c>
      <c r="C85" s="5" t="s">
        <v>582</v>
      </c>
      <c r="D85" s="334" t="s">
        <v>26</v>
      </c>
      <c r="E85" s="327" t="s">
        <v>9</v>
      </c>
      <c r="F85" s="170">
        <f>E86</f>
        <v>3</v>
      </c>
      <c r="G85" s="84"/>
      <c r="H85" s="398"/>
    </row>
    <row r="86" spans="1:8" s="2" customFormat="1" ht="57.75" hidden="1" customHeight="1">
      <c r="A86" s="246"/>
      <c r="B86" s="89"/>
      <c r="C86" s="5" t="s">
        <v>585</v>
      </c>
      <c r="D86" s="323" t="s">
        <v>26</v>
      </c>
      <c r="E86" s="84">
        <f>'3. Odwodnienie korpusu'!D16</f>
        <v>3</v>
      </c>
      <c r="F86" s="3" t="s">
        <v>9</v>
      </c>
      <c r="G86" s="276"/>
      <c r="H86" s="386"/>
    </row>
    <row r="87" spans="1:8" s="2" customFormat="1" ht="30" customHeight="1">
      <c r="A87" s="249" t="s">
        <v>676</v>
      </c>
      <c r="B87" s="400" t="s">
        <v>583</v>
      </c>
      <c r="C87" s="5" t="s">
        <v>838</v>
      </c>
      <c r="D87" s="334" t="s">
        <v>26</v>
      </c>
      <c r="E87" s="327" t="s">
        <v>9</v>
      </c>
      <c r="F87" s="170">
        <f>E88</f>
        <v>8</v>
      </c>
      <c r="G87" s="84"/>
      <c r="H87" s="398"/>
    </row>
    <row r="88" spans="1:8" s="2" customFormat="1" ht="56.25" hidden="1" customHeight="1">
      <c r="A88" s="246"/>
      <c r="B88" s="89"/>
      <c r="C88" s="5" t="s">
        <v>587</v>
      </c>
      <c r="D88" s="323" t="s">
        <v>26</v>
      </c>
      <c r="E88" s="84">
        <f>'3. Odwodnienie korpusu'!D15</f>
        <v>8</v>
      </c>
      <c r="F88" s="3" t="s">
        <v>9</v>
      </c>
      <c r="G88" s="276"/>
      <c r="H88" s="386"/>
    </row>
    <row r="89" spans="1:8" s="2" customFormat="1" ht="27" customHeight="1">
      <c r="A89" s="249" t="s">
        <v>677</v>
      </c>
      <c r="B89" s="400" t="s">
        <v>74</v>
      </c>
      <c r="C89" s="5" t="s">
        <v>380</v>
      </c>
      <c r="D89" s="334" t="s">
        <v>26</v>
      </c>
      <c r="E89" s="327" t="s">
        <v>9</v>
      </c>
      <c r="F89" s="170">
        <f>E90</f>
        <v>9</v>
      </c>
      <c r="G89" s="84"/>
      <c r="H89" s="398"/>
    </row>
    <row r="90" spans="1:8" s="2" customFormat="1" ht="54" hidden="1" customHeight="1">
      <c r="A90" s="246"/>
      <c r="B90" s="89"/>
      <c r="C90" s="5" t="s">
        <v>588</v>
      </c>
      <c r="D90" s="323" t="s">
        <v>26</v>
      </c>
      <c r="E90" s="84">
        <f>'3. Odwodnienie korpusu'!D14</f>
        <v>9</v>
      </c>
      <c r="F90" s="3" t="s">
        <v>9</v>
      </c>
      <c r="G90" s="276"/>
      <c r="H90" s="386"/>
    </row>
    <row r="91" spans="1:8" s="2" customFormat="1" ht="33.75" customHeight="1">
      <c r="A91" s="249" t="s">
        <v>678</v>
      </c>
      <c r="B91" s="400" t="s">
        <v>584</v>
      </c>
      <c r="C91" s="5" t="s">
        <v>839</v>
      </c>
      <c r="D91" s="334" t="s">
        <v>26</v>
      </c>
      <c r="E91" s="327" t="s">
        <v>9</v>
      </c>
      <c r="F91" s="170">
        <f>E92</f>
        <v>1</v>
      </c>
      <c r="G91" s="84"/>
      <c r="H91" s="398"/>
    </row>
    <row r="92" spans="1:8" s="2" customFormat="1" ht="57" hidden="1" customHeight="1">
      <c r="A92" s="246"/>
      <c r="B92" s="89"/>
      <c r="C92" s="5" t="s">
        <v>590</v>
      </c>
      <c r="D92" s="323" t="s">
        <v>26</v>
      </c>
      <c r="E92" s="84">
        <f>'3. Odwodnienie korpusu'!D13</f>
        <v>1</v>
      </c>
      <c r="F92" s="3" t="s">
        <v>9</v>
      </c>
      <c r="G92" s="276"/>
      <c r="H92" s="386"/>
    </row>
    <row r="93" spans="1:8" s="2" customFormat="1" ht="25.5">
      <c r="A93" s="403">
        <v>29</v>
      </c>
      <c r="B93" s="89" t="s">
        <v>75</v>
      </c>
      <c r="C93" s="5" t="s">
        <v>381</v>
      </c>
      <c r="D93" s="323" t="s">
        <v>26</v>
      </c>
      <c r="E93" s="84" t="s">
        <v>9</v>
      </c>
      <c r="F93" s="3">
        <f>E94</f>
        <v>32</v>
      </c>
      <c r="G93" s="84"/>
      <c r="H93" s="398"/>
    </row>
    <row r="94" spans="1:8" s="2" customFormat="1" ht="57" hidden="1" customHeight="1">
      <c r="A94" s="258"/>
      <c r="B94" s="79"/>
      <c r="C94" s="5" t="s">
        <v>591</v>
      </c>
      <c r="D94" s="83" t="s">
        <v>26</v>
      </c>
      <c r="E94" s="84">
        <f>'3. Odwodnienie korpusu'!D12</f>
        <v>32</v>
      </c>
      <c r="F94" s="3" t="s">
        <v>9</v>
      </c>
      <c r="G94" s="276"/>
      <c r="H94" s="284"/>
    </row>
    <row r="95" spans="1:8" s="2" customFormat="1" ht="30" customHeight="1">
      <c r="A95" s="488" t="s">
        <v>343</v>
      </c>
      <c r="B95" s="489"/>
      <c r="C95" s="489"/>
      <c r="D95" s="489"/>
      <c r="E95" s="489"/>
      <c r="F95" s="489"/>
      <c r="G95" s="489"/>
      <c r="H95" s="304">
        <f>H64+H66+H69+H71+H73+H79+H85+H87+H89+H91+H93</f>
        <v>0</v>
      </c>
    </row>
    <row r="96" spans="1:8" s="2" customFormat="1" ht="27" customHeight="1">
      <c r="A96" s="238" t="s">
        <v>76</v>
      </c>
      <c r="B96" s="74" t="s">
        <v>77</v>
      </c>
      <c r="C96" s="270" t="s">
        <v>78</v>
      </c>
      <c r="D96" s="174"/>
      <c r="E96" s="174"/>
      <c r="F96" s="174"/>
      <c r="G96" s="174"/>
      <c r="H96" s="289"/>
    </row>
    <row r="97" spans="1:8" s="2" customFormat="1" ht="19.5" customHeight="1">
      <c r="A97" s="239" t="s">
        <v>9</v>
      </c>
      <c r="B97" s="75" t="s">
        <v>79</v>
      </c>
      <c r="C97" s="269" t="s">
        <v>80</v>
      </c>
      <c r="D97" s="165"/>
      <c r="E97" s="165"/>
      <c r="F97" s="165"/>
      <c r="G97" s="165"/>
      <c r="H97" s="288"/>
    </row>
    <row r="98" spans="1:8" s="2" customFormat="1" ht="33" customHeight="1">
      <c r="A98" s="252">
        <v>30</v>
      </c>
      <c r="B98" s="404" t="s">
        <v>594</v>
      </c>
      <c r="C98" s="347" t="s">
        <v>593</v>
      </c>
      <c r="D98" s="334" t="s">
        <v>34</v>
      </c>
      <c r="E98" s="327" t="s">
        <v>9</v>
      </c>
      <c r="F98" s="170">
        <f>E99</f>
        <v>1471.1</v>
      </c>
      <c r="G98" s="84"/>
      <c r="H98" s="398"/>
    </row>
    <row r="99" spans="1:8" s="2" customFormat="1" ht="71.25" hidden="1" customHeight="1">
      <c r="A99" s="405"/>
      <c r="B99" s="406"/>
      <c r="C99" s="347" t="s">
        <v>595</v>
      </c>
      <c r="D99" s="334" t="s">
        <v>34</v>
      </c>
      <c r="E99" s="327">
        <f>'4. El. pref. 5. 6. konstr.'!C38+'1. Zjazdy indywidualne'!R72</f>
        <v>1471.1</v>
      </c>
      <c r="F99" s="170" t="s">
        <v>9</v>
      </c>
      <c r="G99" s="276"/>
      <c r="H99" s="386"/>
    </row>
    <row r="100" spans="1:8" s="1" customFormat="1" ht="25.5">
      <c r="A100" s="252">
        <v>31</v>
      </c>
      <c r="B100" s="404" t="s">
        <v>81</v>
      </c>
      <c r="C100" s="347" t="s">
        <v>592</v>
      </c>
      <c r="D100" s="334" t="s">
        <v>34</v>
      </c>
      <c r="E100" s="327" t="s">
        <v>9</v>
      </c>
      <c r="F100" s="170">
        <f>E101</f>
        <v>8049.47</v>
      </c>
      <c r="G100" s="84"/>
      <c r="H100" s="398"/>
    </row>
    <row r="101" spans="1:8" s="1" customFormat="1" ht="71.25" hidden="1" customHeight="1">
      <c r="A101" s="259"/>
      <c r="B101" s="166"/>
      <c r="C101" s="73" t="s">
        <v>596</v>
      </c>
      <c r="D101" s="86" t="s">
        <v>34</v>
      </c>
      <c r="E101" s="87">
        <f>'4. El. pref. 5. 6. konstr.'!C29+'4. El. pref. 5. 6. konstr.'!C22</f>
        <v>8049.47</v>
      </c>
      <c r="F101" s="170" t="s">
        <v>9</v>
      </c>
      <c r="G101" s="278"/>
      <c r="H101" s="281"/>
    </row>
    <row r="102" spans="1:8" s="1" customFormat="1" ht="18.75" customHeight="1">
      <c r="A102" s="239" t="s">
        <v>9</v>
      </c>
      <c r="B102" s="75" t="s">
        <v>82</v>
      </c>
      <c r="C102" s="269" t="s">
        <v>83</v>
      </c>
      <c r="D102" s="165"/>
      <c r="E102" s="165"/>
      <c r="F102" s="165"/>
      <c r="G102" s="165"/>
      <c r="H102" s="288"/>
    </row>
    <row r="103" spans="1:8" s="1" customFormat="1" ht="25.5">
      <c r="A103" s="252">
        <v>32</v>
      </c>
      <c r="B103" s="404" t="s">
        <v>84</v>
      </c>
      <c r="C103" s="347" t="s">
        <v>85</v>
      </c>
      <c r="D103" s="334" t="s">
        <v>34</v>
      </c>
      <c r="E103" s="327" t="s">
        <v>9</v>
      </c>
      <c r="F103" s="170">
        <f>E104</f>
        <v>8655.0400000000009</v>
      </c>
      <c r="G103" s="84"/>
      <c r="H103" s="398"/>
    </row>
    <row r="104" spans="1:8" s="1" customFormat="1" ht="124.5" hidden="1" customHeight="1">
      <c r="A104" s="263"/>
      <c r="B104" s="70"/>
      <c r="C104" s="347" t="s">
        <v>597</v>
      </c>
      <c r="D104" s="334" t="s">
        <v>34</v>
      </c>
      <c r="E104" s="327">
        <f>'1. Zjazdy indywidualne'!N72+'4. El. pref. 5. 6. konstr.'!C28+'4. El. pref. 5. 6. konstr.'!C21</f>
        <v>8655.0400000000009</v>
      </c>
      <c r="F104" s="170" t="s">
        <v>9</v>
      </c>
      <c r="G104" s="278"/>
      <c r="H104" s="386"/>
    </row>
    <row r="105" spans="1:8" s="1" customFormat="1" ht="25.5">
      <c r="A105" s="252">
        <v>33</v>
      </c>
      <c r="B105" s="404" t="s">
        <v>86</v>
      </c>
      <c r="C105" s="347" t="s">
        <v>87</v>
      </c>
      <c r="D105" s="334" t="s">
        <v>34</v>
      </c>
      <c r="E105" s="327" t="s">
        <v>9</v>
      </c>
      <c r="F105" s="170">
        <f>E106</f>
        <v>11917</v>
      </c>
      <c r="G105" s="84"/>
      <c r="H105" s="398"/>
    </row>
    <row r="106" spans="1:8" s="1" customFormat="1" ht="128.25" hidden="1" customHeight="1">
      <c r="A106" s="262"/>
      <c r="B106" s="85"/>
      <c r="C106" s="73" t="s">
        <v>679</v>
      </c>
      <c r="D106" s="86" t="s">
        <v>34</v>
      </c>
      <c r="E106" s="87">
        <f>'1. Zjazdy indywidualne'!M72+'4. El. pref. 5. 6. konstr.'!C20+'4. El. pref. 5. 6. konstr.'!C19+'4. El. pref. 5. 6. konstr.'!C27</f>
        <v>11917</v>
      </c>
      <c r="F106" s="170" t="s">
        <v>9</v>
      </c>
      <c r="G106" s="278"/>
      <c r="H106" s="281"/>
    </row>
    <row r="107" spans="1:8" s="7" customFormat="1" ht="18" customHeight="1">
      <c r="A107" s="239" t="s">
        <v>9</v>
      </c>
      <c r="B107" s="75" t="s">
        <v>88</v>
      </c>
      <c r="C107" s="269" t="s">
        <v>89</v>
      </c>
      <c r="D107" s="165"/>
      <c r="E107" s="165"/>
      <c r="F107" s="165"/>
      <c r="G107" s="165"/>
      <c r="H107" s="288"/>
    </row>
    <row r="108" spans="1:8" s="7" customFormat="1" ht="34.5" customHeight="1">
      <c r="A108" s="252">
        <v>34</v>
      </c>
      <c r="B108" s="70" t="s">
        <v>224</v>
      </c>
      <c r="C108" s="233" t="s">
        <v>90</v>
      </c>
      <c r="D108" s="334" t="s">
        <v>34</v>
      </c>
      <c r="E108" s="327" t="s">
        <v>9</v>
      </c>
      <c r="F108" s="170">
        <f>SUM(E109:E109)</f>
        <v>1338.9</v>
      </c>
      <c r="G108" s="84"/>
      <c r="H108" s="398"/>
    </row>
    <row r="109" spans="1:8" s="7" customFormat="1" ht="48" hidden="1" customHeight="1">
      <c r="A109" s="263"/>
      <c r="B109" s="70"/>
      <c r="C109" s="347" t="s">
        <v>598</v>
      </c>
      <c r="D109" s="334" t="s">
        <v>34</v>
      </c>
      <c r="E109" s="327">
        <f>'4. El. pref. 5. 6. konstr.'!C37</f>
        <v>1338.9</v>
      </c>
      <c r="F109" s="170" t="s">
        <v>9</v>
      </c>
      <c r="G109" s="277"/>
      <c r="H109" s="387"/>
    </row>
    <row r="110" spans="1:8" s="7" customFormat="1" ht="30" customHeight="1">
      <c r="A110" s="252">
        <v>35</v>
      </c>
      <c r="B110" s="70" t="s">
        <v>329</v>
      </c>
      <c r="C110" s="233" t="s">
        <v>328</v>
      </c>
      <c r="D110" s="334" t="s">
        <v>34</v>
      </c>
      <c r="E110" s="327" t="s">
        <v>9</v>
      </c>
      <c r="F110" s="170">
        <f>SUM(E111:E111)</f>
        <v>4460.17</v>
      </c>
      <c r="G110" s="84"/>
      <c r="H110" s="398"/>
    </row>
    <row r="111" spans="1:8" s="7" customFormat="1" ht="71.25" hidden="1" customHeight="1">
      <c r="A111" s="263"/>
      <c r="B111" s="70"/>
      <c r="C111" s="347" t="s">
        <v>600</v>
      </c>
      <c r="D111" s="334" t="s">
        <v>34</v>
      </c>
      <c r="E111" s="327">
        <f>'1. Zjazdy indywidualne'!N72+'4. El. pref. 5. 6. konstr.'!C28</f>
        <v>4460.17</v>
      </c>
      <c r="F111" s="170" t="s">
        <v>9</v>
      </c>
      <c r="G111" s="277"/>
      <c r="H111" s="387"/>
    </row>
    <row r="112" spans="1:8" s="7" customFormat="1" ht="30.75" customHeight="1">
      <c r="A112" s="252">
        <v>36</v>
      </c>
      <c r="B112" s="70" t="s">
        <v>599</v>
      </c>
      <c r="C112" s="233" t="s">
        <v>601</v>
      </c>
      <c r="D112" s="334" t="s">
        <v>34</v>
      </c>
      <c r="E112" s="327" t="s">
        <v>9</v>
      </c>
      <c r="F112" s="170">
        <f>SUM(E113:E113)</f>
        <v>4194.87</v>
      </c>
      <c r="G112" s="84"/>
      <c r="H112" s="398"/>
    </row>
    <row r="113" spans="1:8" s="7" customFormat="1" ht="51" hidden="1">
      <c r="A113" s="263"/>
      <c r="B113" s="70"/>
      <c r="C113" s="73" t="s">
        <v>602</v>
      </c>
      <c r="D113" s="86" t="s">
        <v>34</v>
      </c>
      <c r="E113" s="87">
        <f>'4. El. pref. 5. 6. konstr.'!C21</f>
        <v>4194.87</v>
      </c>
      <c r="F113" s="90" t="s">
        <v>9</v>
      </c>
      <c r="G113" s="277"/>
      <c r="H113" s="285"/>
    </row>
    <row r="114" spans="1:8" s="7" customFormat="1" ht="18" customHeight="1">
      <c r="A114" s="239" t="s">
        <v>9</v>
      </c>
      <c r="B114" s="167" t="s">
        <v>325</v>
      </c>
      <c r="C114" s="269" t="s">
        <v>326</v>
      </c>
      <c r="D114" s="165"/>
      <c r="E114" s="165"/>
      <c r="F114" s="165"/>
      <c r="G114" s="165"/>
      <c r="H114" s="288"/>
    </row>
    <row r="115" spans="1:8" s="7" customFormat="1" ht="15.75">
      <c r="A115" s="252">
        <v>37</v>
      </c>
      <c r="B115" s="407" t="s">
        <v>330</v>
      </c>
      <c r="C115" s="233" t="s">
        <v>327</v>
      </c>
      <c r="D115" s="334" t="s">
        <v>34</v>
      </c>
      <c r="E115" s="327" t="s">
        <v>9</v>
      </c>
      <c r="F115" s="170">
        <f>SUM(E116:E116)</f>
        <v>1471.1</v>
      </c>
      <c r="G115" s="84"/>
      <c r="H115" s="398"/>
    </row>
    <row r="116" spans="1:8" s="7" customFormat="1" ht="67.5" hidden="1" customHeight="1">
      <c r="A116" s="252"/>
      <c r="B116" s="407"/>
      <c r="C116" s="233" t="s">
        <v>604</v>
      </c>
      <c r="D116" s="334" t="s">
        <v>34</v>
      </c>
      <c r="E116" s="327">
        <f>'1. Zjazdy indywidualne'!R72+'4. El. pref. 5. 6. konstr.'!C38</f>
        <v>1471.1</v>
      </c>
      <c r="F116" s="170" t="s">
        <v>9</v>
      </c>
      <c r="G116" s="277"/>
      <c r="H116" s="387"/>
    </row>
    <row r="117" spans="1:8" s="7" customFormat="1" ht="15.75">
      <c r="A117" s="252">
        <v>38</v>
      </c>
      <c r="B117" s="407" t="s">
        <v>605</v>
      </c>
      <c r="C117" s="233" t="s">
        <v>362</v>
      </c>
      <c r="D117" s="334" t="s">
        <v>34</v>
      </c>
      <c r="E117" s="327" t="s">
        <v>9</v>
      </c>
      <c r="F117" s="170">
        <f>SUM(E118:E118)</f>
        <v>9198.9500000000007</v>
      </c>
      <c r="G117" s="84"/>
      <c r="H117" s="398"/>
    </row>
    <row r="118" spans="1:8" s="7" customFormat="1" ht="72.75" hidden="1" customHeight="1">
      <c r="A118" s="235"/>
      <c r="B118" s="168"/>
      <c r="C118" s="233" t="s">
        <v>606</v>
      </c>
      <c r="D118" s="86" t="s">
        <v>34</v>
      </c>
      <c r="E118" s="87">
        <f>'1. Zjazdy indywidualne'!O72+'4. El. pref. 5. 6. konstr.'!C29+'4. El. pref. 5. 6. konstr.'!C22</f>
        <v>9198.9500000000007</v>
      </c>
      <c r="F118" s="90" t="s">
        <v>9</v>
      </c>
      <c r="G118" s="277"/>
      <c r="H118" s="285"/>
    </row>
    <row r="119" spans="1:8" s="7" customFormat="1" ht="20.25" customHeight="1">
      <c r="A119" s="239" t="s">
        <v>9</v>
      </c>
      <c r="B119" s="167" t="s">
        <v>610</v>
      </c>
      <c r="C119" s="269" t="s">
        <v>607</v>
      </c>
      <c r="D119" s="165"/>
      <c r="E119" s="165"/>
      <c r="F119" s="165"/>
      <c r="G119" s="165"/>
      <c r="H119" s="288"/>
    </row>
    <row r="120" spans="1:8" s="7" customFormat="1" ht="24" customHeight="1">
      <c r="A120" s="252">
        <v>39</v>
      </c>
      <c r="B120" s="407" t="s">
        <v>611</v>
      </c>
      <c r="C120" s="347" t="s">
        <v>608</v>
      </c>
      <c r="D120" s="334" t="s">
        <v>34</v>
      </c>
      <c r="E120" s="327" t="s">
        <v>9</v>
      </c>
      <c r="F120" s="170">
        <f>SUM(E121:E121)</f>
        <v>132.19999999999999</v>
      </c>
      <c r="G120" s="84"/>
      <c r="H120" s="398"/>
    </row>
    <row r="121" spans="1:8" s="7" customFormat="1" ht="41.25" hidden="1" customHeight="1">
      <c r="A121" s="263"/>
      <c r="B121" s="70"/>
      <c r="C121" s="73" t="s">
        <v>609</v>
      </c>
      <c r="D121" s="86" t="s">
        <v>34</v>
      </c>
      <c r="E121" s="87">
        <f>'1. Zjazdy indywidualne'!Q72</f>
        <v>132.19999999999999</v>
      </c>
      <c r="F121" s="90" t="s">
        <v>9</v>
      </c>
      <c r="G121" s="277"/>
      <c r="H121" s="285"/>
    </row>
    <row r="122" spans="1:8" s="7" customFormat="1" ht="18.75" customHeight="1">
      <c r="A122" s="239" t="s">
        <v>9</v>
      </c>
      <c r="B122" s="167" t="s">
        <v>91</v>
      </c>
      <c r="C122" s="269" t="s">
        <v>92</v>
      </c>
      <c r="D122" s="165"/>
      <c r="E122" s="165"/>
      <c r="F122" s="165"/>
      <c r="G122" s="165"/>
      <c r="H122" s="288"/>
    </row>
    <row r="123" spans="1:8" s="7" customFormat="1" ht="17.25" customHeight="1">
      <c r="A123" s="252">
        <v>40</v>
      </c>
      <c r="B123" s="407" t="s">
        <v>612</v>
      </c>
      <c r="C123" s="347" t="s">
        <v>331</v>
      </c>
      <c r="D123" s="334" t="s">
        <v>34</v>
      </c>
      <c r="E123" s="327" t="s">
        <v>9</v>
      </c>
      <c r="F123" s="170">
        <f>SUM(E124:E124)</f>
        <v>3963.96</v>
      </c>
      <c r="G123" s="84"/>
      <c r="H123" s="398"/>
    </row>
    <row r="124" spans="1:8" s="7" customFormat="1" ht="33" hidden="1" customHeight="1">
      <c r="A124" s="263"/>
      <c r="B124" s="70"/>
      <c r="C124" s="73" t="s">
        <v>613</v>
      </c>
      <c r="D124" s="86" t="s">
        <v>34</v>
      </c>
      <c r="E124" s="87">
        <f>'4. El. pref. 5. 6. konstr.'!C20</f>
        <v>3963.96</v>
      </c>
      <c r="F124" s="90" t="s">
        <v>9</v>
      </c>
      <c r="G124" s="277"/>
      <c r="H124" s="285"/>
    </row>
    <row r="125" spans="1:8" s="7" customFormat="1" ht="27.75" customHeight="1">
      <c r="A125" s="488" t="s">
        <v>344</v>
      </c>
      <c r="B125" s="489"/>
      <c r="C125" s="489"/>
      <c r="D125" s="489"/>
      <c r="E125" s="489"/>
      <c r="F125" s="489"/>
      <c r="G125" s="489"/>
      <c r="H125" s="304">
        <f>H98+H100+H103+H105+H108+H110+H112+H115+H117+H120+H123</f>
        <v>0</v>
      </c>
    </row>
    <row r="126" spans="1:8" s="7" customFormat="1" ht="27.75" customHeight="1">
      <c r="A126" s="238" t="s">
        <v>93</v>
      </c>
      <c r="B126" s="74" t="s">
        <v>94</v>
      </c>
      <c r="C126" s="270" t="s">
        <v>95</v>
      </c>
      <c r="D126" s="174"/>
      <c r="E126" s="174"/>
      <c r="F126" s="174"/>
      <c r="G126" s="174"/>
      <c r="H126" s="289"/>
    </row>
    <row r="127" spans="1:8" s="7" customFormat="1" ht="18" customHeight="1">
      <c r="A127" s="239" t="s">
        <v>9</v>
      </c>
      <c r="B127" s="75" t="s">
        <v>96</v>
      </c>
      <c r="C127" s="269" t="s">
        <v>225</v>
      </c>
      <c r="D127" s="165"/>
      <c r="E127" s="165"/>
      <c r="F127" s="165"/>
      <c r="G127" s="165"/>
      <c r="H127" s="288"/>
    </row>
    <row r="128" spans="1:8" s="7" customFormat="1" ht="20.25" customHeight="1">
      <c r="A128" s="252">
        <v>41</v>
      </c>
      <c r="B128" s="404" t="s">
        <v>615</v>
      </c>
      <c r="C128" s="347" t="s">
        <v>220</v>
      </c>
      <c r="D128" s="334" t="s">
        <v>34</v>
      </c>
      <c r="E128" s="327" t="s">
        <v>9</v>
      </c>
      <c r="F128" s="169">
        <f>SUM(E129:E129)</f>
        <v>33.299999999999997</v>
      </c>
      <c r="G128" s="84"/>
      <c r="H128" s="398"/>
    </row>
    <row r="129" spans="1:91" s="7" customFormat="1" ht="43.5" hidden="1" customHeight="1">
      <c r="A129" s="263"/>
      <c r="B129" s="70"/>
      <c r="C129" s="73" t="s">
        <v>614</v>
      </c>
      <c r="D129" s="86" t="s">
        <v>34</v>
      </c>
      <c r="E129" s="87">
        <f>'1. Zjazdy indywidualne'!S72</f>
        <v>33.299999999999997</v>
      </c>
      <c r="F129" s="170" t="s">
        <v>9</v>
      </c>
      <c r="G129" s="277"/>
      <c r="H129" s="285"/>
    </row>
    <row r="130" spans="1:91" s="105" customFormat="1" ht="18.75" customHeight="1">
      <c r="A130" s="239" t="s">
        <v>9</v>
      </c>
      <c r="B130" s="75" t="s">
        <v>97</v>
      </c>
      <c r="C130" s="269" t="s">
        <v>98</v>
      </c>
      <c r="D130" s="165"/>
      <c r="E130" s="165"/>
      <c r="F130" s="165"/>
      <c r="G130" s="165"/>
      <c r="H130" s="288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</row>
    <row r="131" spans="1:91" s="105" customFormat="1" ht="22.5" customHeight="1">
      <c r="A131" s="252">
        <v>42</v>
      </c>
      <c r="B131" s="404" t="s">
        <v>616</v>
      </c>
      <c r="C131" s="347" t="s">
        <v>617</v>
      </c>
      <c r="D131" s="334" t="s">
        <v>34</v>
      </c>
      <c r="E131" s="327" t="s">
        <v>9</v>
      </c>
      <c r="F131" s="170">
        <f>SUM(E132:E132)</f>
        <v>4066.05</v>
      </c>
      <c r="G131" s="84"/>
      <c r="H131" s="398"/>
      <c r="I131" s="104"/>
      <c r="J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  <c r="AA131" s="104"/>
      <c r="AB131" s="104"/>
      <c r="AC131" s="104"/>
      <c r="AD131" s="104"/>
      <c r="AE131" s="104"/>
      <c r="AF131" s="104"/>
      <c r="AG131" s="104"/>
      <c r="AH131" s="104"/>
      <c r="AI131" s="104"/>
      <c r="AJ131" s="104"/>
      <c r="AK131" s="104"/>
      <c r="AL131" s="104"/>
      <c r="AM131" s="104"/>
      <c r="AN131" s="104"/>
      <c r="AO131" s="104"/>
      <c r="AP131" s="104"/>
      <c r="AQ131" s="104"/>
      <c r="AR131" s="104"/>
      <c r="AS131" s="104"/>
      <c r="AT131" s="104"/>
      <c r="AU131" s="104"/>
      <c r="AV131" s="104"/>
      <c r="AW131" s="104"/>
      <c r="AX131" s="104"/>
      <c r="AY131" s="104"/>
      <c r="AZ131" s="104"/>
      <c r="BA131" s="104"/>
      <c r="BB131" s="104"/>
      <c r="BC131" s="104"/>
      <c r="BD131" s="104"/>
      <c r="BE131" s="104"/>
      <c r="BF131" s="104"/>
      <c r="BG131" s="104"/>
      <c r="BH131" s="104"/>
      <c r="BI131" s="104"/>
      <c r="BJ131" s="104"/>
      <c r="BK131" s="104"/>
      <c r="BL131" s="104"/>
      <c r="BM131" s="104"/>
      <c r="BN131" s="104"/>
      <c r="BO131" s="104"/>
      <c r="BP131" s="104"/>
      <c r="BQ131" s="104"/>
      <c r="BR131" s="104"/>
      <c r="BS131" s="104"/>
      <c r="BT131" s="104"/>
      <c r="BU131" s="104"/>
      <c r="BV131" s="104"/>
      <c r="BW131" s="104"/>
      <c r="BX131" s="104"/>
      <c r="BY131" s="104"/>
      <c r="BZ131" s="104"/>
      <c r="CA131" s="104"/>
      <c r="CB131" s="104"/>
      <c r="CC131" s="104"/>
      <c r="CD131" s="104"/>
      <c r="CE131" s="104"/>
      <c r="CF131" s="104"/>
      <c r="CG131" s="104"/>
      <c r="CH131" s="104"/>
      <c r="CI131" s="104"/>
      <c r="CJ131" s="104"/>
      <c r="CK131" s="104"/>
      <c r="CL131" s="104"/>
      <c r="CM131" s="104"/>
    </row>
    <row r="132" spans="1:91" s="105" customFormat="1" ht="68.25" hidden="1" customHeight="1">
      <c r="A132" s="263"/>
      <c r="B132" s="70"/>
      <c r="C132" s="347" t="s">
        <v>618</v>
      </c>
      <c r="D132" s="334" t="s">
        <v>34</v>
      </c>
      <c r="E132" s="327">
        <f>'1. Zjazdy indywidualne'!M72+'4. El. pref. 5. 6. konstr.'!C27</f>
        <v>4066.05</v>
      </c>
      <c r="F132" s="170" t="s">
        <v>9</v>
      </c>
      <c r="G132" s="277"/>
      <c r="H132" s="408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  <c r="AA132" s="104"/>
      <c r="AB132" s="104"/>
      <c r="AC132" s="104"/>
      <c r="AD132" s="104"/>
      <c r="AE132" s="104"/>
      <c r="AF132" s="104"/>
      <c r="AG132" s="104"/>
      <c r="AH132" s="104"/>
      <c r="AI132" s="104"/>
      <c r="AJ132" s="104"/>
      <c r="AK132" s="104"/>
      <c r="AL132" s="104"/>
      <c r="AM132" s="104"/>
      <c r="AN132" s="104"/>
      <c r="AO132" s="104"/>
      <c r="AP132" s="104"/>
      <c r="AQ132" s="104"/>
      <c r="AR132" s="104"/>
      <c r="AS132" s="104"/>
      <c r="AT132" s="104"/>
      <c r="AU132" s="104"/>
      <c r="AV132" s="104"/>
      <c r="AW132" s="104"/>
      <c r="AX132" s="104"/>
      <c r="AY132" s="104"/>
      <c r="AZ132" s="104"/>
      <c r="BA132" s="104"/>
      <c r="BB132" s="104"/>
      <c r="BC132" s="104"/>
      <c r="BD132" s="104"/>
      <c r="BE132" s="104"/>
      <c r="BF132" s="104"/>
      <c r="BG132" s="104"/>
      <c r="BH132" s="104"/>
      <c r="BI132" s="104"/>
      <c r="BJ132" s="104"/>
      <c r="BK132" s="104"/>
      <c r="BL132" s="104"/>
      <c r="BM132" s="104"/>
      <c r="BN132" s="104"/>
      <c r="BO132" s="104"/>
      <c r="BP132" s="104"/>
      <c r="BQ132" s="104"/>
      <c r="BR132" s="104"/>
      <c r="BS132" s="104"/>
      <c r="BT132" s="104"/>
      <c r="BU132" s="104"/>
      <c r="BV132" s="104"/>
      <c r="BW132" s="104"/>
      <c r="BX132" s="104"/>
      <c r="BY132" s="104"/>
      <c r="BZ132" s="104"/>
      <c r="CA132" s="104"/>
      <c r="CB132" s="104"/>
      <c r="CC132" s="104"/>
      <c r="CD132" s="104"/>
      <c r="CE132" s="104"/>
      <c r="CF132" s="104"/>
      <c r="CG132" s="104"/>
      <c r="CH132" s="104"/>
      <c r="CI132" s="104"/>
      <c r="CJ132" s="104"/>
      <c r="CK132" s="104"/>
      <c r="CL132" s="104"/>
      <c r="CM132" s="104"/>
    </row>
    <row r="133" spans="1:91" s="105" customFormat="1" ht="24.75" customHeight="1">
      <c r="A133" s="252">
        <v>43</v>
      </c>
      <c r="B133" s="404" t="s">
        <v>619</v>
      </c>
      <c r="C133" s="347" t="s">
        <v>332</v>
      </c>
      <c r="D133" s="334" t="s">
        <v>34</v>
      </c>
      <c r="E133" s="327" t="s">
        <v>9</v>
      </c>
      <c r="F133" s="170">
        <f>SUM(E134:E134)</f>
        <v>3886.99</v>
      </c>
      <c r="G133" s="84"/>
      <c r="H133" s="398"/>
      <c r="I133" s="104"/>
      <c r="J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  <c r="AA133" s="104"/>
      <c r="AB133" s="104"/>
      <c r="AC133" s="104"/>
      <c r="AD133" s="104"/>
      <c r="AE133" s="104"/>
      <c r="AF133" s="104"/>
      <c r="AG133" s="104"/>
      <c r="AH133" s="104"/>
      <c r="AI133" s="104"/>
      <c r="AJ133" s="104"/>
      <c r="AK133" s="104"/>
      <c r="AL133" s="104"/>
      <c r="AM133" s="104"/>
      <c r="AN133" s="104"/>
      <c r="AO133" s="104"/>
      <c r="AP133" s="104"/>
      <c r="AQ133" s="104"/>
      <c r="AR133" s="104"/>
      <c r="AS133" s="104"/>
      <c r="AT133" s="104"/>
      <c r="AU133" s="104"/>
      <c r="AV133" s="104"/>
      <c r="AW133" s="104"/>
      <c r="AX133" s="104"/>
      <c r="AY133" s="104"/>
      <c r="AZ133" s="104"/>
      <c r="BA133" s="104"/>
      <c r="BB133" s="104"/>
      <c r="BC133" s="104"/>
      <c r="BD133" s="104"/>
      <c r="BE133" s="104"/>
      <c r="BF133" s="104"/>
      <c r="BG133" s="104"/>
      <c r="BH133" s="104"/>
      <c r="BI133" s="104"/>
      <c r="BJ133" s="104"/>
      <c r="BK133" s="104"/>
      <c r="BL133" s="104"/>
      <c r="BM133" s="104"/>
      <c r="BN133" s="104"/>
      <c r="BO133" s="104"/>
      <c r="BP133" s="104"/>
      <c r="BQ133" s="104"/>
      <c r="BR133" s="104"/>
      <c r="BS133" s="104"/>
      <c r="BT133" s="104"/>
      <c r="BU133" s="104"/>
      <c r="BV133" s="104"/>
      <c r="BW133" s="104"/>
      <c r="BX133" s="104"/>
      <c r="BY133" s="104"/>
      <c r="BZ133" s="104"/>
      <c r="CA133" s="104"/>
      <c r="CB133" s="104"/>
      <c r="CC133" s="104"/>
      <c r="CD133" s="104"/>
      <c r="CE133" s="104"/>
      <c r="CF133" s="104"/>
      <c r="CG133" s="104"/>
      <c r="CH133" s="104"/>
      <c r="CI133" s="104"/>
      <c r="CJ133" s="104"/>
      <c r="CK133" s="104"/>
      <c r="CL133" s="104"/>
      <c r="CM133" s="104"/>
    </row>
    <row r="134" spans="1:91" s="105" customFormat="1" ht="41.25" hidden="1" customHeight="1">
      <c r="A134" s="263"/>
      <c r="B134" s="70"/>
      <c r="C134" s="347" t="s">
        <v>620</v>
      </c>
      <c r="D134" s="334" t="s">
        <v>34</v>
      </c>
      <c r="E134" s="327">
        <f>'4. El. pref. 5. 6. konstr.'!C19</f>
        <v>3886.99</v>
      </c>
      <c r="F134" s="170" t="s">
        <v>9</v>
      </c>
      <c r="G134" s="277"/>
      <c r="H134" s="408"/>
      <c r="I134" s="104"/>
      <c r="J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  <c r="AA134" s="104"/>
      <c r="AB134" s="104"/>
      <c r="AC134" s="104"/>
      <c r="AD134" s="104"/>
      <c r="AE134" s="104"/>
      <c r="AF134" s="104"/>
      <c r="AG134" s="104"/>
      <c r="AH134" s="104"/>
      <c r="AI134" s="104"/>
      <c r="AJ134" s="104"/>
      <c r="AK134" s="104"/>
      <c r="AL134" s="104"/>
      <c r="AM134" s="104"/>
      <c r="AN134" s="104"/>
      <c r="AO134" s="104"/>
      <c r="AP134" s="104"/>
      <c r="AQ134" s="104"/>
      <c r="AR134" s="104"/>
      <c r="AS134" s="104"/>
      <c r="AT134" s="104"/>
      <c r="AU134" s="104"/>
      <c r="AV134" s="104"/>
      <c r="AW134" s="104"/>
      <c r="AX134" s="104"/>
      <c r="AY134" s="104"/>
      <c r="AZ134" s="104"/>
      <c r="BA134" s="104"/>
      <c r="BB134" s="104"/>
      <c r="BC134" s="104"/>
      <c r="BD134" s="104"/>
      <c r="BE134" s="104"/>
      <c r="BF134" s="104"/>
      <c r="BG134" s="104"/>
      <c r="BH134" s="104"/>
      <c r="BI134" s="104"/>
      <c r="BJ134" s="104"/>
      <c r="BK134" s="104"/>
      <c r="BL134" s="104"/>
      <c r="BM134" s="104"/>
      <c r="BN134" s="104"/>
      <c r="BO134" s="104"/>
      <c r="BP134" s="104"/>
      <c r="BQ134" s="104"/>
      <c r="BR134" s="104"/>
      <c r="BS134" s="104"/>
      <c r="BT134" s="104"/>
      <c r="BU134" s="104"/>
      <c r="BV134" s="104"/>
      <c r="BW134" s="104"/>
      <c r="BX134" s="104"/>
      <c r="BY134" s="104"/>
      <c r="BZ134" s="104"/>
      <c r="CA134" s="104"/>
      <c r="CB134" s="104"/>
      <c r="CC134" s="104"/>
      <c r="CD134" s="104"/>
      <c r="CE134" s="104"/>
      <c r="CF134" s="104"/>
      <c r="CG134" s="104"/>
      <c r="CH134" s="104"/>
      <c r="CI134" s="104"/>
      <c r="CJ134" s="104"/>
      <c r="CK134" s="104"/>
      <c r="CL134" s="104"/>
      <c r="CM134" s="104"/>
    </row>
    <row r="135" spans="1:91" s="105" customFormat="1" ht="30" customHeight="1">
      <c r="A135" s="252">
        <v>44</v>
      </c>
      <c r="B135" s="404" t="s">
        <v>333</v>
      </c>
      <c r="C135" s="347" t="s">
        <v>387</v>
      </c>
      <c r="D135" s="334" t="s">
        <v>34</v>
      </c>
      <c r="E135" s="327" t="s">
        <v>9</v>
      </c>
      <c r="F135" s="169">
        <f>SUM(E136:E136)</f>
        <v>7796</v>
      </c>
      <c r="G135" s="84"/>
      <c r="H135" s="398"/>
      <c r="I135" s="104"/>
      <c r="J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  <c r="AA135" s="104"/>
      <c r="AB135" s="104"/>
      <c r="AC135" s="104"/>
      <c r="AD135" s="104"/>
      <c r="AE135" s="104"/>
      <c r="AF135" s="104"/>
      <c r="AG135" s="104"/>
      <c r="AH135" s="104"/>
      <c r="AI135" s="104"/>
      <c r="AJ135" s="104"/>
      <c r="AK135" s="104"/>
      <c r="AL135" s="104"/>
      <c r="AM135" s="104"/>
      <c r="AN135" s="104"/>
      <c r="AO135" s="104"/>
      <c r="AP135" s="104"/>
      <c r="AQ135" s="104"/>
      <c r="AR135" s="104"/>
      <c r="AS135" s="104"/>
      <c r="AT135" s="104"/>
      <c r="AU135" s="104"/>
      <c r="AV135" s="104"/>
      <c r="AW135" s="104"/>
      <c r="AX135" s="104"/>
      <c r="AY135" s="104"/>
      <c r="AZ135" s="104"/>
      <c r="BA135" s="104"/>
      <c r="BB135" s="104"/>
      <c r="BC135" s="104"/>
      <c r="BD135" s="104"/>
      <c r="BE135" s="104"/>
      <c r="BF135" s="104"/>
      <c r="BG135" s="104"/>
      <c r="BH135" s="104"/>
      <c r="BI135" s="104"/>
      <c r="BJ135" s="104"/>
      <c r="BK135" s="104"/>
      <c r="BL135" s="104"/>
      <c r="BM135" s="104"/>
      <c r="BN135" s="104"/>
      <c r="BO135" s="104"/>
      <c r="BP135" s="104"/>
      <c r="BQ135" s="104"/>
      <c r="BR135" s="104"/>
      <c r="BS135" s="104"/>
      <c r="BT135" s="104"/>
      <c r="BU135" s="104"/>
      <c r="BV135" s="104"/>
      <c r="BW135" s="104"/>
      <c r="BX135" s="104"/>
      <c r="BY135" s="104"/>
      <c r="BZ135" s="104"/>
      <c r="CA135" s="104"/>
      <c r="CB135" s="104"/>
      <c r="CC135" s="104"/>
      <c r="CD135" s="104"/>
      <c r="CE135" s="104"/>
      <c r="CF135" s="104"/>
      <c r="CG135" s="104"/>
      <c r="CH135" s="104"/>
      <c r="CI135" s="104"/>
      <c r="CJ135" s="104"/>
      <c r="CK135" s="104"/>
      <c r="CL135" s="104"/>
      <c r="CM135" s="104"/>
    </row>
    <row r="136" spans="1:91" s="105" customFormat="1" ht="74.25" hidden="1" customHeight="1">
      <c r="A136" s="263"/>
      <c r="B136" s="70"/>
      <c r="C136" s="73" t="s">
        <v>621</v>
      </c>
      <c r="D136" s="86" t="s">
        <v>34</v>
      </c>
      <c r="E136" s="87">
        <f>'1. Zjazdy indywidualne'!L72+'4. El. pref. 5. 6. konstr.'!C26+'4. El. pref. 5. 6. konstr.'!C18</f>
        <v>7796</v>
      </c>
      <c r="F136" s="170" t="s">
        <v>9</v>
      </c>
      <c r="G136" s="277"/>
      <c r="H136" s="286"/>
      <c r="I136" s="104"/>
      <c r="J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  <c r="AA136" s="104"/>
      <c r="AB136" s="104"/>
      <c r="AC136" s="104"/>
      <c r="AD136" s="104"/>
      <c r="AE136" s="104"/>
      <c r="AF136" s="104"/>
      <c r="AG136" s="104"/>
      <c r="AH136" s="104"/>
      <c r="AI136" s="104"/>
      <c r="AJ136" s="104"/>
      <c r="AK136" s="104"/>
      <c r="AL136" s="104"/>
      <c r="AM136" s="104"/>
      <c r="AN136" s="104"/>
      <c r="AO136" s="104"/>
      <c r="AP136" s="104"/>
      <c r="AQ136" s="104"/>
      <c r="AR136" s="104"/>
      <c r="AS136" s="104"/>
      <c r="AT136" s="104"/>
      <c r="AU136" s="104"/>
      <c r="AV136" s="104"/>
      <c r="AW136" s="104"/>
      <c r="AX136" s="104"/>
      <c r="AY136" s="104"/>
      <c r="AZ136" s="104"/>
      <c r="BA136" s="104"/>
      <c r="BB136" s="104"/>
      <c r="BC136" s="104"/>
      <c r="BD136" s="104"/>
      <c r="BE136" s="104"/>
      <c r="BF136" s="104"/>
      <c r="BG136" s="104"/>
      <c r="BH136" s="104"/>
      <c r="BI136" s="104"/>
      <c r="BJ136" s="104"/>
      <c r="BK136" s="104"/>
      <c r="BL136" s="104"/>
      <c r="BM136" s="104"/>
      <c r="BN136" s="104"/>
      <c r="BO136" s="104"/>
      <c r="BP136" s="104"/>
      <c r="BQ136" s="104"/>
      <c r="BR136" s="104"/>
      <c r="BS136" s="104"/>
      <c r="BT136" s="104"/>
      <c r="BU136" s="104"/>
      <c r="BV136" s="104"/>
      <c r="BW136" s="104"/>
      <c r="BX136" s="104"/>
      <c r="BY136" s="104"/>
      <c r="BZ136" s="104"/>
      <c r="CA136" s="104"/>
      <c r="CB136" s="104"/>
      <c r="CC136" s="104"/>
      <c r="CD136" s="104"/>
      <c r="CE136" s="104"/>
      <c r="CF136" s="104"/>
      <c r="CG136" s="104"/>
      <c r="CH136" s="104"/>
      <c r="CI136" s="104"/>
      <c r="CJ136" s="104"/>
      <c r="CK136" s="104"/>
      <c r="CL136" s="104"/>
      <c r="CM136" s="104"/>
    </row>
    <row r="137" spans="1:91" s="105" customFormat="1" ht="30.75" customHeight="1">
      <c r="A137" s="488" t="s">
        <v>345</v>
      </c>
      <c r="B137" s="489"/>
      <c r="C137" s="489"/>
      <c r="D137" s="489"/>
      <c r="E137" s="489"/>
      <c r="F137" s="489"/>
      <c r="G137" s="489"/>
      <c r="H137" s="304">
        <f>H128+H131+H133+H135</f>
        <v>0</v>
      </c>
      <c r="I137" s="104"/>
      <c r="J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  <c r="AA137" s="104"/>
      <c r="AB137" s="104"/>
      <c r="AC137" s="104"/>
      <c r="AD137" s="104"/>
      <c r="AE137" s="104"/>
      <c r="AF137" s="104"/>
      <c r="AG137" s="104"/>
      <c r="AH137" s="104"/>
      <c r="AI137" s="104"/>
      <c r="AJ137" s="104"/>
      <c r="AK137" s="104"/>
      <c r="AL137" s="104"/>
      <c r="AM137" s="104"/>
      <c r="AN137" s="104"/>
      <c r="AO137" s="104"/>
      <c r="AP137" s="104"/>
      <c r="AQ137" s="104"/>
      <c r="AR137" s="104"/>
      <c r="AS137" s="104"/>
      <c r="AT137" s="104"/>
      <c r="AU137" s="104"/>
      <c r="AV137" s="104"/>
      <c r="AW137" s="104"/>
      <c r="AX137" s="104"/>
      <c r="AY137" s="104"/>
      <c r="AZ137" s="104"/>
      <c r="BA137" s="104"/>
      <c r="BB137" s="104"/>
      <c r="BC137" s="104"/>
      <c r="BD137" s="104"/>
      <c r="BE137" s="104"/>
      <c r="BF137" s="104"/>
      <c r="BG137" s="104"/>
      <c r="BH137" s="104"/>
      <c r="BI137" s="104"/>
      <c r="BJ137" s="104"/>
      <c r="BK137" s="104"/>
      <c r="BL137" s="104"/>
      <c r="BM137" s="104"/>
      <c r="BN137" s="104"/>
      <c r="BO137" s="104"/>
      <c r="BP137" s="104"/>
      <c r="BQ137" s="104"/>
      <c r="BR137" s="104"/>
      <c r="BS137" s="104"/>
      <c r="BT137" s="104"/>
      <c r="BU137" s="104"/>
      <c r="BV137" s="104"/>
      <c r="BW137" s="104"/>
      <c r="BX137" s="104"/>
      <c r="BY137" s="104"/>
      <c r="BZ137" s="104"/>
      <c r="CA137" s="104"/>
      <c r="CB137" s="104"/>
      <c r="CC137" s="104"/>
      <c r="CD137" s="104"/>
      <c r="CE137" s="104"/>
      <c r="CF137" s="104"/>
      <c r="CG137" s="104"/>
      <c r="CH137" s="104"/>
      <c r="CI137" s="104"/>
      <c r="CJ137" s="104"/>
      <c r="CK137" s="104"/>
      <c r="CL137" s="104"/>
      <c r="CM137" s="104"/>
    </row>
    <row r="138" spans="1:91" s="107" customFormat="1" ht="25.5" customHeight="1">
      <c r="A138" s="238" t="s">
        <v>99</v>
      </c>
      <c r="B138" s="74" t="s">
        <v>100</v>
      </c>
      <c r="C138" s="490" t="s">
        <v>101</v>
      </c>
      <c r="D138" s="491"/>
      <c r="E138" s="491"/>
      <c r="F138" s="491"/>
      <c r="G138" s="491"/>
      <c r="H138" s="492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  <c r="X138" s="106"/>
      <c r="Y138" s="106"/>
      <c r="Z138" s="106"/>
      <c r="AA138" s="106"/>
      <c r="AB138" s="106"/>
      <c r="AC138" s="106"/>
      <c r="AD138" s="106"/>
      <c r="AE138" s="106"/>
      <c r="AF138" s="106"/>
      <c r="AG138" s="106"/>
      <c r="AH138" s="106"/>
      <c r="AI138" s="106"/>
      <c r="AJ138" s="106"/>
      <c r="AK138" s="106"/>
      <c r="AL138" s="106"/>
      <c r="AM138" s="106"/>
      <c r="AN138" s="106"/>
      <c r="AO138" s="106"/>
      <c r="AP138" s="106"/>
      <c r="AQ138" s="106"/>
      <c r="AR138" s="106"/>
      <c r="AS138" s="106"/>
      <c r="AT138" s="106"/>
      <c r="AU138" s="106"/>
      <c r="AV138" s="106"/>
      <c r="AW138" s="106"/>
      <c r="AX138" s="106"/>
      <c r="AY138" s="106"/>
      <c r="AZ138" s="106"/>
      <c r="BA138" s="106"/>
      <c r="BB138" s="106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  <c r="CE138" s="106"/>
      <c r="CF138" s="106"/>
      <c r="CG138" s="106"/>
      <c r="CH138" s="106"/>
      <c r="CI138" s="106"/>
      <c r="CJ138" s="106"/>
      <c r="CK138" s="106"/>
      <c r="CL138" s="106"/>
      <c r="CM138" s="106"/>
    </row>
    <row r="139" spans="1:91" s="7" customFormat="1" ht="19.5" customHeight="1">
      <c r="A139" s="239" t="s">
        <v>9</v>
      </c>
      <c r="B139" s="75" t="s">
        <v>102</v>
      </c>
      <c r="C139" s="269" t="s">
        <v>103</v>
      </c>
      <c r="D139" s="165"/>
      <c r="E139" s="165"/>
      <c r="F139" s="165"/>
      <c r="G139" s="165"/>
      <c r="H139" s="288"/>
    </row>
    <row r="140" spans="1:91" s="8" customFormat="1" ht="15.75" customHeight="1">
      <c r="A140" s="252">
        <v>45</v>
      </c>
      <c r="B140" s="70" t="s">
        <v>104</v>
      </c>
      <c r="C140" s="347" t="s">
        <v>377</v>
      </c>
      <c r="D140" s="334" t="s">
        <v>34</v>
      </c>
      <c r="E140" s="327" t="s">
        <v>9</v>
      </c>
      <c r="F140" s="170">
        <f>E141</f>
        <v>4992.8999999999996</v>
      </c>
      <c r="G140" s="84"/>
      <c r="H140" s="398"/>
    </row>
    <row r="141" spans="1:91" s="7" customFormat="1" ht="51" hidden="1" customHeight="1">
      <c r="A141" s="263"/>
      <c r="B141" s="70"/>
      <c r="C141" s="347" t="s">
        <v>622</v>
      </c>
      <c r="D141" s="334" t="s">
        <v>34</v>
      </c>
      <c r="E141" s="327">
        <v>4992.8999999999996</v>
      </c>
      <c r="F141" s="170" t="s">
        <v>9</v>
      </c>
      <c r="G141" s="409"/>
      <c r="H141" s="387"/>
    </row>
    <row r="142" spans="1:91" s="7" customFormat="1" ht="25.5" customHeight="1">
      <c r="A142" s="252">
        <v>46</v>
      </c>
      <c r="B142" s="404" t="s">
        <v>623</v>
      </c>
      <c r="C142" s="347" t="s">
        <v>625</v>
      </c>
      <c r="D142" s="334" t="s">
        <v>34</v>
      </c>
      <c r="E142" s="327" t="s">
        <v>9</v>
      </c>
      <c r="F142" s="170">
        <f>E143</f>
        <v>95.3</v>
      </c>
      <c r="G142" s="84"/>
      <c r="H142" s="398"/>
    </row>
    <row r="143" spans="1:91" s="7" customFormat="1" ht="43.5" hidden="1" customHeight="1">
      <c r="A143" s="263"/>
      <c r="B143" s="70"/>
      <c r="C143" s="347" t="s">
        <v>626</v>
      </c>
      <c r="D143" s="334" t="s">
        <v>34</v>
      </c>
      <c r="E143" s="327">
        <f>'3. Odwodnienie korpusu'!D25</f>
        <v>95.3</v>
      </c>
      <c r="F143" s="170" t="s">
        <v>9</v>
      </c>
      <c r="G143" s="409"/>
      <c r="H143" s="387"/>
    </row>
    <row r="144" spans="1:91" s="7" customFormat="1" ht="19.5" customHeight="1">
      <c r="A144" s="252">
        <v>47</v>
      </c>
      <c r="B144" s="70" t="s">
        <v>627</v>
      </c>
      <c r="C144" s="347" t="s">
        <v>628</v>
      </c>
      <c r="D144" s="334" t="s">
        <v>42</v>
      </c>
      <c r="E144" s="327" t="s">
        <v>9</v>
      </c>
      <c r="F144" s="170">
        <f>E145</f>
        <v>505.5</v>
      </c>
      <c r="G144" s="84"/>
      <c r="H144" s="398"/>
    </row>
    <row r="145" spans="1:8" s="7" customFormat="1" ht="93" hidden="1" customHeight="1">
      <c r="A145" s="263"/>
      <c r="B145" s="70"/>
      <c r="C145" s="347" t="s">
        <v>630</v>
      </c>
      <c r="D145" s="334" t="s">
        <v>42</v>
      </c>
      <c r="E145" s="327">
        <f>'1. Zjazdy indywidualne'!K72+'3. Odwodnienie korpusu'!D18</f>
        <v>505.5</v>
      </c>
      <c r="F145" s="170" t="s">
        <v>9</v>
      </c>
      <c r="G145" s="277"/>
      <c r="H145" s="387"/>
    </row>
    <row r="146" spans="1:8" s="7" customFormat="1" ht="27" customHeight="1">
      <c r="A146" s="252">
        <v>48</v>
      </c>
      <c r="B146" s="70" t="s">
        <v>627</v>
      </c>
      <c r="C146" s="347" t="s">
        <v>686</v>
      </c>
      <c r="D146" s="334" t="s">
        <v>42</v>
      </c>
      <c r="E146" s="327" t="s">
        <v>9</v>
      </c>
      <c r="F146" s="170">
        <f>E147</f>
        <v>157.5</v>
      </c>
      <c r="G146" s="84"/>
      <c r="H146" s="398"/>
    </row>
    <row r="147" spans="1:8" s="7" customFormat="1" ht="62.25" hidden="1" customHeight="1">
      <c r="A147" s="263"/>
      <c r="B147" s="70"/>
      <c r="C147" s="347" t="s">
        <v>631</v>
      </c>
      <c r="D147" s="334" t="s">
        <v>42</v>
      </c>
      <c r="E147" s="327">
        <f>'3. Odwodnienie korpusu'!D23</f>
        <v>157.5</v>
      </c>
      <c r="F147" s="170" t="s">
        <v>9</v>
      </c>
      <c r="G147" s="277"/>
      <c r="H147" s="387"/>
    </row>
    <row r="148" spans="1:8" s="7" customFormat="1" ht="30.75" customHeight="1">
      <c r="A148" s="252">
        <v>49</v>
      </c>
      <c r="B148" s="70" t="s">
        <v>632</v>
      </c>
      <c r="C148" s="347" t="s">
        <v>382</v>
      </c>
      <c r="D148" s="334" t="s">
        <v>133</v>
      </c>
      <c r="E148" s="327" t="s">
        <v>9</v>
      </c>
      <c r="F148" s="170">
        <f>E149</f>
        <v>366.3</v>
      </c>
      <c r="G148" s="84"/>
      <c r="H148" s="398"/>
    </row>
    <row r="149" spans="1:8" s="7" customFormat="1" ht="68.25" hidden="1" customHeight="1">
      <c r="A149" s="263"/>
      <c r="B149" s="70"/>
      <c r="C149" s="347" t="s">
        <v>644</v>
      </c>
      <c r="D149" s="334" t="s">
        <v>133</v>
      </c>
      <c r="E149" s="327">
        <f>'3. Odwodnienie korpusu'!D22+'1. Zjazdy indywidualne'!J72</f>
        <v>366.3</v>
      </c>
      <c r="F149" s="170" t="s">
        <v>9</v>
      </c>
      <c r="G149" s="277"/>
      <c r="H149" s="387"/>
    </row>
    <row r="150" spans="1:8" s="7" customFormat="1" ht="30" customHeight="1">
      <c r="A150" s="252">
        <v>50</v>
      </c>
      <c r="B150" s="70" t="s">
        <v>634</v>
      </c>
      <c r="C150" s="347" t="s">
        <v>378</v>
      </c>
      <c r="D150" s="334" t="s">
        <v>42</v>
      </c>
      <c r="E150" s="327" t="s">
        <v>9</v>
      </c>
      <c r="F150" s="170">
        <f>E151</f>
        <v>274</v>
      </c>
      <c r="G150" s="84"/>
      <c r="H150" s="398"/>
    </row>
    <row r="151" spans="1:8" s="7" customFormat="1" ht="77.25" hidden="1" customHeight="1">
      <c r="A151" s="263"/>
      <c r="B151" s="70"/>
      <c r="C151" s="347" t="s">
        <v>633</v>
      </c>
      <c r="D151" s="334" t="s">
        <v>42</v>
      </c>
      <c r="E151" s="327">
        <f>'3. Odwodnienie korpusu'!D19</f>
        <v>274</v>
      </c>
      <c r="F151" s="170" t="s">
        <v>9</v>
      </c>
      <c r="G151" s="277"/>
      <c r="H151" s="387"/>
    </row>
    <row r="152" spans="1:8" s="7" customFormat="1" ht="25.5" customHeight="1">
      <c r="A152" s="252">
        <v>51</v>
      </c>
      <c r="B152" s="70" t="s">
        <v>637</v>
      </c>
      <c r="C152" s="347" t="s">
        <v>635</v>
      </c>
      <c r="D152" s="334" t="s">
        <v>42</v>
      </c>
      <c r="E152" s="327" t="s">
        <v>9</v>
      </c>
      <c r="F152" s="170">
        <f>E153</f>
        <v>42</v>
      </c>
      <c r="G152" s="84"/>
      <c r="H152" s="398"/>
    </row>
    <row r="153" spans="1:8" s="7" customFormat="1" ht="57" hidden="1" customHeight="1">
      <c r="A153" s="263"/>
      <c r="B153" s="70"/>
      <c r="C153" s="347" t="s">
        <v>636</v>
      </c>
      <c r="D153" s="334" t="s">
        <v>42</v>
      </c>
      <c r="E153" s="327">
        <f>'3. Odwodnienie korpusu'!D20</f>
        <v>42</v>
      </c>
      <c r="F153" s="170" t="s">
        <v>9</v>
      </c>
      <c r="G153" s="277"/>
      <c r="H153" s="387"/>
    </row>
    <row r="154" spans="1:8" s="7" customFormat="1" ht="27" customHeight="1">
      <c r="A154" s="252">
        <v>52</v>
      </c>
      <c r="B154" s="70" t="s">
        <v>641</v>
      </c>
      <c r="C154" s="347" t="s">
        <v>638</v>
      </c>
      <c r="D154" s="334" t="s">
        <v>42</v>
      </c>
      <c r="E154" s="327" t="s">
        <v>9</v>
      </c>
      <c r="F154" s="170">
        <f>E155</f>
        <v>354.6</v>
      </c>
      <c r="G154" s="84"/>
      <c r="H154" s="398"/>
    </row>
    <row r="155" spans="1:8" s="7" customFormat="1" ht="40.5" hidden="1" customHeight="1">
      <c r="A155" s="263"/>
      <c r="B155" s="70"/>
      <c r="C155" s="347" t="s">
        <v>642</v>
      </c>
      <c r="D155" s="334" t="s">
        <v>42</v>
      </c>
      <c r="E155" s="327">
        <f>'3. Odwodnienie korpusu'!D22</f>
        <v>354.6</v>
      </c>
      <c r="F155" s="170" t="s">
        <v>9</v>
      </c>
      <c r="G155" s="277"/>
      <c r="H155" s="387"/>
    </row>
    <row r="156" spans="1:8" s="7" customFormat="1" ht="25.5" customHeight="1">
      <c r="A156" s="252">
        <v>53</v>
      </c>
      <c r="B156" s="70" t="s">
        <v>643</v>
      </c>
      <c r="C156" s="347" t="s">
        <v>639</v>
      </c>
      <c r="D156" s="334" t="s">
        <v>42</v>
      </c>
      <c r="E156" s="327" t="s">
        <v>9</v>
      </c>
      <c r="F156" s="170">
        <f>E157</f>
        <v>50.5</v>
      </c>
      <c r="G156" s="84"/>
      <c r="H156" s="398"/>
    </row>
    <row r="157" spans="1:8" s="7" customFormat="1" ht="66.75" hidden="1" customHeight="1">
      <c r="A157" s="263"/>
      <c r="B157" s="70"/>
      <c r="C157" s="73" t="s">
        <v>640</v>
      </c>
      <c r="D157" s="86" t="s">
        <v>42</v>
      </c>
      <c r="E157" s="87">
        <f>'3. Odwodnienie korpusu'!D24</f>
        <v>50.5</v>
      </c>
      <c r="F157" s="170" t="s">
        <v>9</v>
      </c>
      <c r="G157" s="277"/>
      <c r="H157" s="285"/>
    </row>
    <row r="158" spans="1:8" s="7" customFormat="1" ht="18" customHeight="1">
      <c r="A158" s="239" t="s">
        <v>9</v>
      </c>
      <c r="B158" s="75" t="s">
        <v>105</v>
      </c>
      <c r="C158" s="269" t="s">
        <v>106</v>
      </c>
      <c r="D158" s="165"/>
      <c r="E158" s="165"/>
      <c r="F158" s="165"/>
      <c r="G158" s="165"/>
      <c r="H158" s="288"/>
    </row>
    <row r="159" spans="1:8" s="7" customFormat="1" ht="27" customHeight="1">
      <c r="A159" s="252">
        <v>54</v>
      </c>
      <c r="B159" s="404" t="s">
        <v>107</v>
      </c>
      <c r="C159" s="347" t="s">
        <v>334</v>
      </c>
      <c r="D159" s="334" t="s">
        <v>42</v>
      </c>
      <c r="E159" s="327" t="s">
        <v>9</v>
      </c>
      <c r="F159" s="170">
        <f>E160</f>
        <v>65.5</v>
      </c>
      <c r="G159" s="84"/>
      <c r="H159" s="398"/>
    </row>
    <row r="160" spans="1:8" s="7" customFormat="1" ht="42.75" hidden="1" customHeight="1">
      <c r="A160" s="263"/>
      <c r="B160" s="71"/>
      <c r="C160" s="73" t="s">
        <v>664</v>
      </c>
      <c r="D160" s="86" t="s">
        <v>42</v>
      </c>
      <c r="E160" s="87">
        <f>'1. Zjazdy indywidualne'!I72</f>
        <v>65.5</v>
      </c>
      <c r="F160" s="170" t="s">
        <v>9</v>
      </c>
      <c r="G160" s="277"/>
      <c r="H160" s="285"/>
    </row>
    <row r="161" spans="1:8" s="7" customFormat="1" ht="13.5" hidden="1" customHeight="1">
      <c r="A161" s="252"/>
      <c r="B161" s="80"/>
      <c r="C161" s="76" t="s">
        <v>65</v>
      </c>
      <c r="D161" s="77" t="s">
        <v>9</v>
      </c>
      <c r="E161" s="78" t="s">
        <v>9</v>
      </c>
      <c r="F161" s="169" t="s">
        <v>9</v>
      </c>
      <c r="G161" s="277"/>
      <c r="H161" s="285"/>
    </row>
    <row r="162" spans="1:8" s="7" customFormat="1" ht="18.75" hidden="1" customHeight="1">
      <c r="A162" s="256"/>
      <c r="B162" s="234"/>
      <c r="C162" s="230" t="s">
        <v>108</v>
      </c>
      <c r="D162" s="229" t="s">
        <v>63</v>
      </c>
      <c r="E162" s="231">
        <f>1.2*1.2*1</f>
        <v>1.44</v>
      </c>
      <c r="F162" s="274">
        <f>E162</f>
        <v>1.44</v>
      </c>
      <c r="G162" s="277"/>
      <c r="H162" s="285"/>
    </row>
    <row r="163" spans="1:8" s="7" customFormat="1" ht="27.75" hidden="1" customHeight="1">
      <c r="A163" s="256"/>
      <c r="B163" s="234"/>
      <c r="C163" s="230" t="s">
        <v>109</v>
      </c>
      <c r="D163" s="229" t="s">
        <v>63</v>
      </c>
      <c r="E163" s="231">
        <f>1.2*0.25*1</f>
        <v>0.3</v>
      </c>
      <c r="F163" s="274">
        <f>E163</f>
        <v>0.3</v>
      </c>
      <c r="G163" s="277"/>
      <c r="H163" s="285"/>
    </row>
    <row r="164" spans="1:8" s="7" customFormat="1" ht="19.5" hidden="1" customHeight="1">
      <c r="A164" s="256"/>
      <c r="B164" s="234"/>
      <c r="C164" s="230" t="s">
        <v>110</v>
      </c>
      <c r="D164" s="229" t="s">
        <v>63</v>
      </c>
      <c r="E164" s="231">
        <f>(1.2*0.95-(3.14*0.3*0.3))*1</f>
        <v>0.86</v>
      </c>
      <c r="F164" s="274">
        <f>E164</f>
        <v>0.86</v>
      </c>
      <c r="G164" s="277"/>
      <c r="H164" s="285"/>
    </row>
    <row r="165" spans="1:8" s="7" customFormat="1" ht="18" customHeight="1">
      <c r="A165" s="239" t="s">
        <v>9</v>
      </c>
      <c r="B165" s="75" t="s">
        <v>111</v>
      </c>
      <c r="C165" s="485" t="s">
        <v>112</v>
      </c>
      <c r="D165" s="486"/>
      <c r="E165" s="486"/>
      <c r="F165" s="486"/>
      <c r="G165" s="486"/>
      <c r="H165" s="487"/>
    </row>
    <row r="166" spans="1:8" s="7" customFormat="1" ht="24.75" customHeight="1">
      <c r="A166" s="252">
        <v>55</v>
      </c>
      <c r="B166" s="404" t="s">
        <v>113</v>
      </c>
      <c r="C166" s="347" t="s">
        <v>645</v>
      </c>
      <c r="D166" s="334" t="s">
        <v>34</v>
      </c>
      <c r="E166" s="327" t="s">
        <v>9</v>
      </c>
      <c r="F166" s="170">
        <f>E167</f>
        <v>2269.5</v>
      </c>
      <c r="G166" s="84"/>
      <c r="H166" s="398"/>
    </row>
    <row r="167" spans="1:8" s="7" customFormat="1" ht="42" hidden="1" customHeight="1">
      <c r="A167" s="263"/>
      <c r="B167" s="70"/>
      <c r="C167" s="73" t="s">
        <v>646</v>
      </c>
      <c r="D167" s="86" t="s">
        <v>34</v>
      </c>
      <c r="E167" s="87">
        <v>2269.5</v>
      </c>
      <c r="F167" s="170" t="s">
        <v>9</v>
      </c>
      <c r="G167" s="277"/>
      <c r="H167" s="285"/>
    </row>
    <row r="168" spans="1:8" s="7" customFormat="1" ht="30.75" customHeight="1">
      <c r="A168" s="488" t="s">
        <v>346</v>
      </c>
      <c r="B168" s="489"/>
      <c r="C168" s="489"/>
      <c r="D168" s="489"/>
      <c r="E168" s="489"/>
      <c r="F168" s="489"/>
      <c r="G168" s="489"/>
      <c r="H168" s="304">
        <f>H140+H142+H144+H146+H148+H150+H152+H154+H156+H159+H166</f>
        <v>0</v>
      </c>
    </row>
    <row r="169" spans="1:8" s="8" customFormat="1" ht="25.5" customHeight="1">
      <c r="A169" s="238" t="s">
        <v>114</v>
      </c>
      <c r="B169" s="74" t="s">
        <v>115</v>
      </c>
      <c r="C169" s="490" t="s">
        <v>659</v>
      </c>
      <c r="D169" s="491"/>
      <c r="E169" s="491"/>
      <c r="F169" s="491"/>
      <c r="G169" s="491"/>
      <c r="H169" s="492"/>
    </row>
    <row r="170" spans="1:8" s="8" customFormat="1" ht="15" customHeight="1">
      <c r="A170" s="239" t="s">
        <v>9</v>
      </c>
      <c r="B170" s="75" t="s">
        <v>226</v>
      </c>
      <c r="C170" s="269" t="s">
        <v>139</v>
      </c>
      <c r="D170" s="165"/>
      <c r="E170" s="165"/>
      <c r="F170" s="165"/>
      <c r="G170" s="165"/>
      <c r="H170" s="288"/>
    </row>
    <row r="171" spans="1:8" s="8" customFormat="1" ht="18" customHeight="1">
      <c r="A171" s="252">
        <v>56</v>
      </c>
      <c r="B171" s="404" t="s">
        <v>249</v>
      </c>
      <c r="C171" s="347" t="s">
        <v>222</v>
      </c>
      <c r="D171" s="334" t="s">
        <v>129</v>
      </c>
      <c r="E171" s="327" t="s">
        <v>9</v>
      </c>
      <c r="F171" s="170">
        <f>E172</f>
        <v>1</v>
      </c>
      <c r="G171" s="84"/>
      <c r="H171" s="398"/>
    </row>
    <row r="172" spans="1:8" s="8" customFormat="1" ht="25.5" hidden="1">
      <c r="A172" s="263"/>
      <c r="B172" s="70"/>
      <c r="C172" s="73" t="s">
        <v>663</v>
      </c>
      <c r="D172" s="86" t="s">
        <v>129</v>
      </c>
      <c r="E172" s="87">
        <v>1</v>
      </c>
      <c r="F172" s="170" t="s">
        <v>9</v>
      </c>
      <c r="G172" s="279"/>
      <c r="H172" s="287"/>
    </row>
    <row r="173" spans="1:8" s="8" customFormat="1" ht="15.75" customHeight="1">
      <c r="A173" s="239" t="s">
        <v>9</v>
      </c>
      <c r="B173" s="75" t="s">
        <v>116</v>
      </c>
      <c r="C173" s="269" t="s">
        <v>117</v>
      </c>
      <c r="D173" s="165"/>
      <c r="E173" s="165"/>
      <c r="F173" s="165"/>
      <c r="G173" s="165"/>
      <c r="H173" s="288"/>
    </row>
    <row r="174" spans="1:8" s="8" customFormat="1" ht="16.5" customHeight="1">
      <c r="A174" s="252">
        <v>57</v>
      </c>
      <c r="B174" s="404" t="s">
        <v>135</v>
      </c>
      <c r="C174" s="347" t="s">
        <v>136</v>
      </c>
      <c r="D174" s="334" t="s">
        <v>129</v>
      </c>
      <c r="E174" s="327" t="s">
        <v>9</v>
      </c>
      <c r="F174" s="170">
        <f>E175</f>
        <v>1</v>
      </c>
      <c r="G174" s="84"/>
      <c r="H174" s="398"/>
    </row>
    <row r="175" spans="1:8" s="8" customFormat="1" ht="25.5" hidden="1">
      <c r="A175" s="263"/>
      <c r="B175" s="70"/>
      <c r="C175" s="347" t="s">
        <v>660</v>
      </c>
      <c r="D175" s="334" t="s">
        <v>129</v>
      </c>
      <c r="E175" s="327">
        <v>1</v>
      </c>
      <c r="F175" s="170" t="s">
        <v>9</v>
      </c>
      <c r="G175" s="410"/>
      <c r="H175" s="387"/>
    </row>
    <row r="176" spans="1:8" s="8" customFormat="1" ht="16.5" customHeight="1">
      <c r="A176" s="252">
        <v>58</v>
      </c>
      <c r="B176" s="404" t="s">
        <v>137</v>
      </c>
      <c r="C176" s="347" t="s">
        <v>138</v>
      </c>
      <c r="D176" s="334" t="s">
        <v>129</v>
      </c>
      <c r="E176" s="327" t="s">
        <v>9</v>
      </c>
      <c r="F176" s="170">
        <f>E177</f>
        <v>1</v>
      </c>
      <c r="G176" s="84"/>
      <c r="H176" s="398"/>
    </row>
    <row r="177" spans="1:8" s="8" customFormat="1" ht="12.75" hidden="1">
      <c r="A177" s="262"/>
      <c r="B177" s="85"/>
      <c r="C177" s="73" t="s">
        <v>661</v>
      </c>
      <c r="D177" s="86" t="s">
        <v>129</v>
      </c>
      <c r="E177" s="87">
        <v>1</v>
      </c>
      <c r="F177" s="170" t="s">
        <v>9</v>
      </c>
      <c r="G177" s="6"/>
      <c r="H177" s="287"/>
    </row>
    <row r="178" spans="1:8" s="8" customFormat="1" ht="18" customHeight="1">
      <c r="A178" s="239" t="s">
        <v>9</v>
      </c>
      <c r="B178" s="75" t="s">
        <v>118</v>
      </c>
      <c r="C178" s="269" t="s">
        <v>119</v>
      </c>
      <c r="D178" s="165"/>
      <c r="E178" s="165"/>
      <c r="F178" s="165"/>
      <c r="G178" s="165"/>
      <c r="H178" s="288"/>
    </row>
    <row r="179" spans="1:8" s="8" customFormat="1" ht="15" customHeight="1">
      <c r="A179" s="252">
        <v>59</v>
      </c>
      <c r="B179" s="404" t="s">
        <v>120</v>
      </c>
      <c r="C179" s="347" t="s">
        <v>221</v>
      </c>
      <c r="D179" s="327" t="s">
        <v>42</v>
      </c>
      <c r="E179" s="327" t="s">
        <v>9</v>
      </c>
      <c r="F179" s="170">
        <f>E180</f>
        <v>55</v>
      </c>
      <c r="G179" s="84"/>
      <c r="H179" s="398"/>
    </row>
    <row r="180" spans="1:8" s="8" customFormat="1" ht="42.75" hidden="1" customHeight="1">
      <c r="A180" s="263"/>
      <c r="B180" s="70"/>
      <c r="C180" s="73" t="s">
        <v>662</v>
      </c>
      <c r="D180" s="86" t="s">
        <v>42</v>
      </c>
      <c r="E180" s="87">
        <v>55</v>
      </c>
      <c r="F180" s="170" t="s">
        <v>9</v>
      </c>
      <c r="G180" s="279"/>
      <c r="H180" s="287"/>
    </row>
    <row r="181" spans="1:8" s="8" customFormat="1" ht="32.25" customHeight="1">
      <c r="A181" s="488" t="s">
        <v>350</v>
      </c>
      <c r="B181" s="489"/>
      <c r="C181" s="489"/>
      <c r="D181" s="489"/>
      <c r="E181" s="489"/>
      <c r="F181" s="489"/>
      <c r="G181" s="489"/>
      <c r="H181" s="304">
        <f>H171+H174+H176+H179</f>
        <v>0</v>
      </c>
    </row>
    <row r="182" spans="1:8" s="8" customFormat="1" ht="29.25" customHeight="1">
      <c r="A182" s="238" t="s">
        <v>5</v>
      </c>
      <c r="B182" s="74" t="s">
        <v>121</v>
      </c>
      <c r="C182" s="490" t="s">
        <v>122</v>
      </c>
      <c r="D182" s="491"/>
      <c r="E182" s="491"/>
      <c r="F182" s="491"/>
      <c r="G182" s="491"/>
      <c r="H182" s="492"/>
    </row>
    <row r="183" spans="1:8" s="8" customFormat="1" ht="21.75" customHeight="1">
      <c r="A183" s="239" t="s">
        <v>9</v>
      </c>
      <c r="B183" s="75" t="s">
        <v>123</v>
      </c>
      <c r="C183" s="269" t="s">
        <v>124</v>
      </c>
      <c r="D183" s="165"/>
      <c r="E183" s="165"/>
      <c r="F183" s="165"/>
      <c r="G183" s="165"/>
      <c r="H183" s="288"/>
    </row>
    <row r="184" spans="1:8" s="8" customFormat="1" ht="24.75" customHeight="1">
      <c r="A184" s="252">
        <v>60</v>
      </c>
      <c r="B184" s="70" t="s">
        <v>649</v>
      </c>
      <c r="C184" s="233" t="s">
        <v>647</v>
      </c>
      <c r="D184" s="334" t="s">
        <v>42</v>
      </c>
      <c r="E184" s="327" t="s">
        <v>9</v>
      </c>
      <c r="F184" s="170">
        <f>E185</f>
        <v>880.8</v>
      </c>
      <c r="G184" s="84"/>
      <c r="H184" s="398"/>
    </row>
    <row r="185" spans="1:8" s="8" customFormat="1" ht="39.75" hidden="1" customHeight="1">
      <c r="A185" s="263"/>
      <c r="B185" s="70"/>
      <c r="C185" s="73" t="s">
        <v>648</v>
      </c>
      <c r="D185" s="86" t="s">
        <v>42</v>
      </c>
      <c r="E185" s="87">
        <f>'4. El. pref. 5. 6. konstr.'!D6</f>
        <v>880.8</v>
      </c>
      <c r="F185" s="90" t="s">
        <v>9</v>
      </c>
      <c r="G185" s="279"/>
      <c r="H185" s="287"/>
    </row>
    <row r="186" spans="1:8" s="8" customFormat="1" ht="20.25" customHeight="1">
      <c r="A186" s="239" t="s">
        <v>9</v>
      </c>
      <c r="B186" s="167" t="s">
        <v>652</v>
      </c>
      <c r="C186" s="485" t="s">
        <v>651</v>
      </c>
      <c r="D186" s="486"/>
      <c r="E186" s="486"/>
      <c r="F186" s="486"/>
      <c r="G186" s="486"/>
      <c r="H186" s="487"/>
    </row>
    <row r="187" spans="1:8" s="8" customFormat="1" ht="26.25" customHeight="1">
      <c r="A187" s="252">
        <v>61</v>
      </c>
      <c r="B187" s="70" t="s">
        <v>653</v>
      </c>
      <c r="C187" s="233" t="s">
        <v>654</v>
      </c>
      <c r="D187" s="334" t="s">
        <v>42</v>
      </c>
      <c r="E187" s="327" t="s">
        <v>9</v>
      </c>
      <c r="F187" s="170">
        <f>E188</f>
        <v>1338.9</v>
      </c>
      <c r="G187" s="84"/>
      <c r="H187" s="398"/>
    </row>
    <row r="188" spans="1:8" s="8" customFormat="1" ht="72.75" hidden="1" customHeight="1">
      <c r="A188" s="263"/>
      <c r="B188" s="70"/>
      <c r="C188" s="347" t="s">
        <v>658</v>
      </c>
      <c r="D188" s="334" t="s">
        <v>42</v>
      </c>
      <c r="E188" s="327">
        <f>'4. El. pref. 5. 6. konstr.'!C36</f>
        <v>1338.9</v>
      </c>
      <c r="F188" s="170" t="s">
        <v>9</v>
      </c>
      <c r="G188" s="277"/>
      <c r="H188" s="387"/>
    </row>
    <row r="189" spans="1:8" s="8" customFormat="1" ht="22.5" customHeight="1">
      <c r="A189" s="252">
        <v>62</v>
      </c>
      <c r="B189" s="70" t="s">
        <v>657</v>
      </c>
      <c r="C189" s="233" t="s">
        <v>655</v>
      </c>
      <c r="D189" s="334" t="s">
        <v>42</v>
      </c>
      <c r="E189" s="327" t="s">
        <v>9</v>
      </c>
      <c r="F189" s="170">
        <f>E190</f>
        <v>132.19999999999999</v>
      </c>
      <c r="G189" s="84"/>
      <c r="H189" s="398"/>
    </row>
    <row r="190" spans="1:8" s="8" customFormat="1" ht="39.75" hidden="1" customHeight="1">
      <c r="A190" s="263"/>
      <c r="B190" s="70"/>
      <c r="C190" s="73" t="s">
        <v>656</v>
      </c>
      <c r="D190" s="86" t="s">
        <v>42</v>
      </c>
      <c r="E190" s="87">
        <f>'1. Zjazdy indywidualne'!P72</f>
        <v>132.19999999999999</v>
      </c>
      <c r="F190" s="90" t="s">
        <v>9</v>
      </c>
      <c r="G190" s="279"/>
      <c r="H190" s="287"/>
    </row>
    <row r="191" spans="1:8" s="7" customFormat="1" ht="18" customHeight="1">
      <c r="A191" s="239" t="s">
        <v>9</v>
      </c>
      <c r="B191" s="75" t="s">
        <v>125</v>
      </c>
      <c r="C191" s="485" t="s">
        <v>126</v>
      </c>
      <c r="D191" s="486"/>
      <c r="E191" s="486"/>
      <c r="F191" s="486"/>
      <c r="G191" s="486"/>
      <c r="H191" s="487"/>
    </row>
    <row r="192" spans="1:8" s="7" customFormat="1" ht="25.5" customHeight="1">
      <c r="A192" s="252">
        <v>63</v>
      </c>
      <c r="B192" s="70" t="s">
        <v>127</v>
      </c>
      <c r="C192" s="347" t="s">
        <v>379</v>
      </c>
      <c r="D192" s="334" t="s">
        <v>42</v>
      </c>
      <c r="E192" s="327" t="s">
        <v>9</v>
      </c>
      <c r="F192" s="327">
        <f>E193</f>
        <v>788.6</v>
      </c>
      <c r="G192" s="84"/>
      <c r="H192" s="398"/>
    </row>
    <row r="193" spans="1:8" s="8" customFormat="1" ht="51.75" hidden="1" customHeight="1" thickBot="1">
      <c r="A193" s="295"/>
      <c r="B193" s="296"/>
      <c r="C193" s="297" t="s">
        <v>650</v>
      </c>
      <c r="D193" s="298" t="s">
        <v>42</v>
      </c>
      <c r="E193" s="299">
        <f>'4. El. pref. 5. 6. konstr.'!D12</f>
        <v>788.6</v>
      </c>
      <c r="F193" s="300" t="s">
        <v>9</v>
      </c>
      <c r="G193" s="301"/>
      <c r="H193" s="302"/>
    </row>
    <row r="194" spans="1:8" ht="29.25" customHeight="1">
      <c r="A194" s="488" t="s">
        <v>232</v>
      </c>
      <c r="B194" s="489"/>
      <c r="C194" s="489"/>
      <c r="D194" s="489"/>
      <c r="E194" s="489"/>
      <c r="F194" s="489"/>
      <c r="G194" s="489"/>
      <c r="H194" s="304">
        <f>H184+H187+H189+H192</f>
        <v>0</v>
      </c>
    </row>
    <row r="195" spans="1:8" ht="24.75" customHeight="1">
      <c r="A195" s="477" t="s">
        <v>685</v>
      </c>
      <c r="B195" s="478"/>
      <c r="C195" s="478"/>
      <c r="D195" s="478"/>
      <c r="E195" s="478"/>
      <c r="F195" s="478"/>
      <c r="G195" s="479"/>
      <c r="H195" s="310"/>
    </row>
    <row r="196" spans="1:8" ht="24.75" customHeight="1">
      <c r="A196" s="237" t="s">
        <v>130</v>
      </c>
      <c r="B196" s="507" t="s">
        <v>352</v>
      </c>
      <c r="C196" s="508"/>
      <c r="D196" s="508"/>
      <c r="E196" s="508"/>
      <c r="F196" s="508"/>
      <c r="G196" s="508"/>
      <c r="H196" s="509"/>
    </row>
    <row r="197" spans="1:8" ht="32.25" customHeight="1">
      <c r="A197" s="238" t="s">
        <v>128</v>
      </c>
      <c r="B197" s="94" t="s">
        <v>795</v>
      </c>
      <c r="C197" s="510" t="s">
        <v>713</v>
      </c>
      <c r="D197" s="511"/>
      <c r="E197" s="511"/>
      <c r="F197" s="511"/>
      <c r="G197" s="511"/>
      <c r="H197" s="512"/>
    </row>
    <row r="198" spans="1:8" ht="32.25" customHeight="1">
      <c r="A198" s="252">
        <v>64</v>
      </c>
      <c r="B198" s="411"/>
      <c r="C198" s="412" t="s">
        <v>698</v>
      </c>
      <c r="D198" s="413" t="s">
        <v>699</v>
      </c>
      <c r="E198" s="84" t="s">
        <v>9</v>
      </c>
      <c r="F198" s="414">
        <v>2</v>
      </c>
      <c r="G198" s="414"/>
      <c r="H198" s="415"/>
    </row>
    <row r="199" spans="1:8" ht="37.5" customHeight="1">
      <c r="A199" s="252">
        <v>65</v>
      </c>
      <c r="B199" s="411"/>
      <c r="C199" s="412" t="s">
        <v>700</v>
      </c>
      <c r="D199" s="413" t="s">
        <v>689</v>
      </c>
      <c r="E199" s="84" t="s">
        <v>9</v>
      </c>
      <c r="F199" s="414">
        <v>2</v>
      </c>
      <c r="G199" s="414"/>
      <c r="H199" s="415"/>
    </row>
    <row r="200" spans="1:8" ht="36" customHeight="1">
      <c r="A200" s="252">
        <v>66</v>
      </c>
      <c r="B200" s="411"/>
      <c r="C200" s="412" t="s">
        <v>701</v>
      </c>
      <c r="D200" s="413" t="s">
        <v>699</v>
      </c>
      <c r="E200" s="84" t="s">
        <v>9</v>
      </c>
      <c r="F200" s="414">
        <v>2</v>
      </c>
      <c r="G200" s="414"/>
      <c r="H200" s="415"/>
    </row>
    <row r="201" spans="1:8" ht="24.75" customHeight="1">
      <c r="A201" s="252">
        <v>67</v>
      </c>
      <c r="B201" s="411"/>
      <c r="C201" s="412" t="s">
        <v>702</v>
      </c>
      <c r="D201" s="413" t="s">
        <v>689</v>
      </c>
      <c r="E201" s="84" t="s">
        <v>9</v>
      </c>
      <c r="F201" s="414">
        <v>2</v>
      </c>
      <c r="G201" s="414"/>
      <c r="H201" s="415"/>
    </row>
    <row r="202" spans="1:8" ht="30" customHeight="1">
      <c r="A202" s="252">
        <v>68</v>
      </c>
      <c r="B202" s="411"/>
      <c r="C202" s="412" t="s">
        <v>703</v>
      </c>
      <c r="D202" s="413" t="s">
        <v>689</v>
      </c>
      <c r="E202" s="84" t="s">
        <v>9</v>
      </c>
      <c r="F202" s="414">
        <v>6</v>
      </c>
      <c r="G202" s="414"/>
      <c r="H202" s="415"/>
    </row>
    <row r="203" spans="1:8" ht="28.5" customHeight="1">
      <c r="A203" s="252">
        <v>69</v>
      </c>
      <c r="B203" s="411"/>
      <c r="C203" s="412" t="s">
        <v>704</v>
      </c>
      <c r="D203" s="413" t="s">
        <v>689</v>
      </c>
      <c r="E203" s="84" t="s">
        <v>9</v>
      </c>
      <c r="F203" s="414">
        <v>6</v>
      </c>
      <c r="G203" s="414"/>
      <c r="H203" s="415"/>
    </row>
    <row r="204" spans="1:8" ht="24.75" customHeight="1">
      <c r="A204" s="252">
        <v>70</v>
      </c>
      <c r="B204" s="411"/>
      <c r="C204" s="412" t="s">
        <v>705</v>
      </c>
      <c r="D204" s="413" t="s">
        <v>23</v>
      </c>
      <c r="E204" s="84" t="s">
        <v>9</v>
      </c>
      <c r="F204" s="414">
        <v>0.57000000000000006</v>
      </c>
      <c r="G204" s="414"/>
      <c r="H204" s="415"/>
    </row>
    <row r="205" spans="1:8" ht="24.75" customHeight="1">
      <c r="A205" s="252">
        <v>71</v>
      </c>
      <c r="B205" s="411"/>
      <c r="C205" s="412" t="s">
        <v>706</v>
      </c>
      <c r="D205" s="413" t="s">
        <v>707</v>
      </c>
      <c r="E205" s="84" t="s">
        <v>9</v>
      </c>
      <c r="F205" s="414">
        <v>1</v>
      </c>
      <c r="G205" s="414"/>
      <c r="H205" s="415"/>
    </row>
    <row r="206" spans="1:8" ht="24.75" customHeight="1">
      <c r="A206" s="252">
        <v>72</v>
      </c>
      <c r="B206" s="411"/>
      <c r="C206" s="412" t="s">
        <v>708</v>
      </c>
      <c r="D206" s="413" t="s">
        <v>23</v>
      </c>
      <c r="E206" s="84" t="s">
        <v>9</v>
      </c>
      <c r="F206" s="414">
        <v>0.6</v>
      </c>
      <c r="G206" s="414"/>
      <c r="H206" s="415"/>
    </row>
    <row r="207" spans="1:8" ht="24.75" customHeight="1">
      <c r="A207" s="252">
        <v>73</v>
      </c>
      <c r="B207" s="411"/>
      <c r="C207" s="412" t="s">
        <v>709</v>
      </c>
      <c r="D207" s="413" t="s">
        <v>689</v>
      </c>
      <c r="E207" s="84" t="s">
        <v>9</v>
      </c>
      <c r="F207" s="414">
        <v>1</v>
      </c>
      <c r="G207" s="414"/>
      <c r="H207" s="415"/>
    </row>
    <row r="208" spans="1:8" ht="24.75" customHeight="1">
      <c r="A208" s="252">
        <v>74</v>
      </c>
      <c r="B208" s="411"/>
      <c r="C208" s="412" t="s">
        <v>710</v>
      </c>
      <c r="D208" s="413" t="s">
        <v>711</v>
      </c>
      <c r="E208" s="84" t="s">
        <v>9</v>
      </c>
      <c r="F208" s="414">
        <v>1</v>
      </c>
      <c r="G208" s="414"/>
      <c r="H208" s="415"/>
    </row>
    <row r="209" spans="1:8" ht="24.75" customHeight="1">
      <c r="A209" s="488" t="s">
        <v>697</v>
      </c>
      <c r="B209" s="489"/>
      <c r="C209" s="489"/>
      <c r="D209" s="489"/>
      <c r="E209" s="489"/>
      <c r="F209" s="489"/>
      <c r="G209" s="489"/>
      <c r="H209" s="304">
        <f>H200+H201+H203+H202+H204+H205+H206+H207+H208+H199+H198</f>
        <v>0</v>
      </c>
    </row>
    <row r="210" spans="1:8" ht="31.5" customHeight="1">
      <c r="A210" s="238" t="s">
        <v>354</v>
      </c>
      <c r="B210" s="94" t="s">
        <v>795</v>
      </c>
      <c r="C210" s="493" t="s">
        <v>714</v>
      </c>
      <c r="D210" s="493"/>
      <c r="E210" s="493"/>
      <c r="F210" s="493"/>
      <c r="G210" s="493"/>
      <c r="H210" s="494"/>
    </row>
    <row r="211" spans="1:8" ht="32.25" customHeight="1">
      <c r="A211" s="252">
        <v>75</v>
      </c>
      <c r="B211" s="416"/>
      <c r="C211" s="417" t="s">
        <v>715</v>
      </c>
      <c r="D211" s="418" t="s">
        <v>42</v>
      </c>
      <c r="E211" s="84" t="s">
        <v>9</v>
      </c>
      <c r="F211" s="419">
        <v>30</v>
      </c>
      <c r="G211" s="419"/>
      <c r="H211" s="420"/>
    </row>
    <row r="212" spans="1:8" ht="39" customHeight="1">
      <c r="A212" s="252">
        <v>76</v>
      </c>
      <c r="B212" s="416"/>
      <c r="C212" s="417" t="s">
        <v>716</v>
      </c>
      <c r="D212" s="418" t="s">
        <v>42</v>
      </c>
      <c r="E212" s="84" t="s">
        <v>9</v>
      </c>
      <c r="F212" s="419">
        <v>30</v>
      </c>
      <c r="G212" s="419"/>
      <c r="H212" s="420"/>
    </row>
    <row r="213" spans="1:8" ht="33" customHeight="1">
      <c r="A213" s="252">
        <v>77</v>
      </c>
      <c r="B213" s="416"/>
      <c r="C213" s="417" t="s">
        <v>717</v>
      </c>
      <c r="D213" s="418" t="s">
        <v>42</v>
      </c>
      <c r="E213" s="84" t="s">
        <v>9</v>
      </c>
      <c r="F213" s="419">
        <v>60</v>
      </c>
      <c r="G213" s="419"/>
      <c r="H213" s="420"/>
    </row>
    <row r="214" spans="1:8" ht="33" customHeight="1">
      <c r="A214" s="252">
        <v>78</v>
      </c>
      <c r="B214" s="416"/>
      <c r="C214" s="417" t="s">
        <v>718</v>
      </c>
      <c r="D214" s="418" t="s">
        <v>42</v>
      </c>
      <c r="E214" s="84" t="s">
        <v>9</v>
      </c>
      <c r="F214" s="419">
        <v>10</v>
      </c>
      <c r="G214" s="419"/>
      <c r="H214" s="420"/>
    </row>
    <row r="215" spans="1:8" ht="42.75" customHeight="1">
      <c r="A215" s="252">
        <v>79</v>
      </c>
      <c r="B215" s="416"/>
      <c r="C215" s="417" t="s">
        <v>719</v>
      </c>
      <c r="D215" s="418" t="s">
        <v>42</v>
      </c>
      <c r="E215" s="84" t="s">
        <v>9</v>
      </c>
      <c r="F215" s="419">
        <v>90</v>
      </c>
      <c r="G215" s="419"/>
      <c r="H215" s="420"/>
    </row>
    <row r="216" spans="1:8" ht="39.75" customHeight="1">
      <c r="A216" s="252">
        <v>80</v>
      </c>
      <c r="B216" s="416"/>
      <c r="C216" s="417" t="s">
        <v>720</v>
      </c>
      <c r="D216" s="418" t="s">
        <v>42</v>
      </c>
      <c r="E216" s="84" t="s">
        <v>9</v>
      </c>
      <c r="F216" s="419">
        <v>30</v>
      </c>
      <c r="G216" s="419"/>
      <c r="H216" s="420"/>
    </row>
    <row r="217" spans="1:8" ht="48" customHeight="1">
      <c r="A217" s="252">
        <v>81</v>
      </c>
      <c r="B217" s="416"/>
      <c r="C217" s="417" t="s">
        <v>721</v>
      </c>
      <c r="D217" s="418" t="s">
        <v>689</v>
      </c>
      <c r="E217" s="84" t="s">
        <v>9</v>
      </c>
      <c r="F217" s="419">
        <v>6</v>
      </c>
      <c r="G217" s="419"/>
      <c r="H217" s="420"/>
    </row>
    <row r="218" spans="1:8" ht="24.75" customHeight="1">
      <c r="A218" s="252">
        <v>82</v>
      </c>
      <c r="B218" s="416"/>
      <c r="C218" s="417" t="s">
        <v>722</v>
      </c>
      <c r="D218" s="418" t="s">
        <v>723</v>
      </c>
      <c r="E218" s="84" t="s">
        <v>9</v>
      </c>
      <c r="F218" s="419">
        <v>1</v>
      </c>
      <c r="G218" s="419"/>
      <c r="H218" s="420"/>
    </row>
    <row r="219" spans="1:8" ht="34.5" customHeight="1">
      <c r="A219" s="252">
        <v>83</v>
      </c>
      <c r="B219" s="416"/>
      <c r="C219" s="417" t="s">
        <v>724</v>
      </c>
      <c r="D219" s="418" t="s">
        <v>42</v>
      </c>
      <c r="E219" s="84" t="s">
        <v>9</v>
      </c>
      <c r="F219" s="419">
        <v>4</v>
      </c>
      <c r="G219" s="419"/>
      <c r="H219" s="420"/>
    </row>
    <row r="220" spans="1:8" ht="33" customHeight="1">
      <c r="A220" s="252">
        <v>84</v>
      </c>
      <c r="B220" s="416"/>
      <c r="C220" s="417" t="s">
        <v>725</v>
      </c>
      <c r="D220" s="418" t="s">
        <v>42</v>
      </c>
      <c r="E220" s="84" t="s">
        <v>9</v>
      </c>
      <c r="F220" s="419">
        <v>4</v>
      </c>
      <c r="G220" s="419"/>
      <c r="H220" s="420"/>
    </row>
    <row r="221" spans="1:8" ht="35.25" customHeight="1">
      <c r="A221" s="252">
        <v>85</v>
      </c>
      <c r="B221" s="416"/>
      <c r="C221" s="417" t="s">
        <v>715</v>
      </c>
      <c r="D221" s="418" t="s">
        <v>42</v>
      </c>
      <c r="E221" s="84" t="s">
        <v>9</v>
      </c>
      <c r="F221" s="419">
        <v>20</v>
      </c>
      <c r="G221" s="419"/>
      <c r="H221" s="420"/>
    </row>
    <row r="222" spans="1:8" ht="32.25" customHeight="1">
      <c r="A222" s="252">
        <v>86</v>
      </c>
      <c r="B222" s="416"/>
      <c r="C222" s="417" t="s">
        <v>725</v>
      </c>
      <c r="D222" s="418" t="s">
        <v>42</v>
      </c>
      <c r="E222" s="84" t="s">
        <v>9</v>
      </c>
      <c r="F222" s="419">
        <v>20</v>
      </c>
      <c r="G222" s="419"/>
      <c r="H222" s="420"/>
    </row>
    <row r="223" spans="1:8" ht="35.25" customHeight="1">
      <c r="A223" s="252">
        <v>87</v>
      </c>
      <c r="B223" s="416"/>
      <c r="C223" s="417" t="s">
        <v>726</v>
      </c>
      <c r="D223" s="418" t="s">
        <v>42</v>
      </c>
      <c r="E223" s="84" t="s">
        <v>9</v>
      </c>
      <c r="F223" s="419">
        <v>20</v>
      </c>
      <c r="G223" s="419"/>
      <c r="H223" s="420"/>
    </row>
    <row r="224" spans="1:8" ht="24.75" customHeight="1">
      <c r="A224" s="252">
        <v>88</v>
      </c>
      <c r="B224" s="416"/>
      <c r="C224" s="417" t="s">
        <v>709</v>
      </c>
      <c r="D224" s="418" t="s">
        <v>689</v>
      </c>
      <c r="E224" s="84" t="s">
        <v>9</v>
      </c>
      <c r="F224" s="419">
        <v>1</v>
      </c>
      <c r="G224" s="419"/>
      <c r="H224" s="420"/>
    </row>
    <row r="225" spans="1:8" ht="24.75" customHeight="1">
      <c r="A225" s="252">
        <v>89</v>
      </c>
      <c r="B225" s="416"/>
      <c r="C225" s="417" t="s">
        <v>710</v>
      </c>
      <c r="D225" s="418" t="s">
        <v>727</v>
      </c>
      <c r="E225" s="84" t="s">
        <v>9</v>
      </c>
      <c r="F225" s="419">
        <v>1</v>
      </c>
      <c r="G225" s="419"/>
      <c r="H225" s="420"/>
    </row>
    <row r="226" spans="1:8" ht="24.75" customHeight="1">
      <c r="A226" s="252">
        <v>90</v>
      </c>
      <c r="B226" s="416"/>
      <c r="C226" s="417" t="s">
        <v>696</v>
      </c>
      <c r="D226" s="418" t="s">
        <v>129</v>
      </c>
      <c r="E226" s="84" t="s">
        <v>9</v>
      </c>
      <c r="F226" s="419">
        <v>1</v>
      </c>
      <c r="G226" s="419"/>
      <c r="H226" s="420"/>
    </row>
    <row r="227" spans="1:8" ht="24.75" customHeight="1">
      <c r="A227" s="488" t="s">
        <v>712</v>
      </c>
      <c r="B227" s="489"/>
      <c r="C227" s="489"/>
      <c r="D227" s="489"/>
      <c r="E227" s="489"/>
      <c r="F227" s="489"/>
      <c r="G227" s="489"/>
      <c r="H227" s="304">
        <f>H218+H219+H221+H220+H222+H223+H224+H225+H226+H217+H216+H215+H214+H213+H212+H211</f>
        <v>0</v>
      </c>
    </row>
    <row r="228" spans="1:8" ht="29.25" customHeight="1">
      <c r="A228" s="238" t="s">
        <v>131</v>
      </c>
      <c r="B228" s="94" t="s">
        <v>795</v>
      </c>
      <c r="C228" s="493" t="s">
        <v>729</v>
      </c>
      <c r="D228" s="493"/>
      <c r="E228" s="493"/>
      <c r="F228" s="493"/>
      <c r="G228" s="493"/>
      <c r="H228" s="494"/>
    </row>
    <row r="229" spans="1:8" ht="30.75" customHeight="1">
      <c r="A229" s="252">
        <v>91</v>
      </c>
      <c r="B229" s="416"/>
      <c r="C229" s="421" t="s">
        <v>715</v>
      </c>
      <c r="D229" s="418" t="s">
        <v>42</v>
      </c>
      <c r="E229" s="84" t="s">
        <v>9</v>
      </c>
      <c r="F229" s="419">
        <v>158</v>
      </c>
      <c r="G229" s="419"/>
      <c r="H229" s="420"/>
    </row>
    <row r="230" spans="1:8" ht="36" customHeight="1">
      <c r="A230" s="252">
        <v>92</v>
      </c>
      <c r="B230" s="416"/>
      <c r="C230" s="421" t="s">
        <v>716</v>
      </c>
      <c r="D230" s="418" t="s">
        <v>42</v>
      </c>
      <c r="E230" s="84" t="s">
        <v>9</v>
      </c>
      <c r="F230" s="419">
        <v>158</v>
      </c>
      <c r="G230" s="419"/>
      <c r="H230" s="420"/>
    </row>
    <row r="231" spans="1:8" ht="24.75" customHeight="1">
      <c r="A231" s="252">
        <v>93</v>
      </c>
      <c r="B231" s="416"/>
      <c r="C231" s="421" t="s">
        <v>717</v>
      </c>
      <c r="D231" s="418" t="s">
        <v>42</v>
      </c>
      <c r="E231" s="84" t="s">
        <v>9</v>
      </c>
      <c r="F231" s="419">
        <v>316</v>
      </c>
      <c r="G231" s="419"/>
      <c r="H231" s="420"/>
    </row>
    <row r="232" spans="1:8" ht="36" customHeight="1">
      <c r="A232" s="252">
        <v>94</v>
      </c>
      <c r="B232" s="416"/>
      <c r="C232" s="421" t="s">
        <v>730</v>
      </c>
      <c r="D232" s="418" t="s">
        <v>42</v>
      </c>
      <c r="E232" s="84" t="s">
        <v>9</v>
      </c>
      <c r="F232" s="419">
        <v>22</v>
      </c>
      <c r="G232" s="419"/>
      <c r="H232" s="420"/>
    </row>
    <row r="233" spans="1:8" ht="24.75" customHeight="1">
      <c r="A233" s="252">
        <v>95</v>
      </c>
      <c r="B233" s="416"/>
      <c r="C233" s="421" t="s">
        <v>731</v>
      </c>
      <c r="D233" s="418" t="s">
        <v>42</v>
      </c>
      <c r="E233" s="84" t="s">
        <v>9</v>
      </c>
      <c r="F233" s="419">
        <v>7</v>
      </c>
      <c r="G233" s="419"/>
      <c r="H233" s="420"/>
    </row>
    <row r="234" spans="1:8" ht="45.75" customHeight="1">
      <c r="A234" s="252">
        <v>96</v>
      </c>
      <c r="B234" s="416"/>
      <c r="C234" s="421" t="s">
        <v>732</v>
      </c>
      <c r="D234" s="418" t="s">
        <v>42</v>
      </c>
      <c r="E234" s="84" t="s">
        <v>9</v>
      </c>
      <c r="F234" s="419">
        <v>121</v>
      </c>
      <c r="G234" s="419"/>
      <c r="H234" s="420"/>
    </row>
    <row r="235" spans="1:8" ht="40.5" customHeight="1">
      <c r="A235" s="252">
        <v>97</v>
      </c>
      <c r="B235" s="416"/>
      <c r="C235" s="421" t="s">
        <v>733</v>
      </c>
      <c r="D235" s="418" t="s">
        <v>42</v>
      </c>
      <c r="E235" s="84" t="s">
        <v>9</v>
      </c>
      <c r="F235" s="419">
        <v>19</v>
      </c>
      <c r="G235" s="419"/>
      <c r="H235" s="420"/>
    </row>
    <row r="236" spans="1:8" ht="43.5" customHeight="1">
      <c r="A236" s="252">
        <v>98</v>
      </c>
      <c r="B236" s="416"/>
      <c r="C236" s="421" t="s">
        <v>734</v>
      </c>
      <c r="D236" s="418" t="s">
        <v>42</v>
      </c>
      <c r="E236" s="84" t="s">
        <v>9</v>
      </c>
      <c r="F236" s="419">
        <v>30</v>
      </c>
      <c r="G236" s="419"/>
      <c r="H236" s="420"/>
    </row>
    <row r="237" spans="1:8" ht="36.75" customHeight="1">
      <c r="A237" s="252">
        <v>99</v>
      </c>
      <c r="B237" s="416"/>
      <c r="C237" s="421" t="s">
        <v>735</v>
      </c>
      <c r="D237" s="418" t="s">
        <v>42</v>
      </c>
      <c r="E237" s="84" t="s">
        <v>9</v>
      </c>
      <c r="F237" s="419">
        <v>10</v>
      </c>
      <c r="G237" s="419"/>
      <c r="H237" s="420"/>
    </row>
    <row r="238" spans="1:8" ht="46.5" customHeight="1">
      <c r="A238" s="252">
        <v>100</v>
      </c>
      <c r="B238" s="416"/>
      <c r="C238" s="421" t="s">
        <v>736</v>
      </c>
      <c r="D238" s="418" t="s">
        <v>689</v>
      </c>
      <c r="E238" s="84" t="s">
        <v>9</v>
      </c>
      <c r="F238" s="419">
        <v>1</v>
      </c>
      <c r="G238" s="419"/>
      <c r="H238" s="420"/>
    </row>
    <row r="239" spans="1:8" ht="44.25" customHeight="1">
      <c r="A239" s="252">
        <v>101</v>
      </c>
      <c r="B239" s="416"/>
      <c r="C239" s="421" t="s">
        <v>737</v>
      </c>
      <c r="D239" s="418" t="s">
        <v>689</v>
      </c>
      <c r="E239" s="84" t="s">
        <v>9</v>
      </c>
      <c r="F239" s="419">
        <v>2</v>
      </c>
      <c r="G239" s="419"/>
      <c r="H239" s="420"/>
    </row>
    <row r="240" spans="1:8" ht="33" customHeight="1">
      <c r="A240" s="252">
        <v>102</v>
      </c>
      <c r="B240" s="416"/>
      <c r="C240" s="421" t="s">
        <v>738</v>
      </c>
      <c r="D240" s="418" t="s">
        <v>689</v>
      </c>
      <c r="E240" s="84" t="s">
        <v>9</v>
      </c>
      <c r="F240" s="419">
        <v>2</v>
      </c>
      <c r="G240" s="419"/>
      <c r="H240" s="420"/>
    </row>
    <row r="241" spans="1:8" ht="30.75" customHeight="1">
      <c r="A241" s="252">
        <v>103</v>
      </c>
      <c r="B241" s="416"/>
      <c r="C241" s="421" t="s">
        <v>739</v>
      </c>
      <c r="D241" s="418" t="s">
        <v>689</v>
      </c>
      <c r="E241" s="84" t="s">
        <v>9</v>
      </c>
      <c r="F241" s="419">
        <v>2</v>
      </c>
      <c r="G241" s="419"/>
      <c r="H241" s="420"/>
    </row>
    <row r="242" spans="1:8" ht="24.75" customHeight="1">
      <c r="A242" s="252">
        <v>104</v>
      </c>
      <c r="B242" s="416"/>
      <c r="C242" s="421" t="s">
        <v>740</v>
      </c>
      <c r="D242" s="418" t="s">
        <v>723</v>
      </c>
      <c r="E242" s="84" t="s">
        <v>9</v>
      </c>
      <c r="F242" s="419">
        <v>2</v>
      </c>
      <c r="G242" s="419"/>
      <c r="H242" s="420"/>
    </row>
    <row r="243" spans="1:8" ht="30.75" customHeight="1">
      <c r="A243" s="252">
        <v>105</v>
      </c>
      <c r="B243" s="416"/>
      <c r="C243" s="421" t="s">
        <v>715</v>
      </c>
      <c r="D243" s="418" t="s">
        <v>42</v>
      </c>
      <c r="E243" s="84" t="s">
        <v>9</v>
      </c>
      <c r="F243" s="419">
        <v>72</v>
      </c>
      <c r="G243" s="419"/>
      <c r="H243" s="420"/>
    </row>
    <row r="244" spans="1:8" ht="34.5" customHeight="1">
      <c r="A244" s="252">
        <v>106</v>
      </c>
      <c r="B244" s="416"/>
      <c r="C244" s="421" t="s">
        <v>716</v>
      </c>
      <c r="D244" s="418" t="s">
        <v>42</v>
      </c>
      <c r="E244" s="84" t="s">
        <v>9</v>
      </c>
      <c r="F244" s="419">
        <v>72</v>
      </c>
      <c r="G244" s="419"/>
      <c r="H244" s="420"/>
    </row>
    <row r="245" spans="1:8" ht="33" customHeight="1">
      <c r="A245" s="252">
        <v>107</v>
      </c>
      <c r="B245" s="411"/>
      <c r="C245" s="421" t="s">
        <v>741</v>
      </c>
      <c r="D245" s="418" t="s">
        <v>42</v>
      </c>
      <c r="E245" s="84" t="s">
        <v>9</v>
      </c>
      <c r="F245" s="419">
        <v>102</v>
      </c>
      <c r="G245" s="419"/>
      <c r="H245" s="420"/>
    </row>
    <row r="246" spans="1:8" ht="24.75" customHeight="1">
      <c r="A246" s="252">
        <v>108</v>
      </c>
      <c r="B246" s="411"/>
      <c r="C246" s="421" t="s">
        <v>742</v>
      </c>
      <c r="D246" s="418" t="s">
        <v>727</v>
      </c>
      <c r="E246" s="84" t="s">
        <v>9</v>
      </c>
      <c r="F246" s="419">
        <v>1</v>
      </c>
      <c r="G246" s="419"/>
      <c r="H246" s="420"/>
    </row>
    <row r="247" spans="1:8" ht="24.75" customHeight="1">
      <c r="A247" s="252">
        <v>109</v>
      </c>
      <c r="B247" s="411"/>
      <c r="C247" s="421" t="s">
        <v>696</v>
      </c>
      <c r="D247" s="418" t="s">
        <v>129</v>
      </c>
      <c r="E247" s="84" t="s">
        <v>9</v>
      </c>
      <c r="F247" s="419">
        <v>1</v>
      </c>
      <c r="G247" s="419"/>
      <c r="H247" s="420"/>
    </row>
    <row r="248" spans="1:8" ht="24.75" customHeight="1">
      <c r="A248" s="488" t="s">
        <v>728</v>
      </c>
      <c r="B248" s="489"/>
      <c r="C248" s="489"/>
      <c r="D248" s="489"/>
      <c r="E248" s="489"/>
      <c r="F248" s="489"/>
      <c r="G248" s="489"/>
      <c r="H248" s="304">
        <f>H239+H240+H242+H241+H243+H244+H245+H246+H247+H238+H237+H236+H235+H234+H233+H232+H231+H230+H229</f>
        <v>0</v>
      </c>
    </row>
    <row r="249" spans="1:8" ht="24.75" customHeight="1">
      <c r="A249" s="477" t="s">
        <v>806</v>
      </c>
      <c r="B249" s="478"/>
      <c r="C249" s="478"/>
      <c r="D249" s="478"/>
      <c r="E249" s="478"/>
      <c r="F249" s="478"/>
      <c r="G249" s="479"/>
      <c r="H249" s="310"/>
    </row>
    <row r="250" spans="1:8" ht="24.75" customHeight="1">
      <c r="A250" s="237" t="s">
        <v>351</v>
      </c>
      <c r="B250" s="507" t="s">
        <v>355</v>
      </c>
      <c r="C250" s="508"/>
      <c r="D250" s="508"/>
      <c r="E250" s="508"/>
      <c r="F250" s="508"/>
      <c r="G250" s="508"/>
      <c r="H250" s="509"/>
    </row>
    <row r="251" spans="1:8" ht="24.75" customHeight="1">
      <c r="A251" s="238" t="s">
        <v>367</v>
      </c>
      <c r="B251" s="94" t="s">
        <v>796</v>
      </c>
      <c r="C251" s="510" t="s">
        <v>358</v>
      </c>
      <c r="D251" s="511"/>
      <c r="E251" s="511"/>
      <c r="F251" s="511"/>
      <c r="G251" s="511"/>
      <c r="H251" s="512"/>
    </row>
    <row r="252" spans="1:8" ht="33.75" customHeight="1">
      <c r="A252" s="252">
        <v>110</v>
      </c>
      <c r="B252" s="422"/>
      <c r="C252" s="5" t="s">
        <v>687</v>
      </c>
      <c r="D252" s="423" t="s">
        <v>689</v>
      </c>
      <c r="E252" s="84" t="s">
        <v>9</v>
      </c>
      <c r="F252" s="424">
        <v>9</v>
      </c>
      <c r="G252" s="419"/>
      <c r="H252" s="420"/>
    </row>
    <row r="253" spans="1:8" ht="41.25" customHeight="1">
      <c r="A253" s="252">
        <v>111</v>
      </c>
      <c r="B253" s="422"/>
      <c r="C253" s="5" t="s">
        <v>688</v>
      </c>
      <c r="D253" s="423" t="s">
        <v>689</v>
      </c>
      <c r="E253" s="84" t="s">
        <v>9</v>
      </c>
      <c r="F253" s="424">
        <v>9</v>
      </c>
      <c r="G253" s="419"/>
      <c r="H253" s="420"/>
    </row>
    <row r="254" spans="1:8" ht="47.25" customHeight="1">
      <c r="A254" s="252">
        <v>112</v>
      </c>
      <c r="B254" s="164"/>
      <c r="C254" s="421" t="s">
        <v>690</v>
      </c>
      <c r="D254" s="425" t="s">
        <v>42</v>
      </c>
      <c r="E254" s="84" t="s">
        <v>9</v>
      </c>
      <c r="F254" s="424">
        <v>707</v>
      </c>
      <c r="G254" s="419"/>
      <c r="H254" s="420"/>
    </row>
    <row r="255" spans="1:8" ht="42.75" customHeight="1">
      <c r="A255" s="252">
        <v>113</v>
      </c>
      <c r="B255" s="164"/>
      <c r="C255" s="421" t="s">
        <v>691</v>
      </c>
      <c r="D255" s="425" t="s">
        <v>23</v>
      </c>
      <c r="E255" s="84" t="s">
        <v>9</v>
      </c>
      <c r="F255" s="424">
        <v>0.70699999999999996</v>
      </c>
      <c r="G255" s="419"/>
      <c r="H255" s="420"/>
    </row>
    <row r="256" spans="1:8" ht="24.75" customHeight="1">
      <c r="A256" s="252">
        <v>114</v>
      </c>
      <c r="B256" s="164"/>
      <c r="C256" s="421" t="s">
        <v>692</v>
      </c>
      <c r="D256" s="425" t="s">
        <v>689</v>
      </c>
      <c r="E256" s="84" t="s">
        <v>9</v>
      </c>
      <c r="F256" s="424">
        <v>10</v>
      </c>
      <c r="G256" s="419"/>
      <c r="H256" s="420"/>
    </row>
    <row r="257" spans="1:8" ht="50.25" customHeight="1">
      <c r="A257" s="252">
        <v>115</v>
      </c>
      <c r="B257" s="164"/>
      <c r="C257" s="421" t="s">
        <v>693</v>
      </c>
      <c r="D257" s="425" t="s">
        <v>23</v>
      </c>
      <c r="E257" s="84" t="s">
        <v>9</v>
      </c>
      <c r="F257" s="424">
        <v>0.70699999999999996</v>
      </c>
      <c r="G257" s="419"/>
      <c r="H257" s="420"/>
    </row>
    <row r="258" spans="1:8" ht="24.75" customHeight="1">
      <c r="A258" s="252">
        <v>116</v>
      </c>
      <c r="B258" s="164"/>
      <c r="C258" s="421" t="s">
        <v>694</v>
      </c>
      <c r="D258" s="425" t="s">
        <v>42</v>
      </c>
      <c r="E258" s="84" t="s">
        <v>9</v>
      </c>
      <c r="F258" s="424">
        <v>163</v>
      </c>
      <c r="G258" s="419"/>
      <c r="H258" s="420"/>
    </row>
    <row r="259" spans="1:8" ht="42" customHeight="1">
      <c r="A259" s="252">
        <v>117</v>
      </c>
      <c r="B259" s="164"/>
      <c r="C259" s="421" t="s">
        <v>695</v>
      </c>
      <c r="D259" s="425" t="s">
        <v>23</v>
      </c>
      <c r="E259" s="84" t="s">
        <v>9</v>
      </c>
      <c r="F259" s="424">
        <v>0.70699999999999996</v>
      </c>
      <c r="G259" s="419"/>
      <c r="H259" s="420"/>
    </row>
    <row r="260" spans="1:8" ht="24.75" customHeight="1">
      <c r="A260" s="252">
        <v>118</v>
      </c>
      <c r="B260" s="164"/>
      <c r="C260" s="421" t="s">
        <v>696</v>
      </c>
      <c r="D260" s="425" t="s">
        <v>129</v>
      </c>
      <c r="E260" s="84" t="s">
        <v>9</v>
      </c>
      <c r="F260" s="424">
        <v>1</v>
      </c>
      <c r="G260" s="419"/>
      <c r="H260" s="420"/>
    </row>
    <row r="261" spans="1:8" ht="24.75" customHeight="1">
      <c r="A261" s="488" t="s">
        <v>743</v>
      </c>
      <c r="B261" s="489"/>
      <c r="C261" s="489"/>
      <c r="D261" s="489"/>
      <c r="E261" s="489"/>
      <c r="F261" s="489"/>
      <c r="G261" s="489"/>
      <c r="H261" s="304">
        <f>H252+H253+H255+H254+H256+H257+H258+H259+H260</f>
        <v>0</v>
      </c>
    </row>
    <row r="262" spans="1:8" ht="24.75" customHeight="1">
      <c r="A262" s="238" t="s">
        <v>167</v>
      </c>
      <c r="B262" s="94" t="s">
        <v>370</v>
      </c>
      <c r="C262" s="493" t="s">
        <v>357</v>
      </c>
      <c r="D262" s="493"/>
      <c r="E262" s="493"/>
      <c r="F262" s="493"/>
      <c r="G262" s="493"/>
      <c r="H262" s="494"/>
    </row>
    <row r="263" spans="1:8" ht="36" customHeight="1">
      <c r="A263" s="252">
        <v>119</v>
      </c>
      <c r="B263" s="411"/>
      <c r="C263" s="421" t="s">
        <v>724</v>
      </c>
      <c r="D263" s="418" t="s">
        <v>42</v>
      </c>
      <c r="E263" s="84" t="s">
        <v>9</v>
      </c>
      <c r="F263" s="419">
        <v>4</v>
      </c>
      <c r="G263" s="419"/>
      <c r="H263" s="420"/>
    </row>
    <row r="264" spans="1:8" ht="36" customHeight="1">
      <c r="A264" s="252">
        <v>120</v>
      </c>
      <c r="B264" s="411"/>
      <c r="C264" s="421" t="s">
        <v>725</v>
      </c>
      <c r="D264" s="418" t="s">
        <v>42</v>
      </c>
      <c r="E264" s="84" t="s">
        <v>9</v>
      </c>
      <c r="F264" s="419">
        <v>4</v>
      </c>
      <c r="G264" s="419"/>
      <c r="H264" s="420"/>
    </row>
    <row r="265" spans="1:8" ht="37.5" customHeight="1">
      <c r="A265" s="252">
        <v>121</v>
      </c>
      <c r="B265" s="411"/>
      <c r="C265" s="421" t="s">
        <v>744</v>
      </c>
      <c r="D265" s="418" t="s">
        <v>689</v>
      </c>
      <c r="E265" s="84" t="s">
        <v>9</v>
      </c>
      <c r="F265" s="419">
        <v>2</v>
      </c>
      <c r="G265" s="419"/>
      <c r="H265" s="420"/>
    </row>
    <row r="266" spans="1:8" ht="33" customHeight="1">
      <c r="A266" s="252">
        <v>122</v>
      </c>
      <c r="B266" s="411"/>
      <c r="C266" s="421" t="s">
        <v>688</v>
      </c>
      <c r="D266" s="418" t="s">
        <v>689</v>
      </c>
      <c r="E266" s="84" t="s">
        <v>9</v>
      </c>
      <c r="F266" s="419">
        <v>2</v>
      </c>
      <c r="G266" s="419"/>
      <c r="H266" s="420"/>
    </row>
    <row r="267" spans="1:8" ht="32.25" customHeight="1">
      <c r="A267" s="252">
        <v>123</v>
      </c>
      <c r="B267" s="411"/>
      <c r="C267" s="421" t="s">
        <v>691</v>
      </c>
      <c r="D267" s="418" t="s">
        <v>23</v>
      </c>
      <c r="E267" s="84" t="s">
        <v>9</v>
      </c>
      <c r="F267" s="419">
        <v>0.6</v>
      </c>
      <c r="G267" s="419"/>
      <c r="H267" s="420"/>
    </row>
    <row r="268" spans="1:8" ht="36.75" customHeight="1">
      <c r="A268" s="252">
        <v>124</v>
      </c>
      <c r="B268" s="411"/>
      <c r="C268" s="421" t="s">
        <v>745</v>
      </c>
      <c r="D268" s="418" t="s">
        <v>23</v>
      </c>
      <c r="E268" s="84" t="s">
        <v>9</v>
      </c>
      <c r="F268" s="419">
        <v>1.8</v>
      </c>
      <c r="G268" s="419"/>
      <c r="H268" s="420"/>
    </row>
    <row r="269" spans="1:8" ht="24.75" customHeight="1">
      <c r="A269" s="252">
        <v>125</v>
      </c>
      <c r="B269" s="411"/>
      <c r="C269" s="421" t="s">
        <v>692</v>
      </c>
      <c r="D269" s="418" t="s">
        <v>689</v>
      </c>
      <c r="E269" s="84" t="s">
        <v>9</v>
      </c>
      <c r="F269" s="419">
        <v>8</v>
      </c>
      <c r="G269" s="419"/>
      <c r="H269" s="420"/>
    </row>
    <row r="270" spans="1:8" ht="43.5" customHeight="1">
      <c r="A270" s="252">
        <v>126</v>
      </c>
      <c r="B270" s="411"/>
      <c r="C270" s="421" t="s">
        <v>746</v>
      </c>
      <c r="D270" s="418" t="s">
        <v>42</v>
      </c>
      <c r="E270" s="84" t="s">
        <v>9</v>
      </c>
      <c r="F270" s="419">
        <v>11</v>
      </c>
      <c r="G270" s="419"/>
      <c r="H270" s="420"/>
    </row>
    <row r="271" spans="1:8" ht="35.25" customHeight="1">
      <c r="A271" s="252">
        <v>127</v>
      </c>
      <c r="B271" s="411"/>
      <c r="C271" s="421" t="s">
        <v>747</v>
      </c>
      <c r="D271" s="418" t="s">
        <v>42</v>
      </c>
      <c r="E271" s="84" t="s">
        <v>9</v>
      </c>
      <c r="F271" s="419">
        <v>181</v>
      </c>
      <c r="G271" s="419"/>
      <c r="H271" s="420"/>
    </row>
    <row r="272" spans="1:8" ht="32.25" customHeight="1">
      <c r="A272" s="252">
        <v>128</v>
      </c>
      <c r="B272" s="411"/>
      <c r="C272" s="421" t="s">
        <v>748</v>
      </c>
      <c r="D272" s="418" t="s">
        <v>723</v>
      </c>
      <c r="E272" s="84" t="s">
        <v>9</v>
      </c>
      <c r="F272" s="419">
        <v>4</v>
      </c>
      <c r="G272" s="419"/>
      <c r="H272" s="420"/>
    </row>
    <row r="273" spans="1:8" ht="42" customHeight="1">
      <c r="A273" s="252">
        <v>129</v>
      </c>
      <c r="B273" s="411"/>
      <c r="C273" s="421" t="s">
        <v>749</v>
      </c>
      <c r="D273" s="418" t="s">
        <v>750</v>
      </c>
      <c r="E273" s="84" t="s">
        <v>9</v>
      </c>
      <c r="F273" s="419">
        <v>1</v>
      </c>
      <c r="G273" s="419"/>
      <c r="H273" s="420"/>
    </row>
    <row r="274" spans="1:8" ht="45.75" customHeight="1">
      <c r="A274" s="252">
        <v>130</v>
      </c>
      <c r="B274" s="411"/>
      <c r="C274" s="421" t="s">
        <v>751</v>
      </c>
      <c r="D274" s="418" t="s">
        <v>750</v>
      </c>
      <c r="E274" s="84" t="s">
        <v>9</v>
      </c>
      <c r="F274" s="419">
        <v>23</v>
      </c>
      <c r="G274" s="419"/>
      <c r="H274" s="420"/>
    </row>
    <row r="275" spans="1:8" ht="48" customHeight="1">
      <c r="A275" s="252">
        <v>131</v>
      </c>
      <c r="B275" s="411"/>
      <c r="C275" s="421" t="s">
        <v>752</v>
      </c>
      <c r="D275" s="418" t="s">
        <v>42</v>
      </c>
      <c r="E275" s="84" t="s">
        <v>9</v>
      </c>
      <c r="F275" s="419">
        <v>859</v>
      </c>
      <c r="G275" s="419"/>
      <c r="H275" s="420"/>
    </row>
    <row r="276" spans="1:8" ht="48" customHeight="1">
      <c r="A276" s="252">
        <v>132</v>
      </c>
      <c r="B276" s="411"/>
      <c r="C276" s="421" t="s">
        <v>753</v>
      </c>
      <c r="D276" s="418" t="s">
        <v>23</v>
      </c>
      <c r="E276" s="84" t="s">
        <v>9</v>
      </c>
      <c r="F276" s="419">
        <v>0.85299999999999998</v>
      </c>
      <c r="G276" s="419"/>
      <c r="H276" s="420"/>
    </row>
    <row r="277" spans="1:8" ht="36.75" customHeight="1">
      <c r="A277" s="252">
        <v>133</v>
      </c>
      <c r="B277" s="411"/>
      <c r="C277" s="421" t="s">
        <v>754</v>
      </c>
      <c r="D277" s="418" t="s">
        <v>750</v>
      </c>
      <c r="E277" s="84" t="s">
        <v>9</v>
      </c>
      <c r="F277" s="419">
        <v>1</v>
      </c>
      <c r="G277" s="419"/>
      <c r="H277" s="420"/>
    </row>
    <row r="278" spans="1:8" ht="46.5" customHeight="1">
      <c r="A278" s="252">
        <v>134</v>
      </c>
      <c r="B278" s="411"/>
      <c r="C278" s="421" t="s">
        <v>755</v>
      </c>
      <c r="D278" s="418" t="s">
        <v>750</v>
      </c>
      <c r="E278" s="84" t="s">
        <v>9</v>
      </c>
      <c r="F278" s="419">
        <v>23</v>
      </c>
      <c r="G278" s="419"/>
      <c r="H278" s="420"/>
    </row>
    <row r="279" spans="1:8" ht="39.75" customHeight="1">
      <c r="A279" s="252">
        <v>135</v>
      </c>
      <c r="B279" s="411"/>
      <c r="C279" s="421" t="s">
        <v>756</v>
      </c>
      <c r="D279" s="418" t="s">
        <v>723</v>
      </c>
      <c r="E279" s="84" t="s">
        <v>9</v>
      </c>
      <c r="F279" s="419">
        <v>1</v>
      </c>
      <c r="G279" s="419"/>
      <c r="H279" s="420"/>
    </row>
    <row r="280" spans="1:8" ht="36" customHeight="1">
      <c r="A280" s="252">
        <v>136</v>
      </c>
      <c r="B280" s="411"/>
      <c r="C280" s="421" t="s">
        <v>757</v>
      </c>
      <c r="D280" s="418" t="s">
        <v>723</v>
      </c>
      <c r="E280" s="84" t="s">
        <v>9</v>
      </c>
      <c r="F280" s="419">
        <v>23</v>
      </c>
      <c r="G280" s="419"/>
      <c r="H280" s="420"/>
    </row>
    <row r="281" spans="1:8" ht="37.5" customHeight="1">
      <c r="A281" s="252">
        <v>137</v>
      </c>
      <c r="B281" s="411"/>
      <c r="C281" s="421" t="s">
        <v>758</v>
      </c>
      <c r="D281" s="418" t="s">
        <v>723</v>
      </c>
      <c r="E281" s="84" t="s">
        <v>9</v>
      </c>
      <c r="F281" s="419">
        <v>1</v>
      </c>
      <c r="G281" s="419"/>
      <c r="H281" s="420"/>
    </row>
    <row r="282" spans="1:8" ht="35.25" customHeight="1">
      <c r="A282" s="252">
        <v>138</v>
      </c>
      <c r="B282" s="411"/>
      <c r="C282" s="421" t="s">
        <v>759</v>
      </c>
      <c r="D282" s="418" t="s">
        <v>723</v>
      </c>
      <c r="E282" s="84" t="s">
        <v>9</v>
      </c>
      <c r="F282" s="419">
        <v>23</v>
      </c>
      <c r="G282" s="419"/>
      <c r="H282" s="420"/>
    </row>
    <row r="283" spans="1:8" ht="33" customHeight="1">
      <c r="A283" s="252">
        <v>139</v>
      </c>
      <c r="B283" s="411"/>
      <c r="C283" s="421" t="s">
        <v>760</v>
      </c>
      <c r="D283" s="418" t="s">
        <v>723</v>
      </c>
      <c r="E283" s="84" t="s">
        <v>9</v>
      </c>
      <c r="F283" s="419">
        <v>1</v>
      </c>
      <c r="G283" s="419"/>
      <c r="H283" s="420"/>
    </row>
    <row r="284" spans="1:8" ht="39.75" customHeight="1">
      <c r="A284" s="252">
        <v>140</v>
      </c>
      <c r="B284" s="411"/>
      <c r="C284" s="421" t="s">
        <v>761</v>
      </c>
      <c r="D284" s="418" t="s">
        <v>723</v>
      </c>
      <c r="E284" s="84" t="s">
        <v>9</v>
      </c>
      <c r="F284" s="419">
        <v>23</v>
      </c>
      <c r="G284" s="419"/>
      <c r="H284" s="420"/>
    </row>
    <row r="285" spans="1:8" ht="24.75" customHeight="1">
      <c r="A285" s="252">
        <v>141</v>
      </c>
      <c r="B285" s="411"/>
      <c r="C285" s="421" t="s">
        <v>762</v>
      </c>
      <c r="D285" s="418" t="s">
        <v>727</v>
      </c>
      <c r="E285" s="84" t="s">
        <v>9</v>
      </c>
      <c r="F285" s="419">
        <v>1</v>
      </c>
      <c r="G285" s="419"/>
      <c r="H285" s="420"/>
    </row>
    <row r="286" spans="1:8" ht="24.75" customHeight="1">
      <c r="A286" s="252">
        <v>142</v>
      </c>
      <c r="B286" s="411"/>
      <c r="C286" s="421" t="s">
        <v>696</v>
      </c>
      <c r="D286" s="418" t="s">
        <v>129</v>
      </c>
      <c r="E286" s="84" t="s">
        <v>9</v>
      </c>
      <c r="F286" s="419">
        <v>1</v>
      </c>
      <c r="G286" s="419"/>
      <c r="H286" s="420"/>
    </row>
    <row r="287" spans="1:8" ht="24.75" customHeight="1">
      <c r="A287" s="488" t="s">
        <v>763</v>
      </c>
      <c r="B287" s="489"/>
      <c r="C287" s="489"/>
      <c r="D287" s="489"/>
      <c r="E287" s="489"/>
      <c r="F287" s="489"/>
      <c r="G287" s="489"/>
      <c r="H287" s="304">
        <f>H278+H279+H281+H280+H282+H283+H284+H285+H286+H277+H276+H275+H274+H273+H272+H271+H270+H269+H268+H267+H266+H265+H264+H263</f>
        <v>0</v>
      </c>
    </row>
    <row r="288" spans="1:8" ht="24.75" customHeight="1">
      <c r="A288" s="238" t="s">
        <v>368</v>
      </c>
      <c r="B288" s="94" t="s">
        <v>369</v>
      </c>
      <c r="C288" s="493" t="s">
        <v>764</v>
      </c>
      <c r="D288" s="493"/>
      <c r="E288" s="493"/>
      <c r="F288" s="493"/>
      <c r="G288" s="493"/>
      <c r="H288" s="494"/>
    </row>
    <row r="289" spans="1:8" ht="45" customHeight="1">
      <c r="A289" s="252">
        <v>143</v>
      </c>
      <c r="B289" s="411"/>
      <c r="C289" s="421" t="s">
        <v>765</v>
      </c>
      <c r="D289" s="418" t="s">
        <v>23</v>
      </c>
      <c r="E289" s="84" t="s">
        <v>9</v>
      </c>
      <c r="F289" s="419">
        <v>0.188</v>
      </c>
      <c r="G289" s="419"/>
      <c r="H289" s="420"/>
    </row>
    <row r="290" spans="1:8" ht="33.75" customHeight="1">
      <c r="A290" s="252">
        <v>144</v>
      </c>
      <c r="B290" s="411"/>
      <c r="C290" s="421" t="s">
        <v>766</v>
      </c>
      <c r="D290" s="418" t="s">
        <v>689</v>
      </c>
      <c r="E290" s="84" t="s">
        <v>9</v>
      </c>
      <c r="F290" s="419">
        <v>1</v>
      </c>
      <c r="G290" s="419"/>
      <c r="H290" s="420"/>
    </row>
    <row r="291" spans="1:8" ht="36" customHeight="1">
      <c r="A291" s="252">
        <v>145</v>
      </c>
      <c r="B291" s="411"/>
      <c r="C291" s="421" t="s">
        <v>767</v>
      </c>
      <c r="D291" s="418" t="s">
        <v>689</v>
      </c>
      <c r="E291" s="84" t="s">
        <v>9</v>
      </c>
      <c r="F291" s="419">
        <v>2</v>
      </c>
      <c r="G291" s="419"/>
      <c r="H291" s="420"/>
    </row>
    <row r="292" spans="1:8" ht="27.75" customHeight="1">
      <c r="A292" s="252">
        <v>146</v>
      </c>
      <c r="B292" s="411"/>
      <c r="C292" s="421" t="s">
        <v>768</v>
      </c>
      <c r="D292" s="418" t="s">
        <v>689</v>
      </c>
      <c r="E292" s="84" t="s">
        <v>9</v>
      </c>
      <c r="F292" s="419">
        <v>6</v>
      </c>
      <c r="G292" s="419"/>
      <c r="H292" s="420"/>
    </row>
    <row r="293" spans="1:8" ht="48.75" customHeight="1">
      <c r="A293" s="252">
        <v>147</v>
      </c>
      <c r="B293" s="411"/>
      <c r="C293" s="421" t="s">
        <v>769</v>
      </c>
      <c r="D293" s="418" t="s">
        <v>42</v>
      </c>
      <c r="E293" s="84" t="s">
        <v>9</v>
      </c>
      <c r="F293" s="419">
        <v>116</v>
      </c>
      <c r="G293" s="419"/>
      <c r="H293" s="420"/>
    </row>
    <row r="294" spans="1:8" ht="57" customHeight="1">
      <c r="A294" s="252">
        <v>148</v>
      </c>
      <c r="B294" s="411"/>
      <c r="C294" s="421" t="s">
        <v>770</v>
      </c>
      <c r="D294" s="418" t="s">
        <v>42</v>
      </c>
      <c r="E294" s="84" t="s">
        <v>9</v>
      </c>
      <c r="F294" s="419">
        <v>48</v>
      </c>
      <c r="G294" s="419"/>
      <c r="H294" s="420"/>
    </row>
    <row r="295" spans="1:8" ht="54.75" customHeight="1">
      <c r="A295" s="252">
        <v>149</v>
      </c>
      <c r="B295" s="411"/>
      <c r="C295" s="421" t="s">
        <v>771</v>
      </c>
      <c r="D295" s="418" t="s">
        <v>42</v>
      </c>
      <c r="E295" s="84" t="s">
        <v>9</v>
      </c>
      <c r="F295" s="419">
        <v>20</v>
      </c>
      <c r="G295" s="419"/>
      <c r="H295" s="420"/>
    </row>
    <row r="296" spans="1:8" ht="24.75" customHeight="1">
      <c r="A296" s="252">
        <v>150</v>
      </c>
      <c r="B296" s="411"/>
      <c r="C296" s="421" t="s">
        <v>772</v>
      </c>
      <c r="D296" s="418" t="s">
        <v>42</v>
      </c>
      <c r="E296" s="84" t="s">
        <v>9</v>
      </c>
      <c r="F296" s="419">
        <v>20</v>
      </c>
      <c r="G296" s="419"/>
      <c r="H296" s="420"/>
    </row>
    <row r="297" spans="1:8" ht="24.75" customHeight="1">
      <c r="A297" s="252">
        <v>151</v>
      </c>
      <c r="B297" s="411"/>
      <c r="C297" s="421" t="s">
        <v>773</v>
      </c>
      <c r="D297" s="418" t="s">
        <v>23</v>
      </c>
      <c r="E297" s="84" t="s">
        <v>9</v>
      </c>
      <c r="F297" s="419">
        <v>0.1</v>
      </c>
      <c r="G297" s="419"/>
      <c r="H297" s="420"/>
    </row>
    <row r="298" spans="1:8" ht="24.75" customHeight="1">
      <c r="A298" s="252">
        <v>152</v>
      </c>
      <c r="B298" s="411"/>
      <c r="C298" s="421" t="s">
        <v>774</v>
      </c>
      <c r="D298" s="418" t="s">
        <v>689</v>
      </c>
      <c r="E298" s="84" t="s">
        <v>9</v>
      </c>
      <c r="F298" s="419">
        <v>1</v>
      </c>
      <c r="G298" s="419"/>
      <c r="H298" s="420"/>
    </row>
    <row r="299" spans="1:8" ht="24.75" customHeight="1">
      <c r="A299" s="252">
        <v>153</v>
      </c>
      <c r="B299" s="411"/>
      <c r="C299" s="421" t="s">
        <v>775</v>
      </c>
      <c r="D299" s="418" t="s">
        <v>689</v>
      </c>
      <c r="E299" s="84" t="s">
        <v>9</v>
      </c>
      <c r="F299" s="419">
        <v>1</v>
      </c>
      <c r="G299" s="419"/>
      <c r="H299" s="420"/>
    </row>
    <row r="300" spans="1:8" ht="34.5" customHeight="1">
      <c r="A300" s="252">
        <v>154</v>
      </c>
      <c r="B300" s="411"/>
      <c r="C300" s="421" t="s">
        <v>776</v>
      </c>
      <c r="D300" s="418" t="s">
        <v>689</v>
      </c>
      <c r="E300" s="84" t="s">
        <v>9</v>
      </c>
      <c r="F300" s="419">
        <v>1</v>
      </c>
      <c r="G300" s="419"/>
      <c r="H300" s="420"/>
    </row>
    <row r="301" spans="1:8" ht="35.25" customHeight="1">
      <c r="A301" s="252">
        <v>155</v>
      </c>
      <c r="B301" s="411"/>
      <c r="C301" s="421" t="s">
        <v>777</v>
      </c>
      <c r="D301" s="418" t="s">
        <v>689</v>
      </c>
      <c r="E301" s="84" t="s">
        <v>9</v>
      </c>
      <c r="F301" s="419">
        <v>3</v>
      </c>
      <c r="G301" s="419"/>
      <c r="H301" s="420"/>
    </row>
    <row r="302" spans="1:8" ht="34.5" customHeight="1">
      <c r="A302" s="252">
        <v>156</v>
      </c>
      <c r="B302" s="411"/>
      <c r="C302" s="421" t="s">
        <v>778</v>
      </c>
      <c r="D302" s="418" t="s">
        <v>689</v>
      </c>
      <c r="E302" s="84" t="s">
        <v>9</v>
      </c>
      <c r="F302" s="419">
        <v>1</v>
      </c>
      <c r="G302" s="419"/>
      <c r="H302" s="420"/>
    </row>
    <row r="303" spans="1:8" ht="33.75" customHeight="1">
      <c r="A303" s="252">
        <v>157</v>
      </c>
      <c r="B303" s="411"/>
      <c r="C303" s="421" t="s">
        <v>779</v>
      </c>
      <c r="D303" s="418" t="s">
        <v>689</v>
      </c>
      <c r="E303" s="84" t="s">
        <v>9</v>
      </c>
      <c r="F303" s="419">
        <v>6</v>
      </c>
      <c r="G303" s="419"/>
      <c r="H303" s="420"/>
    </row>
    <row r="304" spans="1:8" ht="24.75" customHeight="1">
      <c r="A304" s="252">
        <v>158</v>
      </c>
      <c r="B304" s="411"/>
      <c r="C304" s="421" t="s">
        <v>780</v>
      </c>
      <c r="D304" s="418" t="s">
        <v>723</v>
      </c>
      <c r="E304" s="84" t="s">
        <v>9</v>
      </c>
      <c r="F304" s="419">
        <v>1</v>
      </c>
      <c r="G304" s="419"/>
      <c r="H304" s="420"/>
    </row>
    <row r="305" spans="1:8" ht="24.75" customHeight="1">
      <c r="A305" s="252">
        <v>159</v>
      </c>
      <c r="B305" s="411"/>
      <c r="C305" s="421" t="s">
        <v>762</v>
      </c>
      <c r="D305" s="418" t="s">
        <v>727</v>
      </c>
      <c r="E305" s="84" t="s">
        <v>9</v>
      </c>
      <c r="F305" s="419">
        <v>1</v>
      </c>
      <c r="G305" s="419"/>
      <c r="H305" s="420"/>
    </row>
    <row r="306" spans="1:8" ht="24.75" customHeight="1">
      <c r="A306" s="252">
        <v>160</v>
      </c>
      <c r="B306" s="411"/>
      <c r="C306" s="421" t="s">
        <v>696</v>
      </c>
      <c r="D306" s="418" t="s">
        <v>129</v>
      </c>
      <c r="E306" s="84" t="s">
        <v>9</v>
      </c>
      <c r="F306" s="419">
        <v>1</v>
      </c>
      <c r="G306" s="419"/>
      <c r="H306" s="420"/>
    </row>
    <row r="307" spans="1:8" ht="24.75" customHeight="1">
      <c r="A307" s="488" t="s">
        <v>781</v>
      </c>
      <c r="B307" s="489"/>
      <c r="C307" s="489"/>
      <c r="D307" s="489"/>
      <c r="E307" s="489"/>
      <c r="F307" s="489"/>
      <c r="G307" s="489"/>
      <c r="H307" s="304">
        <f>H298+H299+H301+H300+H302+H303+H304+H305+H306+H297+H296+H295+H294+H293+H292+H291+H290+H289</f>
        <v>0</v>
      </c>
    </row>
    <row r="308" spans="1:8" ht="24.75" customHeight="1">
      <c r="A308" s="238" t="s">
        <v>169</v>
      </c>
      <c r="B308" s="94" t="s">
        <v>370</v>
      </c>
      <c r="C308" s="493" t="s">
        <v>782</v>
      </c>
      <c r="D308" s="493"/>
      <c r="E308" s="493"/>
      <c r="F308" s="493"/>
      <c r="G308" s="493"/>
      <c r="H308" s="494"/>
    </row>
    <row r="309" spans="1:8" ht="38.25" customHeight="1">
      <c r="A309" s="252">
        <v>161</v>
      </c>
      <c r="B309" s="411"/>
      <c r="C309" s="412" t="s">
        <v>783</v>
      </c>
      <c r="D309" s="413" t="s">
        <v>42</v>
      </c>
      <c r="E309" s="84" t="s">
        <v>9</v>
      </c>
      <c r="F309" s="414">
        <v>8</v>
      </c>
      <c r="G309" s="414"/>
      <c r="H309" s="415"/>
    </row>
    <row r="310" spans="1:8" ht="33.75" customHeight="1">
      <c r="A310" s="252">
        <v>162</v>
      </c>
      <c r="B310" s="411"/>
      <c r="C310" s="412" t="s">
        <v>725</v>
      </c>
      <c r="D310" s="413" t="s">
        <v>42</v>
      </c>
      <c r="E310" s="84" t="s">
        <v>9</v>
      </c>
      <c r="F310" s="414">
        <v>8</v>
      </c>
      <c r="G310" s="414"/>
      <c r="H310" s="415"/>
    </row>
    <row r="311" spans="1:8" ht="34.5" customHeight="1">
      <c r="A311" s="252">
        <v>163</v>
      </c>
      <c r="B311" s="411"/>
      <c r="C311" s="412" t="s">
        <v>784</v>
      </c>
      <c r="D311" s="413" t="s">
        <v>42</v>
      </c>
      <c r="E311" s="84" t="s">
        <v>9</v>
      </c>
      <c r="F311" s="414">
        <v>50</v>
      </c>
      <c r="G311" s="414"/>
      <c r="H311" s="415"/>
    </row>
    <row r="312" spans="1:8" ht="33.75" customHeight="1">
      <c r="A312" s="252">
        <v>164</v>
      </c>
      <c r="B312" s="411"/>
      <c r="C312" s="412" t="s">
        <v>785</v>
      </c>
      <c r="D312" s="413" t="s">
        <v>42</v>
      </c>
      <c r="E312" s="84" t="s">
        <v>9</v>
      </c>
      <c r="F312" s="414">
        <v>100</v>
      </c>
      <c r="G312" s="414"/>
      <c r="H312" s="415"/>
    </row>
    <row r="313" spans="1:8" ht="36" customHeight="1">
      <c r="A313" s="252">
        <v>165</v>
      </c>
      <c r="B313" s="411"/>
      <c r="C313" s="412" t="s">
        <v>725</v>
      </c>
      <c r="D313" s="413" t="s">
        <v>42</v>
      </c>
      <c r="E313" s="84" t="s">
        <v>9</v>
      </c>
      <c r="F313" s="414">
        <v>50</v>
      </c>
      <c r="G313" s="414"/>
      <c r="H313" s="415"/>
    </row>
    <row r="314" spans="1:8" ht="24.75" customHeight="1">
      <c r="A314" s="252">
        <v>166</v>
      </c>
      <c r="B314" s="411"/>
      <c r="C314" s="412" t="s">
        <v>786</v>
      </c>
      <c r="D314" s="413" t="s">
        <v>727</v>
      </c>
      <c r="E314" s="84" t="s">
        <v>9</v>
      </c>
      <c r="F314" s="414">
        <v>1</v>
      </c>
      <c r="G314" s="414"/>
      <c r="H314" s="415"/>
    </row>
    <row r="315" spans="1:8" ht="24.75" customHeight="1">
      <c r="A315" s="252">
        <v>167</v>
      </c>
      <c r="B315" s="411"/>
      <c r="C315" s="412" t="s">
        <v>787</v>
      </c>
      <c r="D315" s="413" t="s">
        <v>727</v>
      </c>
      <c r="E315" s="84" t="s">
        <v>9</v>
      </c>
      <c r="F315" s="414">
        <v>1</v>
      </c>
      <c r="G315" s="414"/>
      <c r="H315" s="415"/>
    </row>
    <row r="316" spans="1:8" ht="24.75" customHeight="1">
      <c r="A316" s="488" t="s">
        <v>789</v>
      </c>
      <c r="B316" s="489"/>
      <c r="C316" s="489"/>
      <c r="D316" s="489"/>
      <c r="E316" s="489"/>
      <c r="F316" s="489"/>
      <c r="G316" s="489"/>
      <c r="H316" s="304">
        <f>H309+H310+H311+H312+H313+H314+H315</f>
        <v>0</v>
      </c>
    </row>
    <row r="317" spans="1:8" ht="24.75" customHeight="1">
      <c r="A317" s="238" t="s">
        <v>788</v>
      </c>
      <c r="B317" s="94" t="s">
        <v>370</v>
      </c>
      <c r="C317" s="493" t="s">
        <v>790</v>
      </c>
      <c r="D317" s="493"/>
      <c r="E317" s="493"/>
      <c r="F317" s="493"/>
      <c r="G317" s="493"/>
      <c r="H317" s="494"/>
    </row>
    <row r="318" spans="1:8" ht="36.75" customHeight="1">
      <c r="A318" s="252">
        <v>168</v>
      </c>
      <c r="B318" s="411"/>
      <c r="C318" s="412" t="s">
        <v>783</v>
      </c>
      <c r="D318" s="413" t="s">
        <v>42</v>
      </c>
      <c r="E318" s="84" t="s">
        <v>9</v>
      </c>
      <c r="F318" s="414">
        <v>7</v>
      </c>
      <c r="G318" s="414"/>
      <c r="H318" s="415"/>
    </row>
    <row r="319" spans="1:8" ht="35.25" customHeight="1">
      <c r="A319" s="252">
        <v>169</v>
      </c>
      <c r="B319" s="411"/>
      <c r="C319" s="412" t="s">
        <v>725</v>
      </c>
      <c r="D319" s="413" t="s">
        <v>42</v>
      </c>
      <c r="E319" s="84" t="s">
        <v>9</v>
      </c>
      <c r="F319" s="414">
        <v>7</v>
      </c>
      <c r="G319" s="414"/>
      <c r="H319" s="415"/>
    </row>
    <row r="320" spans="1:8" ht="32.25" customHeight="1">
      <c r="A320" s="252">
        <v>170</v>
      </c>
      <c r="B320" s="411"/>
      <c r="C320" s="412" t="s">
        <v>784</v>
      </c>
      <c r="D320" s="413" t="s">
        <v>42</v>
      </c>
      <c r="E320" s="84" t="s">
        <v>9</v>
      </c>
      <c r="F320" s="414">
        <v>44</v>
      </c>
      <c r="G320" s="414"/>
      <c r="H320" s="415"/>
    </row>
    <row r="321" spans="1:8" ht="38.25" customHeight="1">
      <c r="A321" s="252">
        <v>171</v>
      </c>
      <c r="B321" s="411"/>
      <c r="C321" s="412" t="s">
        <v>791</v>
      </c>
      <c r="D321" s="413" t="s">
        <v>42</v>
      </c>
      <c r="E321" s="84" t="s">
        <v>9</v>
      </c>
      <c r="F321" s="414">
        <v>44</v>
      </c>
      <c r="G321" s="414"/>
      <c r="H321" s="415"/>
    </row>
    <row r="322" spans="1:8" ht="33.75" customHeight="1">
      <c r="A322" s="252">
        <v>172</v>
      </c>
      <c r="B322" s="411"/>
      <c r="C322" s="412" t="s">
        <v>725</v>
      </c>
      <c r="D322" s="413" t="s">
        <v>42</v>
      </c>
      <c r="E322" s="84" t="s">
        <v>9</v>
      </c>
      <c r="F322" s="414">
        <v>44</v>
      </c>
      <c r="G322" s="414"/>
      <c r="H322" s="415"/>
    </row>
    <row r="323" spans="1:8" ht="24.75" customHeight="1">
      <c r="A323" s="252">
        <v>173</v>
      </c>
      <c r="B323" s="411"/>
      <c r="C323" s="412" t="s">
        <v>792</v>
      </c>
      <c r="D323" s="413" t="s">
        <v>727</v>
      </c>
      <c r="E323" s="84" t="s">
        <v>9</v>
      </c>
      <c r="F323" s="414">
        <v>1</v>
      </c>
      <c r="G323" s="414"/>
      <c r="H323" s="415"/>
    </row>
    <row r="324" spans="1:8" ht="24.75" customHeight="1">
      <c r="A324" s="488" t="s">
        <v>793</v>
      </c>
      <c r="B324" s="489"/>
      <c r="C324" s="489"/>
      <c r="D324" s="489"/>
      <c r="E324" s="489"/>
      <c r="F324" s="489"/>
      <c r="G324" s="489"/>
      <c r="H324" s="304">
        <f>H318+H319+H320+H321+H322+H323</f>
        <v>0</v>
      </c>
    </row>
    <row r="325" spans="1:8" ht="24.75" customHeight="1">
      <c r="A325" s="477" t="s">
        <v>799</v>
      </c>
      <c r="B325" s="478"/>
      <c r="C325" s="478"/>
      <c r="D325" s="478"/>
      <c r="E325" s="478"/>
      <c r="F325" s="478"/>
      <c r="G325" s="479"/>
      <c r="H325" s="310"/>
    </row>
    <row r="326" spans="1:8" ht="24.75" customHeight="1">
      <c r="A326" s="237" t="s">
        <v>360</v>
      </c>
      <c r="B326" s="507" t="s">
        <v>834</v>
      </c>
      <c r="C326" s="508"/>
      <c r="D326" s="508"/>
      <c r="E326" s="508"/>
      <c r="F326" s="508"/>
      <c r="G326" s="508"/>
      <c r="H326" s="509"/>
    </row>
    <row r="327" spans="1:8" ht="24.75" customHeight="1">
      <c r="A327" s="238" t="s">
        <v>797</v>
      </c>
      <c r="B327" s="315" t="s">
        <v>794</v>
      </c>
      <c r="C327" s="493" t="s">
        <v>843</v>
      </c>
      <c r="D327" s="493"/>
      <c r="E327" s="493"/>
      <c r="F327" s="493"/>
      <c r="G327" s="493"/>
      <c r="H327" s="494"/>
    </row>
    <row r="328" spans="1:8" ht="24.75" customHeight="1">
      <c r="A328" s="238"/>
      <c r="B328" s="331" t="s">
        <v>794</v>
      </c>
      <c r="C328" s="270" t="s">
        <v>808</v>
      </c>
      <c r="D328" s="174"/>
      <c r="E328" s="174"/>
      <c r="F328" s="174"/>
      <c r="G328" s="174"/>
      <c r="H328" s="176"/>
    </row>
    <row r="329" spans="1:8" ht="66.75" customHeight="1">
      <c r="A329" s="252">
        <v>174</v>
      </c>
      <c r="B329" s="377"/>
      <c r="C329" s="381" t="s">
        <v>810</v>
      </c>
      <c r="D329" s="323" t="s">
        <v>14</v>
      </c>
      <c r="E329" s="377" t="s">
        <v>9</v>
      </c>
      <c r="F329" s="378">
        <v>1</v>
      </c>
      <c r="G329" s="414"/>
      <c r="H329" s="260"/>
    </row>
    <row r="330" spans="1:8" ht="24.75" customHeight="1">
      <c r="A330" s="238"/>
      <c r="B330" s="331" t="s">
        <v>794</v>
      </c>
      <c r="C330" s="493" t="s">
        <v>809</v>
      </c>
      <c r="D330" s="493"/>
      <c r="E330" s="493"/>
      <c r="F330" s="493"/>
      <c r="G330" s="493"/>
      <c r="H330" s="494"/>
    </row>
    <row r="331" spans="1:8" ht="57.75" customHeight="1">
      <c r="A331" s="252">
        <v>175</v>
      </c>
      <c r="B331" s="426"/>
      <c r="C331" s="427" t="s">
        <v>818</v>
      </c>
      <c r="D331" s="428" t="s">
        <v>14</v>
      </c>
      <c r="E331" s="429" t="s">
        <v>9</v>
      </c>
      <c r="F331" s="430">
        <v>1</v>
      </c>
      <c r="G331" s="327"/>
      <c r="H331" s="260"/>
    </row>
    <row r="332" spans="1:8" ht="35.25" customHeight="1">
      <c r="A332" s="488" t="s">
        <v>798</v>
      </c>
      <c r="B332" s="489"/>
      <c r="C332" s="489"/>
      <c r="D332" s="489"/>
      <c r="E332" s="489"/>
      <c r="F332" s="489"/>
      <c r="G332" s="489"/>
      <c r="H332" s="304">
        <f>H331+H329</f>
        <v>0</v>
      </c>
    </row>
    <row r="333" spans="1:8" ht="35.25" customHeight="1">
      <c r="A333" s="238" t="s">
        <v>829</v>
      </c>
      <c r="B333" s="331" t="s">
        <v>794</v>
      </c>
      <c r="C333" s="490" t="s">
        <v>842</v>
      </c>
      <c r="D333" s="491"/>
      <c r="E333" s="491"/>
      <c r="F333" s="491"/>
      <c r="G333" s="491"/>
      <c r="H333" s="492"/>
    </row>
    <row r="334" spans="1:8" ht="54" customHeight="1">
      <c r="A334" s="252">
        <v>176</v>
      </c>
      <c r="B334" s="164"/>
      <c r="C334" s="381" t="s">
        <v>811</v>
      </c>
      <c r="D334" s="323" t="s">
        <v>14</v>
      </c>
      <c r="E334" s="431" t="s">
        <v>9</v>
      </c>
      <c r="F334" s="430">
        <v>1</v>
      </c>
      <c r="G334" s="327"/>
      <c r="H334" s="260"/>
    </row>
    <row r="335" spans="1:8" ht="54" customHeight="1">
      <c r="A335" s="252">
        <v>177</v>
      </c>
      <c r="B335" s="164"/>
      <c r="C335" s="381" t="s">
        <v>823</v>
      </c>
      <c r="D335" s="323" t="s">
        <v>26</v>
      </c>
      <c r="E335" s="431" t="s">
        <v>9</v>
      </c>
      <c r="F335" s="430">
        <v>6</v>
      </c>
      <c r="G335" s="327"/>
      <c r="H335" s="260"/>
    </row>
    <row r="336" spans="1:8" ht="35.25" customHeight="1">
      <c r="A336" s="488" t="s">
        <v>830</v>
      </c>
      <c r="B336" s="489"/>
      <c r="C336" s="489"/>
      <c r="D336" s="489"/>
      <c r="E336" s="489"/>
      <c r="F336" s="489"/>
      <c r="G336" s="489"/>
      <c r="H336" s="304">
        <f>H334+H335</f>
        <v>0</v>
      </c>
    </row>
    <row r="337" spans="1:8" ht="35.25" customHeight="1">
      <c r="A337" s="477" t="s">
        <v>807</v>
      </c>
      <c r="B337" s="478"/>
      <c r="C337" s="478"/>
      <c r="D337" s="478"/>
      <c r="E337" s="478"/>
      <c r="F337" s="478"/>
      <c r="G337" s="479"/>
      <c r="H337" s="310"/>
    </row>
    <row r="338" spans="1:8" ht="21.75" customHeight="1">
      <c r="A338" s="482" t="s">
        <v>371</v>
      </c>
      <c r="B338" s="483"/>
      <c r="C338" s="483"/>
      <c r="D338" s="483"/>
      <c r="E338" s="483"/>
      <c r="F338" s="483"/>
      <c r="G338" s="484"/>
      <c r="H338" s="307">
        <f>H195+H13+H325+H249+H337</f>
        <v>0</v>
      </c>
    </row>
    <row r="339" spans="1:8" ht="20.25" customHeight="1">
      <c r="A339" s="482" t="s">
        <v>259</v>
      </c>
      <c r="B339" s="483"/>
      <c r="C339" s="483"/>
      <c r="D339" s="483"/>
      <c r="E339" s="483"/>
      <c r="F339" s="483"/>
      <c r="G339" s="484"/>
      <c r="H339" s="307">
        <f>H340-H338</f>
        <v>0</v>
      </c>
    </row>
    <row r="340" spans="1:8" ht="24.75" customHeight="1" thickBot="1">
      <c r="A340" s="474" t="s">
        <v>260</v>
      </c>
      <c r="B340" s="475"/>
      <c r="C340" s="475"/>
      <c r="D340" s="475"/>
      <c r="E340" s="475"/>
      <c r="F340" s="475"/>
      <c r="G340" s="476"/>
      <c r="H340" s="308">
        <f>H338*1.23</f>
        <v>0</v>
      </c>
    </row>
    <row r="341" spans="1:8">
      <c r="F341" s="64"/>
    </row>
    <row r="342" spans="1:8">
      <c r="F342" s="64"/>
    </row>
    <row r="343" spans="1:8">
      <c r="F343" s="64"/>
    </row>
    <row r="344" spans="1:8">
      <c r="C344" s="63"/>
      <c r="D344" s="63"/>
      <c r="E344" s="63"/>
      <c r="F344" s="63"/>
    </row>
    <row r="345" spans="1:8">
      <c r="C345" s="63"/>
      <c r="D345" s="63"/>
      <c r="E345" s="63"/>
      <c r="F345" s="63"/>
    </row>
    <row r="346" spans="1:8">
      <c r="C346" s="63"/>
      <c r="D346" s="63"/>
      <c r="E346" s="63"/>
      <c r="F346" s="63"/>
    </row>
    <row r="347" spans="1:8">
      <c r="F347" s="64"/>
    </row>
    <row r="348" spans="1:8">
      <c r="F348" s="64"/>
    </row>
    <row r="349" spans="1:8">
      <c r="F349" s="64"/>
    </row>
    <row r="350" spans="1:8">
      <c r="F350" s="64"/>
    </row>
    <row r="351" spans="1:8">
      <c r="F351" s="64"/>
    </row>
    <row r="352" spans="1:8">
      <c r="F352" s="64"/>
    </row>
    <row r="353" spans="6:6">
      <c r="F353" s="64"/>
    </row>
    <row r="354" spans="6:6">
      <c r="F354" s="64"/>
    </row>
    <row r="355" spans="6:6">
      <c r="F355" s="64"/>
    </row>
    <row r="356" spans="6:6">
      <c r="F356" s="64"/>
    </row>
    <row r="357" spans="6:6">
      <c r="F357" s="64"/>
    </row>
    <row r="358" spans="6:6">
      <c r="F358" s="64"/>
    </row>
    <row r="359" spans="6:6">
      <c r="F359" s="64"/>
    </row>
    <row r="360" spans="6:6">
      <c r="F360" s="64"/>
    </row>
  </sheetData>
  <mergeCells count="53">
    <mergeCell ref="A337:G337"/>
    <mergeCell ref="A307:G307"/>
    <mergeCell ref="C308:H308"/>
    <mergeCell ref="C317:H317"/>
    <mergeCell ref="A316:G316"/>
    <mergeCell ref="A324:G324"/>
    <mergeCell ref="A325:G325"/>
    <mergeCell ref="B326:H326"/>
    <mergeCell ref="C327:H327"/>
    <mergeCell ref="A336:G336"/>
    <mergeCell ref="C330:H330"/>
    <mergeCell ref="C333:H333"/>
    <mergeCell ref="A332:G332"/>
    <mergeCell ref="A287:G287"/>
    <mergeCell ref="C288:H288"/>
    <mergeCell ref="A227:G227"/>
    <mergeCell ref="C228:H228"/>
    <mergeCell ref="A248:G248"/>
    <mergeCell ref="A249:G249"/>
    <mergeCell ref="C251:H251"/>
    <mergeCell ref="A261:G261"/>
    <mergeCell ref="A1:H1"/>
    <mergeCell ref="A2:H2"/>
    <mergeCell ref="B4:H4"/>
    <mergeCell ref="C5:H5"/>
    <mergeCell ref="A339:G339"/>
    <mergeCell ref="A181:G181"/>
    <mergeCell ref="A12:G12"/>
    <mergeCell ref="A13:G13"/>
    <mergeCell ref="B196:H196"/>
    <mergeCell ref="C197:H197"/>
    <mergeCell ref="A51:G51"/>
    <mergeCell ref="A61:G61"/>
    <mergeCell ref="A95:G95"/>
    <mergeCell ref="A209:G209"/>
    <mergeCell ref="C210:H210"/>
    <mergeCell ref="B250:H250"/>
    <mergeCell ref="A340:G340"/>
    <mergeCell ref="A195:G195"/>
    <mergeCell ref="B14:H14"/>
    <mergeCell ref="A338:G338"/>
    <mergeCell ref="C186:H186"/>
    <mergeCell ref="C191:H191"/>
    <mergeCell ref="A125:G125"/>
    <mergeCell ref="A137:G137"/>
    <mergeCell ref="A168:G168"/>
    <mergeCell ref="A194:G194"/>
    <mergeCell ref="C182:H182"/>
    <mergeCell ref="C169:H169"/>
    <mergeCell ref="C165:H165"/>
    <mergeCell ref="C138:H138"/>
    <mergeCell ref="C19:H19"/>
    <mergeCell ref="C262:H262"/>
  </mergeCells>
  <pageMargins left="0.7" right="0.7" top="0.75" bottom="0.75" header="0.3" footer="0.3"/>
  <pageSetup paperSize="9" scale="56" fitToHeight="6" orientation="portrait" r:id="rId1"/>
  <rowBreaks count="1" manualBreakCount="1">
    <brk id="101" max="7" man="1"/>
  </rowBreaks>
  <colBreaks count="1" manualBreakCount="1">
    <brk id="7" max="3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FJ361"/>
  <sheetViews>
    <sheetView topLeftCell="A289" zoomScale="115" zoomScaleNormal="115" zoomScaleSheetLayoutView="100" workbookViewId="0">
      <selection activeCell="I300" sqref="I300"/>
    </sheetView>
  </sheetViews>
  <sheetFormatPr defaultRowHeight="15"/>
  <cols>
    <col min="1" max="1" width="10.7109375" style="63" customWidth="1"/>
    <col min="2" max="2" width="20.140625" style="63" customWidth="1"/>
    <col min="3" max="3" width="70.140625" style="99" customWidth="1"/>
    <col min="4" max="4" width="10.42578125" style="111" customWidth="1"/>
    <col min="5" max="5" width="9.7109375" style="64" customWidth="1"/>
    <col min="6" max="6" width="12.28515625" style="112" customWidth="1"/>
    <col min="7" max="7" width="13.140625" style="63" customWidth="1"/>
    <col min="8" max="16384" width="9.140625" style="63"/>
  </cols>
  <sheetData>
    <row r="1" spans="1:13" s="96" customFormat="1" ht="24" customHeight="1">
      <c r="A1" s="515" t="s">
        <v>680</v>
      </c>
      <c r="B1" s="516"/>
      <c r="C1" s="516"/>
      <c r="D1" s="516"/>
      <c r="E1" s="516"/>
      <c r="F1" s="517"/>
    </row>
    <row r="2" spans="1:13" s="96" customFormat="1" ht="52.5" customHeight="1">
      <c r="A2" s="521" t="s">
        <v>832</v>
      </c>
      <c r="B2" s="522"/>
      <c r="C2" s="522"/>
      <c r="D2" s="522"/>
      <c r="E2" s="522"/>
      <c r="F2" s="523"/>
      <c r="G2" s="97"/>
    </row>
    <row r="3" spans="1:13" ht="45" customHeight="1">
      <c r="A3" s="235" t="s">
        <v>0</v>
      </c>
      <c r="B3" s="343" t="s">
        <v>1</v>
      </c>
      <c r="C3" s="333" t="s">
        <v>300</v>
      </c>
      <c r="D3" s="333" t="s">
        <v>2</v>
      </c>
      <c r="E3" s="173" t="s">
        <v>3</v>
      </c>
      <c r="F3" s="236" t="s">
        <v>4</v>
      </c>
      <c r="G3" s="1"/>
    </row>
    <row r="4" spans="1:13" ht="19.5" customHeight="1">
      <c r="A4" s="237" t="s">
        <v>5</v>
      </c>
      <c r="B4" s="518" t="s">
        <v>6</v>
      </c>
      <c r="C4" s="518"/>
      <c r="D4" s="518"/>
      <c r="E4" s="518"/>
      <c r="F4" s="519"/>
      <c r="G4" s="2"/>
    </row>
    <row r="5" spans="1:13" ht="26.25" customHeight="1">
      <c r="A5" s="238" t="s">
        <v>7</v>
      </c>
      <c r="B5" s="74" t="s">
        <v>376</v>
      </c>
      <c r="C5" s="491" t="s">
        <v>8</v>
      </c>
      <c r="D5" s="491"/>
      <c r="E5" s="491"/>
      <c r="F5" s="492"/>
      <c r="G5" s="98"/>
      <c r="H5" s="99"/>
      <c r="M5" s="99"/>
    </row>
    <row r="6" spans="1:13" ht="18.75" customHeight="1">
      <c r="A6" s="239" t="s">
        <v>9</v>
      </c>
      <c r="B6" s="93" t="s">
        <v>10</v>
      </c>
      <c r="C6" s="351" t="s">
        <v>11</v>
      </c>
      <c r="D6" s="351"/>
      <c r="E6" s="351"/>
      <c r="F6" s="240"/>
      <c r="G6" s="2"/>
    </row>
    <row r="7" spans="1:13" ht="26.25" customHeight="1">
      <c r="A7" s="235" t="s">
        <v>12</v>
      </c>
      <c r="B7" s="400" t="s">
        <v>10</v>
      </c>
      <c r="C7" s="394" t="s">
        <v>13</v>
      </c>
      <c r="D7" s="395" t="s">
        <v>14</v>
      </c>
      <c r="E7" s="335">
        <v>1</v>
      </c>
      <c r="F7" s="433">
        <f t="shared" ref="F7:F11" si="0">E7</f>
        <v>1</v>
      </c>
      <c r="G7" s="92"/>
    </row>
    <row r="8" spans="1:13" ht="40.5" customHeight="1">
      <c r="A8" s="235" t="s">
        <v>15</v>
      </c>
      <c r="B8" s="400" t="s">
        <v>10</v>
      </c>
      <c r="C8" s="394" t="s">
        <v>301</v>
      </c>
      <c r="D8" s="395" t="s">
        <v>14</v>
      </c>
      <c r="E8" s="335">
        <v>1</v>
      </c>
      <c r="F8" s="433">
        <f t="shared" si="0"/>
        <v>1</v>
      </c>
      <c r="G8" s="92"/>
    </row>
    <row r="9" spans="1:13" ht="51" customHeight="1">
      <c r="A9" s="235" t="s">
        <v>363</v>
      </c>
      <c r="B9" s="400" t="s">
        <v>10</v>
      </c>
      <c r="C9" s="394" t="s">
        <v>375</v>
      </c>
      <c r="D9" s="395" t="s">
        <v>14</v>
      </c>
      <c r="E9" s="335">
        <v>1</v>
      </c>
      <c r="F9" s="433">
        <f t="shared" si="0"/>
        <v>1</v>
      </c>
      <c r="G9" s="92"/>
    </row>
    <row r="10" spans="1:13" ht="43.5" customHeight="1">
      <c r="A10" s="235" t="s">
        <v>366</v>
      </c>
      <c r="B10" s="400" t="s">
        <v>10</v>
      </c>
      <c r="C10" s="394" t="s">
        <v>372</v>
      </c>
      <c r="D10" s="395" t="s">
        <v>14</v>
      </c>
      <c r="E10" s="335">
        <v>1</v>
      </c>
      <c r="F10" s="433">
        <f t="shared" si="0"/>
        <v>1</v>
      </c>
      <c r="G10" s="92"/>
    </row>
    <row r="11" spans="1:13" ht="93" customHeight="1">
      <c r="A11" s="330" t="s">
        <v>365</v>
      </c>
      <c r="B11" s="400" t="s">
        <v>10</v>
      </c>
      <c r="C11" s="394" t="s">
        <v>373</v>
      </c>
      <c r="D11" s="395" t="s">
        <v>14</v>
      </c>
      <c r="E11" s="335">
        <v>1</v>
      </c>
      <c r="F11" s="433">
        <f t="shared" si="0"/>
        <v>1</v>
      </c>
      <c r="G11" s="92"/>
    </row>
    <row r="12" spans="1:13" ht="20.25" customHeight="1">
      <c r="A12" s="237" t="s">
        <v>16</v>
      </c>
      <c r="B12" s="520" t="s">
        <v>836</v>
      </c>
      <c r="C12" s="480"/>
      <c r="D12" s="480"/>
      <c r="E12" s="480"/>
      <c r="F12" s="481"/>
      <c r="G12" s="2"/>
    </row>
    <row r="13" spans="1:13" s="1" customFormat="1" ht="27" customHeight="1">
      <c r="A13" s="238" t="s">
        <v>17</v>
      </c>
      <c r="B13" s="74" t="s">
        <v>18</v>
      </c>
      <c r="C13" s="222" t="s">
        <v>19</v>
      </c>
      <c r="D13" s="222"/>
      <c r="E13" s="222"/>
      <c r="F13" s="242"/>
    </row>
    <row r="14" spans="1:13" ht="18" customHeight="1">
      <c r="A14" s="243" t="s">
        <v>9</v>
      </c>
      <c r="B14" s="88" t="s">
        <v>20</v>
      </c>
      <c r="C14" s="351" t="s">
        <v>21</v>
      </c>
      <c r="D14" s="351"/>
      <c r="E14" s="351"/>
      <c r="F14" s="240"/>
      <c r="G14" s="2"/>
    </row>
    <row r="15" spans="1:13" s="101" customFormat="1" ht="18.75" customHeight="1">
      <c r="A15" s="244">
        <v>2</v>
      </c>
      <c r="B15" s="343" t="s">
        <v>303</v>
      </c>
      <c r="C15" s="81" t="s">
        <v>348</v>
      </c>
      <c r="D15" s="333" t="s">
        <v>23</v>
      </c>
      <c r="E15" s="325" t="s">
        <v>9</v>
      </c>
      <c r="F15" s="245">
        <f>SUM(E16:E16)</f>
        <v>1.51</v>
      </c>
      <c r="G15" s="100"/>
    </row>
    <row r="16" spans="1:13" ht="108" customHeight="1">
      <c r="A16" s="246"/>
      <c r="B16" s="89"/>
      <c r="C16" s="82" t="s">
        <v>529</v>
      </c>
      <c r="D16" s="323" t="s">
        <v>23</v>
      </c>
      <c r="E16" s="84">
        <v>1.51</v>
      </c>
      <c r="F16" s="247" t="s">
        <v>9</v>
      </c>
      <c r="G16" s="2"/>
    </row>
    <row r="17" spans="1:165" ht="17.25" customHeight="1">
      <c r="A17" s="243" t="s">
        <v>9</v>
      </c>
      <c r="B17" s="88" t="s">
        <v>24</v>
      </c>
      <c r="C17" s="513" t="s">
        <v>25</v>
      </c>
      <c r="D17" s="513"/>
      <c r="E17" s="513"/>
      <c r="F17" s="514"/>
      <c r="G17" s="2"/>
    </row>
    <row r="18" spans="1:165" ht="27" customHeight="1">
      <c r="A18" s="244" t="s">
        <v>304</v>
      </c>
      <c r="B18" s="345" t="s">
        <v>531</v>
      </c>
      <c r="C18" s="81" t="s">
        <v>530</v>
      </c>
      <c r="D18" s="323" t="s">
        <v>26</v>
      </c>
      <c r="E18" s="84" t="s">
        <v>9</v>
      </c>
      <c r="F18" s="247">
        <f>E19</f>
        <v>17</v>
      </c>
      <c r="G18" s="2"/>
    </row>
    <row r="19" spans="1:165" ht="48" customHeight="1">
      <c r="A19" s="246"/>
      <c r="B19" s="89"/>
      <c r="C19" s="82" t="s">
        <v>532</v>
      </c>
      <c r="D19" s="323" t="s">
        <v>26</v>
      </c>
      <c r="E19" s="84">
        <f>'2. Roboty rozbiórkowe '!D9</f>
        <v>17</v>
      </c>
      <c r="F19" s="247" t="s">
        <v>9</v>
      </c>
      <c r="G19" s="2"/>
    </row>
    <row r="20" spans="1:165" ht="16.5" customHeight="1">
      <c r="A20" s="244" t="s">
        <v>305</v>
      </c>
      <c r="B20" s="345" t="s">
        <v>27</v>
      </c>
      <c r="C20" s="81" t="s">
        <v>28</v>
      </c>
      <c r="D20" s="323" t="s">
        <v>29</v>
      </c>
      <c r="E20" s="84" t="s">
        <v>9</v>
      </c>
      <c r="F20" s="247">
        <f>E21</f>
        <v>0.36</v>
      </c>
      <c r="G20" s="2"/>
    </row>
    <row r="21" spans="1:165" ht="62.25" customHeight="1">
      <c r="A21" s="246"/>
      <c r="B21" s="89"/>
      <c r="C21" s="82" t="s">
        <v>533</v>
      </c>
      <c r="D21" s="323" t="s">
        <v>29</v>
      </c>
      <c r="E21" s="84">
        <f>'2. Roboty rozbiórkowe '!D10</f>
        <v>0.36</v>
      </c>
      <c r="F21" s="247" t="s">
        <v>9</v>
      </c>
      <c r="G21" s="2"/>
    </row>
    <row r="22" spans="1:165" ht="18" customHeight="1">
      <c r="A22" s="243" t="s">
        <v>9</v>
      </c>
      <c r="B22" s="336" t="s">
        <v>30</v>
      </c>
      <c r="C22" s="351" t="s">
        <v>31</v>
      </c>
      <c r="D22" s="351"/>
      <c r="E22" s="351"/>
      <c r="F22" s="240"/>
      <c r="G22" s="2"/>
    </row>
    <row r="23" spans="1:165" s="101" customFormat="1" ht="28.5" customHeight="1">
      <c r="A23" s="244" t="s">
        <v>306</v>
      </c>
      <c r="B23" s="343" t="s">
        <v>32</v>
      </c>
      <c r="C23" s="81" t="s">
        <v>35</v>
      </c>
      <c r="D23" s="333" t="s">
        <v>33</v>
      </c>
      <c r="E23" s="325" t="s">
        <v>9</v>
      </c>
      <c r="F23" s="245">
        <f>E24</f>
        <v>13778.7</v>
      </c>
      <c r="G23" s="100"/>
    </row>
    <row r="24" spans="1:165" ht="56.25" customHeight="1">
      <c r="A24" s="246"/>
      <c r="B24" s="89"/>
      <c r="C24" s="82" t="s">
        <v>534</v>
      </c>
      <c r="D24" s="323" t="s">
        <v>34</v>
      </c>
      <c r="E24" s="84">
        <v>13778.7</v>
      </c>
      <c r="F24" s="248" t="s">
        <v>9</v>
      </c>
      <c r="G24" s="2"/>
    </row>
    <row r="25" spans="1:165" ht="18" customHeight="1">
      <c r="A25" s="243" t="s">
        <v>9</v>
      </c>
      <c r="B25" s="336" t="s">
        <v>36</v>
      </c>
      <c r="C25" s="351" t="s">
        <v>37</v>
      </c>
      <c r="D25" s="351"/>
      <c r="E25" s="351"/>
      <c r="F25" s="240"/>
      <c r="G25" s="2"/>
    </row>
    <row r="26" spans="1:165" ht="18" customHeight="1">
      <c r="A26" s="244" t="s">
        <v>309</v>
      </c>
      <c r="B26" s="343" t="s">
        <v>307</v>
      </c>
      <c r="C26" s="81" t="s">
        <v>535</v>
      </c>
      <c r="D26" s="333" t="s">
        <v>33</v>
      </c>
      <c r="E26" s="325" t="s">
        <v>9</v>
      </c>
      <c r="F26" s="245">
        <f>SUM(E27)</f>
        <v>1257.3599999999999</v>
      </c>
      <c r="G26" s="100"/>
    </row>
    <row r="27" spans="1:165" ht="49.5" customHeight="1">
      <c r="A27" s="246"/>
      <c r="B27" s="89"/>
      <c r="C27" s="82" t="s">
        <v>536</v>
      </c>
      <c r="D27" s="323" t="s">
        <v>34</v>
      </c>
      <c r="E27" s="84">
        <f>'2. Roboty rozbiórkowe '!D4</f>
        <v>1257.3599999999999</v>
      </c>
      <c r="F27" s="248" t="s">
        <v>9</v>
      </c>
      <c r="G27" s="2"/>
    </row>
    <row r="28" spans="1:165" ht="49.5" customHeight="1">
      <c r="A28" s="249" t="s">
        <v>223</v>
      </c>
      <c r="B28" s="80" t="str">
        <f>B26</f>
        <v>01.02.04.11</v>
      </c>
      <c r="C28" s="76" t="s">
        <v>537</v>
      </c>
      <c r="D28" s="77" t="s">
        <v>39</v>
      </c>
      <c r="E28" s="78">
        <f>E27*0.35</f>
        <v>440.08</v>
      </c>
      <c r="F28" s="250">
        <f>E28</f>
        <v>440.08</v>
      </c>
      <c r="G28" s="2"/>
    </row>
    <row r="29" spans="1:165" s="101" customFormat="1" ht="19.5" customHeight="1">
      <c r="A29" s="244" t="s">
        <v>311</v>
      </c>
      <c r="B29" s="343" t="s">
        <v>38</v>
      </c>
      <c r="C29" s="81" t="s">
        <v>538</v>
      </c>
      <c r="D29" s="333" t="s">
        <v>33</v>
      </c>
      <c r="E29" s="325" t="s">
        <v>9</v>
      </c>
      <c r="F29" s="245">
        <f>SUM(E30)</f>
        <v>2137.8000000000002</v>
      </c>
      <c r="G29" s="100"/>
    </row>
    <row r="30" spans="1:165" ht="29.25" customHeight="1">
      <c r="A30" s="246"/>
      <c r="B30" s="89"/>
      <c r="C30" s="82" t="s">
        <v>539</v>
      </c>
      <c r="D30" s="323" t="s">
        <v>34</v>
      </c>
      <c r="E30" s="84">
        <f>'2. Roboty rozbiórkowe '!D5</f>
        <v>2137.8000000000002</v>
      </c>
      <c r="F30" s="248" t="s">
        <v>9</v>
      </c>
      <c r="G30" s="2"/>
    </row>
    <row r="31" spans="1:165" s="102" customFormat="1" ht="43.5" customHeight="1">
      <c r="A31" s="249" t="s">
        <v>665</v>
      </c>
      <c r="B31" s="80" t="str">
        <f>B29</f>
        <v>01.02.04.21</v>
      </c>
      <c r="C31" s="76" t="s">
        <v>540</v>
      </c>
      <c r="D31" s="77" t="s">
        <v>39</v>
      </c>
      <c r="E31" s="78">
        <f>E30*0.2</f>
        <v>427.56</v>
      </c>
      <c r="F31" s="250">
        <f>E31</f>
        <v>427.56</v>
      </c>
      <c r="G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</row>
    <row r="32" spans="1:165" s="102" customFormat="1" ht="20.25" customHeight="1">
      <c r="A32" s="244" t="s">
        <v>312</v>
      </c>
      <c r="B32" s="343" t="s">
        <v>40</v>
      </c>
      <c r="C32" s="81" t="s">
        <v>41</v>
      </c>
      <c r="D32" s="333" t="s">
        <v>33</v>
      </c>
      <c r="E32" s="325" t="s">
        <v>9</v>
      </c>
      <c r="F32" s="245">
        <f>SUM(E33)</f>
        <v>1047.8</v>
      </c>
      <c r="G32" s="100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</row>
    <row r="33" spans="1:166" s="102" customFormat="1" ht="45" customHeight="1">
      <c r="A33" s="246"/>
      <c r="B33" s="89"/>
      <c r="C33" s="82" t="s">
        <v>541</v>
      </c>
      <c r="D33" s="323" t="s">
        <v>34</v>
      </c>
      <c r="E33" s="84">
        <f>'2. Roboty rozbiórkowe '!D3</f>
        <v>1047.8</v>
      </c>
      <c r="F33" s="248" t="s">
        <v>9</v>
      </c>
      <c r="G33" s="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</row>
    <row r="34" spans="1:166" s="102" customFormat="1" ht="21" customHeight="1">
      <c r="A34" s="244" t="s">
        <v>313</v>
      </c>
      <c r="B34" s="343" t="s">
        <v>544</v>
      </c>
      <c r="C34" s="81" t="s">
        <v>682</v>
      </c>
      <c r="D34" s="333" t="s">
        <v>33</v>
      </c>
      <c r="E34" s="325" t="s">
        <v>9</v>
      </c>
      <c r="F34" s="245">
        <f>SUM(E35)</f>
        <v>9.1999999999999993</v>
      </c>
      <c r="G34" s="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</row>
    <row r="35" spans="1:166" s="102" customFormat="1" ht="45" customHeight="1">
      <c r="A35" s="246"/>
      <c r="B35" s="89"/>
      <c r="C35" s="82" t="s">
        <v>683</v>
      </c>
      <c r="D35" s="323" t="s">
        <v>34</v>
      </c>
      <c r="E35" s="84">
        <f>'2. Roboty rozbiórkowe '!D8</f>
        <v>9.1999999999999993</v>
      </c>
      <c r="F35" s="248" t="s">
        <v>9</v>
      </c>
      <c r="G35" s="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</row>
    <row r="36" spans="1:166" s="102" customFormat="1" ht="21" customHeight="1">
      <c r="A36" s="244" t="s">
        <v>314</v>
      </c>
      <c r="B36" s="343" t="s">
        <v>542</v>
      </c>
      <c r="C36" s="81" t="s">
        <v>543</v>
      </c>
      <c r="D36" s="333" t="s">
        <v>33</v>
      </c>
      <c r="E36" s="325" t="s">
        <v>9</v>
      </c>
      <c r="F36" s="245">
        <f>SUM(E37)</f>
        <v>19.899999999999999</v>
      </c>
      <c r="G36" s="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</row>
    <row r="37" spans="1:166" s="102" customFormat="1" ht="45" customHeight="1">
      <c r="A37" s="246"/>
      <c r="B37" s="89"/>
      <c r="C37" s="82" t="s">
        <v>684</v>
      </c>
      <c r="D37" s="323" t="s">
        <v>34</v>
      </c>
      <c r="E37" s="84">
        <f>'2. Roboty rozbiórkowe '!D7</f>
        <v>19.899999999999999</v>
      </c>
      <c r="F37" s="248" t="s">
        <v>9</v>
      </c>
      <c r="G37" s="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</row>
    <row r="38" spans="1:166" s="102" customFormat="1" ht="19.5" customHeight="1">
      <c r="A38" s="244" t="s">
        <v>315</v>
      </c>
      <c r="B38" s="343" t="s">
        <v>549</v>
      </c>
      <c r="C38" s="81" t="s">
        <v>308</v>
      </c>
      <c r="D38" s="333" t="s">
        <v>33</v>
      </c>
      <c r="E38" s="325" t="s">
        <v>9</v>
      </c>
      <c r="F38" s="245">
        <f>SUM(E39)</f>
        <v>1668.1</v>
      </c>
      <c r="G38" s="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</row>
    <row r="39" spans="1:166" s="102" customFormat="1" ht="33.75" customHeight="1">
      <c r="A39" s="246"/>
      <c r="B39" s="89"/>
      <c r="C39" s="82" t="s">
        <v>547</v>
      </c>
      <c r="D39" s="323" t="s">
        <v>34</v>
      </c>
      <c r="E39" s="84">
        <f>'2. Roboty rozbiórkowe '!D6</f>
        <v>1668.1</v>
      </c>
      <c r="F39" s="248" t="s">
        <v>9</v>
      </c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</row>
    <row r="40" spans="1:166" s="102" customFormat="1" ht="45" customHeight="1">
      <c r="A40" s="249" t="s">
        <v>666</v>
      </c>
      <c r="B40" s="80" t="str">
        <f>B38</f>
        <v>01.02.04.33</v>
      </c>
      <c r="C40" s="76" t="s">
        <v>548</v>
      </c>
      <c r="D40" s="77" t="s">
        <v>39</v>
      </c>
      <c r="E40" s="78">
        <f>E39*0.15</f>
        <v>250.22</v>
      </c>
      <c r="F40" s="250">
        <f>E40</f>
        <v>250.22</v>
      </c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</row>
    <row r="41" spans="1:166" s="102" customFormat="1" ht="22.5" customHeight="1">
      <c r="A41" s="249" t="s">
        <v>317</v>
      </c>
      <c r="B41" s="345" t="s">
        <v>558</v>
      </c>
      <c r="C41" s="81" t="s">
        <v>556</v>
      </c>
      <c r="D41" s="333" t="s">
        <v>42</v>
      </c>
      <c r="E41" s="325" t="s">
        <v>9</v>
      </c>
      <c r="F41" s="245">
        <f>E42</f>
        <v>15</v>
      </c>
      <c r="G41" s="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</row>
    <row r="42" spans="1:166" s="102" customFormat="1" ht="46.5" customHeight="1">
      <c r="A42" s="249"/>
      <c r="B42" s="323"/>
      <c r="C42" s="76" t="s">
        <v>557</v>
      </c>
      <c r="D42" s="84" t="s">
        <v>42</v>
      </c>
      <c r="E42" s="84">
        <f>'2. Roboty rozbiórkowe '!D14</f>
        <v>15</v>
      </c>
      <c r="F42" s="251" t="s">
        <v>9</v>
      </c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</row>
    <row r="43" spans="1:166" s="102" customFormat="1" ht="21" customHeight="1">
      <c r="A43" s="244" t="s">
        <v>667</v>
      </c>
      <c r="B43" s="345" t="s">
        <v>551</v>
      </c>
      <c r="C43" s="81" t="s">
        <v>550</v>
      </c>
      <c r="D43" s="333" t="s">
        <v>42</v>
      </c>
      <c r="E43" s="325" t="s">
        <v>9</v>
      </c>
      <c r="F43" s="245">
        <f>E44</f>
        <v>29</v>
      </c>
      <c r="G43" s="100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1:166" s="102" customFormat="1" ht="62.25" customHeight="1">
      <c r="A44" s="252"/>
      <c r="B44" s="323"/>
      <c r="C44" s="76" t="s">
        <v>554</v>
      </c>
      <c r="D44" s="84" t="s">
        <v>42</v>
      </c>
      <c r="E44" s="84">
        <f>'2. Roboty rozbiórkowe '!D11</f>
        <v>29</v>
      </c>
      <c r="F44" s="251" t="s">
        <v>9</v>
      </c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s="102" customFormat="1" ht="26.25" customHeight="1">
      <c r="A45" s="244" t="s">
        <v>668</v>
      </c>
      <c r="B45" s="345" t="s">
        <v>43</v>
      </c>
      <c r="C45" s="81" t="s">
        <v>552</v>
      </c>
      <c r="D45" s="333" t="s">
        <v>42</v>
      </c>
      <c r="E45" s="325" t="s">
        <v>9</v>
      </c>
      <c r="F45" s="245">
        <f>E46</f>
        <v>20</v>
      </c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</row>
    <row r="46" spans="1:166" s="102" customFormat="1" ht="62.25" customHeight="1">
      <c r="A46" s="252"/>
      <c r="B46" s="323"/>
      <c r="C46" s="76" t="s">
        <v>555</v>
      </c>
      <c r="D46" s="84" t="s">
        <v>42</v>
      </c>
      <c r="E46" s="84">
        <f>'2. Roboty rozbiórkowe '!D13</f>
        <v>20</v>
      </c>
      <c r="F46" s="251" t="s">
        <v>9</v>
      </c>
      <c r="G46" s="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</row>
    <row r="47" spans="1:166" s="102" customFormat="1" ht="19.5" customHeight="1">
      <c r="A47" s="244" t="s">
        <v>319</v>
      </c>
      <c r="B47" s="343" t="s">
        <v>44</v>
      </c>
      <c r="C47" s="81" t="s">
        <v>45</v>
      </c>
      <c r="D47" s="333" t="s">
        <v>46</v>
      </c>
      <c r="E47" s="325" t="s">
        <v>9</v>
      </c>
      <c r="F47" s="245">
        <f>SUM(E48)</f>
        <v>7.8</v>
      </c>
      <c r="G47" s="100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</row>
    <row r="48" spans="1:166" s="102" customFormat="1" ht="57.75" customHeight="1">
      <c r="A48" s="253"/>
      <c r="B48" s="80"/>
      <c r="C48" s="76" t="s">
        <v>559</v>
      </c>
      <c r="D48" s="77" t="s">
        <v>39</v>
      </c>
      <c r="E48" s="78">
        <f>'2. Roboty rozbiórkowe '!D12</f>
        <v>7.8</v>
      </c>
      <c r="F48" s="250" t="s">
        <v>9</v>
      </c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</row>
    <row r="49" spans="1:129" s="102" customFormat="1" ht="27" customHeight="1">
      <c r="A49" s="238" t="s">
        <v>47</v>
      </c>
      <c r="B49" s="74" t="s">
        <v>48</v>
      </c>
      <c r="C49" s="222" t="s">
        <v>49</v>
      </c>
      <c r="D49" s="222"/>
      <c r="E49" s="222"/>
      <c r="F49" s="242"/>
      <c r="G49" s="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</row>
    <row r="50" spans="1:129" s="102" customFormat="1" ht="20.25" customHeight="1">
      <c r="A50" s="239" t="s">
        <v>9</v>
      </c>
      <c r="B50" s="336" t="s">
        <v>50</v>
      </c>
      <c r="C50" s="351" t="s">
        <v>51</v>
      </c>
      <c r="D50" s="351"/>
      <c r="E50" s="351"/>
      <c r="F50" s="240"/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</row>
    <row r="51" spans="1:129" s="102" customFormat="1" ht="27.75" customHeight="1">
      <c r="A51" s="244" t="s">
        <v>335</v>
      </c>
      <c r="B51" s="345" t="s">
        <v>310</v>
      </c>
      <c r="C51" s="348" t="s">
        <v>349</v>
      </c>
      <c r="D51" s="333" t="s">
        <v>46</v>
      </c>
      <c r="E51" s="325" t="s">
        <v>9</v>
      </c>
      <c r="F51" s="245">
        <f>E52</f>
        <v>7778</v>
      </c>
      <c r="G51" s="100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</row>
    <row r="52" spans="1:129" s="102" customFormat="1" ht="98.25" customHeight="1">
      <c r="A52" s="254"/>
      <c r="B52" s="343"/>
      <c r="C52" s="82" t="s">
        <v>566</v>
      </c>
      <c r="D52" s="323" t="s">
        <v>39</v>
      </c>
      <c r="E52" s="84">
        <f>'7. Tab. robót ziemnych'!D81</f>
        <v>7778</v>
      </c>
      <c r="F52" s="245" t="s">
        <v>9</v>
      </c>
      <c r="G52" s="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</row>
    <row r="53" spans="1:129" s="101" customFormat="1" ht="22.5" customHeight="1">
      <c r="A53" s="239" t="s">
        <v>9</v>
      </c>
      <c r="B53" s="336" t="s">
        <v>52</v>
      </c>
      <c r="C53" s="351" t="s">
        <v>53</v>
      </c>
      <c r="D53" s="351"/>
      <c r="E53" s="351"/>
      <c r="F53" s="240"/>
      <c r="G53" s="7"/>
    </row>
    <row r="54" spans="1:129" s="101" customFormat="1" ht="19.5" customHeight="1">
      <c r="A54" s="244" t="s">
        <v>336</v>
      </c>
      <c r="B54" s="345" t="s">
        <v>54</v>
      </c>
      <c r="C54" s="350" t="s">
        <v>55</v>
      </c>
      <c r="D54" s="328" t="s">
        <v>46</v>
      </c>
      <c r="E54" s="329" t="s">
        <v>9</v>
      </c>
      <c r="F54" s="255">
        <f>E55</f>
        <v>1213</v>
      </c>
      <c r="G54" s="7"/>
    </row>
    <row r="55" spans="1:129" s="101" customFormat="1" ht="54" customHeight="1">
      <c r="A55" s="254"/>
      <c r="B55" s="343"/>
      <c r="C55" s="5" t="s">
        <v>561</v>
      </c>
      <c r="D55" s="323" t="s">
        <v>39</v>
      </c>
      <c r="E55" s="84">
        <f>'7. Tab. robót ziemnych'!F81</f>
        <v>1213</v>
      </c>
      <c r="F55" s="248" t="s">
        <v>9</v>
      </c>
      <c r="G55" s="7"/>
    </row>
    <row r="56" spans="1:129" s="101" customFormat="1" ht="28.5" customHeight="1">
      <c r="A56" s="244" t="s">
        <v>337</v>
      </c>
      <c r="B56" s="345" t="s">
        <v>562</v>
      </c>
      <c r="C56" s="350" t="s">
        <v>563</v>
      </c>
      <c r="D56" s="328" t="s">
        <v>46</v>
      </c>
      <c r="E56" s="329" t="s">
        <v>9</v>
      </c>
      <c r="F56" s="255">
        <f>E57</f>
        <v>1530</v>
      </c>
      <c r="G56" s="100"/>
    </row>
    <row r="57" spans="1:129" s="101" customFormat="1" ht="53.25" customHeight="1">
      <c r="A57" s="254"/>
      <c r="B57" s="343"/>
      <c r="C57" s="5" t="s">
        <v>565</v>
      </c>
      <c r="D57" s="323" t="s">
        <v>39</v>
      </c>
      <c r="E57" s="84">
        <f>'7. Tab. robót ziemnych'!E81-E55</f>
        <v>1530</v>
      </c>
      <c r="F57" s="248" t="s">
        <v>9</v>
      </c>
      <c r="G57" s="7"/>
    </row>
    <row r="58" spans="1:129" s="2" customFormat="1" ht="32.25" customHeight="1">
      <c r="A58" s="238" t="s">
        <v>56</v>
      </c>
      <c r="B58" s="74" t="s">
        <v>57</v>
      </c>
      <c r="C58" s="222" t="s">
        <v>58</v>
      </c>
      <c r="D58" s="222"/>
      <c r="E58" s="222"/>
      <c r="F58" s="242"/>
      <c r="G58" s="1"/>
    </row>
    <row r="59" spans="1:129" s="2" customFormat="1" ht="24" customHeight="1">
      <c r="A59" s="239" t="s">
        <v>9</v>
      </c>
      <c r="B59" s="336" t="s">
        <v>59</v>
      </c>
      <c r="C59" s="513" t="s">
        <v>60</v>
      </c>
      <c r="D59" s="513"/>
      <c r="E59" s="513"/>
      <c r="F59" s="514"/>
      <c r="G59" s="1"/>
    </row>
    <row r="60" spans="1:129" s="2" customFormat="1" ht="25.5" customHeight="1">
      <c r="A60" s="235">
        <v>19</v>
      </c>
      <c r="B60" s="345" t="s">
        <v>321</v>
      </c>
      <c r="C60" s="350" t="s">
        <v>323</v>
      </c>
      <c r="D60" s="328" t="s">
        <v>42</v>
      </c>
      <c r="E60" s="333" t="s">
        <v>9</v>
      </c>
      <c r="F60" s="241">
        <f>E61</f>
        <v>32</v>
      </c>
      <c r="G60" s="1"/>
    </row>
    <row r="61" spans="1:129" s="2" customFormat="1" ht="43.5" customHeight="1">
      <c r="A61" s="235"/>
      <c r="B61" s="333"/>
      <c r="C61" s="5" t="s">
        <v>567</v>
      </c>
      <c r="D61" s="323" t="s">
        <v>42</v>
      </c>
      <c r="E61" s="335">
        <f>'3. Odwodnienie korpusu'!D4</f>
        <v>32</v>
      </c>
      <c r="F61" s="248" t="s">
        <v>9</v>
      </c>
      <c r="G61" s="1"/>
    </row>
    <row r="62" spans="1:129" s="2" customFormat="1" ht="24" customHeight="1">
      <c r="A62" s="235">
        <v>20</v>
      </c>
      <c r="B62" s="345" t="s">
        <v>61</v>
      </c>
      <c r="C62" s="350" t="s">
        <v>322</v>
      </c>
      <c r="D62" s="328" t="s">
        <v>46</v>
      </c>
      <c r="E62" s="333" t="s">
        <v>9</v>
      </c>
      <c r="F62" s="241">
        <f>E63</f>
        <v>3.3</v>
      </c>
      <c r="G62" s="1"/>
    </row>
    <row r="63" spans="1:129" s="2" customFormat="1" ht="60.75" customHeight="1">
      <c r="A63" s="254"/>
      <c r="B63" s="343"/>
      <c r="C63" s="5" t="s">
        <v>568</v>
      </c>
      <c r="D63" s="323" t="s">
        <v>39</v>
      </c>
      <c r="E63" s="335">
        <f>'3. Odwodnienie korpusu'!D10</f>
        <v>3.3</v>
      </c>
      <c r="F63" s="248" t="s">
        <v>9</v>
      </c>
      <c r="G63" s="1"/>
    </row>
    <row r="64" spans="1:129" s="2" customFormat="1" ht="18" customHeight="1">
      <c r="A64" s="239" t="s">
        <v>9</v>
      </c>
      <c r="B64" s="336" t="s">
        <v>66</v>
      </c>
      <c r="C64" s="351" t="s">
        <v>67</v>
      </c>
      <c r="D64" s="351"/>
      <c r="E64" s="351"/>
      <c r="F64" s="240"/>
      <c r="G64" s="1"/>
    </row>
    <row r="65" spans="1:7" s="2" customFormat="1" ht="18" customHeight="1">
      <c r="A65" s="244" t="s">
        <v>669</v>
      </c>
      <c r="B65" s="345" t="s">
        <v>569</v>
      </c>
      <c r="C65" s="350" t="s">
        <v>572</v>
      </c>
      <c r="D65" s="328" t="s">
        <v>42</v>
      </c>
      <c r="E65" s="329" t="s">
        <v>9</v>
      </c>
      <c r="F65" s="255">
        <f>E66</f>
        <v>267.5</v>
      </c>
      <c r="G65" s="1"/>
    </row>
    <row r="66" spans="1:7" s="2" customFormat="1" ht="30.75" customHeight="1">
      <c r="A66" s="254"/>
      <c r="B66" s="343"/>
      <c r="C66" s="5" t="s">
        <v>578</v>
      </c>
      <c r="D66" s="323" t="s">
        <v>42</v>
      </c>
      <c r="E66" s="84">
        <f>'3. Odwodnienie korpusu'!D9</f>
        <v>267.5</v>
      </c>
      <c r="F66" s="248" t="s">
        <v>9</v>
      </c>
      <c r="G66" s="1"/>
    </row>
    <row r="67" spans="1:7" s="2" customFormat="1" ht="22.5" customHeight="1">
      <c r="A67" s="244" t="s">
        <v>670</v>
      </c>
      <c r="B67" s="345" t="s">
        <v>574</v>
      </c>
      <c r="C67" s="350" t="s">
        <v>316</v>
      </c>
      <c r="D67" s="328" t="s">
        <v>42</v>
      </c>
      <c r="E67" s="329" t="s">
        <v>9</v>
      </c>
      <c r="F67" s="255">
        <f>E68</f>
        <v>98</v>
      </c>
      <c r="G67" s="1"/>
    </row>
    <row r="68" spans="1:7" s="2" customFormat="1" ht="32.25" customHeight="1">
      <c r="A68" s="254"/>
      <c r="B68" s="343"/>
      <c r="C68" s="5" t="s">
        <v>577</v>
      </c>
      <c r="D68" s="323" t="s">
        <v>42</v>
      </c>
      <c r="E68" s="84">
        <f>'3. Odwodnienie korpusu'!D8</f>
        <v>98</v>
      </c>
      <c r="F68" s="248" t="s">
        <v>9</v>
      </c>
      <c r="G68" s="1"/>
    </row>
    <row r="69" spans="1:7" s="2" customFormat="1" ht="21" customHeight="1">
      <c r="A69" s="244" t="s">
        <v>671</v>
      </c>
      <c r="B69" s="345" t="s">
        <v>575</v>
      </c>
      <c r="C69" s="350" t="s">
        <v>573</v>
      </c>
      <c r="D69" s="328" t="s">
        <v>42</v>
      </c>
      <c r="E69" s="329" t="s">
        <v>9</v>
      </c>
      <c r="F69" s="255">
        <f>E70</f>
        <v>252</v>
      </c>
      <c r="G69" s="1"/>
    </row>
    <row r="70" spans="1:7" s="2" customFormat="1" ht="32.25" customHeight="1">
      <c r="A70" s="254"/>
      <c r="B70" s="343"/>
      <c r="C70" s="5" t="s">
        <v>579</v>
      </c>
      <c r="D70" s="323" t="s">
        <v>42</v>
      </c>
      <c r="E70" s="84">
        <f>'3. Odwodnienie korpusu'!D7</f>
        <v>252</v>
      </c>
      <c r="F70" s="248" t="s">
        <v>9</v>
      </c>
      <c r="G70" s="1"/>
    </row>
    <row r="71" spans="1:7" s="2" customFormat="1" ht="18" customHeight="1">
      <c r="A71" s="249" t="s">
        <v>672</v>
      </c>
      <c r="B71" s="80" t="s">
        <v>576</v>
      </c>
      <c r="C71" s="76" t="s">
        <v>571</v>
      </c>
      <c r="D71" s="77" t="s">
        <v>9</v>
      </c>
      <c r="E71" s="78" t="s">
        <v>9</v>
      </c>
      <c r="F71" s="250" t="s">
        <v>9</v>
      </c>
      <c r="G71" s="1"/>
    </row>
    <row r="72" spans="1:7" s="2" customFormat="1" ht="18" customHeight="1">
      <c r="A72" s="256"/>
      <c r="B72" s="234"/>
      <c r="C72" s="230" t="s">
        <v>62</v>
      </c>
      <c r="D72" s="229" t="s">
        <v>63</v>
      </c>
      <c r="E72" s="231">
        <v>2.25</v>
      </c>
      <c r="F72" s="257">
        <v>2.25</v>
      </c>
      <c r="G72" s="1"/>
    </row>
    <row r="73" spans="1:7" s="2" customFormat="1" ht="25.5" customHeight="1">
      <c r="A73" s="256"/>
      <c r="B73" s="234"/>
      <c r="C73" s="230" t="s">
        <v>64</v>
      </c>
      <c r="D73" s="229" t="s">
        <v>63</v>
      </c>
      <c r="E73" s="231">
        <v>0.38</v>
      </c>
      <c r="F73" s="257">
        <v>0.38</v>
      </c>
      <c r="G73" s="1"/>
    </row>
    <row r="74" spans="1:7" s="2" customFormat="1" ht="18" customHeight="1">
      <c r="A74" s="256"/>
      <c r="B74" s="234"/>
      <c r="C74" s="230" t="s">
        <v>570</v>
      </c>
      <c r="D74" s="229" t="s">
        <v>63</v>
      </c>
      <c r="E74" s="231">
        <v>2.04</v>
      </c>
      <c r="F74" s="257">
        <v>2.04</v>
      </c>
      <c r="G74" s="1"/>
    </row>
    <row r="75" spans="1:7" s="2" customFormat="1" ht="18" customHeight="1">
      <c r="A75" s="244" t="s">
        <v>673</v>
      </c>
      <c r="B75" s="345" t="s">
        <v>71</v>
      </c>
      <c r="C75" s="350" t="s">
        <v>72</v>
      </c>
      <c r="D75" s="328" t="s">
        <v>42</v>
      </c>
      <c r="E75" s="329" t="s">
        <v>9</v>
      </c>
      <c r="F75" s="255">
        <f>E76</f>
        <v>124</v>
      </c>
      <c r="G75" s="100"/>
    </row>
    <row r="76" spans="1:7" s="2" customFormat="1" ht="44.25" customHeight="1">
      <c r="A76" s="254"/>
      <c r="B76" s="80"/>
      <c r="C76" s="5" t="s">
        <v>580</v>
      </c>
      <c r="D76" s="323" t="s">
        <v>42</v>
      </c>
      <c r="E76" s="84">
        <f>'3. Odwodnienie korpusu'!D11</f>
        <v>124</v>
      </c>
      <c r="F76" s="248" t="s">
        <v>9</v>
      </c>
    </row>
    <row r="77" spans="1:7" s="2" customFormat="1" ht="12.75">
      <c r="A77" s="249" t="s">
        <v>674</v>
      </c>
      <c r="B77" s="80" t="s">
        <v>71</v>
      </c>
      <c r="C77" s="76" t="s">
        <v>318</v>
      </c>
      <c r="D77" s="77" t="s">
        <v>9</v>
      </c>
      <c r="E77" s="78" t="s">
        <v>9</v>
      </c>
      <c r="F77" s="250" t="s">
        <v>9</v>
      </c>
    </row>
    <row r="78" spans="1:7" s="2" customFormat="1" ht="14.25">
      <c r="A78" s="253"/>
      <c r="B78" s="80"/>
      <c r="C78" s="232" t="s">
        <v>68</v>
      </c>
      <c r="D78" s="229" t="s">
        <v>63</v>
      </c>
      <c r="E78" s="231">
        <f>1*1.2*1</f>
        <v>1.2</v>
      </c>
      <c r="F78" s="257">
        <f>E78</f>
        <v>1.2</v>
      </c>
    </row>
    <row r="79" spans="1:7" s="2" customFormat="1" ht="25.5">
      <c r="A79" s="253"/>
      <c r="B79" s="80"/>
      <c r="C79" s="232" t="s">
        <v>69</v>
      </c>
      <c r="D79" s="229" t="s">
        <v>63</v>
      </c>
      <c r="E79" s="231">
        <f>1*0.2</f>
        <v>0.2</v>
      </c>
      <c r="F79" s="257">
        <f>E79</f>
        <v>0.2</v>
      </c>
    </row>
    <row r="80" spans="1:7" s="2" customFormat="1" ht="25.5">
      <c r="A80" s="253"/>
      <c r="B80" s="80"/>
      <c r="C80" s="230" t="s">
        <v>70</v>
      </c>
      <c r="D80" s="229" t="s">
        <v>63</v>
      </c>
      <c r="E80" s="231">
        <f>(1*0.8-(3.14*0.1*0.1))*1</f>
        <v>0.77</v>
      </c>
      <c r="F80" s="257">
        <f>E80</f>
        <v>0.77</v>
      </c>
    </row>
    <row r="81" spans="1:7" s="2" customFormat="1" ht="33.75" customHeight="1">
      <c r="A81" s="244" t="s">
        <v>675</v>
      </c>
      <c r="B81" s="345" t="s">
        <v>73</v>
      </c>
      <c r="C81" s="350" t="s">
        <v>582</v>
      </c>
      <c r="D81" s="328" t="s">
        <v>26</v>
      </c>
      <c r="E81" s="329" t="s">
        <v>9</v>
      </c>
      <c r="F81" s="255">
        <f>E82</f>
        <v>3</v>
      </c>
    </row>
    <row r="82" spans="1:7" s="2" customFormat="1" ht="57.75" customHeight="1">
      <c r="A82" s="254"/>
      <c r="B82" s="343"/>
      <c r="C82" s="5" t="s">
        <v>585</v>
      </c>
      <c r="D82" s="323" t="s">
        <v>26</v>
      </c>
      <c r="E82" s="84">
        <f>'3. Odwodnienie korpusu'!D16</f>
        <v>3</v>
      </c>
      <c r="F82" s="248" t="s">
        <v>9</v>
      </c>
    </row>
    <row r="83" spans="1:7" s="2" customFormat="1" ht="30" customHeight="1">
      <c r="A83" s="244" t="s">
        <v>676</v>
      </c>
      <c r="B83" s="345" t="s">
        <v>583</v>
      </c>
      <c r="C83" s="350" t="s">
        <v>586</v>
      </c>
      <c r="D83" s="328" t="s">
        <v>26</v>
      </c>
      <c r="E83" s="329" t="s">
        <v>9</v>
      </c>
      <c r="F83" s="255">
        <f>E84</f>
        <v>8</v>
      </c>
    </row>
    <row r="84" spans="1:7" s="2" customFormat="1" ht="56.25" customHeight="1">
      <c r="A84" s="254"/>
      <c r="B84" s="343"/>
      <c r="C84" s="5" t="s">
        <v>587</v>
      </c>
      <c r="D84" s="323" t="s">
        <v>26</v>
      </c>
      <c r="E84" s="84">
        <f>'3. Odwodnienie korpusu'!D15</f>
        <v>8</v>
      </c>
      <c r="F84" s="248" t="s">
        <v>9</v>
      </c>
    </row>
    <row r="85" spans="1:7" s="2" customFormat="1" ht="27" customHeight="1">
      <c r="A85" s="244" t="s">
        <v>677</v>
      </c>
      <c r="B85" s="345" t="s">
        <v>74</v>
      </c>
      <c r="C85" s="350" t="s">
        <v>380</v>
      </c>
      <c r="D85" s="328" t="s">
        <v>26</v>
      </c>
      <c r="E85" s="329" t="s">
        <v>9</v>
      </c>
      <c r="F85" s="255">
        <f>E86</f>
        <v>9</v>
      </c>
      <c r="G85" s="100"/>
    </row>
    <row r="86" spans="1:7" s="2" customFormat="1" ht="54" customHeight="1">
      <c r="A86" s="254"/>
      <c r="B86" s="343"/>
      <c r="C86" s="5" t="s">
        <v>588</v>
      </c>
      <c r="D86" s="323" t="s">
        <v>26</v>
      </c>
      <c r="E86" s="84">
        <f>'3. Odwodnienie korpusu'!D14</f>
        <v>9</v>
      </c>
      <c r="F86" s="248" t="s">
        <v>9</v>
      </c>
    </row>
    <row r="87" spans="1:7" s="2" customFormat="1" ht="33.75" customHeight="1">
      <c r="A87" s="244" t="s">
        <v>678</v>
      </c>
      <c r="B87" s="345" t="s">
        <v>584</v>
      </c>
      <c r="C87" s="350" t="s">
        <v>589</v>
      </c>
      <c r="D87" s="328" t="s">
        <v>26</v>
      </c>
      <c r="E87" s="329" t="s">
        <v>9</v>
      </c>
      <c r="F87" s="255">
        <f>E88</f>
        <v>1</v>
      </c>
    </row>
    <row r="88" spans="1:7" s="2" customFormat="1" ht="57" customHeight="1">
      <c r="A88" s="254"/>
      <c r="B88" s="343"/>
      <c r="C88" s="5" t="s">
        <v>590</v>
      </c>
      <c r="D88" s="323" t="s">
        <v>26</v>
      </c>
      <c r="E88" s="84">
        <f>'3. Odwodnienie korpusu'!D13</f>
        <v>1</v>
      </c>
      <c r="F88" s="248" t="s">
        <v>9</v>
      </c>
    </row>
    <row r="89" spans="1:7" s="2" customFormat="1" ht="25.5">
      <c r="A89" s="258">
        <v>29</v>
      </c>
      <c r="B89" s="343" t="s">
        <v>75</v>
      </c>
      <c r="C89" s="350" t="s">
        <v>381</v>
      </c>
      <c r="D89" s="333" t="s">
        <v>26</v>
      </c>
      <c r="E89" s="84" t="s">
        <v>9</v>
      </c>
      <c r="F89" s="245">
        <f>E90</f>
        <v>32</v>
      </c>
    </row>
    <row r="90" spans="1:7" s="2" customFormat="1" ht="57" customHeight="1">
      <c r="A90" s="258"/>
      <c r="B90" s="343"/>
      <c r="C90" s="5" t="s">
        <v>591</v>
      </c>
      <c r="D90" s="323" t="s">
        <v>26</v>
      </c>
      <c r="E90" s="84">
        <f>'3. Odwodnienie korpusu'!D12</f>
        <v>32</v>
      </c>
      <c r="F90" s="248" t="s">
        <v>9</v>
      </c>
    </row>
    <row r="91" spans="1:7" s="2" customFormat="1" ht="27" customHeight="1">
      <c r="A91" s="238" t="s">
        <v>76</v>
      </c>
      <c r="B91" s="74" t="s">
        <v>77</v>
      </c>
      <c r="C91" s="493" t="s">
        <v>78</v>
      </c>
      <c r="D91" s="493"/>
      <c r="E91" s="493"/>
      <c r="F91" s="494"/>
    </row>
    <row r="92" spans="1:7" s="2" customFormat="1" ht="19.5" customHeight="1">
      <c r="A92" s="239" t="s">
        <v>9</v>
      </c>
      <c r="B92" s="336" t="s">
        <v>79</v>
      </c>
      <c r="C92" s="351" t="s">
        <v>80</v>
      </c>
      <c r="D92" s="351"/>
      <c r="E92" s="351"/>
      <c r="F92" s="240"/>
    </row>
    <row r="93" spans="1:7" s="2" customFormat="1" ht="33" customHeight="1">
      <c r="A93" s="235">
        <v>30</v>
      </c>
      <c r="B93" s="337" t="s">
        <v>594</v>
      </c>
      <c r="C93" s="346" t="s">
        <v>593</v>
      </c>
      <c r="D93" s="328" t="s">
        <v>33</v>
      </c>
      <c r="E93" s="329" t="s">
        <v>9</v>
      </c>
      <c r="F93" s="255">
        <f>E94</f>
        <v>1471.1</v>
      </c>
    </row>
    <row r="94" spans="1:7" s="2" customFormat="1" ht="71.25" customHeight="1">
      <c r="A94" s="259"/>
      <c r="B94" s="166"/>
      <c r="C94" s="347" t="s">
        <v>595</v>
      </c>
      <c r="D94" s="334" t="s">
        <v>34</v>
      </c>
      <c r="E94" s="327">
        <f>'4. El. pref. 5. 6. konstr.'!C38+'1. Zjazdy indywidualne'!R72</f>
        <v>1471.1</v>
      </c>
      <c r="F94" s="260" t="s">
        <v>9</v>
      </c>
    </row>
    <row r="95" spans="1:7" s="1" customFormat="1" ht="25.5">
      <c r="A95" s="235">
        <v>31</v>
      </c>
      <c r="B95" s="337" t="s">
        <v>81</v>
      </c>
      <c r="C95" s="346" t="s">
        <v>592</v>
      </c>
      <c r="D95" s="328" t="s">
        <v>33</v>
      </c>
      <c r="E95" s="329" t="s">
        <v>9</v>
      </c>
      <c r="F95" s="255">
        <f>E96</f>
        <v>8049.47</v>
      </c>
      <c r="G95" s="100"/>
    </row>
    <row r="96" spans="1:7" s="1" customFormat="1" ht="71.25" customHeight="1">
      <c r="A96" s="259"/>
      <c r="B96" s="166"/>
      <c r="C96" s="347" t="s">
        <v>596</v>
      </c>
      <c r="D96" s="334" t="s">
        <v>34</v>
      </c>
      <c r="E96" s="327">
        <f>'4. El. pref. 5. 6. konstr.'!C29+'4. El. pref. 5. 6. konstr.'!C22</f>
        <v>8049.47</v>
      </c>
      <c r="F96" s="260" t="s">
        <v>9</v>
      </c>
      <c r="G96" s="103"/>
    </row>
    <row r="97" spans="1:7" s="1" customFormat="1" ht="18.75" customHeight="1">
      <c r="A97" s="239" t="s">
        <v>9</v>
      </c>
      <c r="B97" s="336" t="s">
        <v>82</v>
      </c>
      <c r="C97" s="351" t="s">
        <v>83</v>
      </c>
      <c r="D97" s="351"/>
      <c r="E97" s="351"/>
      <c r="F97" s="240"/>
      <c r="G97" s="103"/>
    </row>
    <row r="98" spans="1:7" s="1" customFormat="1" ht="25.5">
      <c r="A98" s="235">
        <v>32</v>
      </c>
      <c r="B98" s="337" t="s">
        <v>84</v>
      </c>
      <c r="C98" s="346" t="s">
        <v>85</v>
      </c>
      <c r="D98" s="328" t="s">
        <v>33</v>
      </c>
      <c r="E98" s="329" t="s">
        <v>9</v>
      </c>
      <c r="F98" s="255">
        <f>E99</f>
        <v>8655.0400000000009</v>
      </c>
      <c r="G98" s="100"/>
    </row>
    <row r="99" spans="1:7" s="1" customFormat="1" ht="124.5" customHeight="1">
      <c r="A99" s="261"/>
      <c r="B99" s="344"/>
      <c r="C99" s="347" t="s">
        <v>597</v>
      </c>
      <c r="D99" s="334" t="s">
        <v>34</v>
      </c>
      <c r="E99" s="327">
        <f>'1. Zjazdy indywidualne'!N72+'4. El. pref. 5. 6. konstr.'!C28+'4. El. pref. 5. 6. konstr.'!C21</f>
        <v>8655.0400000000009</v>
      </c>
      <c r="F99" s="260" t="s">
        <v>9</v>
      </c>
      <c r="G99" s="103"/>
    </row>
    <row r="100" spans="1:7" s="1" customFormat="1" ht="25.5">
      <c r="A100" s="235">
        <v>33</v>
      </c>
      <c r="B100" s="337" t="s">
        <v>86</v>
      </c>
      <c r="C100" s="346" t="s">
        <v>87</v>
      </c>
      <c r="D100" s="328" t="s">
        <v>33</v>
      </c>
      <c r="E100" s="329" t="s">
        <v>9</v>
      </c>
      <c r="F100" s="255">
        <f>E101</f>
        <v>11917</v>
      </c>
      <c r="G100" s="100"/>
    </row>
    <row r="101" spans="1:7" s="1" customFormat="1" ht="128.25" customHeight="1">
      <c r="A101" s="262"/>
      <c r="B101" s="337"/>
      <c r="C101" s="347" t="s">
        <v>679</v>
      </c>
      <c r="D101" s="334" t="s">
        <v>34</v>
      </c>
      <c r="E101" s="327">
        <f>'1. Zjazdy indywidualne'!M72+'4. El. pref. 5. 6. konstr.'!C20+'4. El. pref. 5. 6. konstr.'!C19+'4. El. pref. 5. 6. konstr.'!C27</f>
        <v>11917</v>
      </c>
      <c r="F101" s="260" t="s">
        <v>9</v>
      </c>
      <c r="G101" s="103"/>
    </row>
    <row r="102" spans="1:7" s="7" customFormat="1" ht="18" customHeight="1">
      <c r="A102" s="239" t="s">
        <v>9</v>
      </c>
      <c r="B102" s="336" t="s">
        <v>88</v>
      </c>
      <c r="C102" s="351" t="s">
        <v>89</v>
      </c>
      <c r="D102" s="351"/>
      <c r="E102" s="351"/>
      <c r="F102" s="240"/>
      <c r="G102" s="1"/>
    </row>
    <row r="103" spans="1:7" s="7" customFormat="1" ht="34.5" customHeight="1">
      <c r="A103" s="235">
        <v>34</v>
      </c>
      <c r="B103" s="344" t="s">
        <v>224</v>
      </c>
      <c r="C103" s="349" t="s">
        <v>90</v>
      </c>
      <c r="D103" s="328" t="s">
        <v>33</v>
      </c>
      <c r="E103" s="329" t="s">
        <v>9</v>
      </c>
      <c r="F103" s="255">
        <f>SUM(E104:E104)</f>
        <v>1338.9</v>
      </c>
    </row>
    <row r="104" spans="1:7" s="7" customFormat="1" ht="48" customHeight="1">
      <c r="A104" s="263"/>
      <c r="B104" s="70"/>
      <c r="C104" s="347" t="s">
        <v>598</v>
      </c>
      <c r="D104" s="334" t="s">
        <v>34</v>
      </c>
      <c r="E104" s="327">
        <f>'4. El. pref. 5. 6. konstr.'!C37</f>
        <v>1338.9</v>
      </c>
      <c r="F104" s="255" t="s">
        <v>9</v>
      </c>
    </row>
    <row r="105" spans="1:7" s="7" customFormat="1" ht="30" customHeight="1">
      <c r="A105" s="235">
        <v>35</v>
      </c>
      <c r="B105" s="344" t="s">
        <v>329</v>
      </c>
      <c r="C105" s="349" t="s">
        <v>328</v>
      </c>
      <c r="D105" s="328" t="s">
        <v>33</v>
      </c>
      <c r="E105" s="329" t="s">
        <v>9</v>
      </c>
      <c r="F105" s="255">
        <f>SUM(E106:E106)</f>
        <v>4460.17</v>
      </c>
      <c r="G105" s="100"/>
    </row>
    <row r="106" spans="1:7" s="7" customFormat="1" ht="71.25" customHeight="1">
      <c r="A106" s="263"/>
      <c r="B106" s="70"/>
      <c r="C106" s="347" t="s">
        <v>600</v>
      </c>
      <c r="D106" s="334" t="s">
        <v>34</v>
      </c>
      <c r="E106" s="327">
        <f>'1. Zjazdy indywidualne'!N72+'4. El. pref. 5. 6. konstr.'!C28</f>
        <v>4460.17</v>
      </c>
      <c r="F106" s="255" t="s">
        <v>9</v>
      </c>
    </row>
    <row r="107" spans="1:7" s="7" customFormat="1" ht="30.75" customHeight="1">
      <c r="A107" s="235">
        <v>36</v>
      </c>
      <c r="B107" s="344" t="s">
        <v>599</v>
      </c>
      <c r="C107" s="349" t="s">
        <v>601</v>
      </c>
      <c r="D107" s="328" t="s">
        <v>33</v>
      </c>
      <c r="E107" s="329" t="s">
        <v>9</v>
      </c>
      <c r="F107" s="255">
        <f>SUM(E108:E108)</f>
        <v>4194.87</v>
      </c>
      <c r="G107" s="100"/>
    </row>
    <row r="108" spans="1:7" s="7" customFormat="1" ht="51">
      <c r="A108" s="263"/>
      <c r="B108" s="70"/>
      <c r="C108" s="347" t="s">
        <v>602</v>
      </c>
      <c r="D108" s="334" t="s">
        <v>34</v>
      </c>
      <c r="E108" s="327">
        <f>'4. El. pref. 5. 6. konstr.'!C21</f>
        <v>4194.87</v>
      </c>
      <c r="F108" s="255" t="s">
        <v>9</v>
      </c>
    </row>
    <row r="109" spans="1:7" s="7" customFormat="1" ht="18" customHeight="1">
      <c r="A109" s="239" t="s">
        <v>9</v>
      </c>
      <c r="B109" s="324" t="s">
        <v>325</v>
      </c>
      <c r="C109" s="513" t="s">
        <v>326</v>
      </c>
      <c r="D109" s="513"/>
      <c r="E109" s="513"/>
      <c r="F109" s="514"/>
    </row>
    <row r="110" spans="1:7" s="7" customFormat="1" ht="15.75">
      <c r="A110" s="235">
        <v>37</v>
      </c>
      <c r="B110" s="332" t="s">
        <v>330</v>
      </c>
      <c r="C110" s="349" t="s">
        <v>327</v>
      </c>
      <c r="D110" s="328" t="s">
        <v>33</v>
      </c>
      <c r="E110" s="329" t="s">
        <v>9</v>
      </c>
      <c r="F110" s="255">
        <f>SUM(E111:E111)</f>
        <v>1471.1</v>
      </c>
    </row>
    <row r="111" spans="1:7" s="7" customFormat="1" ht="67.5" customHeight="1">
      <c r="A111" s="235"/>
      <c r="B111" s="332"/>
      <c r="C111" s="233" t="s">
        <v>604</v>
      </c>
      <c r="D111" s="334" t="s">
        <v>34</v>
      </c>
      <c r="E111" s="327">
        <f>'1. Zjazdy indywidualne'!R72+'4. El. pref. 5. 6. konstr.'!C38</f>
        <v>1471.1</v>
      </c>
      <c r="F111" s="255" t="s">
        <v>9</v>
      </c>
    </row>
    <row r="112" spans="1:7" s="7" customFormat="1" ht="15.75">
      <c r="A112" s="235">
        <v>38</v>
      </c>
      <c r="B112" s="332" t="s">
        <v>605</v>
      </c>
      <c r="C112" s="349" t="s">
        <v>364</v>
      </c>
      <c r="D112" s="328" t="s">
        <v>33</v>
      </c>
      <c r="E112" s="329" t="s">
        <v>9</v>
      </c>
      <c r="F112" s="255">
        <f>SUM(E113:E113)</f>
        <v>9198.9500000000007</v>
      </c>
    </row>
    <row r="113" spans="1:91" s="7" customFormat="1" ht="72.75" customHeight="1">
      <c r="A113" s="235"/>
      <c r="B113" s="332"/>
      <c r="C113" s="233" t="s">
        <v>606</v>
      </c>
      <c r="D113" s="334" t="s">
        <v>34</v>
      </c>
      <c r="E113" s="327">
        <f>'1. Zjazdy indywidualne'!O72+'4. El. pref. 5. 6. konstr.'!C29+'4. El. pref. 5. 6. konstr.'!C22</f>
        <v>9198.9500000000007</v>
      </c>
      <c r="F113" s="255" t="s">
        <v>9</v>
      </c>
    </row>
    <row r="114" spans="1:91" s="7" customFormat="1" ht="20.25" customHeight="1">
      <c r="A114" s="239" t="s">
        <v>9</v>
      </c>
      <c r="B114" s="324" t="s">
        <v>610</v>
      </c>
      <c r="C114" s="513" t="s">
        <v>607</v>
      </c>
      <c r="D114" s="513"/>
      <c r="E114" s="513"/>
      <c r="F114" s="514"/>
    </row>
    <row r="115" spans="1:91" s="7" customFormat="1" ht="24" customHeight="1">
      <c r="A115" s="235">
        <v>39</v>
      </c>
      <c r="B115" s="332" t="s">
        <v>611</v>
      </c>
      <c r="C115" s="346" t="s">
        <v>608</v>
      </c>
      <c r="D115" s="328" t="s">
        <v>33</v>
      </c>
      <c r="E115" s="329" t="s">
        <v>9</v>
      </c>
      <c r="F115" s="255">
        <f>SUM(E116:E116)</f>
        <v>132.19999999999999</v>
      </c>
    </row>
    <row r="116" spans="1:91" s="7" customFormat="1" ht="41.25" customHeight="1">
      <c r="A116" s="263"/>
      <c r="B116" s="70"/>
      <c r="C116" s="347" t="s">
        <v>609</v>
      </c>
      <c r="D116" s="334" t="s">
        <v>34</v>
      </c>
      <c r="E116" s="327">
        <f>'1. Zjazdy indywidualne'!Q72</f>
        <v>132.19999999999999</v>
      </c>
      <c r="F116" s="255" t="s">
        <v>9</v>
      </c>
    </row>
    <row r="117" spans="1:91" s="7" customFormat="1" ht="18.75" customHeight="1">
      <c r="A117" s="239" t="s">
        <v>9</v>
      </c>
      <c r="B117" s="324" t="s">
        <v>91</v>
      </c>
      <c r="C117" s="513" t="s">
        <v>92</v>
      </c>
      <c r="D117" s="513"/>
      <c r="E117" s="513"/>
      <c r="F117" s="514"/>
    </row>
    <row r="118" spans="1:91" s="7" customFormat="1" ht="17.25" customHeight="1">
      <c r="A118" s="235">
        <v>40</v>
      </c>
      <c r="B118" s="332" t="s">
        <v>612</v>
      </c>
      <c r="C118" s="346" t="s">
        <v>331</v>
      </c>
      <c r="D118" s="328" t="s">
        <v>33</v>
      </c>
      <c r="E118" s="329" t="s">
        <v>9</v>
      </c>
      <c r="F118" s="255">
        <f>SUM(E119:E119)</f>
        <v>3963.96</v>
      </c>
    </row>
    <row r="119" spans="1:91" s="7" customFormat="1" ht="33" customHeight="1">
      <c r="A119" s="263"/>
      <c r="B119" s="70"/>
      <c r="C119" s="347" t="s">
        <v>613</v>
      </c>
      <c r="D119" s="334" t="s">
        <v>34</v>
      </c>
      <c r="E119" s="327">
        <f>'4. El. pref. 5. 6. konstr.'!C20</f>
        <v>3963.96</v>
      </c>
      <c r="F119" s="255" t="s">
        <v>9</v>
      </c>
    </row>
    <row r="120" spans="1:91" s="7" customFormat="1" ht="27.75" customHeight="1">
      <c r="A120" s="238" t="s">
        <v>93</v>
      </c>
      <c r="B120" s="74" t="s">
        <v>94</v>
      </c>
      <c r="C120" s="493" t="s">
        <v>95</v>
      </c>
      <c r="D120" s="493"/>
      <c r="E120" s="493"/>
      <c r="F120" s="494"/>
    </row>
    <row r="121" spans="1:91" s="7" customFormat="1" ht="18" customHeight="1">
      <c r="A121" s="239" t="s">
        <v>9</v>
      </c>
      <c r="B121" s="336" t="s">
        <v>96</v>
      </c>
      <c r="C121" s="351" t="s">
        <v>225</v>
      </c>
      <c r="D121" s="351"/>
      <c r="E121" s="351"/>
      <c r="F121" s="240"/>
    </row>
    <row r="122" spans="1:91" s="7" customFormat="1" ht="20.25" customHeight="1">
      <c r="A122" s="235">
        <v>41</v>
      </c>
      <c r="B122" s="337" t="s">
        <v>615</v>
      </c>
      <c r="C122" s="346" t="s">
        <v>220</v>
      </c>
      <c r="D122" s="328" t="s">
        <v>33</v>
      </c>
      <c r="E122" s="329" t="s">
        <v>9</v>
      </c>
      <c r="F122" s="236">
        <f>SUM(E123:E123)</f>
        <v>33.299999999999997</v>
      </c>
      <c r="G122" s="100"/>
    </row>
    <row r="123" spans="1:91" s="7" customFormat="1" ht="43.5" customHeight="1">
      <c r="A123" s="263"/>
      <c r="B123" s="70"/>
      <c r="C123" s="347" t="s">
        <v>614</v>
      </c>
      <c r="D123" s="334" t="s">
        <v>34</v>
      </c>
      <c r="E123" s="327">
        <f>'1. Zjazdy indywidualne'!S72</f>
        <v>33.299999999999997</v>
      </c>
      <c r="F123" s="260" t="s">
        <v>9</v>
      </c>
    </row>
    <row r="124" spans="1:91" s="105" customFormat="1" ht="18.75" customHeight="1">
      <c r="A124" s="239" t="s">
        <v>9</v>
      </c>
      <c r="B124" s="336" t="s">
        <v>97</v>
      </c>
      <c r="C124" s="351" t="s">
        <v>98</v>
      </c>
      <c r="D124" s="351"/>
      <c r="E124" s="351"/>
      <c r="F124" s="240"/>
      <c r="G124" s="7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104"/>
      <c r="BY124" s="104"/>
      <c r="BZ124" s="104"/>
      <c r="CA124" s="104"/>
      <c r="CB124" s="104"/>
      <c r="CC124" s="104"/>
      <c r="CD124" s="104"/>
      <c r="CE124" s="104"/>
      <c r="CF124" s="104"/>
      <c r="CG124" s="104"/>
      <c r="CH124" s="104"/>
      <c r="CI124" s="104"/>
      <c r="CJ124" s="104"/>
      <c r="CK124" s="104"/>
      <c r="CL124" s="104"/>
      <c r="CM124" s="104"/>
    </row>
    <row r="125" spans="1:91" s="105" customFormat="1" ht="22.5" customHeight="1">
      <c r="A125" s="235">
        <v>42</v>
      </c>
      <c r="B125" s="337" t="s">
        <v>616</v>
      </c>
      <c r="C125" s="346" t="s">
        <v>617</v>
      </c>
      <c r="D125" s="328" t="s">
        <v>33</v>
      </c>
      <c r="E125" s="329" t="s">
        <v>9</v>
      </c>
      <c r="F125" s="255">
        <f>SUM(E126:E126)</f>
        <v>4066.05</v>
      </c>
      <c r="G125" s="100"/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  <c r="AA125" s="104"/>
      <c r="AB125" s="104"/>
      <c r="AC125" s="104"/>
      <c r="AD125" s="104"/>
      <c r="AE125" s="104"/>
      <c r="AF125" s="104"/>
      <c r="AG125" s="104"/>
      <c r="AH125" s="104"/>
      <c r="AI125" s="104"/>
      <c r="AJ125" s="104"/>
      <c r="AK125" s="104"/>
      <c r="AL125" s="104"/>
      <c r="AM125" s="104"/>
      <c r="AN125" s="104"/>
      <c r="AO125" s="104"/>
      <c r="AP125" s="104"/>
      <c r="AQ125" s="104"/>
      <c r="AR125" s="104"/>
      <c r="AS125" s="104"/>
      <c r="AT125" s="104"/>
      <c r="AU125" s="104"/>
      <c r="AV125" s="104"/>
      <c r="AW125" s="104"/>
      <c r="AX125" s="104"/>
      <c r="AY125" s="104"/>
      <c r="AZ125" s="104"/>
      <c r="BA125" s="104"/>
      <c r="BB125" s="104"/>
      <c r="BC125" s="104"/>
      <c r="BD125" s="104"/>
      <c r="BE125" s="104"/>
      <c r="BF125" s="104"/>
      <c r="BG125" s="104"/>
      <c r="BH125" s="104"/>
      <c r="BI125" s="104"/>
      <c r="BJ125" s="104"/>
      <c r="BK125" s="104"/>
      <c r="BL125" s="104"/>
      <c r="BM125" s="104"/>
      <c r="BN125" s="104"/>
      <c r="BO125" s="104"/>
      <c r="BP125" s="104"/>
      <c r="BQ125" s="104"/>
      <c r="BR125" s="104"/>
      <c r="BS125" s="104"/>
      <c r="BT125" s="104"/>
      <c r="BU125" s="104"/>
      <c r="BV125" s="104"/>
      <c r="BW125" s="104"/>
      <c r="BX125" s="104"/>
      <c r="BY125" s="104"/>
      <c r="BZ125" s="104"/>
      <c r="CA125" s="104"/>
      <c r="CB125" s="104"/>
      <c r="CC125" s="104"/>
      <c r="CD125" s="104"/>
      <c r="CE125" s="104"/>
      <c r="CF125" s="104"/>
      <c r="CG125" s="104"/>
      <c r="CH125" s="104"/>
      <c r="CI125" s="104"/>
      <c r="CJ125" s="104"/>
      <c r="CK125" s="104"/>
      <c r="CL125" s="104"/>
      <c r="CM125" s="104"/>
    </row>
    <row r="126" spans="1:91" s="105" customFormat="1" ht="68.25" customHeight="1">
      <c r="A126" s="263"/>
      <c r="B126" s="70"/>
      <c r="C126" s="347" t="s">
        <v>618</v>
      </c>
      <c r="D126" s="334" t="s">
        <v>34</v>
      </c>
      <c r="E126" s="327">
        <f>'1. Zjazdy indywidualne'!M72+'4. El. pref. 5. 6. konstr.'!C27</f>
        <v>4066.05</v>
      </c>
      <c r="F126" s="255" t="s">
        <v>9</v>
      </c>
      <c r="G126" s="7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  <c r="AA126" s="104"/>
      <c r="AB126" s="104"/>
      <c r="AC126" s="104"/>
      <c r="AD126" s="104"/>
      <c r="AE126" s="104"/>
      <c r="AF126" s="104"/>
      <c r="AG126" s="104"/>
      <c r="AH126" s="104"/>
      <c r="AI126" s="104"/>
      <c r="AJ126" s="104"/>
      <c r="AK126" s="104"/>
      <c r="AL126" s="104"/>
      <c r="AM126" s="104"/>
      <c r="AN126" s="104"/>
      <c r="AO126" s="104"/>
      <c r="AP126" s="104"/>
      <c r="AQ126" s="104"/>
      <c r="AR126" s="104"/>
      <c r="AS126" s="104"/>
      <c r="AT126" s="104"/>
      <c r="AU126" s="104"/>
      <c r="AV126" s="104"/>
      <c r="AW126" s="104"/>
      <c r="AX126" s="104"/>
      <c r="AY126" s="104"/>
      <c r="AZ126" s="104"/>
      <c r="BA126" s="104"/>
      <c r="BB126" s="104"/>
      <c r="BC126" s="104"/>
      <c r="BD126" s="104"/>
      <c r="BE126" s="104"/>
      <c r="BF126" s="104"/>
      <c r="BG126" s="104"/>
      <c r="BH126" s="104"/>
      <c r="BI126" s="104"/>
      <c r="BJ126" s="104"/>
      <c r="BK126" s="104"/>
      <c r="BL126" s="104"/>
      <c r="BM126" s="104"/>
      <c r="BN126" s="104"/>
      <c r="BO126" s="104"/>
      <c r="BP126" s="104"/>
      <c r="BQ126" s="104"/>
      <c r="BR126" s="104"/>
      <c r="BS126" s="104"/>
      <c r="BT126" s="104"/>
      <c r="BU126" s="104"/>
      <c r="BV126" s="104"/>
      <c r="BW126" s="104"/>
      <c r="BX126" s="104"/>
      <c r="BY126" s="104"/>
      <c r="BZ126" s="104"/>
      <c r="CA126" s="104"/>
      <c r="CB126" s="104"/>
      <c r="CC126" s="104"/>
      <c r="CD126" s="104"/>
      <c r="CE126" s="104"/>
      <c r="CF126" s="104"/>
      <c r="CG126" s="104"/>
      <c r="CH126" s="104"/>
      <c r="CI126" s="104"/>
      <c r="CJ126" s="104"/>
      <c r="CK126" s="104"/>
      <c r="CL126" s="104"/>
      <c r="CM126" s="104"/>
    </row>
    <row r="127" spans="1:91" s="105" customFormat="1" ht="24.75" customHeight="1">
      <c r="A127" s="235">
        <v>43</v>
      </c>
      <c r="B127" s="337" t="s">
        <v>619</v>
      </c>
      <c r="C127" s="346" t="s">
        <v>332</v>
      </c>
      <c r="D127" s="328" t="s">
        <v>33</v>
      </c>
      <c r="E127" s="329" t="s">
        <v>9</v>
      </c>
      <c r="F127" s="255">
        <f>SUM(E128:E128)</f>
        <v>3886.99</v>
      </c>
      <c r="G127" s="7"/>
      <c r="H127" s="104"/>
      <c r="I127" s="104"/>
      <c r="J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  <c r="AA127" s="104"/>
      <c r="AB127" s="104"/>
      <c r="AC127" s="104"/>
      <c r="AD127" s="104"/>
      <c r="AE127" s="104"/>
      <c r="AF127" s="104"/>
      <c r="AG127" s="104"/>
      <c r="AH127" s="104"/>
      <c r="AI127" s="104"/>
      <c r="AJ127" s="104"/>
      <c r="AK127" s="104"/>
      <c r="AL127" s="104"/>
      <c r="AM127" s="104"/>
      <c r="AN127" s="104"/>
      <c r="AO127" s="104"/>
      <c r="AP127" s="104"/>
      <c r="AQ127" s="104"/>
      <c r="AR127" s="104"/>
      <c r="AS127" s="104"/>
      <c r="AT127" s="104"/>
      <c r="AU127" s="104"/>
      <c r="AV127" s="104"/>
      <c r="AW127" s="104"/>
      <c r="AX127" s="104"/>
      <c r="AY127" s="104"/>
      <c r="AZ127" s="104"/>
      <c r="BA127" s="104"/>
      <c r="BB127" s="104"/>
      <c r="BC127" s="104"/>
      <c r="BD127" s="104"/>
      <c r="BE127" s="104"/>
      <c r="BF127" s="104"/>
      <c r="BG127" s="104"/>
      <c r="BH127" s="104"/>
      <c r="BI127" s="104"/>
      <c r="BJ127" s="104"/>
      <c r="BK127" s="104"/>
      <c r="BL127" s="104"/>
      <c r="BM127" s="104"/>
      <c r="BN127" s="104"/>
      <c r="BO127" s="104"/>
      <c r="BP127" s="104"/>
      <c r="BQ127" s="104"/>
      <c r="BR127" s="104"/>
      <c r="BS127" s="104"/>
      <c r="BT127" s="104"/>
      <c r="BU127" s="104"/>
      <c r="BV127" s="104"/>
      <c r="BW127" s="104"/>
      <c r="BX127" s="104"/>
      <c r="BY127" s="104"/>
      <c r="BZ127" s="104"/>
      <c r="CA127" s="104"/>
      <c r="CB127" s="104"/>
      <c r="CC127" s="104"/>
      <c r="CD127" s="104"/>
      <c r="CE127" s="104"/>
      <c r="CF127" s="104"/>
      <c r="CG127" s="104"/>
      <c r="CH127" s="104"/>
      <c r="CI127" s="104"/>
      <c r="CJ127" s="104"/>
      <c r="CK127" s="104"/>
      <c r="CL127" s="104"/>
      <c r="CM127" s="104"/>
    </row>
    <row r="128" spans="1:91" s="105" customFormat="1" ht="41.25" customHeight="1">
      <c r="A128" s="263"/>
      <c r="B128" s="70"/>
      <c r="C128" s="347" t="s">
        <v>620</v>
      </c>
      <c r="D128" s="334" t="s">
        <v>34</v>
      </c>
      <c r="E128" s="327">
        <f>'4. El. pref. 5. 6. konstr.'!C19</f>
        <v>3886.99</v>
      </c>
      <c r="F128" s="255" t="s">
        <v>9</v>
      </c>
      <c r="G128" s="7"/>
      <c r="H128" s="104"/>
      <c r="I128" s="104"/>
      <c r="J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  <c r="AW128" s="104"/>
      <c r="AX128" s="104"/>
      <c r="AY128" s="104"/>
      <c r="AZ128" s="104"/>
      <c r="BA128" s="104"/>
      <c r="BB128" s="104"/>
      <c r="BC128" s="104"/>
      <c r="BD128" s="104"/>
      <c r="BE128" s="104"/>
      <c r="BF128" s="104"/>
      <c r="BG128" s="104"/>
      <c r="BH128" s="104"/>
      <c r="BI128" s="104"/>
      <c r="BJ128" s="104"/>
      <c r="BK128" s="104"/>
      <c r="BL128" s="104"/>
      <c r="BM128" s="104"/>
      <c r="BN128" s="104"/>
      <c r="BO128" s="104"/>
      <c r="BP128" s="104"/>
      <c r="BQ128" s="104"/>
      <c r="BR128" s="104"/>
      <c r="BS128" s="104"/>
      <c r="BT128" s="104"/>
      <c r="BU128" s="104"/>
      <c r="BV128" s="104"/>
      <c r="BW128" s="104"/>
      <c r="BX128" s="104"/>
      <c r="BY128" s="104"/>
      <c r="BZ128" s="104"/>
      <c r="CA128" s="104"/>
      <c r="CB128" s="104"/>
      <c r="CC128" s="104"/>
      <c r="CD128" s="104"/>
      <c r="CE128" s="104"/>
      <c r="CF128" s="104"/>
      <c r="CG128" s="104"/>
      <c r="CH128" s="104"/>
      <c r="CI128" s="104"/>
      <c r="CJ128" s="104"/>
      <c r="CK128" s="104"/>
      <c r="CL128" s="104"/>
      <c r="CM128" s="104"/>
    </row>
    <row r="129" spans="1:91" s="105" customFormat="1" ht="30" customHeight="1">
      <c r="A129" s="235">
        <v>44</v>
      </c>
      <c r="B129" s="337" t="s">
        <v>333</v>
      </c>
      <c r="C129" s="346" t="s">
        <v>387</v>
      </c>
      <c r="D129" s="328" t="s">
        <v>33</v>
      </c>
      <c r="E129" s="329" t="s">
        <v>9</v>
      </c>
      <c r="F129" s="236">
        <f>SUM(E130:E130)</f>
        <v>7796</v>
      </c>
      <c r="G129" s="7"/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  <c r="AW129" s="104"/>
      <c r="AX129" s="104"/>
      <c r="AY129" s="104"/>
      <c r="AZ129" s="104"/>
      <c r="BA129" s="104"/>
      <c r="BB129" s="104"/>
      <c r="BC129" s="104"/>
      <c r="BD129" s="104"/>
      <c r="BE129" s="104"/>
      <c r="BF129" s="104"/>
      <c r="BG129" s="104"/>
      <c r="BH129" s="104"/>
      <c r="BI129" s="104"/>
      <c r="BJ129" s="104"/>
      <c r="BK129" s="104"/>
      <c r="BL129" s="104"/>
      <c r="BM129" s="104"/>
      <c r="BN129" s="104"/>
      <c r="BO129" s="104"/>
      <c r="BP129" s="104"/>
      <c r="BQ129" s="104"/>
      <c r="BR129" s="104"/>
      <c r="BS129" s="104"/>
      <c r="BT129" s="104"/>
      <c r="BU129" s="104"/>
      <c r="BV129" s="104"/>
      <c r="BW129" s="104"/>
      <c r="BX129" s="104"/>
      <c r="BY129" s="104"/>
      <c r="BZ129" s="104"/>
      <c r="CA129" s="104"/>
      <c r="CB129" s="104"/>
      <c r="CC129" s="104"/>
      <c r="CD129" s="104"/>
      <c r="CE129" s="104"/>
      <c r="CF129" s="104"/>
      <c r="CG129" s="104"/>
      <c r="CH129" s="104"/>
      <c r="CI129" s="104"/>
      <c r="CJ129" s="104"/>
      <c r="CK129" s="104"/>
      <c r="CL129" s="104"/>
      <c r="CM129" s="104"/>
    </row>
    <row r="130" spans="1:91" s="105" customFormat="1" ht="74.25" customHeight="1">
      <c r="A130" s="263"/>
      <c r="B130" s="70"/>
      <c r="C130" s="347" t="s">
        <v>621</v>
      </c>
      <c r="D130" s="334" t="s">
        <v>34</v>
      </c>
      <c r="E130" s="327">
        <f>'1. Zjazdy indywidualne'!L72+'4. El. pref. 5. 6. konstr.'!C26+'4. El. pref. 5. 6. konstr.'!C18</f>
        <v>7796</v>
      </c>
      <c r="F130" s="260" t="s">
        <v>9</v>
      </c>
      <c r="G130" s="7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104"/>
      <c r="AE130" s="104"/>
      <c r="AF130" s="104"/>
      <c r="AG130" s="104"/>
      <c r="AH130" s="104"/>
      <c r="AI130" s="104"/>
      <c r="AJ130" s="104"/>
      <c r="AK130" s="104"/>
      <c r="AL130" s="104"/>
      <c r="AM130" s="104"/>
      <c r="AN130" s="104"/>
      <c r="AO130" s="104"/>
      <c r="AP130" s="104"/>
      <c r="AQ130" s="104"/>
      <c r="AR130" s="104"/>
      <c r="AS130" s="104"/>
      <c r="AT130" s="104"/>
      <c r="AU130" s="104"/>
      <c r="AV130" s="104"/>
      <c r="AW130" s="104"/>
      <c r="AX130" s="104"/>
      <c r="AY130" s="104"/>
      <c r="AZ130" s="104"/>
      <c r="BA130" s="104"/>
      <c r="BB130" s="104"/>
      <c r="BC130" s="104"/>
      <c r="BD130" s="104"/>
      <c r="BE130" s="104"/>
      <c r="BF130" s="104"/>
      <c r="BG130" s="104"/>
      <c r="BH130" s="104"/>
      <c r="BI130" s="104"/>
      <c r="BJ130" s="104"/>
      <c r="BK130" s="104"/>
      <c r="BL130" s="104"/>
      <c r="BM130" s="104"/>
      <c r="BN130" s="104"/>
      <c r="BO130" s="104"/>
      <c r="BP130" s="104"/>
      <c r="BQ130" s="104"/>
      <c r="BR130" s="104"/>
      <c r="BS130" s="104"/>
      <c r="BT130" s="104"/>
      <c r="BU130" s="104"/>
      <c r="BV130" s="104"/>
      <c r="BW130" s="104"/>
      <c r="BX130" s="104"/>
      <c r="BY130" s="104"/>
      <c r="BZ130" s="104"/>
      <c r="CA130" s="104"/>
      <c r="CB130" s="104"/>
      <c r="CC130" s="104"/>
      <c r="CD130" s="104"/>
      <c r="CE130" s="104"/>
      <c r="CF130" s="104"/>
      <c r="CG130" s="104"/>
      <c r="CH130" s="104"/>
      <c r="CI130" s="104"/>
      <c r="CJ130" s="104"/>
      <c r="CK130" s="104"/>
      <c r="CL130" s="104"/>
      <c r="CM130" s="104"/>
    </row>
    <row r="131" spans="1:91" s="107" customFormat="1" ht="25.5" customHeight="1">
      <c r="A131" s="238" t="s">
        <v>99</v>
      </c>
      <c r="B131" s="74" t="s">
        <v>100</v>
      </c>
      <c r="C131" s="493" t="s">
        <v>101</v>
      </c>
      <c r="D131" s="493"/>
      <c r="E131" s="493"/>
      <c r="F131" s="494"/>
      <c r="G131" s="101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  <c r="X131" s="106"/>
      <c r="Y131" s="106"/>
      <c r="Z131" s="106"/>
      <c r="AA131" s="106"/>
      <c r="AB131" s="106"/>
      <c r="AC131" s="106"/>
      <c r="AD131" s="106"/>
      <c r="AE131" s="106"/>
      <c r="AF131" s="106"/>
      <c r="AG131" s="106"/>
      <c r="AH131" s="106"/>
      <c r="AI131" s="106"/>
      <c r="AJ131" s="106"/>
      <c r="AK131" s="106"/>
      <c r="AL131" s="106"/>
      <c r="AM131" s="106"/>
      <c r="AN131" s="106"/>
      <c r="AO131" s="106"/>
      <c r="AP131" s="106"/>
      <c r="AQ131" s="106"/>
      <c r="AR131" s="106"/>
      <c r="AS131" s="106"/>
      <c r="AT131" s="106"/>
      <c r="AU131" s="106"/>
      <c r="AV131" s="106"/>
      <c r="AW131" s="106"/>
      <c r="AX131" s="106"/>
      <c r="AY131" s="106"/>
      <c r="AZ131" s="106"/>
      <c r="BA131" s="106"/>
      <c r="BB131" s="106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  <c r="CE131" s="106"/>
      <c r="CF131" s="106"/>
      <c r="CG131" s="106"/>
      <c r="CH131" s="106"/>
      <c r="CI131" s="106"/>
      <c r="CJ131" s="106"/>
      <c r="CK131" s="106"/>
      <c r="CL131" s="106"/>
      <c r="CM131" s="106"/>
    </row>
    <row r="132" spans="1:91" s="7" customFormat="1" ht="19.5" customHeight="1">
      <c r="A132" s="239" t="s">
        <v>9</v>
      </c>
      <c r="B132" s="336" t="s">
        <v>102</v>
      </c>
      <c r="C132" s="351" t="s">
        <v>103</v>
      </c>
      <c r="D132" s="351"/>
      <c r="E132" s="351"/>
      <c r="F132" s="240"/>
      <c r="G132" s="63"/>
    </row>
    <row r="133" spans="1:91" s="8" customFormat="1" ht="15.75" customHeight="1">
      <c r="A133" s="235">
        <v>45</v>
      </c>
      <c r="B133" s="344" t="s">
        <v>104</v>
      </c>
      <c r="C133" s="346" t="s">
        <v>377</v>
      </c>
      <c r="D133" s="328" t="s">
        <v>33</v>
      </c>
      <c r="E133" s="329" t="s">
        <v>9</v>
      </c>
      <c r="F133" s="255">
        <f>E134</f>
        <v>4992.8999999999996</v>
      </c>
      <c r="G133" s="100"/>
    </row>
    <row r="134" spans="1:91" s="7" customFormat="1" ht="51" customHeight="1">
      <c r="A134" s="261"/>
      <c r="B134" s="344"/>
      <c r="C134" s="347" t="s">
        <v>622</v>
      </c>
      <c r="D134" s="334" t="s">
        <v>34</v>
      </c>
      <c r="E134" s="327">
        <v>4992.8999999999996</v>
      </c>
      <c r="F134" s="260" t="s">
        <v>9</v>
      </c>
      <c r="G134" s="101"/>
    </row>
    <row r="135" spans="1:91" s="7" customFormat="1" ht="25.5" customHeight="1">
      <c r="A135" s="235">
        <v>46</v>
      </c>
      <c r="B135" s="337" t="s">
        <v>623</v>
      </c>
      <c r="C135" s="346" t="s">
        <v>625</v>
      </c>
      <c r="D135" s="328" t="s">
        <v>33</v>
      </c>
      <c r="E135" s="329" t="s">
        <v>9</v>
      </c>
      <c r="F135" s="255">
        <f>E136</f>
        <v>95.3</v>
      </c>
      <c r="G135" s="101"/>
    </row>
    <row r="136" spans="1:91" s="7" customFormat="1" ht="43.5" customHeight="1">
      <c r="A136" s="263"/>
      <c r="B136" s="70"/>
      <c r="C136" s="347" t="s">
        <v>626</v>
      </c>
      <c r="D136" s="334" t="s">
        <v>34</v>
      </c>
      <c r="E136" s="327">
        <f>'3. Odwodnienie korpusu'!D25</f>
        <v>95.3</v>
      </c>
      <c r="F136" s="260" t="s">
        <v>9</v>
      </c>
      <c r="G136" s="101"/>
    </row>
    <row r="137" spans="1:91" s="7" customFormat="1" ht="19.5" customHeight="1">
      <c r="A137" s="235">
        <v>47</v>
      </c>
      <c r="B137" s="344" t="s">
        <v>627</v>
      </c>
      <c r="C137" s="346" t="s">
        <v>628</v>
      </c>
      <c r="D137" s="328" t="s">
        <v>42</v>
      </c>
      <c r="E137" s="329" t="s">
        <v>9</v>
      </c>
      <c r="F137" s="255">
        <f>E138</f>
        <v>505.5</v>
      </c>
    </row>
    <row r="138" spans="1:91" s="7" customFormat="1" ht="93" customHeight="1">
      <c r="A138" s="263"/>
      <c r="B138" s="70"/>
      <c r="C138" s="347" t="s">
        <v>630</v>
      </c>
      <c r="D138" s="334" t="s">
        <v>42</v>
      </c>
      <c r="E138" s="327">
        <f>'1. Zjazdy indywidualne'!K72+'3. Odwodnienie korpusu'!D18</f>
        <v>505.5</v>
      </c>
      <c r="F138" s="260" t="s">
        <v>9</v>
      </c>
    </row>
    <row r="139" spans="1:91" s="7" customFormat="1" ht="27" customHeight="1">
      <c r="A139" s="235">
        <v>48</v>
      </c>
      <c r="B139" s="344" t="s">
        <v>627</v>
      </c>
      <c r="C139" s="346" t="s">
        <v>686</v>
      </c>
      <c r="D139" s="328" t="s">
        <v>42</v>
      </c>
      <c r="E139" s="329" t="s">
        <v>9</v>
      </c>
      <c r="F139" s="255">
        <f>E140</f>
        <v>157.5</v>
      </c>
    </row>
    <row r="140" spans="1:91" s="7" customFormat="1" ht="62.25" customHeight="1">
      <c r="A140" s="263"/>
      <c r="B140" s="70"/>
      <c r="C140" s="347" t="s">
        <v>631</v>
      </c>
      <c r="D140" s="334" t="s">
        <v>42</v>
      </c>
      <c r="E140" s="327">
        <f>'3. Odwodnienie korpusu'!D23</f>
        <v>157.5</v>
      </c>
      <c r="F140" s="260" t="s">
        <v>9</v>
      </c>
    </row>
    <row r="141" spans="1:91" s="7" customFormat="1" ht="30.75" customHeight="1">
      <c r="A141" s="235">
        <v>49</v>
      </c>
      <c r="B141" s="344" t="s">
        <v>632</v>
      </c>
      <c r="C141" s="346" t="s">
        <v>382</v>
      </c>
      <c r="D141" s="328" t="s">
        <v>133</v>
      </c>
      <c r="E141" s="329" t="s">
        <v>9</v>
      </c>
      <c r="F141" s="255">
        <f>E142</f>
        <v>366.3</v>
      </c>
    </row>
    <row r="142" spans="1:91" s="7" customFormat="1" ht="68.25" customHeight="1">
      <c r="A142" s="263"/>
      <c r="B142" s="70"/>
      <c r="C142" s="347" t="s">
        <v>644</v>
      </c>
      <c r="D142" s="334" t="s">
        <v>133</v>
      </c>
      <c r="E142" s="327">
        <f>'3. Odwodnienie korpusu'!D22+'1. Zjazdy indywidualne'!J72</f>
        <v>366.3</v>
      </c>
      <c r="F142" s="260" t="s">
        <v>9</v>
      </c>
    </row>
    <row r="143" spans="1:91" s="7" customFormat="1" ht="30" customHeight="1">
      <c r="A143" s="235">
        <v>50</v>
      </c>
      <c r="B143" s="344" t="s">
        <v>634</v>
      </c>
      <c r="C143" s="346" t="s">
        <v>378</v>
      </c>
      <c r="D143" s="328" t="s">
        <v>42</v>
      </c>
      <c r="E143" s="329" t="s">
        <v>9</v>
      </c>
      <c r="F143" s="255">
        <f>E144</f>
        <v>274</v>
      </c>
    </row>
    <row r="144" spans="1:91" s="7" customFormat="1" ht="77.25" customHeight="1">
      <c r="A144" s="263"/>
      <c r="B144" s="70"/>
      <c r="C144" s="347" t="s">
        <v>633</v>
      </c>
      <c r="D144" s="334" t="s">
        <v>42</v>
      </c>
      <c r="E144" s="327">
        <f>'3. Odwodnienie korpusu'!D19</f>
        <v>274</v>
      </c>
      <c r="F144" s="260" t="s">
        <v>9</v>
      </c>
    </row>
    <row r="145" spans="1:7" s="7" customFormat="1" ht="25.5" customHeight="1">
      <c r="A145" s="235">
        <v>51</v>
      </c>
      <c r="B145" s="344" t="s">
        <v>637</v>
      </c>
      <c r="C145" s="346" t="s">
        <v>635</v>
      </c>
      <c r="D145" s="328" t="s">
        <v>42</v>
      </c>
      <c r="E145" s="329" t="s">
        <v>9</v>
      </c>
      <c r="F145" s="255">
        <f>E146</f>
        <v>42</v>
      </c>
    </row>
    <row r="146" spans="1:7" s="7" customFormat="1" ht="57" customHeight="1">
      <c r="A146" s="263"/>
      <c r="B146" s="70"/>
      <c r="C146" s="347" t="s">
        <v>636</v>
      </c>
      <c r="D146" s="334" t="s">
        <v>42</v>
      </c>
      <c r="E146" s="327">
        <f>'3. Odwodnienie korpusu'!D20</f>
        <v>42</v>
      </c>
      <c r="F146" s="260" t="s">
        <v>9</v>
      </c>
    </row>
    <row r="147" spans="1:7" s="7" customFormat="1" ht="27" customHeight="1">
      <c r="A147" s="235">
        <v>52</v>
      </c>
      <c r="B147" s="344" t="s">
        <v>641</v>
      </c>
      <c r="C147" s="346" t="s">
        <v>638</v>
      </c>
      <c r="D147" s="328" t="s">
        <v>42</v>
      </c>
      <c r="E147" s="329" t="s">
        <v>9</v>
      </c>
      <c r="F147" s="255">
        <f>E148</f>
        <v>354.6</v>
      </c>
    </row>
    <row r="148" spans="1:7" s="7" customFormat="1" ht="40.5" customHeight="1">
      <c r="A148" s="263"/>
      <c r="B148" s="70"/>
      <c r="C148" s="347" t="s">
        <v>642</v>
      </c>
      <c r="D148" s="334" t="s">
        <v>42</v>
      </c>
      <c r="E148" s="327">
        <f>'3. Odwodnienie korpusu'!D22</f>
        <v>354.6</v>
      </c>
      <c r="F148" s="260" t="s">
        <v>9</v>
      </c>
    </row>
    <row r="149" spans="1:7" s="7" customFormat="1" ht="25.5" customHeight="1">
      <c r="A149" s="235">
        <v>53</v>
      </c>
      <c r="B149" s="344" t="s">
        <v>643</v>
      </c>
      <c r="C149" s="346" t="s">
        <v>639</v>
      </c>
      <c r="D149" s="328" t="s">
        <v>42</v>
      </c>
      <c r="E149" s="329" t="s">
        <v>9</v>
      </c>
      <c r="F149" s="255">
        <f>E150</f>
        <v>50.5</v>
      </c>
    </row>
    <row r="150" spans="1:7" s="7" customFormat="1" ht="66.75" customHeight="1">
      <c r="A150" s="263"/>
      <c r="B150" s="70"/>
      <c r="C150" s="347" t="s">
        <v>640</v>
      </c>
      <c r="D150" s="334" t="s">
        <v>42</v>
      </c>
      <c r="E150" s="327">
        <f>'3. Odwodnienie korpusu'!D24</f>
        <v>50.5</v>
      </c>
      <c r="F150" s="260" t="s">
        <v>9</v>
      </c>
    </row>
    <row r="151" spans="1:7" s="7" customFormat="1" ht="18" customHeight="1">
      <c r="A151" s="239" t="s">
        <v>9</v>
      </c>
      <c r="B151" s="336" t="s">
        <v>105</v>
      </c>
      <c r="C151" s="351" t="s">
        <v>106</v>
      </c>
      <c r="D151" s="351"/>
      <c r="E151" s="351"/>
      <c r="F151" s="240"/>
    </row>
    <row r="152" spans="1:7" s="7" customFormat="1" ht="27" customHeight="1">
      <c r="A152" s="235">
        <v>54</v>
      </c>
      <c r="B152" s="337" t="s">
        <v>107</v>
      </c>
      <c r="C152" s="346" t="s">
        <v>334</v>
      </c>
      <c r="D152" s="328" t="s">
        <v>42</v>
      </c>
      <c r="E152" s="329" t="s">
        <v>9</v>
      </c>
      <c r="F152" s="255">
        <f>E153</f>
        <v>65.5</v>
      </c>
      <c r="G152" s="8"/>
    </row>
    <row r="153" spans="1:7" s="7" customFormat="1" ht="42.75" customHeight="1">
      <c r="A153" s="263"/>
      <c r="B153" s="344"/>
      <c r="C153" s="347" t="s">
        <v>664</v>
      </c>
      <c r="D153" s="334" t="s">
        <v>42</v>
      </c>
      <c r="E153" s="327">
        <f>'1. Zjazdy indywidualne'!I72</f>
        <v>65.5</v>
      </c>
      <c r="F153" s="260" t="s">
        <v>9</v>
      </c>
    </row>
    <row r="154" spans="1:7" s="7" customFormat="1" ht="13.5" customHeight="1">
      <c r="A154" s="252"/>
      <c r="B154" s="80"/>
      <c r="C154" s="76" t="s">
        <v>65</v>
      </c>
      <c r="D154" s="77" t="s">
        <v>9</v>
      </c>
      <c r="E154" s="78" t="s">
        <v>9</v>
      </c>
      <c r="F154" s="250" t="s">
        <v>9</v>
      </c>
    </row>
    <row r="155" spans="1:7" s="7" customFormat="1" ht="18.75" customHeight="1">
      <c r="A155" s="256"/>
      <c r="B155" s="234"/>
      <c r="C155" s="230" t="s">
        <v>108</v>
      </c>
      <c r="D155" s="229" t="s">
        <v>63</v>
      </c>
      <c r="E155" s="231">
        <f>1.2*1.2*1</f>
        <v>1.44</v>
      </c>
      <c r="F155" s="257">
        <f>E155</f>
        <v>1.44</v>
      </c>
    </row>
    <row r="156" spans="1:7" s="7" customFormat="1" ht="27.75" customHeight="1">
      <c r="A156" s="256"/>
      <c r="B156" s="234"/>
      <c r="C156" s="230" t="s">
        <v>109</v>
      </c>
      <c r="D156" s="229" t="s">
        <v>63</v>
      </c>
      <c r="E156" s="231">
        <f>1.2*0.25*1</f>
        <v>0.3</v>
      </c>
      <c r="F156" s="257">
        <f>E156</f>
        <v>0.3</v>
      </c>
    </row>
    <row r="157" spans="1:7" s="7" customFormat="1" ht="19.5" customHeight="1">
      <c r="A157" s="256"/>
      <c r="B157" s="234"/>
      <c r="C157" s="230" t="s">
        <v>110</v>
      </c>
      <c r="D157" s="229" t="s">
        <v>63</v>
      </c>
      <c r="E157" s="231">
        <f>(1.2*0.95-(3.14*0.3*0.3))*1</f>
        <v>0.86</v>
      </c>
      <c r="F157" s="257">
        <f>E157</f>
        <v>0.86</v>
      </c>
    </row>
    <row r="158" spans="1:7" s="7" customFormat="1" ht="18" customHeight="1">
      <c r="A158" s="239" t="s">
        <v>9</v>
      </c>
      <c r="B158" s="336" t="s">
        <v>111</v>
      </c>
      <c r="C158" s="351" t="s">
        <v>112</v>
      </c>
      <c r="D158" s="351"/>
      <c r="E158" s="351"/>
      <c r="F158" s="240"/>
    </row>
    <row r="159" spans="1:7" s="7" customFormat="1" ht="24.75" customHeight="1">
      <c r="A159" s="235">
        <v>55</v>
      </c>
      <c r="B159" s="337" t="s">
        <v>113</v>
      </c>
      <c r="C159" s="346" t="s">
        <v>645</v>
      </c>
      <c r="D159" s="328" t="s">
        <v>33</v>
      </c>
      <c r="E159" s="329" t="s">
        <v>9</v>
      </c>
      <c r="F159" s="255">
        <f>E160</f>
        <v>2269.5</v>
      </c>
      <c r="G159" s="100"/>
    </row>
    <row r="160" spans="1:7" s="7" customFormat="1" ht="42" customHeight="1">
      <c r="A160" s="263"/>
      <c r="B160" s="70"/>
      <c r="C160" s="347" t="s">
        <v>646</v>
      </c>
      <c r="D160" s="334" t="s">
        <v>34</v>
      </c>
      <c r="E160" s="327">
        <v>2269.5</v>
      </c>
      <c r="F160" s="260" t="s">
        <v>9</v>
      </c>
    </row>
    <row r="161" spans="1:7" s="8" customFormat="1" ht="25.5" customHeight="1">
      <c r="A161" s="238" t="s">
        <v>114</v>
      </c>
      <c r="B161" s="74" t="s">
        <v>115</v>
      </c>
      <c r="C161" s="493" t="s">
        <v>659</v>
      </c>
      <c r="D161" s="493"/>
      <c r="E161" s="493"/>
      <c r="F161" s="494"/>
      <c r="G161" s="7"/>
    </row>
    <row r="162" spans="1:7" s="8" customFormat="1" ht="15" customHeight="1">
      <c r="A162" s="239" t="s">
        <v>9</v>
      </c>
      <c r="B162" s="336" t="s">
        <v>226</v>
      </c>
      <c r="C162" s="351" t="s">
        <v>139</v>
      </c>
      <c r="D162" s="351"/>
      <c r="E162" s="351"/>
      <c r="F162" s="240"/>
      <c r="G162" s="7"/>
    </row>
    <row r="163" spans="1:7" s="8" customFormat="1" ht="18" customHeight="1">
      <c r="A163" s="235">
        <v>56</v>
      </c>
      <c r="B163" s="337" t="s">
        <v>249</v>
      </c>
      <c r="C163" s="346" t="s">
        <v>222</v>
      </c>
      <c r="D163" s="328" t="s">
        <v>129</v>
      </c>
      <c r="E163" s="329" t="s">
        <v>9</v>
      </c>
      <c r="F163" s="255">
        <f>E164</f>
        <v>1</v>
      </c>
      <c r="G163" s="100"/>
    </row>
    <row r="164" spans="1:7" s="8" customFormat="1" ht="25.5">
      <c r="A164" s="263"/>
      <c r="B164" s="70"/>
      <c r="C164" s="347" t="s">
        <v>663</v>
      </c>
      <c r="D164" s="334" t="s">
        <v>129</v>
      </c>
      <c r="E164" s="327">
        <v>1</v>
      </c>
      <c r="F164" s="260" t="s">
        <v>9</v>
      </c>
    </row>
    <row r="165" spans="1:7" s="8" customFormat="1" ht="15.75" customHeight="1">
      <c r="A165" s="239" t="s">
        <v>9</v>
      </c>
      <c r="B165" s="336" t="s">
        <v>116</v>
      </c>
      <c r="C165" s="351" t="s">
        <v>117</v>
      </c>
      <c r="D165" s="351"/>
      <c r="E165" s="351"/>
      <c r="F165" s="240"/>
      <c r="G165" s="108"/>
    </row>
    <row r="166" spans="1:7" s="8" customFormat="1" ht="16.5" customHeight="1">
      <c r="A166" s="235">
        <v>57</v>
      </c>
      <c r="B166" s="337" t="s">
        <v>135</v>
      </c>
      <c r="C166" s="346" t="s">
        <v>136</v>
      </c>
      <c r="D166" s="328" t="s">
        <v>129</v>
      </c>
      <c r="E166" s="329" t="s">
        <v>9</v>
      </c>
      <c r="F166" s="255">
        <f>E167</f>
        <v>1</v>
      </c>
      <c r="G166" s="109"/>
    </row>
    <row r="167" spans="1:7" s="8" customFormat="1" ht="25.5">
      <c r="A167" s="263"/>
      <c r="B167" s="70"/>
      <c r="C167" s="347" t="s">
        <v>660</v>
      </c>
      <c r="D167" s="334" t="s">
        <v>129</v>
      </c>
      <c r="E167" s="327">
        <v>1</v>
      </c>
      <c r="F167" s="260" t="s">
        <v>9</v>
      </c>
      <c r="G167" s="109"/>
    </row>
    <row r="168" spans="1:7" s="8" customFormat="1" ht="16.5" customHeight="1">
      <c r="A168" s="235">
        <v>58</v>
      </c>
      <c r="B168" s="337" t="s">
        <v>137</v>
      </c>
      <c r="C168" s="346" t="s">
        <v>138</v>
      </c>
      <c r="D168" s="328" t="s">
        <v>129</v>
      </c>
      <c r="E168" s="329" t="s">
        <v>9</v>
      </c>
      <c r="F168" s="255">
        <f>E169</f>
        <v>1</v>
      </c>
      <c r="G168" s="109"/>
    </row>
    <row r="169" spans="1:7" s="8" customFormat="1" ht="12.75">
      <c r="A169" s="262"/>
      <c r="B169" s="337"/>
      <c r="C169" s="347" t="s">
        <v>661</v>
      </c>
      <c r="D169" s="334" t="s">
        <v>129</v>
      </c>
      <c r="E169" s="327">
        <v>1</v>
      </c>
      <c r="F169" s="260" t="s">
        <v>9</v>
      </c>
      <c r="G169" s="109"/>
    </row>
    <row r="170" spans="1:7" s="8" customFormat="1" ht="18" customHeight="1">
      <c r="A170" s="239" t="s">
        <v>9</v>
      </c>
      <c r="B170" s="336" t="s">
        <v>118</v>
      </c>
      <c r="C170" s="351" t="s">
        <v>119</v>
      </c>
      <c r="D170" s="351"/>
      <c r="E170" s="351"/>
      <c r="F170" s="240"/>
      <c r="G170" s="7"/>
    </row>
    <row r="171" spans="1:7" s="8" customFormat="1" ht="15" customHeight="1">
      <c r="A171" s="235">
        <v>59</v>
      </c>
      <c r="B171" s="337" t="s">
        <v>120</v>
      </c>
      <c r="C171" s="346" t="s">
        <v>221</v>
      </c>
      <c r="D171" s="329" t="s">
        <v>42</v>
      </c>
      <c r="E171" s="329" t="s">
        <v>9</v>
      </c>
      <c r="F171" s="255">
        <f>E172</f>
        <v>55</v>
      </c>
      <c r="G171" s="100"/>
    </row>
    <row r="172" spans="1:7" s="8" customFormat="1" ht="42.75" customHeight="1">
      <c r="A172" s="263"/>
      <c r="B172" s="70"/>
      <c r="C172" s="347" t="s">
        <v>662</v>
      </c>
      <c r="D172" s="334" t="s">
        <v>42</v>
      </c>
      <c r="E172" s="327">
        <v>55</v>
      </c>
      <c r="F172" s="260" t="s">
        <v>9</v>
      </c>
    </row>
    <row r="173" spans="1:7" s="8" customFormat="1" ht="29.25" customHeight="1">
      <c r="A173" s="238" t="s">
        <v>5</v>
      </c>
      <c r="B173" s="74" t="s">
        <v>121</v>
      </c>
      <c r="C173" s="493" t="s">
        <v>122</v>
      </c>
      <c r="D173" s="493"/>
      <c r="E173" s="493"/>
      <c r="F173" s="494"/>
    </row>
    <row r="174" spans="1:7" s="8" customFormat="1" ht="21.75" customHeight="1">
      <c r="A174" s="239" t="s">
        <v>9</v>
      </c>
      <c r="B174" s="336" t="s">
        <v>123</v>
      </c>
      <c r="C174" s="351" t="s">
        <v>124</v>
      </c>
      <c r="D174" s="351"/>
      <c r="E174" s="351"/>
      <c r="F174" s="240"/>
    </row>
    <row r="175" spans="1:7" s="8" customFormat="1" ht="34.5" customHeight="1">
      <c r="A175" s="235">
        <v>60</v>
      </c>
      <c r="B175" s="344" t="s">
        <v>649</v>
      </c>
      <c r="C175" s="349" t="s">
        <v>647</v>
      </c>
      <c r="D175" s="328" t="s">
        <v>42</v>
      </c>
      <c r="E175" s="329" t="s">
        <v>9</v>
      </c>
      <c r="F175" s="255">
        <f>E176</f>
        <v>880.8</v>
      </c>
    </row>
    <row r="176" spans="1:7" s="8" customFormat="1" ht="39.75" customHeight="1">
      <c r="A176" s="263"/>
      <c r="B176" s="70"/>
      <c r="C176" s="347" t="s">
        <v>648</v>
      </c>
      <c r="D176" s="334" t="s">
        <v>42</v>
      </c>
      <c r="E176" s="327">
        <f>'4. El. pref. 5. 6. konstr.'!D6</f>
        <v>880.8</v>
      </c>
      <c r="F176" s="255" t="s">
        <v>9</v>
      </c>
    </row>
    <row r="177" spans="1:8" s="8" customFormat="1" ht="20.25" customHeight="1">
      <c r="A177" s="239" t="s">
        <v>9</v>
      </c>
      <c r="B177" s="324" t="s">
        <v>652</v>
      </c>
      <c r="C177" s="351" t="s">
        <v>651</v>
      </c>
      <c r="D177" s="351"/>
      <c r="E177" s="351"/>
      <c r="F177" s="240"/>
    </row>
    <row r="178" spans="1:8" s="8" customFormat="1" ht="26.25" customHeight="1">
      <c r="A178" s="235">
        <v>61</v>
      </c>
      <c r="B178" s="344" t="s">
        <v>653</v>
      </c>
      <c r="C178" s="349" t="s">
        <v>654</v>
      </c>
      <c r="D178" s="328" t="s">
        <v>42</v>
      </c>
      <c r="E178" s="329" t="s">
        <v>9</v>
      </c>
      <c r="F178" s="255">
        <f>E179</f>
        <v>1338.9</v>
      </c>
    </row>
    <row r="179" spans="1:8" s="8" customFormat="1" ht="72.75" customHeight="1">
      <c r="A179" s="263"/>
      <c r="B179" s="70"/>
      <c r="C179" s="347" t="s">
        <v>658</v>
      </c>
      <c r="D179" s="334" t="s">
        <v>42</v>
      </c>
      <c r="E179" s="327">
        <f>'4. El. pref. 5. 6. konstr.'!C36</f>
        <v>1338.9</v>
      </c>
      <c r="F179" s="255" t="s">
        <v>9</v>
      </c>
    </row>
    <row r="180" spans="1:8" s="8" customFormat="1" ht="22.5" customHeight="1">
      <c r="A180" s="235">
        <v>62</v>
      </c>
      <c r="B180" s="344" t="s">
        <v>657</v>
      </c>
      <c r="C180" s="349" t="s">
        <v>655</v>
      </c>
      <c r="D180" s="328" t="s">
        <v>42</v>
      </c>
      <c r="E180" s="329" t="s">
        <v>9</v>
      </c>
      <c r="F180" s="255">
        <f>E181</f>
        <v>132.19999999999999</v>
      </c>
    </row>
    <row r="181" spans="1:8" s="8" customFormat="1" ht="39.75" customHeight="1">
      <c r="A181" s="263"/>
      <c r="B181" s="70"/>
      <c r="C181" s="347" t="s">
        <v>656</v>
      </c>
      <c r="D181" s="334" t="s">
        <v>42</v>
      </c>
      <c r="E181" s="327">
        <f>'1. Zjazdy indywidualne'!P72</f>
        <v>132.19999999999999</v>
      </c>
      <c r="F181" s="255" t="s">
        <v>9</v>
      </c>
    </row>
    <row r="182" spans="1:8" s="7" customFormat="1" ht="18" customHeight="1">
      <c r="A182" s="239" t="s">
        <v>9</v>
      </c>
      <c r="B182" s="336" t="s">
        <v>125</v>
      </c>
      <c r="C182" s="351" t="s">
        <v>126</v>
      </c>
      <c r="D182" s="351"/>
      <c r="E182" s="351"/>
      <c r="F182" s="240"/>
    </row>
    <row r="183" spans="1:8" s="7" customFormat="1" ht="25.5" customHeight="1">
      <c r="A183" s="235">
        <v>63</v>
      </c>
      <c r="B183" s="344" t="s">
        <v>127</v>
      </c>
      <c r="C183" s="346" t="s">
        <v>379</v>
      </c>
      <c r="D183" s="328" t="s">
        <v>42</v>
      </c>
      <c r="E183" s="329" t="s">
        <v>9</v>
      </c>
      <c r="F183" s="255">
        <f>E184</f>
        <v>788.6</v>
      </c>
      <c r="G183" s="100"/>
    </row>
    <row r="184" spans="1:8" s="8" customFormat="1" ht="45" customHeight="1" thickBot="1">
      <c r="A184" s="311"/>
      <c r="B184" s="264"/>
      <c r="C184" s="265" t="s">
        <v>650</v>
      </c>
      <c r="D184" s="266" t="s">
        <v>42</v>
      </c>
      <c r="E184" s="267">
        <f>'4. El. pref. 5. 6. konstr.'!D12</f>
        <v>788.6</v>
      </c>
      <c r="F184" s="268" t="s">
        <v>9</v>
      </c>
      <c r="G184" s="110"/>
    </row>
    <row r="185" spans="1:8" ht="27.75" customHeight="1">
      <c r="A185" s="237" t="s">
        <v>130</v>
      </c>
      <c r="B185" s="507" t="s">
        <v>352</v>
      </c>
      <c r="C185" s="508"/>
      <c r="D185" s="508"/>
      <c r="E185" s="508"/>
      <c r="F185" s="509"/>
      <c r="G185" s="388"/>
      <c r="H185" s="389"/>
    </row>
    <row r="186" spans="1:8" ht="24" customHeight="1">
      <c r="A186" s="238" t="s">
        <v>128</v>
      </c>
      <c r="B186" s="9"/>
      <c r="C186" s="510" t="s">
        <v>713</v>
      </c>
      <c r="D186" s="511"/>
      <c r="E186" s="511"/>
      <c r="F186" s="512"/>
      <c r="G186" s="390"/>
      <c r="H186" s="391"/>
    </row>
    <row r="187" spans="1:8" ht="33" customHeight="1">
      <c r="A187" s="235">
        <v>64</v>
      </c>
      <c r="B187" s="312"/>
      <c r="C187" s="412" t="s">
        <v>698</v>
      </c>
      <c r="D187" s="413" t="s">
        <v>699</v>
      </c>
      <c r="E187" s="84" t="s">
        <v>9</v>
      </c>
      <c r="F187" s="415">
        <v>2</v>
      </c>
    </row>
    <row r="188" spans="1:8" ht="37.5" customHeight="1">
      <c r="A188" s="235">
        <v>65</v>
      </c>
      <c r="B188" s="312"/>
      <c r="C188" s="412" t="s">
        <v>700</v>
      </c>
      <c r="D188" s="413" t="s">
        <v>689</v>
      </c>
      <c r="E188" s="84" t="s">
        <v>9</v>
      </c>
      <c r="F188" s="415">
        <v>2</v>
      </c>
    </row>
    <row r="189" spans="1:8" ht="36" customHeight="1">
      <c r="A189" s="235">
        <v>66</v>
      </c>
      <c r="B189" s="312"/>
      <c r="C189" s="412" t="s">
        <v>701</v>
      </c>
      <c r="D189" s="413" t="s">
        <v>699</v>
      </c>
      <c r="E189" s="84" t="s">
        <v>9</v>
      </c>
      <c r="F189" s="415">
        <v>2</v>
      </c>
    </row>
    <row r="190" spans="1:8" ht="22.5" customHeight="1">
      <c r="A190" s="235">
        <v>67</v>
      </c>
      <c r="B190" s="312"/>
      <c r="C190" s="412" t="s">
        <v>702</v>
      </c>
      <c r="D190" s="413" t="s">
        <v>689</v>
      </c>
      <c r="E190" s="84" t="s">
        <v>9</v>
      </c>
      <c r="F190" s="415">
        <v>2</v>
      </c>
    </row>
    <row r="191" spans="1:8" ht="32.25" customHeight="1">
      <c r="A191" s="235">
        <v>68</v>
      </c>
      <c r="B191" s="312"/>
      <c r="C191" s="412" t="s">
        <v>703</v>
      </c>
      <c r="D191" s="413" t="s">
        <v>689</v>
      </c>
      <c r="E191" s="84" t="s">
        <v>9</v>
      </c>
      <c r="F191" s="415">
        <v>6</v>
      </c>
    </row>
    <row r="192" spans="1:8" ht="35.25" customHeight="1">
      <c r="A192" s="235">
        <v>69</v>
      </c>
      <c r="B192" s="312"/>
      <c r="C192" s="412" t="s">
        <v>704</v>
      </c>
      <c r="D192" s="413" t="s">
        <v>689</v>
      </c>
      <c r="E192" s="84" t="s">
        <v>9</v>
      </c>
      <c r="F192" s="415">
        <v>6</v>
      </c>
    </row>
    <row r="193" spans="1:8" ht="24.75" customHeight="1">
      <c r="A193" s="235">
        <v>70</v>
      </c>
      <c r="B193" s="312"/>
      <c r="C193" s="412" t="s">
        <v>705</v>
      </c>
      <c r="D193" s="413" t="s">
        <v>23</v>
      </c>
      <c r="E193" s="84" t="s">
        <v>9</v>
      </c>
      <c r="F193" s="415">
        <v>0.57000000000000006</v>
      </c>
    </row>
    <row r="194" spans="1:8" ht="22.5" customHeight="1">
      <c r="A194" s="235">
        <v>71</v>
      </c>
      <c r="B194" s="312"/>
      <c r="C194" s="412" t="s">
        <v>706</v>
      </c>
      <c r="D194" s="413" t="s">
        <v>707</v>
      </c>
      <c r="E194" s="84" t="s">
        <v>9</v>
      </c>
      <c r="F194" s="415">
        <v>1</v>
      </c>
    </row>
    <row r="195" spans="1:8" ht="25.5" customHeight="1">
      <c r="A195" s="235">
        <v>72</v>
      </c>
      <c r="B195" s="312"/>
      <c r="C195" s="412" t="s">
        <v>708</v>
      </c>
      <c r="D195" s="413" t="s">
        <v>23</v>
      </c>
      <c r="E195" s="84" t="s">
        <v>9</v>
      </c>
      <c r="F195" s="415">
        <v>0.6</v>
      </c>
    </row>
    <row r="196" spans="1:8" ht="23.25" customHeight="1">
      <c r="A196" s="235">
        <v>73</v>
      </c>
      <c r="B196" s="312"/>
      <c r="C196" s="412" t="s">
        <v>709</v>
      </c>
      <c r="D196" s="413" t="s">
        <v>689</v>
      </c>
      <c r="E196" s="84" t="s">
        <v>9</v>
      </c>
      <c r="F196" s="415">
        <v>1</v>
      </c>
    </row>
    <row r="197" spans="1:8" ht="23.25" customHeight="1">
      <c r="A197" s="235">
        <v>74</v>
      </c>
      <c r="B197" s="312"/>
      <c r="C197" s="412" t="s">
        <v>710</v>
      </c>
      <c r="D197" s="413" t="s">
        <v>711</v>
      </c>
      <c r="E197" s="84" t="s">
        <v>9</v>
      </c>
      <c r="F197" s="415">
        <v>1</v>
      </c>
    </row>
    <row r="198" spans="1:8" ht="25.5" customHeight="1">
      <c r="A198" s="238" t="s">
        <v>354</v>
      </c>
      <c r="B198" s="9"/>
      <c r="C198" s="530" t="s">
        <v>714</v>
      </c>
      <c r="D198" s="531"/>
      <c r="E198" s="531"/>
      <c r="F198" s="532"/>
      <c r="G198" s="390"/>
      <c r="H198" s="391"/>
    </row>
    <row r="199" spans="1:8" ht="33" customHeight="1">
      <c r="A199" s="235">
        <v>75</v>
      </c>
      <c r="B199" s="313"/>
      <c r="C199" s="417" t="s">
        <v>715</v>
      </c>
      <c r="D199" s="418" t="s">
        <v>42</v>
      </c>
      <c r="E199" s="84" t="s">
        <v>9</v>
      </c>
      <c r="F199" s="420">
        <v>30</v>
      </c>
    </row>
    <row r="200" spans="1:8" ht="33" customHeight="1">
      <c r="A200" s="235">
        <v>76</v>
      </c>
      <c r="B200" s="313"/>
      <c r="C200" s="417" t="s">
        <v>716</v>
      </c>
      <c r="D200" s="418" t="s">
        <v>42</v>
      </c>
      <c r="E200" s="84" t="s">
        <v>9</v>
      </c>
      <c r="F200" s="420">
        <v>30</v>
      </c>
    </row>
    <row r="201" spans="1:8" ht="30.75" customHeight="1">
      <c r="A201" s="235">
        <v>77</v>
      </c>
      <c r="B201" s="313"/>
      <c r="C201" s="417" t="s">
        <v>717</v>
      </c>
      <c r="D201" s="418" t="s">
        <v>42</v>
      </c>
      <c r="E201" s="84" t="s">
        <v>9</v>
      </c>
      <c r="F201" s="420">
        <v>60</v>
      </c>
    </row>
    <row r="202" spans="1:8" ht="34.5" customHeight="1">
      <c r="A202" s="235">
        <v>78</v>
      </c>
      <c r="B202" s="313"/>
      <c r="C202" s="417" t="s">
        <v>718</v>
      </c>
      <c r="D202" s="418" t="s">
        <v>42</v>
      </c>
      <c r="E202" s="84" t="s">
        <v>9</v>
      </c>
      <c r="F202" s="420">
        <v>10</v>
      </c>
    </row>
    <row r="203" spans="1:8" ht="48.75" customHeight="1">
      <c r="A203" s="235">
        <v>79</v>
      </c>
      <c r="B203" s="313"/>
      <c r="C203" s="417" t="s">
        <v>719</v>
      </c>
      <c r="D203" s="418" t="s">
        <v>42</v>
      </c>
      <c r="E203" s="84" t="s">
        <v>9</v>
      </c>
      <c r="F203" s="420">
        <v>90</v>
      </c>
    </row>
    <row r="204" spans="1:8" ht="35.25" customHeight="1">
      <c r="A204" s="235">
        <v>80</v>
      </c>
      <c r="B204" s="313"/>
      <c r="C204" s="417" t="s">
        <v>720</v>
      </c>
      <c r="D204" s="418" t="s">
        <v>42</v>
      </c>
      <c r="E204" s="84" t="s">
        <v>9</v>
      </c>
      <c r="F204" s="420">
        <v>30</v>
      </c>
    </row>
    <row r="205" spans="1:8" ht="45.75" customHeight="1">
      <c r="A205" s="235">
        <v>81</v>
      </c>
      <c r="B205" s="313"/>
      <c r="C205" s="417" t="s">
        <v>721</v>
      </c>
      <c r="D205" s="418" t="s">
        <v>689</v>
      </c>
      <c r="E205" s="84" t="s">
        <v>9</v>
      </c>
      <c r="F205" s="420">
        <v>6</v>
      </c>
    </row>
    <row r="206" spans="1:8" ht="24" customHeight="1">
      <c r="A206" s="235">
        <v>82</v>
      </c>
      <c r="B206" s="313"/>
      <c r="C206" s="417" t="s">
        <v>722</v>
      </c>
      <c r="D206" s="418" t="s">
        <v>723</v>
      </c>
      <c r="E206" s="84" t="s">
        <v>9</v>
      </c>
      <c r="F206" s="420">
        <v>1</v>
      </c>
    </row>
    <row r="207" spans="1:8" ht="42.75" customHeight="1">
      <c r="A207" s="235">
        <v>83</v>
      </c>
      <c r="B207" s="313"/>
      <c r="C207" s="417" t="s">
        <v>724</v>
      </c>
      <c r="D207" s="418" t="s">
        <v>42</v>
      </c>
      <c r="E207" s="84" t="s">
        <v>9</v>
      </c>
      <c r="F207" s="420">
        <v>4</v>
      </c>
    </row>
    <row r="208" spans="1:8" ht="39" customHeight="1">
      <c r="A208" s="235">
        <v>84</v>
      </c>
      <c r="B208" s="313"/>
      <c r="C208" s="417" t="s">
        <v>725</v>
      </c>
      <c r="D208" s="418" t="s">
        <v>42</v>
      </c>
      <c r="E208" s="84" t="s">
        <v>9</v>
      </c>
      <c r="F208" s="420">
        <v>4</v>
      </c>
    </row>
    <row r="209" spans="1:8" ht="32.25" customHeight="1">
      <c r="A209" s="235">
        <v>85</v>
      </c>
      <c r="B209" s="313"/>
      <c r="C209" s="417" t="s">
        <v>715</v>
      </c>
      <c r="D209" s="418" t="s">
        <v>42</v>
      </c>
      <c r="E209" s="84" t="s">
        <v>9</v>
      </c>
      <c r="F209" s="420">
        <v>20</v>
      </c>
    </row>
    <row r="210" spans="1:8" ht="33" customHeight="1">
      <c r="A210" s="235">
        <v>86</v>
      </c>
      <c r="B210" s="313"/>
      <c r="C210" s="417" t="s">
        <v>725</v>
      </c>
      <c r="D210" s="418" t="s">
        <v>42</v>
      </c>
      <c r="E210" s="84" t="s">
        <v>9</v>
      </c>
      <c r="F210" s="420">
        <v>20</v>
      </c>
    </row>
    <row r="211" spans="1:8" ht="30.75" customHeight="1">
      <c r="A211" s="235">
        <v>87</v>
      </c>
      <c r="B211" s="313"/>
      <c r="C211" s="417" t="s">
        <v>726</v>
      </c>
      <c r="D211" s="418" t="s">
        <v>42</v>
      </c>
      <c r="E211" s="84" t="s">
        <v>9</v>
      </c>
      <c r="F211" s="420">
        <v>20</v>
      </c>
    </row>
    <row r="212" spans="1:8" ht="21.75" customHeight="1">
      <c r="A212" s="235">
        <v>88</v>
      </c>
      <c r="B212" s="313"/>
      <c r="C212" s="417" t="s">
        <v>709</v>
      </c>
      <c r="D212" s="418" t="s">
        <v>689</v>
      </c>
      <c r="E212" s="84" t="s">
        <v>9</v>
      </c>
      <c r="F212" s="420">
        <v>1</v>
      </c>
    </row>
    <row r="213" spans="1:8" ht="21" customHeight="1">
      <c r="A213" s="235">
        <v>89</v>
      </c>
      <c r="B213" s="313"/>
      <c r="C213" s="417" t="s">
        <v>710</v>
      </c>
      <c r="D213" s="418" t="s">
        <v>727</v>
      </c>
      <c r="E213" s="84" t="s">
        <v>9</v>
      </c>
      <c r="F213" s="420">
        <v>1</v>
      </c>
    </row>
    <row r="214" spans="1:8" ht="22.5" customHeight="1">
      <c r="A214" s="235">
        <v>90</v>
      </c>
      <c r="B214" s="313"/>
      <c r="C214" s="417" t="s">
        <v>696</v>
      </c>
      <c r="D214" s="418" t="s">
        <v>129</v>
      </c>
      <c r="E214" s="84" t="s">
        <v>9</v>
      </c>
      <c r="F214" s="420">
        <v>1</v>
      </c>
    </row>
    <row r="215" spans="1:8" ht="23.25" customHeight="1">
      <c r="A215" s="238" t="s">
        <v>131</v>
      </c>
      <c r="B215" s="9"/>
      <c r="C215" s="530" t="s">
        <v>729</v>
      </c>
      <c r="D215" s="531"/>
      <c r="E215" s="531"/>
      <c r="F215" s="532"/>
      <c r="G215" s="390"/>
      <c r="H215" s="391"/>
    </row>
    <row r="216" spans="1:8" ht="33.75" customHeight="1">
      <c r="A216" s="235">
        <v>91</v>
      </c>
      <c r="B216" s="313"/>
      <c r="C216" s="421" t="s">
        <v>715</v>
      </c>
      <c r="D216" s="418" t="s">
        <v>42</v>
      </c>
      <c r="E216" s="84" t="s">
        <v>9</v>
      </c>
      <c r="F216" s="420">
        <v>158</v>
      </c>
    </row>
    <row r="217" spans="1:8" ht="33.75" customHeight="1">
      <c r="A217" s="235">
        <v>92</v>
      </c>
      <c r="B217" s="313"/>
      <c r="C217" s="421" t="s">
        <v>716</v>
      </c>
      <c r="D217" s="418" t="s">
        <v>42</v>
      </c>
      <c r="E217" s="84" t="s">
        <v>9</v>
      </c>
      <c r="F217" s="420">
        <v>158</v>
      </c>
    </row>
    <row r="218" spans="1:8" ht="33" customHeight="1">
      <c r="A218" s="235">
        <v>93</v>
      </c>
      <c r="B218" s="313"/>
      <c r="C218" s="421" t="s">
        <v>717</v>
      </c>
      <c r="D218" s="418" t="s">
        <v>42</v>
      </c>
      <c r="E218" s="84" t="s">
        <v>9</v>
      </c>
      <c r="F218" s="420">
        <v>316</v>
      </c>
    </row>
    <row r="219" spans="1:8" ht="33.75" customHeight="1">
      <c r="A219" s="235">
        <v>94</v>
      </c>
      <c r="B219" s="313"/>
      <c r="C219" s="421" t="s">
        <v>730</v>
      </c>
      <c r="D219" s="418" t="s">
        <v>42</v>
      </c>
      <c r="E219" s="84" t="s">
        <v>9</v>
      </c>
      <c r="F219" s="420">
        <v>22</v>
      </c>
    </row>
    <row r="220" spans="1:8" ht="23.25" customHeight="1">
      <c r="A220" s="235">
        <v>95</v>
      </c>
      <c r="B220" s="313"/>
      <c r="C220" s="421" t="s">
        <v>731</v>
      </c>
      <c r="D220" s="418" t="s">
        <v>42</v>
      </c>
      <c r="E220" s="84" t="s">
        <v>9</v>
      </c>
      <c r="F220" s="420">
        <v>7</v>
      </c>
    </row>
    <row r="221" spans="1:8" ht="45.75" customHeight="1">
      <c r="A221" s="235">
        <v>96</v>
      </c>
      <c r="B221" s="313"/>
      <c r="C221" s="421" t="s">
        <v>732</v>
      </c>
      <c r="D221" s="418" t="s">
        <v>42</v>
      </c>
      <c r="E221" s="84" t="s">
        <v>9</v>
      </c>
      <c r="F221" s="420">
        <v>121</v>
      </c>
    </row>
    <row r="222" spans="1:8" ht="36" customHeight="1">
      <c r="A222" s="235">
        <v>97</v>
      </c>
      <c r="B222" s="313"/>
      <c r="C222" s="421" t="s">
        <v>733</v>
      </c>
      <c r="D222" s="418" t="s">
        <v>42</v>
      </c>
      <c r="E222" s="84" t="s">
        <v>9</v>
      </c>
      <c r="F222" s="420">
        <v>19</v>
      </c>
    </row>
    <row r="223" spans="1:8" ht="47.25" customHeight="1">
      <c r="A223" s="235">
        <v>98</v>
      </c>
      <c r="B223" s="313"/>
      <c r="C223" s="421" t="s">
        <v>734</v>
      </c>
      <c r="D223" s="418" t="s">
        <v>42</v>
      </c>
      <c r="E223" s="84" t="s">
        <v>9</v>
      </c>
      <c r="F223" s="420">
        <v>30</v>
      </c>
    </row>
    <row r="224" spans="1:8" ht="33" customHeight="1">
      <c r="A224" s="235">
        <v>99</v>
      </c>
      <c r="B224" s="313"/>
      <c r="C224" s="421" t="s">
        <v>735</v>
      </c>
      <c r="D224" s="418" t="s">
        <v>42</v>
      </c>
      <c r="E224" s="84" t="s">
        <v>9</v>
      </c>
      <c r="F224" s="420">
        <v>10</v>
      </c>
    </row>
    <row r="225" spans="1:6" ht="45.75" customHeight="1">
      <c r="A225" s="235">
        <v>100</v>
      </c>
      <c r="B225" s="313"/>
      <c r="C225" s="421" t="s">
        <v>736</v>
      </c>
      <c r="D225" s="418" t="s">
        <v>689</v>
      </c>
      <c r="E225" s="84" t="s">
        <v>9</v>
      </c>
      <c r="F225" s="420">
        <v>1</v>
      </c>
    </row>
    <row r="226" spans="1:6" ht="47.25" customHeight="1">
      <c r="A226" s="235">
        <v>101</v>
      </c>
      <c r="B226" s="313"/>
      <c r="C226" s="421" t="s">
        <v>737</v>
      </c>
      <c r="D226" s="418" t="s">
        <v>689</v>
      </c>
      <c r="E226" s="84" t="s">
        <v>9</v>
      </c>
      <c r="F226" s="420">
        <v>2</v>
      </c>
    </row>
    <row r="227" spans="1:6" ht="35.25" customHeight="1">
      <c r="A227" s="235">
        <v>102</v>
      </c>
      <c r="B227" s="313"/>
      <c r="C227" s="421" t="s">
        <v>738</v>
      </c>
      <c r="D227" s="418" t="s">
        <v>689</v>
      </c>
      <c r="E227" s="84" t="s">
        <v>9</v>
      </c>
      <c r="F227" s="420">
        <v>2</v>
      </c>
    </row>
    <row r="228" spans="1:6" ht="33" customHeight="1">
      <c r="A228" s="235">
        <v>103</v>
      </c>
      <c r="B228" s="313"/>
      <c r="C228" s="421" t="s">
        <v>739</v>
      </c>
      <c r="D228" s="418" t="s">
        <v>689</v>
      </c>
      <c r="E228" s="84" t="s">
        <v>9</v>
      </c>
      <c r="F228" s="420">
        <v>2</v>
      </c>
    </row>
    <row r="229" spans="1:6" ht="24" customHeight="1">
      <c r="A229" s="235">
        <v>104</v>
      </c>
      <c r="B229" s="313"/>
      <c r="C229" s="421" t="s">
        <v>740</v>
      </c>
      <c r="D229" s="418" t="s">
        <v>723</v>
      </c>
      <c r="E229" s="84" t="s">
        <v>9</v>
      </c>
      <c r="F229" s="420">
        <v>2</v>
      </c>
    </row>
    <row r="230" spans="1:6" ht="33.75" customHeight="1">
      <c r="A230" s="235">
        <v>105</v>
      </c>
      <c r="B230" s="313"/>
      <c r="C230" s="421" t="s">
        <v>715</v>
      </c>
      <c r="D230" s="418" t="s">
        <v>42</v>
      </c>
      <c r="E230" s="84" t="s">
        <v>9</v>
      </c>
      <c r="F230" s="420">
        <v>72</v>
      </c>
    </row>
    <row r="231" spans="1:6" ht="32.25" customHeight="1">
      <c r="A231" s="235">
        <v>106</v>
      </c>
      <c r="B231" s="313"/>
      <c r="C231" s="421" t="s">
        <v>716</v>
      </c>
      <c r="D231" s="418" t="s">
        <v>42</v>
      </c>
      <c r="E231" s="84" t="s">
        <v>9</v>
      </c>
      <c r="F231" s="420">
        <v>72</v>
      </c>
    </row>
    <row r="232" spans="1:6" ht="35.25" customHeight="1">
      <c r="A232" s="235">
        <v>107</v>
      </c>
      <c r="B232" s="312"/>
      <c r="C232" s="421" t="s">
        <v>741</v>
      </c>
      <c r="D232" s="418" t="s">
        <v>42</v>
      </c>
      <c r="E232" s="84" t="s">
        <v>9</v>
      </c>
      <c r="F232" s="420">
        <v>102</v>
      </c>
    </row>
    <row r="233" spans="1:6" ht="22.5" customHeight="1">
      <c r="A233" s="235">
        <v>108</v>
      </c>
      <c r="B233" s="312"/>
      <c r="C233" s="421" t="s">
        <v>742</v>
      </c>
      <c r="D233" s="418" t="s">
        <v>727</v>
      </c>
      <c r="E233" s="84" t="s">
        <v>9</v>
      </c>
      <c r="F233" s="420">
        <v>1</v>
      </c>
    </row>
    <row r="234" spans="1:6" ht="24" customHeight="1" thickBot="1">
      <c r="A234" s="235">
        <v>109</v>
      </c>
      <c r="B234" s="312"/>
      <c r="C234" s="421" t="s">
        <v>696</v>
      </c>
      <c r="D234" s="418" t="s">
        <v>129</v>
      </c>
      <c r="E234" s="84" t="s">
        <v>9</v>
      </c>
      <c r="F234" s="420">
        <v>1</v>
      </c>
    </row>
    <row r="235" spans="1:6" ht="24" customHeight="1">
      <c r="A235" s="237" t="s">
        <v>351</v>
      </c>
      <c r="B235" s="502" t="s">
        <v>800</v>
      </c>
      <c r="C235" s="502"/>
      <c r="D235" s="502"/>
      <c r="E235" s="502"/>
      <c r="F235" s="503"/>
    </row>
    <row r="236" spans="1:6" ht="24" customHeight="1">
      <c r="A236" s="238" t="s">
        <v>367</v>
      </c>
      <c r="B236" s="9"/>
      <c r="C236" s="533" t="s">
        <v>358</v>
      </c>
      <c r="D236" s="534"/>
      <c r="E236" s="534"/>
      <c r="F236" s="535"/>
    </row>
    <row r="237" spans="1:6" ht="35.1" customHeight="1">
      <c r="A237" s="235">
        <v>110</v>
      </c>
      <c r="B237" s="69"/>
      <c r="C237" s="5" t="s">
        <v>687</v>
      </c>
      <c r="D237" s="423" t="s">
        <v>689</v>
      </c>
      <c r="E237" s="84" t="s">
        <v>9</v>
      </c>
      <c r="F237" s="434">
        <v>9</v>
      </c>
    </row>
    <row r="238" spans="1:6" ht="35.1" customHeight="1">
      <c r="A238" s="235">
        <v>111</v>
      </c>
      <c r="B238" s="69"/>
      <c r="C238" s="5" t="s">
        <v>688</v>
      </c>
      <c r="D238" s="423" t="s">
        <v>689</v>
      </c>
      <c r="E238" s="84" t="s">
        <v>9</v>
      </c>
      <c r="F238" s="434">
        <v>9</v>
      </c>
    </row>
    <row r="239" spans="1:6" ht="42" customHeight="1">
      <c r="A239" s="235">
        <v>112</v>
      </c>
      <c r="B239" s="164"/>
      <c r="C239" s="421" t="s">
        <v>690</v>
      </c>
      <c r="D239" s="425" t="s">
        <v>42</v>
      </c>
      <c r="E239" s="84" t="s">
        <v>9</v>
      </c>
      <c r="F239" s="434">
        <v>707</v>
      </c>
    </row>
    <row r="240" spans="1:6" ht="35.1" customHeight="1">
      <c r="A240" s="235">
        <v>113</v>
      </c>
      <c r="B240" s="164"/>
      <c r="C240" s="421" t="s">
        <v>691</v>
      </c>
      <c r="D240" s="425" t="s">
        <v>23</v>
      </c>
      <c r="E240" s="84" t="s">
        <v>9</v>
      </c>
      <c r="F240" s="434">
        <v>0.70699999999999996</v>
      </c>
    </row>
    <row r="241" spans="1:8" ht="35.1" customHeight="1">
      <c r="A241" s="235">
        <v>114</v>
      </c>
      <c r="B241" s="164"/>
      <c r="C241" s="421" t="s">
        <v>692</v>
      </c>
      <c r="D241" s="425" t="s">
        <v>689</v>
      </c>
      <c r="E241" s="84" t="s">
        <v>9</v>
      </c>
      <c r="F241" s="434">
        <v>10</v>
      </c>
    </row>
    <row r="242" spans="1:8" ht="42.75" customHeight="1">
      <c r="A242" s="235">
        <v>115</v>
      </c>
      <c r="B242" s="164"/>
      <c r="C242" s="421" t="s">
        <v>693</v>
      </c>
      <c r="D242" s="425" t="s">
        <v>23</v>
      </c>
      <c r="E242" s="84" t="s">
        <v>9</v>
      </c>
      <c r="F242" s="434">
        <v>0.70699999999999996</v>
      </c>
    </row>
    <row r="243" spans="1:8" ht="35.1" customHeight="1">
      <c r="A243" s="235">
        <v>116</v>
      </c>
      <c r="B243" s="164"/>
      <c r="C243" s="421" t="s">
        <v>694</v>
      </c>
      <c r="D243" s="425" t="s">
        <v>42</v>
      </c>
      <c r="E243" s="84" t="s">
        <v>9</v>
      </c>
      <c r="F243" s="434">
        <v>163</v>
      </c>
    </row>
    <row r="244" spans="1:8" ht="42.75" customHeight="1">
      <c r="A244" s="235">
        <v>117</v>
      </c>
      <c r="B244" s="164"/>
      <c r="C244" s="421" t="s">
        <v>695</v>
      </c>
      <c r="D244" s="425" t="s">
        <v>23</v>
      </c>
      <c r="E244" s="84" t="s">
        <v>9</v>
      </c>
      <c r="F244" s="434">
        <v>0.70699999999999996</v>
      </c>
    </row>
    <row r="245" spans="1:8" ht="35.1" customHeight="1">
      <c r="A245" s="235">
        <v>118</v>
      </c>
      <c r="B245" s="164"/>
      <c r="C245" s="421" t="s">
        <v>696</v>
      </c>
      <c r="D245" s="425" t="s">
        <v>129</v>
      </c>
      <c r="E245" s="84" t="s">
        <v>9</v>
      </c>
      <c r="F245" s="434">
        <v>1</v>
      </c>
    </row>
    <row r="246" spans="1:8" ht="24" customHeight="1">
      <c r="A246" s="238" t="s">
        <v>167</v>
      </c>
      <c r="B246" s="9"/>
      <c r="C246" s="490" t="s">
        <v>357</v>
      </c>
      <c r="D246" s="491"/>
      <c r="E246" s="491"/>
      <c r="F246" s="492"/>
      <c r="G246" s="390"/>
      <c r="H246" s="391"/>
    </row>
    <row r="247" spans="1:8" ht="42" customHeight="1">
      <c r="A247" s="235">
        <v>119</v>
      </c>
      <c r="B247" s="312"/>
      <c r="C247" s="421" t="s">
        <v>724</v>
      </c>
      <c r="D247" s="418" t="s">
        <v>42</v>
      </c>
      <c r="E247" s="84" t="s">
        <v>9</v>
      </c>
      <c r="F247" s="420">
        <v>4</v>
      </c>
    </row>
    <row r="248" spans="1:8" ht="38.25" customHeight="1">
      <c r="A248" s="235">
        <v>120</v>
      </c>
      <c r="B248" s="312"/>
      <c r="C248" s="421" t="s">
        <v>725</v>
      </c>
      <c r="D248" s="418" t="s">
        <v>42</v>
      </c>
      <c r="E248" s="84" t="s">
        <v>9</v>
      </c>
      <c r="F248" s="420">
        <v>4</v>
      </c>
    </row>
    <row r="249" spans="1:8" ht="37.5" customHeight="1">
      <c r="A249" s="235">
        <v>121</v>
      </c>
      <c r="B249" s="312"/>
      <c r="C249" s="421" t="s">
        <v>744</v>
      </c>
      <c r="D249" s="418" t="s">
        <v>689</v>
      </c>
      <c r="E249" s="84" t="s">
        <v>9</v>
      </c>
      <c r="F249" s="420">
        <v>2</v>
      </c>
    </row>
    <row r="250" spans="1:8" ht="33" customHeight="1">
      <c r="A250" s="235">
        <v>122</v>
      </c>
      <c r="B250" s="312"/>
      <c r="C250" s="421" t="s">
        <v>688</v>
      </c>
      <c r="D250" s="418" t="s">
        <v>689</v>
      </c>
      <c r="E250" s="84" t="s">
        <v>9</v>
      </c>
      <c r="F250" s="420">
        <v>2</v>
      </c>
    </row>
    <row r="251" spans="1:8" ht="37.5" customHeight="1">
      <c r="A251" s="235">
        <v>123</v>
      </c>
      <c r="B251" s="312"/>
      <c r="C251" s="421" t="s">
        <v>691</v>
      </c>
      <c r="D251" s="418" t="s">
        <v>23</v>
      </c>
      <c r="E251" s="84" t="s">
        <v>9</v>
      </c>
      <c r="F251" s="420">
        <v>0.6</v>
      </c>
    </row>
    <row r="252" spans="1:8" ht="42" customHeight="1">
      <c r="A252" s="235">
        <v>124</v>
      </c>
      <c r="B252" s="312"/>
      <c r="C252" s="421" t="s">
        <v>745</v>
      </c>
      <c r="D252" s="418" t="s">
        <v>23</v>
      </c>
      <c r="E252" s="84" t="s">
        <v>9</v>
      </c>
      <c r="F252" s="420">
        <v>1.8</v>
      </c>
    </row>
    <row r="253" spans="1:8" ht="22.5" customHeight="1">
      <c r="A253" s="235">
        <v>125</v>
      </c>
      <c r="B253" s="312"/>
      <c r="C253" s="421" t="s">
        <v>692</v>
      </c>
      <c r="D253" s="418" t="s">
        <v>689</v>
      </c>
      <c r="E253" s="84" t="s">
        <v>9</v>
      </c>
      <c r="F253" s="420">
        <v>8</v>
      </c>
    </row>
    <row r="254" spans="1:8" ht="47.25" customHeight="1">
      <c r="A254" s="235">
        <v>126</v>
      </c>
      <c r="B254" s="312"/>
      <c r="C254" s="421" t="s">
        <v>746</v>
      </c>
      <c r="D254" s="418" t="s">
        <v>42</v>
      </c>
      <c r="E254" s="84" t="s">
        <v>9</v>
      </c>
      <c r="F254" s="420">
        <v>11</v>
      </c>
    </row>
    <row r="255" spans="1:8" ht="33" customHeight="1">
      <c r="A255" s="235">
        <v>127</v>
      </c>
      <c r="B255" s="312"/>
      <c r="C255" s="421" t="s">
        <v>747</v>
      </c>
      <c r="D255" s="418" t="s">
        <v>42</v>
      </c>
      <c r="E255" s="84" t="s">
        <v>9</v>
      </c>
      <c r="F255" s="420">
        <v>181</v>
      </c>
    </row>
    <row r="256" spans="1:8" ht="34.5" customHeight="1">
      <c r="A256" s="235">
        <v>128</v>
      </c>
      <c r="B256" s="312"/>
      <c r="C256" s="421" t="s">
        <v>748</v>
      </c>
      <c r="D256" s="418" t="s">
        <v>723</v>
      </c>
      <c r="E256" s="84" t="s">
        <v>9</v>
      </c>
      <c r="F256" s="420">
        <v>4</v>
      </c>
    </row>
    <row r="257" spans="1:8" ht="47.25" customHeight="1">
      <c r="A257" s="235">
        <v>129</v>
      </c>
      <c r="B257" s="312"/>
      <c r="C257" s="421" t="s">
        <v>749</v>
      </c>
      <c r="D257" s="418" t="s">
        <v>750</v>
      </c>
      <c r="E257" s="84" t="s">
        <v>9</v>
      </c>
      <c r="F257" s="420">
        <v>1</v>
      </c>
    </row>
    <row r="258" spans="1:8" ht="49.5" customHeight="1">
      <c r="A258" s="235">
        <v>130</v>
      </c>
      <c r="B258" s="312"/>
      <c r="C258" s="421" t="s">
        <v>751</v>
      </c>
      <c r="D258" s="418" t="s">
        <v>750</v>
      </c>
      <c r="E258" s="84" t="s">
        <v>9</v>
      </c>
      <c r="F258" s="420">
        <v>23</v>
      </c>
    </row>
    <row r="259" spans="1:8" ht="48" customHeight="1">
      <c r="A259" s="235">
        <v>131</v>
      </c>
      <c r="B259" s="312"/>
      <c r="C259" s="421" t="s">
        <v>752</v>
      </c>
      <c r="D259" s="418" t="s">
        <v>42</v>
      </c>
      <c r="E259" s="84" t="s">
        <v>9</v>
      </c>
      <c r="F259" s="420">
        <v>859</v>
      </c>
    </row>
    <row r="260" spans="1:8" ht="51.75" customHeight="1">
      <c r="A260" s="235">
        <v>132</v>
      </c>
      <c r="B260" s="312"/>
      <c r="C260" s="421" t="s">
        <v>753</v>
      </c>
      <c r="D260" s="418" t="s">
        <v>23</v>
      </c>
      <c r="E260" s="84" t="s">
        <v>9</v>
      </c>
      <c r="F260" s="420">
        <v>0.85299999999999998</v>
      </c>
    </row>
    <row r="261" spans="1:8" ht="35.25" customHeight="1">
      <c r="A261" s="235">
        <v>133</v>
      </c>
      <c r="B261" s="312"/>
      <c r="C261" s="421" t="s">
        <v>754</v>
      </c>
      <c r="D261" s="418" t="s">
        <v>750</v>
      </c>
      <c r="E261" s="84" t="s">
        <v>9</v>
      </c>
      <c r="F261" s="420">
        <v>1</v>
      </c>
    </row>
    <row r="262" spans="1:8" ht="47.25" customHeight="1">
      <c r="A262" s="235">
        <v>134</v>
      </c>
      <c r="B262" s="312"/>
      <c r="C262" s="421" t="s">
        <v>755</v>
      </c>
      <c r="D262" s="418" t="s">
        <v>750</v>
      </c>
      <c r="E262" s="84" t="s">
        <v>9</v>
      </c>
      <c r="F262" s="420">
        <v>23</v>
      </c>
    </row>
    <row r="263" spans="1:8" ht="35.25" customHeight="1">
      <c r="A263" s="235">
        <v>135</v>
      </c>
      <c r="B263" s="312"/>
      <c r="C263" s="421" t="s">
        <v>756</v>
      </c>
      <c r="D263" s="418" t="s">
        <v>723</v>
      </c>
      <c r="E263" s="84" t="s">
        <v>9</v>
      </c>
      <c r="F263" s="420">
        <v>1</v>
      </c>
    </row>
    <row r="264" spans="1:8" ht="36" customHeight="1">
      <c r="A264" s="235">
        <v>136</v>
      </c>
      <c r="B264" s="312"/>
      <c r="C264" s="421" t="s">
        <v>757</v>
      </c>
      <c r="D264" s="418" t="s">
        <v>723</v>
      </c>
      <c r="E264" s="84" t="s">
        <v>9</v>
      </c>
      <c r="F264" s="420">
        <v>23</v>
      </c>
    </row>
    <row r="265" spans="1:8" ht="36" customHeight="1">
      <c r="A265" s="235">
        <v>137</v>
      </c>
      <c r="B265" s="312"/>
      <c r="C265" s="421" t="s">
        <v>758</v>
      </c>
      <c r="D265" s="418" t="s">
        <v>723</v>
      </c>
      <c r="E265" s="84" t="s">
        <v>9</v>
      </c>
      <c r="F265" s="420">
        <v>1</v>
      </c>
    </row>
    <row r="266" spans="1:8" ht="33" customHeight="1">
      <c r="A266" s="235">
        <v>138</v>
      </c>
      <c r="B266" s="312"/>
      <c r="C266" s="421" t="s">
        <v>759</v>
      </c>
      <c r="D266" s="418" t="s">
        <v>723</v>
      </c>
      <c r="E266" s="84" t="s">
        <v>9</v>
      </c>
      <c r="F266" s="420">
        <v>23</v>
      </c>
    </row>
    <row r="267" spans="1:8" ht="33.75" customHeight="1">
      <c r="A267" s="235">
        <v>139</v>
      </c>
      <c r="B267" s="312"/>
      <c r="C267" s="421" t="s">
        <v>760</v>
      </c>
      <c r="D267" s="418" t="s">
        <v>723</v>
      </c>
      <c r="E267" s="84" t="s">
        <v>9</v>
      </c>
      <c r="F267" s="420">
        <v>1</v>
      </c>
    </row>
    <row r="268" spans="1:8" ht="35.25" customHeight="1">
      <c r="A268" s="235">
        <v>140</v>
      </c>
      <c r="B268" s="312"/>
      <c r="C268" s="421" t="s">
        <v>761</v>
      </c>
      <c r="D268" s="418" t="s">
        <v>723</v>
      </c>
      <c r="E268" s="84" t="s">
        <v>9</v>
      </c>
      <c r="F268" s="420">
        <v>23</v>
      </c>
    </row>
    <row r="269" spans="1:8" ht="23.25" customHeight="1">
      <c r="A269" s="235">
        <v>141</v>
      </c>
      <c r="B269" s="312"/>
      <c r="C269" s="421" t="s">
        <v>762</v>
      </c>
      <c r="D269" s="418" t="s">
        <v>727</v>
      </c>
      <c r="E269" s="84" t="s">
        <v>9</v>
      </c>
      <c r="F269" s="420">
        <v>1</v>
      </c>
    </row>
    <row r="270" spans="1:8" ht="24" customHeight="1">
      <c r="A270" s="235">
        <v>142</v>
      </c>
      <c r="B270" s="312"/>
      <c r="C270" s="421" t="s">
        <v>696</v>
      </c>
      <c r="D270" s="418" t="s">
        <v>129</v>
      </c>
      <c r="E270" s="84" t="s">
        <v>9</v>
      </c>
      <c r="F270" s="420">
        <v>1</v>
      </c>
    </row>
    <row r="271" spans="1:8" ht="24" customHeight="1">
      <c r="A271" s="238" t="s">
        <v>368</v>
      </c>
      <c r="B271" s="9"/>
      <c r="C271" s="490" t="s">
        <v>764</v>
      </c>
      <c r="D271" s="491"/>
      <c r="E271" s="491"/>
      <c r="F271" s="492"/>
      <c r="G271" s="390"/>
      <c r="H271" s="391"/>
    </row>
    <row r="272" spans="1:8" ht="47.25" customHeight="1">
      <c r="A272" s="235">
        <v>143</v>
      </c>
      <c r="B272" s="312"/>
      <c r="C272" s="421" t="s">
        <v>765</v>
      </c>
      <c r="D272" s="418" t="s">
        <v>23</v>
      </c>
      <c r="E272" s="84" t="s">
        <v>9</v>
      </c>
      <c r="F272" s="420">
        <v>0.188</v>
      </c>
    </row>
    <row r="273" spans="1:6" ht="36.75" customHeight="1">
      <c r="A273" s="235">
        <v>144</v>
      </c>
      <c r="B273" s="312"/>
      <c r="C273" s="421" t="s">
        <v>766</v>
      </c>
      <c r="D273" s="418" t="s">
        <v>689</v>
      </c>
      <c r="E273" s="84" t="s">
        <v>9</v>
      </c>
      <c r="F273" s="420">
        <v>1</v>
      </c>
    </row>
    <row r="274" spans="1:6" ht="35.25" customHeight="1">
      <c r="A274" s="235">
        <v>145</v>
      </c>
      <c r="B274" s="312"/>
      <c r="C274" s="421" t="s">
        <v>767</v>
      </c>
      <c r="D274" s="418" t="s">
        <v>689</v>
      </c>
      <c r="E274" s="84" t="s">
        <v>9</v>
      </c>
      <c r="F274" s="420">
        <v>2</v>
      </c>
    </row>
    <row r="275" spans="1:6" ht="25.5" customHeight="1">
      <c r="A275" s="235">
        <v>146</v>
      </c>
      <c r="B275" s="312"/>
      <c r="C275" s="421" t="s">
        <v>768</v>
      </c>
      <c r="D275" s="418" t="s">
        <v>689</v>
      </c>
      <c r="E275" s="84" t="s">
        <v>9</v>
      </c>
      <c r="F275" s="420">
        <v>6</v>
      </c>
    </row>
    <row r="276" spans="1:6" ht="60.75" customHeight="1">
      <c r="A276" s="235">
        <v>147</v>
      </c>
      <c r="B276" s="312"/>
      <c r="C276" s="421" t="s">
        <v>769</v>
      </c>
      <c r="D276" s="418" t="s">
        <v>42</v>
      </c>
      <c r="E276" s="84" t="s">
        <v>9</v>
      </c>
      <c r="F276" s="420">
        <v>116</v>
      </c>
    </row>
    <row r="277" spans="1:6" ht="61.5" customHeight="1">
      <c r="A277" s="235">
        <v>148</v>
      </c>
      <c r="B277" s="312"/>
      <c r="C277" s="421" t="s">
        <v>770</v>
      </c>
      <c r="D277" s="418" t="s">
        <v>42</v>
      </c>
      <c r="E277" s="84" t="s">
        <v>9</v>
      </c>
      <c r="F277" s="420">
        <v>48</v>
      </c>
    </row>
    <row r="278" spans="1:6" ht="46.5" customHeight="1">
      <c r="A278" s="235">
        <v>149</v>
      </c>
      <c r="B278" s="312"/>
      <c r="C278" s="421" t="s">
        <v>771</v>
      </c>
      <c r="D278" s="418" t="s">
        <v>42</v>
      </c>
      <c r="E278" s="84" t="s">
        <v>9</v>
      </c>
      <c r="F278" s="420">
        <v>20</v>
      </c>
    </row>
    <row r="279" spans="1:6" ht="25.5" customHeight="1">
      <c r="A279" s="235">
        <v>150</v>
      </c>
      <c r="B279" s="312"/>
      <c r="C279" s="421" t="s">
        <v>772</v>
      </c>
      <c r="D279" s="418" t="s">
        <v>42</v>
      </c>
      <c r="E279" s="84" t="s">
        <v>9</v>
      </c>
      <c r="F279" s="420">
        <v>20</v>
      </c>
    </row>
    <row r="280" spans="1:6" ht="23.25" customHeight="1">
      <c r="A280" s="235">
        <v>151</v>
      </c>
      <c r="B280" s="312"/>
      <c r="C280" s="421" t="s">
        <v>773</v>
      </c>
      <c r="D280" s="418" t="s">
        <v>23</v>
      </c>
      <c r="E280" s="84" t="s">
        <v>9</v>
      </c>
      <c r="F280" s="420">
        <v>0.1</v>
      </c>
    </row>
    <row r="281" spans="1:6" ht="19.5" customHeight="1">
      <c r="A281" s="235">
        <v>152</v>
      </c>
      <c r="B281" s="312"/>
      <c r="C281" s="421" t="s">
        <v>774</v>
      </c>
      <c r="D281" s="418" t="s">
        <v>689</v>
      </c>
      <c r="E281" s="84" t="s">
        <v>9</v>
      </c>
      <c r="F281" s="420">
        <v>1</v>
      </c>
    </row>
    <row r="282" spans="1:6" ht="21" customHeight="1">
      <c r="A282" s="235">
        <v>153</v>
      </c>
      <c r="B282" s="312"/>
      <c r="C282" s="421" t="s">
        <v>775</v>
      </c>
      <c r="D282" s="418" t="s">
        <v>689</v>
      </c>
      <c r="E282" s="84" t="s">
        <v>9</v>
      </c>
      <c r="F282" s="420">
        <v>1</v>
      </c>
    </row>
    <row r="283" spans="1:6" ht="34.5" customHeight="1">
      <c r="A283" s="235">
        <v>154</v>
      </c>
      <c r="B283" s="312"/>
      <c r="C283" s="421" t="s">
        <v>776</v>
      </c>
      <c r="D283" s="418" t="s">
        <v>689</v>
      </c>
      <c r="E283" s="84" t="s">
        <v>9</v>
      </c>
      <c r="F283" s="420">
        <v>1</v>
      </c>
    </row>
    <row r="284" spans="1:6" ht="33.75" customHeight="1">
      <c r="A284" s="235">
        <v>155</v>
      </c>
      <c r="B284" s="312"/>
      <c r="C284" s="421" t="s">
        <v>777</v>
      </c>
      <c r="D284" s="418" t="s">
        <v>689</v>
      </c>
      <c r="E284" s="84" t="s">
        <v>9</v>
      </c>
      <c r="F284" s="420">
        <v>3</v>
      </c>
    </row>
    <row r="285" spans="1:6" ht="37.5" customHeight="1">
      <c r="A285" s="235">
        <v>156</v>
      </c>
      <c r="B285" s="312"/>
      <c r="C285" s="421" t="s">
        <v>778</v>
      </c>
      <c r="D285" s="418" t="s">
        <v>689</v>
      </c>
      <c r="E285" s="84" t="s">
        <v>9</v>
      </c>
      <c r="F285" s="420">
        <v>1</v>
      </c>
    </row>
    <row r="286" spans="1:6" ht="33" customHeight="1">
      <c r="A286" s="235">
        <v>157</v>
      </c>
      <c r="B286" s="312"/>
      <c r="C286" s="421" t="s">
        <v>779</v>
      </c>
      <c r="D286" s="418" t="s">
        <v>689</v>
      </c>
      <c r="E286" s="84" t="s">
        <v>9</v>
      </c>
      <c r="F286" s="420">
        <v>6</v>
      </c>
    </row>
    <row r="287" spans="1:6" ht="21.75" customHeight="1">
      <c r="A287" s="235">
        <v>158</v>
      </c>
      <c r="B287" s="312"/>
      <c r="C287" s="421" t="s">
        <v>780</v>
      </c>
      <c r="D287" s="418" t="s">
        <v>723</v>
      </c>
      <c r="E287" s="84" t="s">
        <v>9</v>
      </c>
      <c r="F287" s="420">
        <v>1</v>
      </c>
    </row>
    <row r="288" spans="1:6" ht="24" customHeight="1">
      <c r="A288" s="235">
        <v>159</v>
      </c>
      <c r="B288" s="312"/>
      <c r="C288" s="421" t="s">
        <v>762</v>
      </c>
      <c r="D288" s="418" t="s">
        <v>727</v>
      </c>
      <c r="E288" s="84" t="s">
        <v>9</v>
      </c>
      <c r="F288" s="420">
        <v>1</v>
      </c>
    </row>
    <row r="289" spans="1:8" ht="22.5" customHeight="1">
      <c r="A289" s="235">
        <v>160</v>
      </c>
      <c r="B289" s="312"/>
      <c r="C289" s="421" t="s">
        <v>696</v>
      </c>
      <c r="D289" s="418" t="s">
        <v>129</v>
      </c>
      <c r="E289" s="84" t="s">
        <v>9</v>
      </c>
      <c r="F289" s="420">
        <v>1</v>
      </c>
    </row>
    <row r="290" spans="1:8" ht="23.25" customHeight="1">
      <c r="A290" s="238" t="s">
        <v>169</v>
      </c>
      <c r="B290" s="9"/>
      <c r="C290" s="490" t="s">
        <v>782</v>
      </c>
      <c r="D290" s="491"/>
      <c r="E290" s="491"/>
      <c r="F290" s="492"/>
      <c r="G290" s="390"/>
      <c r="H290" s="391"/>
    </row>
    <row r="291" spans="1:8" ht="46.5" customHeight="1">
      <c r="A291" s="235">
        <v>161</v>
      </c>
      <c r="B291" s="312"/>
      <c r="C291" s="412" t="s">
        <v>783</v>
      </c>
      <c r="D291" s="413" t="s">
        <v>42</v>
      </c>
      <c r="E291" s="84" t="s">
        <v>9</v>
      </c>
      <c r="F291" s="415">
        <v>8</v>
      </c>
    </row>
    <row r="292" spans="1:8" ht="39" customHeight="1">
      <c r="A292" s="235">
        <v>162</v>
      </c>
      <c r="B292" s="312"/>
      <c r="C292" s="412" t="s">
        <v>725</v>
      </c>
      <c r="D292" s="413" t="s">
        <v>42</v>
      </c>
      <c r="E292" s="84" t="s">
        <v>9</v>
      </c>
      <c r="F292" s="415">
        <v>8</v>
      </c>
    </row>
    <row r="293" spans="1:8" ht="35.25" customHeight="1">
      <c r="A293" s="235">
        <v>163</v>
      </c>
      <c r="B293" s="312"/>
      <c r="C293" s="412" t="s">
        <v>784</v>
      </c>
      <c r="D293" s="413" t="s">
        <v>42</v>
      </c>
      <c r="E293" s="84" t="s">
        <v>9</v>
      </c>
      <c r="F293" s="415">
        <v>50</v>
      </c>
    </row>
    <row r="294" spans="1:8" ht="34.5" customHeight="1">
      <c r="A294" s="235">
        <v>164</v>
      </c>
      <c r="B294" s="312"/>
      <c r="C294" s="412" t="s">
        <v>785</v>
      </c>
      <c r="D294" s="413" t="s">
        <v>42</v>
      </c>
      <c r="E294" s="84" t="s">
        <v>9</v>
      </c>
      <c r="F294" s="415">
        <v>100</v>
      </c>
    </row>
    <row r="295" spans="1:8" ht="35.25" customHeight="1">
      <c r="A295" s="235">
        <v>165</v>
      </c>
      <c r="B295" s="312"/>
      <c r="C295" s="412" t="s">
        <v>725</v>
      </c>
      <c r="D295" s="413" t="s">
        <v>42</v>
      </c>
      <c r="E295" s="84" t="s">
        <v>9</v>
      </c>
      <c r="F295" s="415">
        <v>50</v>
      </c>
    </row>
    <row r="296" spans="1:8" ht="24.75" customHeight="1">
      <c r="A296" s="235">
        <v>166</v>
      </c>
      <c r="B296" s="312"/>
      <c r="C296" s="412" t="s">
        <v>786</v>
      </c>
      <c r="D296" s="413" t="s">
        <v>727</v>
      </c>
      <c r="E296" s="84" t="s">
        <v>9</v>
      </c>
      <c r="F296" s="415">
        <v>1</v>
      </c>
    </row>
    <row r="297" spans="1:8" ht="24.75" customHeight="1">
      <c r="A297" s="235">
        <v>167</v>
      </c>
      <c r="B297" s="312"/>
      <c r="C297" s="412" t="s">
        <v>787</v>
      </c>
      <c r="D297" s="413" t="s">
        <v>727</v>
      </c>
      <c r="E297" s="84" t="s">
        <v>9</v>
      </c>
      <c r="F297" s="415">
        <v>1</v>
      </c>
    </row>
    <row r="298" spans="1:8" ht="26.25" customHeight="1">
      <c r="A298" s="238" t="s">
        <v>788</v>
      </c>
      <c r="B298" s="9"/>
      <c r="C298" s="530" t="s">
        <v>790</v>
      </c>
      <c r="D298" s="531"/>
      <c r="E298" s="531"/>
      <c r="F298" s="532"/>
      <c r="G298" s="390"/>
      <c r="H298" s="391"/>
    </row>
    <row r="299" spans="1:8" ht="43.5" customHeight="1">
      <c r="A299" s="235">
        <v>168</v>
      </c>
      <c r="B299" s="312"/>
      <c r="C299" s="412" t="s">
        <v>783</v>
      </c>
      <c r="D299" s="413" t="s">
        <v>42</v>
      </c>
      <c r="E299" s="84" t="s">
        <v>9</v>
      </c>
      <c r="F299" s="415">
        <v>7</v>
      </c>
    </row>
    <row r="300" spans="1:8" ht="35.25" customHeight="1">
      <c r="A300" s="235">
        <v>169</v>
      </c>
      <c r="B300" s="312"/>
      <c r="C300" s="412" t="s">
        <v>725</v>
      </c>
      <c r="D300" s="413" t="s">
        <v>42</v>
      </c>
      <c r="E300" s="84" t="s">
        <v>9</v>
      </c>
      <c r="F300" s="415">
        <v>7</v>
      </c>
    </row>
    <row r="301" spans="1:8" ht="37.5" customHeight="1">
      <c r="A301" s="235">
        <v>170</v>
      </c>
      <c r="B301" s="312"/>
      <c r="C301" s="412" t="s">
        <v>784</v>
      </c>
      <c r="D301" s="413" t="s">
        <v>42</v>
      </c>
      <c r="E301" s="84" t="s">
        <v>9</v>
      </c>
      <c r="F301" s="415">
        <v>44</v>
      </c>
    </row>
    <row r="302" spans="1:8" ht="33" customHeight="1">
      <c r="A302" s="235">
        <v>171</v>
      </c>
      <c r="B302" s="312"/>
      <c r="C302" s="412" t="s">
        <v>791</v>
      </c>
      <c r="D302" s="413" t="s">
        <v>42</v>
      </c>
      <c r="E302" s="84" t="s">
        <v>9</v>
      </c>
      <c r="F302" s="415">
        <v>44</v>
      </c>
    </row>
    <row r="303" spans="1:8" ht="37.5" customHeight="1">
      <c r="A303" s="235">
        <v>172</v>
      </c>
      <c r="B303" s="312"/>
      <c r="C303" s="412" t="s">
        <v>725</v>
      </c>
      <c r="D303" s="413" t="s">
        <v>42</v>
      </c>
      <c r="E303" s="84" t="s">
        <v>9</v>
      </c>
      <c r="F303" s="415">
        <v>44</v>
      </c>
    </row>
    <row r="304" spans="1:8" ht="23.25" customHeight="1">
      <c r="A304" s="235">
        <v>173</v>
      </c>
      <c r="B304" s="382"/>
      <c r="C304" s="435" t="s">
        <v>792</v>
      </c>
      <c r="D304" s="436" t="s">
        <v>727</v>
      </c>
      <c r="E304" s="429" t="s">
        <v>9</v>
      </c>
      <c r="F304" s="437">
        <v>1</v>
      </c>
    </row>
    <row r="305" spans="1:8" ht="30.75" customHeight="1">
      <c r="A305" s="237" t="s">
        <v>360</v>
      </c>
      <c r="B305" s="539" t="s">
        <v>835</v>
      </c>
      <c r="C305" s="480"/>
      <c r="D305" s="480"/>
      <c r="E305" s="480"/>
      <c r="F305" s="540"/>
      <c r="G305" s="389"/>
      <c r="H305" s="389"/>
    </row>
    <row r="306" spans="1:8" ht="34.5" customHeight="1">
      <c r="A306" s="238" t="s">
        <v>797</v>
      </c>
      <c r="B306" s="331" t="s">
        <v>794</v>
      </c>
      <c r="C306" s="270" t="s">
        <v>843</v>
      </c>
      <c r="D306" s="174"/>
      <c r="E306" s="174"/>
      <c r="F306" s="289"/>
      <c r="G306" s="389"/>
      <c r="H306" s="389"/>
    </row>
    <row r="307" spans="1:8" ht="37.5" customHeight="1">
      <c r="A307" s="238"/>
      <c r="B307" s="331" t="s">
        <v>794</v>
      </c>
      <c r="C307" s="270" t="s">
        <v>808</v>
      </c>
      <c r="D307" s="174"/>
      <c r="E307" s="174"/>
      <c r="F307" s="289"/>
      <c r="G307" s="389"/>
      <c r="H307" s="389"/>
    </row>
    <row r="308" spans="1:8" ht="64.5" customHeight="1">
      <c r="A308" s="235">
        <v>174</v>
      </c>
      <c r="B308" s="374"/>
      <c r="C308" s="381" t="s">
        <v>810</v>
      </c>
      <c r="D308" s="323" t="s">
        <v>14</v>
      </c>
      <c r="E308" s="377" t="s">
        <v>9</v>
      </c>
      <c r="F308" s="378">
        <v>1</v>
      </c>
      <c r="G308" s="389"/>
      <c r="H308" s="389"/>
    </row>
    <row r="309" spans="1:8" ht="36" customHeight="1">
      <c r="A309" s="524"/>
      <c r="B309" s="527"/>
      <c r="C309" s="376" t="s">
        <v>812</v>
      </c>
      <c r="D309" s="323" t="s">
        <v>9</v>
      </c>
      <c r="E309" s="377" t="s">
        <v>9</v>
      </c>
      <c r="F309" s="378" t="s">
        <v>9</v>
      </c>
      <c r="G309" s="389"/>
      <c r="H309" s="389"/>
    </row>
    <row r="310" spans="1:8" ht="33.75" customHeight="1">
      <c r="A310" s="525"/>
      <c r="B310" s="528"/>
      <c r="C310" s="379" t="s">
        <v>813</v>
      </c>
      <c r="D310" s="323" t="s">
        <v>9</v>
      </c>
      <c r="E310" s="377" t="s">
        <v>9</v>
      </c>
      <c r="F310" s="378" t="s">
        <v>9</v>
      </c>
      <c r="G310" s="389"/>
      <c r="H310" s="389"/>
    </row>
    <row r="311" spans="1:8" ht="33.75" customHeight="1">
      <c r="A311" s="525"/>
      <c r="B311" s="528"/>
      <c r="C311" s="379" t="s">
        <v>814</v>
      </c>
      <c r="D311" s="323" t="s">
        <v>9</v>
      </c>
      <c r="E311" s="377" t="s">
        <v>9</v>
      </c>
      <c r="F311" s="378" t="s">
        <v>9</v>
      </c>
      <c r="G311" s="389"/>
      <c r="H311" s="389"/>
    </row>
    <row r="312" spans="1:8" ht="33.75" customHeight="1">
      <c r="A312" s="525"/>
      <c r="B312" s="528"/>
      <c r="C312" s="379" t="s">
        <v>815</v>
      </c>
      <c r="D312" s="323" t="s">
        <v>9</v>
      </c>
      <c r="E312" s="377" t="s">
        <v>9</v>
      </c>
      <c r="F312" s="378" t="s">
        <v>9</v>
      </c>
      <c r="G312" s="389"/>
      <c r="H312" s="389"/>
    </row>
    <row r="313" spans="1:8" ht="33.75" customHeight="1">
      <c r="A313" s="525"/>
      <c r="B313" s="528"/>
      <c r="C313" s="379" t="s">
        <v>816</v>
      </c>
      <c r="D313" s="323" t="s">
        <v>9</v>
      </c>
      <c r="E313" s="377" t="s">
        <v>9</v>
      </c>
      <c r="F313" s="378" t="s">
        <v>9</v>
      </c>
      <c r="G313" s="389"/>
      <c r="H313" s="389"/>
    </row>
    <row r="314" spans="1:8" ht="33.75" customHeight="1">
      <c r="A314" s="526"/>
      <c r="B314" s="529"/>
      <c r="C314" s="379" t="s">
        <v>817</v>
      </c>
      <c r="D314" s="323" t="s">
        <v>9</v>
      </c>
      <c r="E314" s="377" t="s">
        <v>9</v>
      </c>
      <c r="F314" s="378" t="s">
        <v>9</v>
      </c>
      <c r="G314" s="389"/>
      <c r="H314" s="389"/>
    </row>
    <row r="315" spans="1:8" ht="32.25" customHeight="1">
      <c r="A315" s="238"/>
      <c r="B315" s="331" t="s">
        <v>794</v>
      </c>
      <c r="C315" s="270" t="s">
        <v>809</v>
      </c>
      <c r="D315" s="174"/>
      <c r="E315" s="174"/>
      <c r="F315" s="289"/>
      <c r="G315" s="391"/>
      <c r="H315" s="391"/>
    </row>
    <row r="316" spans="1:8" ht="57.75" customHeight="1" thickBot="1">
      <c r="A316" s="306">
        <v>175</v>
      </c>
      <c r="B316" s="363"/>
      <c r="C316" s="438" t="s">
        <v>818</v>
      </c>
      <c r="D316" s="439" t="s">
        <v>14</v>
      </c>
      <c r="E316" s="440" t="s">
        <v>9</v>
      </c>
      <c r="F316" s="441">
        <v>1</v>
      </c>
      <c r="G316" s="392"/>
      <c r="H316" s="392"/>
    </row>
    <row r="317" spans="1:8" ht="40.5" customHeight="1">
      <c r="A317" s="238" t="s">
        <v>829</v>
      </c>
      <c r="B317" s="331" t="s">
        <v>794</v>
      </c>
      <c r="C317" s="270" t="s">
        <v>842</v>
      </c>
      <c r="D317" s="174"/>
      <c r="E317" s="174"/>
      <c r="F317" s="289"/>
    </row>
    <row r="318" spans="1:8" ht="60" customHeight="1">
      <c r="A318" s="235">
        <v>176</v>
      </c>
      <c r="B318" s="164"/>
      <c r="C318" s="381" t="s">
        <v>811</v>
      </c>
      <c r="D318" s="323" t="s">
        <v>14</v>
      </c>
      <c r="E318" s="431" t="s">
        <v>9</v>
      </c>
      <c r="F318" s="431">
        <v>1</v>
      </c>
    </row>
    <row r="319" spans="1:8" ht="35.25" customHeight="1">
      <c r="A319" s="536"/>
      <c r="B319" s="536"/>
      <c r="C319" s="379" t="s">
        <v>819</v>
      </c>
      <c r="D319" s="323" t="s">
        <v>9</v>
      </c>
      <c r="E319" s="377" t="s">
        <v>9</v>
      </c>
      <c r="F319" s="378" t="s">
        <v>9</v>
      </c>
    </row>
    <row r="320" spans="1:8" ht="35.25" customHeight="1">
      <c r="A320" s="537"/>
      <c r="B320" s="537"/>
      <c r="C320" s="379" t="s">
        <v>820</v>
      </c>
      <c r="D320" s="323" t="s">
        <v>9</v>
      </c>
      <c r="E320" s="377" t="s">
        <v>9</v>
      </c>
      <c r="F320" s="378" t="s">
        <v>9</v>
      </c>
    </row>
    <row r="321" spans="1:6" ht="35.25" customHeight="1">
      <c r="A321" s="538"/>
      <c r="B321" s="538"/>
      <c r="C321" s="379" t="s">
        <v>821</v>
      </c>
      <c r="D321" s="323" t="s">
        <v>9</v>
      </c>
      <c r="E321" s="377" t="s">
        <v>9</v>
      </c>
      <c r="F321" s="378" t="s">
        <v>9</v>
      </c>
    </row>
    <row r="322" spans="1:6" ht="36.75" customHeight="1">
      <c r="A322" s="235">
        <v>177</v>
      </c>
      <c r="B322" s="164"/>
      <c r="C322" s="316" t="s">
        <v>823</v>
      </c>
      <c r="D322" s="375" t="s">
        <v>26</v>
      </c>
      <c r="E322" s="375" t="s">
        <v>9</v>
      </c>
      <c r="F322" s="375">
        <v>6</v>
      </c>
    </row>
    <row r="323" spans="1:6" ht="39.75" customHeight="1">
      <c r="A323" s="536"/>
      <c r="B323" s="536"/>
      <c r="C323" s="379" t="s">
        <v>822</v>
      </c>
      <c r="D323" s="323" t="s">
        <v>9</v>
      </c>
      <c r="E323" s="377" t="s">
        <v>9</v>
      </c>
      <c r="F323" s="378" t="s">
        <v>9</v>
      </c>
    </row>
    <row r="324" spans="1:6" ht="37.5" customHeight="1">
      <c r="A324" s="537"/>
      <c r="B324" s="537"/>
      <c r="C324" s="379" t="s">
        <v>824</v>
      </c>
      <c r="D324" s="323" t="s">
        <v>9</v>
      </c>
      <c r="E324" s="377" t="s">
        <v>9</v>
      </c>
      <c r="F324" s="378" t="s">
        <v>9</v>
      </c>
    </row>
    <row r="325" spans="1:6" ht="42" customHeight="1">
      <c r="A325" s="538"/>
      <c r="B325" s="538"/>
      <c r="C325" s="381" t="s">
        <v>825</v>
      </c>
      <c r="D325" s="323" t="s">
        <v>9</v>
      </c>
      <c r="E325" s="377" t="s">
        <v>9</v>
      </c>
      <c r="F325" s="378" t="s">
        <v>9</v>
      </c>
    </row>
    <row r="326" spans="1:6" ht="42" customHeight="1">
      <c r="A326" s="380"/>
      <c r="B326" s="380"/>
      <c r="C326" s="381" t="s">
        <v>826</v>
      </c>
      <c r="D326" s="323" t="s">
        <v>9</v>
      </c>
      <c r="E326" s="377" t="s">
        <v>9</v>
      </c>
      <c r="F326" s="378" t="s">
        <v>9</v>
      </c>
    </row>
    <row r="327" spans="1:6" ht="42" customHeight="1">
      <c r="A327" s="380"/>
      <c r="B327" s="380"/>
      <c r="C327" s="381" t="s">
        <v>827</v>
      </c>
      <c r="D327" s="323" t="s">
        <v>9</v>
      </c>
      <c r="E327" s="377" t="s">
        <v>9</v>
      </c>
      <c r="F327" s="378" t="s">
        <v>9</v>
      </c>
    </row>
    <row r="328" spans="1:6" ht="31.5" customHeight="1">
      <c r="A328" s="164"/>
      <c r="B328" s="164"/>
      <c r="C328" s="381" t="s">
        <v>828</v>
      </c>
      <c r="D328" s="323" t="s">
        <v>9</v>
      </c>
      <c r="E328" s="377" t="s">
        <v>9</v>
      </c>
      <c r="F328" s="378" t="s">
        <v>9</v>
      </c>
    </row>
    <row r="329" spans="1:6">
      <c r="F329" s="393"/>
    </row>
    <row r="330" spans="1:6">
      <c r="F330" s="393"/>
    </row>
    <row r="331" spans="1:6">
      <c r="F331" s="393"/>
    </row>
    <row r="332" spans="1:6">
      <c r="F332" s="393"/>
    </row>
    <row r="333" spans="1:6">
      <c r="F333" s="393"/>
    </row>
    <row r="334" spans="1:6">
      <c r="F334" s="393"/>
    </row>
    <row r="335" spans="1:6">
      <c r="F335" s="393"/>
    </row>
    <row r="336" spans="1:6">
      <c r="F336" s="393"/>
    </row>
    <row r="337" spans="6:6">
      <c r="F337" s="393"/>
    </row>
    <row r="338" spans="6:6">
      <c r="F338" s="393"/>
    </row>
    <row r="339" spans="6:6">
      <c r="F339" s="393"/>
    </row>
    <row r="340" spans="6:6">
      <c r="F340" s="393"/>
    </row>
    <row r="341" spans="6:6">
      <c r="F341" s="393"/>
    </row>
    <row r="342" spans="6:6">
      <c r="F342" s="393"/>
    </row>
    <row r="343" spans="6:6">
      <c r="F343" s="393"/>
    </row>
    <row r="344" spans="6:6">
      <c r="F344" s="393"/>
    </row>
    <row r="345" spans="6:6">
      <c r="F345" s="393"/>
    </row>
    <row r="346" spans="6:6">
      <c r="F346" s="393"/>
    </row>
    <row r="347" spans="6:6">
      <c r="F347" s="393"/>
    </row>
    <row r="348" spans="6:6">
      <c r="F348" s="393"/>
    </row>
    <row r="349" spans="6:6">
      <c r="F349" s="393"/>
    </row>
    <row r="350" spans="6:6">
      <c r="F350" s="393"/>
    </row>
    <row r="351" spans="6:6">
      <c r="F351" s="393"/>
    </row>
    <row r="352" spans="6:6">
      <c r="F352" s="393"/>
    </row>
    <row r="353" spans="6:6">
      <c r="F353" s="393"/>
    </row>
    <row r="354" spans="6:6">
      <c r="F354" s="393"/>
    </row>
    <row r="355" spans="6:6">
      <c r="F355" s="393"/>
    </row>
    <row r="356" spans="6:6">
      <c r="F356" s="393"/>
    </row>
    <row r="357" spans="6:6">
      <c r="F357" s="393"/>
    </row>
    <row r="358" spans="6:6">
      <c r="F358" s="393"/>
    </row>
    <row r="359" spans="6:6">
      <c r="F359" s="393"/>
    </row>
    <row r="360" spans="6:6">
      <c r="F360" s="393"/>
    </row>
    <row r="361" spans="6:6">
      <c r="F361" s="393"/>
    </row>
  </sheetData>
  <mergeCells count="32">
    <mergeCell ref="A319:A321"/>
    <mergeCell ref="B319:B321"/>
    <mergeCell ref="A323:A325"/>
    <mergeCell ref="B323:B325"/>
    <mergeCell ref="C290:F290"/>
    <mergeCell ref="C298:F298"/>
    <mergeCell ref="B305:F305"/>
    <mergeCell ref="C271:F271"/>
    <mergeCell ref="A309:A314"/>
    <mergeCell ref="B309:B314"/>
    <mergeCell ref="C114:F114"/>
    <mergeCell ref="C215:F215"/>
    <mergeCell ref="C246:F246"/>
    <mergeCell ref="B185:F185"/>
    <mergeCell ref="C186:F186"/>
    <mergeCell ref="C198:F198"/>
    <mergeCell ref="C236:F236"/>
    <mergeCell ref="C173:F173"/>
    <mergeCell ref="C161:F161"/>
    <mergeCell ref="C131:F131"/>
    <mergeCell ref="B235:F235"/>
    <mergeCell ref="C120:F120"/>
    <mergeCell ref="C91:F91"/>
    <mergeCell ref="C117:F117"/>
    <mergeCell ref="C109:F109"/>
    <mergeCell ref="A1:F1"/>
    <mergeCell ref="C59:F59"/>
    <mergeCell ref="C17:F17"/>
    <mergeCell ref="B4:F4"/>
    <mergeCell ref="C5:F5"/>
    <mergeCell ref="B12:F12"/>
    <mergeCell ref="A2:F2"/>
  </mergeCells>
  <phoneticPr fontId="50" type="noConversion"/>
  <pageMargins left="0.70866141732283472" right="0.70866141732283472" top="0.74803149606299213" bottom="0.74803149606299213" header="0.31496062992125984" footer="0.31496062992125984"/>
  <pageSetup paperSize="9" scale="65" fitToHeight="10" orientation="portrait" r:id="rId1"/>
  <rowBreaks count="10" manualBreakCount="10">
    <brk id="11" max="5" man="1"/>
    <brk id="27" max="5" man="1"/>
    <brk id="50" max="5" man="1"/>
    <brk id="88" max="5" man="1"/>
    <brk id="96" max="5" man="1"/>
    <brk id="104" max="5" man="1"/>
    <brk id="118" max="5" man="1"/>
    <brk id="123" max="5" man="1"/>
    <brk id="134" max="5" man="1"/>
    <brk id="136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5:W18"/>
  <sheetViews>
    <sheetView workbookViewId="0">
      <selection activeCell="L10" sqref="L10"/>
    </sheetView>
  </sheetViews>
  <sheetFormatPr defaultRowHeight="15"/>
  <cols>
    <col min="1" max="1" width="18.140625" customWidth="1"/>
  </cols>
  <sheetData>
    <row r="5" spans="2:23" ht="100.5" customHeight="1">
      <c r="B5" s="543" t="s">
        <v>248</v>
      </c>
      <c r="C5" s="543"/>
      <c r="D5" s="543"/>
      <c r="E5" s="543"/>
      <c r="F5" s="543"/>
      <c r="G5" s="543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2:23" ht="30">
      <c r="B6" s="542"/>
      <c r="C6" s="542"/>
      <c r="D6" s="542"/>
      <c r="E6" s="542"/>
      <c r="F6" s="542"/>
      <c r="G6" s="542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2:23" ht="30">
      <c r="B7" s="542"/>
      <c r="C7" s="542"/>
      <c r="D7" s="542"/>
      <c r="E7" s="542"/>
      <c r="F7" s="542"/>
      <c r="G7" s="542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</row>
    <row r="8" spans="2:23" ht="30">
      <c r="B8" s="542"/>
      <c r="C8" s="542"/>
      <c r="D8" s="542"/>
      <c r="E8" s="542"/>
      <c r="F8" s="542"/>
      <c r="G8" s="542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</row>
    <row r="9" spans="2:23" ht="30">
      <c r="B9" s="542"/>
      <c r="C9" s="542"/>
      <c r="D9" s="542"/>
      <c r="E9" s="542"/>
      <c r="F9" s="542"/>
      <c r="G9" s="542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2:23" ht="30">
      <c r="B10" s="542"/>
      <c r="C10" s="542"/>
      <c r="D10" s="542"/>
      <c r="E10" s="542"/>
      <c r="F10" s="542"/>
      <c r="G10" s="542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</row>
    <row r="11" spans="2:23" ht="30">
      <c r="B11" s="541"/>
      <c r="C11" s="541"/>
      <c r="D11" s="541"/>
      <c r="E11" s="541"/>
      <c r="F11" s="541"/>
      <c r="G11" s="541"/>
    </row>
    <row r="12" spans="2:23" ht="30">
      <c r="B12" s="541"/>
      <c r="C12" s="541"/>
      <c r="D12" s="541"/>
      <c r="E12" s="541"/>
      <c r="F12" s="541"/>
      <c r="G12" s="541"/>
    </row>
    <row r="13" spans="2:23" ht="30">
      <c r="B13" s="541"/>
      <c r="C13" s="541"/>
      <c r="D13" s="541"/>
      <c r="E13" s="541"/>
      <c r="F13" s="541"/>
      <c r="G13" s="541"/>
    </row>
    <row r="14" spans="2:23" ht="30">
      <c r="B14" s="541"/>
      <c r="C14" s="541"/>
      <c r="D14" s="541"/>
      <c r="E14" s="541"/>
      <c r="F14" s="541"/>
      <c r="G14" s="541"/>
    </row>
    <row r="15" spans="2:23" ht="30">
      <c r="B15" s="541"/>
      <c r="C15" s="541"/>
      <c r="D15" s="541"/>
      <c r="E15" s="541"/>
      <c r="F15" s="541"/>
      <c r="G15" s="541"/>
    </row>
    <row r="16" spans="2:23" ht="30">
      <c r="B16" s="541"/>
      <c r="C16" s="541"/>
      <c r="D16" s="541"/>
      <c r="E16" s="541"/>
      <c r="F16" s="541"/>
      <c r="G16" s="541"/>
    </row>
    <row r="17" spans="2:7" ht="30">
      <c r="B17" s="541"/>
      <c r="C17" s="541"/>
      <c r="D17" s="541"/>
      <c r="E17" s="541"/>
      <c r="F17" s="541"/>
      <c r="G17" s="541"/>
    </row>
    <row r="18" spans="2:7" ht="30">
      <c r="B18" s="541"/>
      <c r="C18" s="541"/>
      <c r="D18" s="541"/>
      <c r="E18" s="541"/>
      <c r="F18" s="541"/>
      <c r="G18" s="541"/>
    </row>
  </sheetData>
  <mergeCells count="14">
    <mergeCell ref="B10:G10"/>
    <mergeCell ref="B5:G5"/>
    <mergeCell ref="B6:G6"/>
    <mergeCell ref="B7:G7"/>
    <mergeCell ref="B8:G8"/>
    <mergeCell ref="B9:G9"/>
    <mergeCell ref="B17:G17"/>
    <mergeCell ref="B18:G18"/>
    <mergeCell ref="B11:G11"/>
    <mergeCell ref="B12:G12"/>
    <mergeCell ref="B13:G13"/>
    <mergeCell ref="B14:G14"/>
    <mergeCell ref="B15:G15"/>
    <mergeCell ref="B16:G1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T76"/>
  <sheetViews>
    <sheetView topLeftCell="A3" zoomScale="85" zoomScaleNormal="85" workbookViewId="0">
      <pane ySplit="3" topLeftCell="A69" activePane="bottomLeft" state="frozen"/>
      <selection activeCell="A3" sqref="A3"/>
      <selection pane="bottomLeft" activeCell="AA72" sqref="AA71:AA72"/>
    </sheetView>
  </sheetViews>
  <sheetFormatPr defaultRowHeight="12.75"/>
  <cols>
    <col min="1" max="2" width="12.42578125" style="177" customWidth="1"/>
    <col min="3" max="3" width="3.42578125" style="177" customWidth="1"/>
    <col min="4" max="5" width="6.5703125" style="177" bestFit="1" customWidth="1"/>
    <col min="6" max="6" width="9.140625" style="177" bestFit="1" customWidth="1"/>
    <col min="7" max="7" width="14.28515625" style="177" customWidth="1"/>
    <col min="8" max="8" width="6.140625" style="177" bestFit="1" customWidth="1"/>
    <col min="9" max="9" width="7.140625" style="177" bestFit="1" customWidth="1"/>
    <col min="10" max="10" width="8.85546875" style="177" customWidth="1"/>
    <col min="11" max="11" width="8.28515625" style="177" customWidth="1"/>
    <col min="12" max="12" width="9.28515625" style="177" customWidth="1"/>
    <col min="13" max="13" width="10.5703125" style="177" customWidth="1"/>
    <col min="14" max="18" width="10" style="177" customWidth="1"/>
    <col min="19" max="19" width="9.140625" style="177" customWidth="1"/>
    <col min="20" max="20" width="27.28515625" style="177" bestFit="1" customWidth="1"/>
    <col min="21" max="16384" width="9.140625" style="177"/>
  </cols>
  <sheetData>
    <row r="2" spans="1:20">
      <c r="T2" s="178"/>
    </row>
    <row r="3" spans="1:20" ht="29.25" customHeight="1">
      <c r="A3" s="117" t="s">
        <v>294</v>
      </c>
      <c r="B3" s="117"/>
      <c r="C3" s="117"/>
      <c r="D3" s="117"/>
      <c r="E3" s="117"/>
      <c r="F3" s="117"/>
      <c r="G3" s="117"/>
      <c r="H3" s="117"/>
      <c r="I3" s="185"/>
      <c r="J3" s="117"/>
      <c r="K3" s="117"/>
      <c r="L3" s="552" t="s">
        <v>393</v>
      </c>
      <c r="M3" s="553"/>
      <c r="N3" s="553"/>
      <c r="O3" s="554"/>
      <c r="P3" s="552" t="s">
        <v>394</v>
      </c>
      <c r="Q3" s="553"/>
      <c r="R3" s="553"/>
      <c r="S3" s="554"/>
    </row>
    <row r="4" spans="1:20" ht="15.75">
      <c r="A4" s="550"/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M4" s="550"/>
      <c r="N4" s="550"/>
      <c r="O4" s="550"/>
      <c r="P4" s="550"/>
      <c r="Q4" s="550"/>
      <c r="R4" s="550"/>
      <c r="S4" s="550"/>
      <c r="T4" s="551"/>
    </row>
    <row r="5" spans="1:20" s="10" customFormat="1" ht="285.75" customHeight="1">
      <c r="A5" s="182" t="s">
        <v>140</v>
      </c>
      <c r="B5" s="182" t="s">
        <v>261</v>
      </c>
      <c r="C5" s="182" t="s">
        <v>266</v>
      </c>
      <c r="D5" s="182" t="s">
        <v>262</v>
      </c>
      <c r="E5" s="182" t="s">
        <v>421</v>
      </c>
      <c r="F5" s="182" t="s">
        <v>265</v>
      </c>
      <c r="G5" s="183" t="s">
        <v>388</v>
      </c>
      <c r="H5" s="182" t="s">
        <v>263</v>
      </c>
      <c r="I5" s="184" t="s">
        <v>264</v>
      </c>
      <c r="J5" s="184" t="s">
        <v>430</v>
      </c>
      <c r="K5" s="184" t="s">
        <v>629</v>
      </c>
      <c r="L5" s="184" t="s">
        <v>141</v>
      </c>
      <c r="M5" s="184" t="s">
        <v>390</v>
      </c>
      <c r="N5" s="184" t="s">
        <v>391</v>
      </c>
      <c r="O5" s="184" t="s">
        <v>392</v>
      </c>
      <c r="P5" s="184" t="s">
        <v>396</v>
      </c>
      <c r="Q5" s="184" t="s">
        <v>395</v>
      </c>
      <c r="R5" s="184" t="s">
        <v>603</v>
      </c>
      <c r="S5" s="184" t="s">
        <v>389</v>
      </c>
      <c r="T5" s="184" t="s">
        <v>142</v>
      </c>
    </row>
    <row r="6" spans="1:20" s="10" customFormat="1" ht="27.75" customHeight="1">
      <c r="A6" s="555" t="s">
        <v>398</v>
      </c>
      <c r="B6" s="556"/>
      <c r="C6" s="556"/>
      <c r="D6" s="556"/>
      <c r="E6" s="556"/>
      <c r="F6" s="556"/>
      <c r="G6" s="556"/>
      <c r="H6" s="556"/>
      <c r="I6" s="556"/>
      <c r="J6" s="556"/>
      <c r="K6" s="556"/>
      <c r="L6" s="556"/>
      <c r="M6" s="556"/>
      <c r="N6" s="556"/>
      <c r="O6" s="556"/>
      <c r="P6" s="556"/>
      <c r="Q6" s="556"/>
      <c r="R6" s="556"/>
      <c r="S6" s="556"/>
      <c r="T6" s="557"/>
    </row>
    <row r="7" spans="1:20" s="10" customFormat="1" ht="63" customHeight="1">
      <c r="A7" s="95" t="s">
        <v>143</v>
      </c>
      <c r="B7" s="95" t="s">
        <v>397</v>
      </c>
      <c r="C7" s="95" t="s">
        <v>131</v>
      </c>
      <c r="D7" s="95">
        <v>3.2</v>
      </c>
      <c r="E7" s="95">
        <v>4</v>
      </c>
      <c r="F7" s="95">
        <v>10</v>
      </c>
      <c r="G7" s="95" t="s">
        <v>7</v>
      </c>
      <c r="H7" s="186" t="s">
        <v>9</v>
      </c>
      <c r="I7" s="95" t="s">
        <v>9</v>
      </c>
      <c r="J7" s="95" t="s">
        <v>9</v>
      </c>
      <c r="K7" s="95" t="s">
        <v>9</v>
      </c>
      <c r="L7" s="95">
        <v>16.2</v>
      </c>
      <c r="M7" s="95">
        <f>1.03*L7</f>
        <v>16.690000000000001</v>
      </c>
      <c r="N7" s="95">
        <f>1.1*L7</f>
        <v>17.82</v>
      </c>
      <c r="O7" s="95">
        <f>1.15*L7</f>
        <v>18.63</v>
      </c>
      <c r="P7" s="95" t="s">
        <v>9</v>
      </c>
      <c r="Q7" s="95" t="s">
        <v>9</v>
      </c>
      <c r="R7" s="95" t="s">
        <v>9</v>
      </c>
      <c r="S7" s="95" t="s">
        <v>9</v>
      </c>
      <c r="T7" s="187" t="s">
        <v>9</v>
      </c>
    </row>
    <row r="8" spans="1:20" s="10" customFormat="1" ht="63" customHeight="1">
      <c r="A8" s="95" t="s">
        <v>143</v>
      </c>
      <c r="B8" s="95" t="s">
        <v>399</v>
      </c>
      <c r="C8" s="95" t="s">
        <v>131</v>
      </c>
      <c r="D8" s="95">
        <v>3</v>
      </c>
      <c r="E8" s="95">
        <v>4</v>
      </c>
      <c r="F8" s="95">
        <v>9.6999999999999993</v>
      </c>
      <c r="G8" s="95" t="s">
        <v>7</v>
      </c>
      <c r="H8" s="186" t="s">
        <v>9</v>
      </c>
      <c r="I8" s="186" t="s">
        <v>9</v>
      </c>
      <c r="J8" s="186" t="s">
        <v>9</v>
      </c>
      <c r="K8" s="186" t="s">
        <v>9</v>
      </c>
      <c r="L8" s="95">
        <v>15.9</v>
      </c>
      <c r="M8" s="95">
        <f>1.03*L8</f>
        <v>16.38</v>
      </c>
      <c r="N8" s="95">
        <f>1.1*L8</f>
        <v>17.489999999999998</v>
      </c>
      <c r="O8" s="95">
        <f>1.15*L8</f>
        <v>18.29</v>
      </c>
      <c r="P8" s="95" t="s">
        <v>9</v>
      </c>
      <c r="Q8" s="95" t="s">
        <v>9</v>
      </c>
      <c r="R8" s="95" t="s">
        <v>9</v>
      </c>
      <c r="S8" s="95" t="s">
        <v>9</v>
      </c>
      <c r="T8" s="187" t="s">
        <v>424</v>
      </c>
    </row>
    <row r="9" spans="1:20" s="10" customFormat="1" ht="63" customHeight="1">
      <c r="A9" s="95" t="s">
        <v>143</v>
      </c>
      <c r="B9" s="95" t="s">
        <v>399</v>
      </c>
      <c r="C9" s="95" t="s">
        <v>169</v>
      </c>
      <c r="D9" s="95">
        <v>4</v>
      </c>
      <c r="E9" s="95">
        <v>3</v>
      </c>
      <c r="F9" s="95">
        <v>7</v>
      </c>
      <c r="G9" s="95" t="s">
        <v>17</v>
      </c>
      <c r="H9" s="186" t="s">
        <v>9</v>
      </c>
      <c r="I9" s="95" t="s">
        <v>9</v>
      </c>
      <c r="J9" s="95" t="s">
        <v>9</v>
      </c>
      <c r="K9" s="95" t="s">
        <v>9</v>
      </c>
      <c r="L9" s="95" t="s">
        <v>9</v>
      </c>
      <c r="M9" s="95" t="s">
        <v>9</v>
      </c>
      <c r="N9" s="95" t="s">
        <v>9</v>
      </c>
      <c r="O9" s="95" t="s">
        <v>9</v>
      </c>
      <c r="P9" s="95">
        <v>10</v>
      </c>
      <c r="Q9" s="95">
        <v>10</v>
      </c>
      <c r="R9" s="95">
        <v>10</v>
      </c>
      <c r="S9" s="95">
        <v>5.3</v>
      </c>
      <c r="T9" s="187" t="s">
        <v>423</v>
      </c>
    </row>
    <row r="10" spans="1:20" s="10" customFormat="1" ht="63" customHeight="1">
      <c r="A10" s="95" t="s">
        <v>143</v>
      </c>
      <c r="B10" s="95" t="s">
        <v>400</v>
      </c>
      <c r="C10" s="95" t="s">
        <v>131</v>
      </c>
      <c r="D10" s="95">
        <v>3</v>
      </c>
      <c r="E10" s="95">
        <v>3</v>
      </c>
      <c r="F10" s="95">
        <v>9</v>
      </c>
      <c r="G10" s="188" t="s">
        <v>7</v>
      </c>
      <c r="H10" s="186" t="s">
        <v>9</v>
      </c>
      <c r="I10" s="186" t="s">
        <v>9</v>
      </c>
      <c r="J10" s="186" t="s">
        <v>9</v>
      </c>
      <c r="K10" s="186" t="s">
        <v>9</v>
      </c>
      <c r="L10" s="95">
        <v>13.2</v>
      </c>
      <c r="M10" s="95">
        <f>1.03*L10</f>
        <v>13.6</v>
      </c>
      <c r="N10" s="95">
        <f>1.1*L10</f>
        <v>14.52</v>
      </c>
      <c r="O10" s="95">
        <f>1.15*L10</f>
        <v>15.18</v>
      </c>
      <c r="P10" s="95" t="s">
        <v>9</v>
      </c>
      <c r="Q10" s="95" t="s">
        <v>9</v>
      </c>
      <c r="R10" s="95" t="s">
        <v>9</v>
      </c>
      <c r="S10" s="95" t="s">
        <v>9</v>
      </c>
      <c r="T10" s="187" t="s">
        <v>424</v>
      </c>
    </row>
    <row r="11" spans="1:20" s="10" customFormat="1" ht="63" customHeight="1">
      <c r="A11" s="95" t="s">
        <v>143</v>
      </c>
      <c r="B11" s="95" t="s">
        <v>401</v>
      </c>
      <c r="C11" s="95" t="s">
        <v>131</v>
      </c>
      <c r="D11" s="95">
        <v>3</v>
      </c>
      <c r="E11" s="95">
        <v>4</v>
      </c>
      <c r="F11" s="95">
        <v>10</v>
      </c>
      <c r="G11" s="95" t="s">
        <v>7</v>
      </c>
      <c r="H11" s="186" t="s">
        <v>9</v>
      </c>
      <c r="I11" s="95" t="s">
        <v>9</v>
      </c>
      <c r="J11" s="95" t="s">
        <v>9</v>
      </c>
      <c r="K11" s="95" t="s">
        <v>9</v>
      </c>
      <c r="L11" s="95">
        <v>15.9</v>
      </c>
      <c r="M11" s="95">
        <f>1.03*L11</f>
        <v>16.38</v>
      </c>
      <c r="N11" s="95">
        <f>1.1*L11</f>
        <v>17.489999999999998</v>
      </c>
      <c r="O11" s="95">
        <f>1.15*L11</f>
        <v>18.29</v>
      </c>
      <c r="P11" s="95" t="s">
        <v>9</v>
      </c>
      <c r="Q11" s="95" t="s">
        <v>9</v>
      </c>
      <c r="R11" s="95" t="s">
        <v>9</v>
      </c>
      <c r="S11" s="95" t="s">
        <v>9</v>
      </c>
      <c r="T11" s="187" t="s">
        <v>9</v>
      </c>
    </row>
    <row r="12" spans="1:20" s="10" customFormat="1" ht="63" customHeight="1">
      <c r="A12" s="95" t="s">
        <v>143</v>
      </c>
      <c r="B12" s="95" t="s">
        <v>402</v>
      </c>
      <c r="C12" s="95" t="s">
        <v>131</v>
      </c>
      <c r="D12" s="95">
        <v>5</v>
      </c>
      <c r="E12" s="95">
        <v>3</v>
      </c>
      <c r="F12" s="95">
        <v>9.1999999999999993</v>
      </c>
      <c r="G12" s="95" t="s">
        <v>7</v>
      </c>
      <c r="H12" s="186" t="s">
        <v>9</v>
      </c>
      <c r="I12" s="95" t="s">
        <v>9</v>
      </c>
      <c r="J12" s="95" t="s">
        <v>9</v>
      </c>
      <c r="K12" s="95" t="s">
        <v>9</v>
      </c>
      <c r="L12" s="95">
        <v>17.5</v>
      </c>
      <c r="M12" s="95">
        <f>1.03*L12</f>
        <v>18.03</v>
      </c>
      <c r="N12" s="95">
        <f>1.1*L12</f>
        <v>19.25</v>
      </c>
      <c r="O12" s="95">
        <f>1.15*L12</f>
        <v>20.13</v>
      </c>
      <c r="P12" s="95" t="s">
        <v>9</v>
      </c>
      <c r="Q12" s="95" t="s">
        <v>9</v>
      </c>
      <c r="R12" s="95" t="s">
        <v>9</v>
      </c>
      <c r="S12" s="95" t="s">
        <v>9</v>
      </c>
      <c r="T12" s="187" t="s">
        <v>422</v>
      </c>
    </row>
    <row r="13" spans="1:20" s="10" customFormat="1" ht="63" customHeight="1">
      <c r="A13" s="95" t="s">
        <v>143</v>
      </c>
      <c r="B13" s="95" t="s">
        <v>402</v>
      </c>
      <c r="C13" s="95" t="s">
        <v>169</v>
      </c>
      <c r="D13" s="95">
        <v>4</v>
      </c>
      <c r="E13" s="95">
        <v>3</v>
      </c>
      <c r="F13" s="95">
        <v>7</v>
      </c>
      <c r="G13" s="95" t="s">
        <v>17</v>
      </c>
      <c r="H13" s="186" t="s">
        <v>9</v>
      </c>
      <c r="I13" s="95" t="s">
        <v>9</v>
      </c>
      <c r="J13" s="95" t="s">
        <v>9</v>
      </c>
      <c r="K13" s="95" t="s">
        <v>9</v>
      </c>
      <c r="L13" s="95" t="s">
        <v>9</v>
      </c>
      <c r="M13" s="95" t="s">
        <v>9</v>
      </c>
      <c r="N13" s="95" t="s">
        <v>9</v>
      </c>
      <c r="O13" s="95" t="s">
        <v>9</v>
      </c>
      <c r="P13" s="95">
        <v>10</v>
      </c>
      <c r="Q13" s="95">
        <v>10</v>
      </c>
      <c r="R13" s="95">
        <v>10</v>
      </c>
      <c r="S13" s="95">
        <v>5.5</v>
      </c>
      <c r="T13" s="187" t="s">
        <v>423</v>
      </c>
    </row>
    <row r="14" spans="1:20" s="10" customFormat="1" ht="63" customHeight="1">
      <c r="A14" s="95" t="s">
        <v>267</v>
      </c>
      <c r="B14" s="95" t="s">
        <v>403</v>
      </c>
      <c r="C14" s="95" t="s">
        <v>131</v>
      </c>
      <c r="D14" s="95">
        <v>3.5</v>
      </c>
      <c r="E14" s="95">
        <v>5</v>
      </c>
      <c r="F14" s="95">
        <v>12</v>
      </c>
      <c r="G14" s="95" t="s">
        <v>7</v>
      </c>
      <c r="H14" s="186" t="s">
        <v>9</v>
      </c>
      <c r="I14" s="186" t="s">
        <v>9</v>
      </c>
      <c r="J14" s="186" t="s">
        <v>9</v>
      </c>
      <c r="K14" s="186" t="s">
        <v>9</v>
      </c>
      <c r="L14" s="95">
        <v>22.8</v>
      </c>
      <c r="M14" s="95">
        <f>1.03*L14</f>
        <v>23.48</v>
      </c>
      <c r="N14" s="95">
        <f>1.1*L14</f>
        <v>25.08</v>
      </c>
      <c r="O14" s="95">
        <f>1.15*L14</f>
        <v>26.22</v>
      </c>
      <c r="P14" s="95" t="s">
        <v>9</v>
      </c>
      <c r="Q14" s="95" t="s">
        <v>9</v>
      </c>
      <c r="R14" s="95" t="s">
        <v>9</v>
      </c>
      <c r="S14" s="95" t="s">
        <v>9</v>
      </c>
      <c r="T14" s="187" t="s">
        <v>9</v>
      </c>
    </row>
    <row r="15" spans="1:20" s="10" customFormat="1" ht="63" customHeight="1">
      <c r="A15" s="95" t="s">
        <v>143</v>
      </c>
      <c r="B15" s="95" t="s">
        <v>404</v>
      </c>
      <c r="C15" s="95" t="s">
        <v>169</v>
      </c>
      <c r="D15" s="95">
        <v>4.5</v>
      </c>
      <c r="E15" s="95">
        <v>3</v>
      </c>
      <c r="F15" s="95">
        <v>7</v>
      </c>
      <c r="G15" s="95" t="s">
        <v>17</v>
      </c>
      <c r="H15" s="186" t="s">
        <v>9</v>
      </c>
      <c r="I15" s="186" t="s">
        <v>9</v>
      </c>
      <c r="J15" s="186" t="s">
        <v>9</v>
      </c>
      <c r="K15" s="186" t="s">
        <v>9</v>
      </c>
      <c r="L15" s="95" t="s">
        <v>9</v>
      </c>
      <c r="M15" s="95" t="s">
        <v>9</v>
      </c>
      <c r="N15" s="95" t="s">
        <v>9</v>
      </c>
      <c r="O15" s="95" t="s">
        <v>9</v>
      </c>
      <c r="P15" s="95">
        <v>10</v>
      </c>
      <c r="Q15" s="95">
        <v>10</v>
      </c>
      <c r="R15" s="95">
        <v>10</v>
      </c>
      <c r="S15" s="95">
        <v>6.7</v>
      </c>
      <c r="T15" s="187" t="s">
        <v>423</v>
      </c>
    </row>
    <row r="16" spans="1:20" s="10" customFormat="1" ht="63" customHeight="1">
      <c r="A16" s="95" t="s">
        <v>143</v>
      </c>
      <c r="B16" s="95" t="s">
        <v>405</v>
      </c>
      <c r="C16" s="95" t="s">
        <v>131</v>
      </c>
      <c r="D16" s="95">
        <v>5.5</v>
      </c>
      <c r="E16" s="95">
        <v>3</v>
      </c>
      <c r="F16" s="95">
        <v>9</v>
      </c>
      <c r="G16" s="95" t="s">
        <v>7</v>
      </c>
      <c r="H16" s="186" t="s">
        <v>9</v>
      </c>
      <c r="I16" s="95" t="s">
        <v>9</v>
      </c>
      <c r="J16" s="95" t="s">
        <v>9</v>
      </c>
      <c r="K16" s="95" t="s">
        <v>9</v>
      </c>
      <c r="L16" s="95">
        <v>13</v>
      </c>
      <c r="M16" s="95">
        <f>1.03*L16</f>
        <v>13.39</v>
      </c>
      <c r="N16" s="95">
        <f>1.1*L16</f>
        <v>14.3</v>
      </c>
      <c r="O16" s="95">
        <f>1.15*L16</f>
        <v>14.95</v>
      </c>
      <c r="P16" s="95" t="s">
        <v>9</v>
      </c>
      <c r="Q16" s="95" t="s">
        <v>9</v>
      </c>
      <c r="R16" s="95" t="s">
        <v>9</v>
      </c>
      <c r="S16" s="95" t="s">
        <v>9</v>
      </c>
      <c r="T16" s="187" t="s">
        <v>9</v>
      </c>
    </row>
    <row r="17" spans="1:20" s="10" customFormat="1" ht="63" customHeight="1">
      <c r="A17" s="95" t="s">
        <v>143</v>
      </c>
      <c r="B17" s="95" t="s">
        <v>406</v>
      </c>
      <c r="C17" s="95" t="s">
        <v>131</v>
      </c>
      <c r="D17" s="95">
        <v>3</v>
      </c>
      <c r="E17" s="95">
        <v>3</v>
      </c>
      <c r="F17" s="95">
        <v>9</v>
      </c>
      <c r="G17" s="95" t="s">
        <v>7</v>
      </c>
      <c r="H17" s="186" t="s">
        <v>9</v>
      </c>
      <c r="I17" s="186" t="s">
        <v>9</v>
      </c>
      <c r="J17" s="186" t="s">
        <v>9</v>
      </c>
      <c r="K17" s="186" t="s">
        <v>9</v>
      </c>
      <c r="L17" s="95">
        <v>13</v>
      </c>
      <c r="M17" s="95">
        <f>1.03*L17</f>
        <v>13.39</v>
      </c>
      <c r="N17" s="95">
        <f>1.1*L17</f>
        <v>14.3</v>
      </c>
      <c r="O17" s="95">
        <f>1.15*L17</f>
        <v>14.95</v>
      </c>
      <c r="P17" s="95" t="s">
        <v>9</v>
      </c>
      <c r="Q17" s="95" t="s">
        <v>9</v>
      </c>
      <c r="R17" s="95" t="s">
        <v>9</v>
      </c>
      <c r="S17" s="95" t="s">
        <v>9</v>
      </c>
      <c r="T17" s="187" t="s">
        <v>9</v>
      </c>
    </row>
    <row r="18" spans="1:20" s="10" customFormat="1" ht="63" customHeight="1">
      <c r="A18" s="95" t="s">
        <v>267</v>
      </c>
      <c r="B18" s="95" t="s">
        <v>407</v>
      </c>
      <c r="C18" s="95" t="s">
        <v>169</v>
      </c>
      <c r="D18" s="95">
        <v>10.3</v>
      </c>
      <c r="E18" s="95">
        <v>5</v>
      </c>
      <c r="F18" s="95">
        <v>15</v>
      </c>
      <c r="G18" s="95" t="s">
        <v>7</v>
      </c>
      <c r="H18" s="186" t="s">
        <v>9</v>
      </c>
      <c r="I18" s="95" t="s">
        <v>9</v>
      </c>
      <c r="J18" s="95" t="s">
        <v>9</v>
      </c>
      <c r="K18" s="95" t="s">
        <v>9</v>
      </c>
      <c r="L18" s="95">
        <v>53.9</v>
      </c>
      <c r="M18" s="95">
        <f>1.03*L18</f>
        <v>55.52</v>
      </c>
      <c r="N18" s="95">
        <f>1.1*L18</f>
        <v>59.29</v>
      </c>
      <c r="O18" s="95">
        <f>1.15*L18</f>
        <v>61.99</v>
      </c>
      <c r="P18" s="95" t="s">
        <v>9</v>
      </c>
      <c r="Q18" s="95" t="s">
        <v>9</v>
      </c>
      <c r="R18" s="95" t="s">
        <v>9</v>
      </c>
      <c r="S18" s="95" t="s">
        <v>9</v>
      </c>
      <c r="T18" s="187" t="s">
        <v>425</v>
      </c>
    </row>
    <row r="19" spans="1:20" s="10" customFormat="1" ht="63" customHeight="1">
      <c r="A19" s="95" t="s">
        <v>143</v>
      </c>
      <c r="B19" s="95" t="s">
        <v>408</v>
      </c>
      <c r="C19" s="95" t="s">
        <v>169</v>
      </c>
      <c r="D19" s="95">
        <v>4</v>
      </c>
      <c r="E19" s="95">
        <v>3</v>
      </c>
      <c r="F19" s="95">
        <v>7</v>
      </c>
      <c r="G19" s="95" t="s">
        <v>17</v>
      </c>
      <c r="H19" s="186" t="s">
        <v>9</v>
      </c>
      <c r="I19" s="95" t="s">
        <v>9</v>
      </c>
      <c r="J19" s="95" t="s">
        <v>9</v>
      </c>
      <c r="K19" s="95" t="s">
        <v>9</v>
      </c>
      <c r="L19" s="95" t="s">
        <v>9</v>
      </c>
      <c r="M19" s="95" t="s">
        <v>9</v>
      </c>
      <c r="N19" s="95" t="s">
        <v>9</v>
      </c>
      <c r="O19" s="95" t="s">
        <v>9</v>
      </c>
      <c r="P19" s="95">
        <v>10</v>
      </c>
      <c r="Q19" s="95">
        <v>10</v>
      </c>
      <c r="R19" s="95">
        <v>10</v>
      </c>
      <c r="S19" s="95">
        <v>5.8</v>
      </c>
      <c r="T19" s="187" t="s">
        <v>423</v>
      </c>
    </row>
    <row r="20" spans="1:20" s="10" customFormat="1" ht="63" customHeight="1">
      <c r="A20" s="95" t="s">
        <v>267</v>
      </c>
      <c r="B20" s="95" t="s">
        <v>409</v>
      </c>
      <c r="C20" s="95" t="s">
        <v>169</v>
      </c>
      <c r="D20" s="95">
        <v>5.6</v>
      </c>
      <c r="E20" s="95">
        <v>5</v>
      </c>
      <c r="F20" s="95">
        <v>15</v>
      </c>
      <c r="G20" s="95" t="s">
        <v>7</v>
      </c>
      <c r="H20" s="186" t="s">
        <v>9</v>
      </c>
      <c r="I20" s="186" t="s">
        <v>9</v>
      </c>
      <c r="J20" s="186" t="s">
        <v>9</v>
      </c>
      <c r="K20" s="186" t="s">
        <v>9</v>
      </c>
      <c r="L20" s="95">
        <v>37.5</v>
      </c>
      <c r="M20" s="95">
        <f>1.03*L20</f>
        <v>38.630000000000003</v>
      </c>
      <c r="N20" s="95">
        <f>1.1*L20</f>
        <v>41.25</v>
      </c>
      <c r="O20" s="95">
        <f>1.15*L20</f>
        <v>43.13</v>
      </c>
      <c r="P20" s="95" t="s">
        <v>9</v>
      </c>
      <c r="Q20" s="95" t="s">
        <v>9</v>
      </c>
      <c r="R20" s="95" t="s">
        <v>9</v>
      </c>
      <c r="S20" s="95" t="s">
        <v>9</v>
      </c>
      <c r="T20" s="189" t="s">
        <v>9</v>
      </c>
    </row>
    <row r="21" spans="1:20" s="10" customFormat="1" ht="63" customHeight="1">
      <c r="A21" s="95" t="s">
        <v>143</v>
      </c>
      <c r="B21" s="95" t="s">
        <v>410</v>
      </c>
      <c r="C21" s="95" t="s">
        <v>169</v>
      </c>
      <c r="D21" s="95">
        <v>5.5</v>
      </c>
      <c r="E21" s="95">
        <v>3</v>
      </c>
      <c r="F21" s="95">
        <v>7</v>
      </c>
      <c r="G21" s="95" t="s">
        <v>17</v>
      </c>
      <c r="H21" s="186" t="s">
        <v>9</v>
      </c>
      <c r="I21" s="186" t="s">
        <v>9</v>
      </c>
      <c r="J21" s="186" t="s">
        <v>9</v>
      </c>
      <c r="K21" s="186" t="s">
        <v>9</v>
      </c>
      <c r="L21" s="95" t="s">
        <v>9</v>
      </c>
      <c r="M21" s="95" t="s">
        <v>9</v>
      </c>
      <c r="N21" s="95" t="s">
        <v>9</v>
      </c>
      <c r="O21" s="95" t="s">
        <v>9</v>
      </c>
      <c r="P21" s="95">
        <v>10</v>
      </c>
      <c r="Q21" s="95">
        <v>10</v>
      </c>
      <c r="R21" s="95">
        <v>10</v>
      </c>
      <c r="S21" s="95">
        <v>10</v>
      </c>
      <c r="T21" s="187" t="s">
        <v>426</v>
      </c>
    </row>
    <row r="22" spans="1:20" s="10" customFormat="1" ht="63" customHeight="1">
      <c r="A22" s="95" t="s">
        <v>143</v>
      </c>
      <c r="B22" s="95" t="s">
        <v>411</v>
      </c>
      <c r="C22" s="95" t="s">
        <v>131</v>
      </c>
      <c r="D22" s="95">
        <v>7.4</v>
      </c>
      <c r="E22" s="95">
        <v>3.5</v>
      </c>
      <c r="F22" s="95">
        <v>13.4</v>
      </c>
      <c r="G22" s="95" t="s">
        <v>7</v>
      </c>
      <c r="H22" s="186">
        <v>80</v>
      </c>
      <c r="I22" s="95">
        <v>9</v>
      </c>
      <c r="J22" s="95">
        <v>2.6</v>
      </c>
      <c r="K22" s="95">
        <v>6</v>
      </c>
      <c r="L22" s="95">
        <v>37</v>
      </c>
      <c r="M22" s="95">
        <f>1.03*L22</f>
        <v>38.11</v>
      </c>
      <c r="N22" s="95">
        <f>1.1*L22</f>
        <v>40.700000000000003</v>
      </c>
      <c r="O22" s="95">
        <f>1.15*L22</f>
        <v>42.55</v>
      </c>
      <c r="P22" s="95" t="s">
        <v>9</v>
      </c>
      <c r="Q22" s="95" t="s">
        <v>9</v>
      </c>
      <c r="R22" s="95" t="s">
        <v>9</v>
      </c>
      <c r="S22" s="95" t="s">
        <v>9</v>
      </c>
      <c r="T22" s="187" t="s">
        <v>9</v>
      </c>
    </row>
    <row r="23" spans="1:20" s="10" customFormat="1" ht="63" customHeight="1">
      <c r="A23" s="95" t="s">
        <v>267</v>
      </c>
      <c r="B23" s="95" t="s">
        <v>412</v>
      </c>
      <c r="C23" s="95" t="s">
        <v>169</v>
      </c>
      <c r="D23" s="95">
        <v>10</v>
      </c>
      <c r="E23" s="95">
        <v>5</v>
      </c>
      <c r="F23" s="95">
        <v>15</v>
      </c>
      <c r="G23" s="95" t="s">
        <v>7</v>
      </c>
      <c r="H23" s="186" t="s">
        <v>9</v>
      </c>
      <c r="I23" s="95" t="s">
        <v>9</v>
      </c>
      <c r="J23" s="95" t="s">
        <v>9</v>
      </c>
      <c r="K23" s="95" t="s">
        <v>9</v>
      </c>
      <c r="L23" s="95">
        <v>49.5</v>
      </c>
      <c r="M23" s="95">
        <f>1.03*L23</f>
        <v>50.99</v>
      </c>
      <c r="N23" s="95">
        <f>1.1*L23</f>
        <v>54.45</v>
      </c>
      <c r="O23" s="95">
        <f>1.15*L23</f>
        <v>56.93</v>
      </c>
      <c r="P23" s="95" t="s">
        <v>9</v>
      </c>
      <c r="Q23" s="95" t="s">
        <v>9</v>
      </c>
      <c r="R23" s="95" t="s">
        <v>9</v>
      </c>
      <c r="S23" s="95" t="s">
        <v>9</v>
      </c>
      <c r="T23" s="187" t="s">
        <v>431</v>
      </c>
    </row>
    <row r="24" spans="1:20" s="10" customFormat="1" ht="63" customHeight="1">
      <c r="A24" s="95" t="s">
        <v>143</v>
      </c>
      <c r="B24" s="95" t="s">
        <v>413</v>
      </c>
      <c r="C24" s="95" t="s">
        <v>131</v>
      </c>
      <c r="D24" s="95">
        <v>6.5</v>
      </c>
      <c r="E24" s="95">
        <v>5</v>
      </c>
      <c r="F24" s="95">
        <v>11</v>
      </c>
      <c r="G24" s="95" t="s">
        <v>7</v>
      </c>
      <c r="H24" s="186">
        <v>80</v>
      </c>
      <c r="I24" s="95">
        <v>9</v>
      </c>
      <c r="J24" s="95">
        <v>2.6</v>
      </c>
      <c r="K24" s="95">
        <v>6</v>
      </c>
      <c r="L24" s="95">
        <v>36.299999999999997</v>
      </c>
      <c r="M24" s="95">
        <f>1.03*L24</f>
        <v>37.39</v>
      </c>
      <c r="N24" s="95">
        <f>1.1*L24</f>
        <v>39.93</v>
      </c>
      <c r="O24" s="95">
        <f>1.15*L24</f>
        <v>41.75</v>
      </c>
      <c r="P24" s="95" t="s">
        <v>9</v>
      </c>
      <c r="Q24" s="95" t="s">
        <v>9</v>
      </c>
      <c r="R24" s="95" t="s">
        <v>9</v>
      </c>
      <c r="S24" s="95" t="s">
        <v>9</v>
      </c>
      <c r="T24" s="187" t="s">
        <v>427</v>
      </c>
    </row>
    <row r="25" spans="1:20" s="10" customFormat="1" ht="63" customHeight="1">
      <c r="A25" s="95" t="s">
        <v>143</v>
      </c>
      <c r="B25" s="95" t="s">
        <v>414</v>
      </c>
      <c r="C25" s="95" t="s">
        <v>169</v>
      </c>
      <c r="D25" s="95">
        <v>6.4</v>
      </c>
      <c r="E25" s="95">
        <v>4</v>
      </c>
      <c r="F25" s="95">
        <v>8</v>
      </c>
      <c r="G25" s="95" t="s">
        <v>17</v>
      </c>
      <c r="H25" s="186" t="s">
        <v>9</v>
      </c>
      <c r="I25" s="95" t="s">
        <v>9</v>
      </c>
      <c r="J25" s="95" t="s">
        <v>9</v>
      </c>
      <c r="K25" s="95" t="s">
        <v>9</v>
      </c>
      <c r="L25" s="95" t="s">
        <v>9</v>
      </c>
      <c r="M25" s="95" t="s">
        <v>9</v>
      </c>
      <c r="N25" s="95" t="s">
        <v>9</v>
      </c>
      <c r="O25" s="95" t="s">
        <v>9</v>
      </c>
      <c r="P25" s="95">
        <v>28.7</v>
      </c>
      <c r="Q25" s="95">
        <v>28.7</v>
      </c>
      <c r="R25" s="95">
        <v>28.7</v>
      </c>
      <c r="S25" s="95" t="s">
        <v>9</v>
      </c>
      <c r="T25" s="187" t="s">
        <v>428</v>
      </c>
    </row>
    <row r="26" spans="1:20" s="10" customFormat="1" ht="63" customHeight="1">
      <c r="A26" s="95" t="s">
        <v>143</v>
      </c>
      <c r="B26" s="95" t="s">
        <v>415</v>
      </c>
      <c r="C26" s="95" t="s">
        <v>169</v>
      </c>
      <c r="D26" s="95">
        <v>4.2</v>
      </c>
      <c r="E26" s="95">
        <v>3</v>
      </c>
      <c r="F26" s="95">
        <v>7</v>
      </c>
      <c r="G26" s="95" t="s">
        <v>17</v>
      </c>
      <c r="H26" s="186" t="s">
        <v>9</v>
      </c>
      <c r="I26" s="95" t="s">
        <v>9</v>
      </c>
      <c r="J26" s="95" t="s">
        <v>9</v>
      </c>
      <c r="K26" s="95" t="s">
        <v>9</v>
      </c>
      <c r="L26" s="95" t="s">
        <v>9</v>
      </c>
      <c r="M26" s="95" t="s">
        <v>9</v>
      </c>
      <c r="N26" s="95" t="s">
        <v>9</v>
      </c>
      <c r="O26" s="95" t="s">
        <v>9</v>
      </c>
      <c r="P26" s="95">
        <v>16.399999999999999</v>
      </c>
      <c r="Q26" s="95">
        <v>16.399999999999999</v>
      </c>
      <c r="R26" s="95">
        <v>16.399999999999999</v>
      </c>
      <c r="S26" s="95" t="s">
        <v>9</v>
      </c>
      <c r="T26" s="187" t="s">
        <v>428</v>
      </c>
    </row>
    <row r="27" spans="1:20" s="10" customFormat="1" ht="63" customHeight="1">
      <c r="A27" s="95" t="s">
        <v>267</v>
      </c>
      <c r="B27" s="95" t="s">
        <v>416</v>
      </c>
      <c r="C27" s="95" t="s">
        <v>169</v>
      </c>
      <c r="D27" s="95">
        <v>8.1999999999999993</v>
      </c>
      <c r="E27" s="95">
        <v>4.5</v>
      </c>
      <c r="F27" s="95">
        <v>13.5</v>
      </c>
      <c r="G27" s="95" t="s">
        <v>7</v>
      </c>
      <c r="H27" s="186" t="s">
        <v>9</v>
      </c>
      <c r="I27" s="95" t="s">
        <v>9</v>
      </c>
      <c r="J27" s="95" t="s">
        <v>9</v>
      </c>
      <c r="K27" s="95" t="s">
        <v>9</v>
      </c>
      <c r="L27" s="95">
        <v>37.5</v>
      </c>
      <c r="M27" s="95">
        <f>1.03*L27</f>
        <v>38.630000000000003</v>
      </c>
      <c r="N27" s="95">
        <f>1.1*L27</f>
        <v>41.25</v>
      </c>
      <c r="O27" s="95">
        <f>1.15*L27</f>
        <v>43.13</v>
      </c>
      <c r="P27" s="95" t="s">
        <v>9</v>
      </c>
      <c r="Q27" s="95" t="s">
        <v>9</v>
      </c>
      <c r="R27" s="95" t="s">
        <v>9</v>
      </c>
      <c r="S27" s="95" t="s">
        <v>9</v>
      </c>
      <c r="T27" s="187" t="s">
        <v>429</v>
      </c>
    </row>
    <row r="28" spans="1:20" s="10" customFormat="1" ht="63" customHeight="1">
      <c r="A28" s="95" t="s">
        <v>267</v>
      </c>
      <c r="B28" s="95" t="s">
        <v>417</v>
      </c>
      <c r="C28" s="95" t="s">
        <v>131</v>
      </c>
      <c r="D28" s="95">
        <v>4.5</v>
      </c>
      <c r="E28" s="95">
        <v>5</v>
      </c>
      <c r="F28" s="95">
        <v>11</v>
      </c>
      <c r="G28" s="95" t="s">
        <v>7</v>
      </c>
      <c r="H28" s="186">
        <v>80</v>
      </c>
      <c r="I28" s="95">
        <v>9</v>
      </c>
      <c r="J28" s="95">
        <v>2.6</v>
      </c>
      <c r="K28" s="95">
        <v>6</v>
      </c>
      <c r="L28" s="95">
        <v>26</v>
      </c>
      <c r="M28" s="95">
        <f>1.03*L28</f>
        <v>26.78</v>
      </c>
      <c r="N28" s="95">
        <f>1.1*L28</f>
        <v>28.6</v>
      </c>
      <c r="O28" s="95">
        <f>1.15*L28</f>
        <v>29.9</v>
      </c>
      <c r="P28" s="95" t="s">
        <v>9</v>
      </c>
      <c r="Q28" s="95" t="s">
        <v>9</v>
      </c>
      <c r="R28" s="95" t="s">
        <v>9</v>
      </c>
      <c r="S28" s="95" t="s">
        <v>9</v>
      </c>
      <c r="T28" s="187" t="s">
        <v>432</v>
      </c>
    </row>
    <row r="29" spans="1:20" s="10" customFormat="1" ht="63" customHeight="1">
      <c r="A29" s="95" t="s">
        <v>143</v>
      </c>
      <c r="B29" s="95" t="s">
        <v>418</v>
      </c>
      <c r="C29" s="95" t="s">
        <v>169</v>
      </c>
      <c r="D29" s="95">
        <v>4.5</v>
      </c>
      <c r="E29" s="95">
        <v>4</v>
      </c>
      <c r="F29" s="95">
        <v>8</v>
      </c>
      <c r="G29" s="95" t="s">
        <v>17</v>
      </c>
      <c r="H29" s="186" t="s">
        <v>9</v>
      </c>
      <c r="I29" s="95" t="s">
        <v>9</v>
      </c>
      <c r="J29" s="95" t="s">
        <v>9</v>
      </c>
      <c r="K29" s="95" t="s">
        <v>9</v>
      </c>
      <c r="L29" s="95" t="s">
        <v>9</v>
      </c>
      <c r="M29" s="95" t="s">
        <v>9</v>
      </c>
      <c r="N29" s="95" t="s">
        <v>9</v>
      </c>
      <c r="O29" s="95" t="s">
        <v>9</v>
      </c>
      <c r="P29" s="95">
        <v>21.8</v>
      </c>
      <c r="Q29" s="95">
        <v>21.8</v>
      </c>
      <c r="R29" s="95">
        <v>21.8</v>
      </c>
      <c r="S29" s="95" t="s">
        <v>9</v>
      </c>
      <c r="T29" s="187" t="s">
        <v>428</v>
      </c>
    </row>
    <row r="30" spans="1:20" s="10" customFormat="1" ht="63" customHeight="1" thickBot="1">
      <c r="A30" s="190" t="s">
        <v>143</v>
      </c>
      <c r="B30" s="190" t="s">
        <v>419</v>
      </c>
      <c r="C30" s="190" t="s">
        <v>169</v>
      </c>
      <c r="D30" s="190">
        <v>2.9</v>
      </c>
      <c r="E30" s="190">
        <v>4</v>
      </c>
      <c r="F30" s="190">
        <v>8</v>
      </c>
      <c r="G30" s="190" t="s">
        <v>17</v>
      </c>
      <c r="H30" s="191" t="s">
        <v>9</v>
      </c>
      <c r="I30" s="191" t="s">
        <v>9</v>
      </c>
      <c r="J30" s="191" t="s">
        <v>9</v>
      </c>
      <c r="K30" s="191" t="s">
        <v>9</v>
      </c>
      <c r="L30" s="191" t="s">
        <v>9</v>
      </c>
      <c r="M30" s="191" t="s">
        <v>9</v>
      </c>
      <c r="N30" s="191" t="s">
        <v>9</v>
      </c>
      <c r="O30" s="191" t="s">
        <v>9</v>
      </c>
      <c r="P30" s="190">
        <v>15.3</v>
      </c>
      <c r="Q30" s="190">
        <v>15.3</v>
      </c>
      <c r="R30" s="190">
        <v>15.3</v>
      </c>
      <c r="S30" s="190" t="s">
        <v>9</v>
      </c>
      <c r="T30" s="192" t="s">
        <v>428</v>
      </c>
    </row>
    <row r="31" spans="1:20" s="10" customFormat="1" ht="19.5" customHeight="1" thickBot="1">
      <c r="A31" s="195" t="s">
        <v>9</v>
      </c>
      <c r="B31" s="196" t="s">
        <v>9</v>
      </c>
      <c r="C31" s="196" t="s">
        <v>9</v>
      </c>
      <c r="D31" s="196" t="s">
        <v>9</v>
      </c>
      <c r="E31" s="196" t="s">
        <v>9</v>
      </c>
      <c r="F31" s="196" t="s">
        <v>9</v>
      </c>
      <c r="G31" s="196" t="s">
        <v>9</v>
      </c>
      <c r="H31" s="197" t="s">
        <v>9</v>
      </c>
      <c r="I31" s="196">
        <f t="shared" ref="I31:S31" si="0">SUM(I7:I30)</f>
        <v>27</v>
      </c>
      <c r="J31" s="196">
        <f t="shared" si="0"/>
        <v>7.8</v>
      </c>
      <c r="K31" s="196">
        <f t="shared" si="0"/>
        <v>18</v>
      </c>
      <c r="L31" s="196">
        <f t="shared" si="0"/>
        <v>405.2</v>
      </c>
      <c r="M31" s="196">
        <f t="shared" si="0"/>
        <v>417.39</v>
      </c>
      <c r="N31" s="196">
        <f t="shared" si="0"/>
        <v>445.72</v>
      </c>
      <c r="O31" s="196">
        <f t="shared" si="0"/>
        <v>466.02</v>
      </c>
      <c r="P31" s="196">
        <f t="shared" si="0"/>
        <v>132.19999999999999</v>
      </c>
      <c r="Q31" s="196">
        <f t="shared" si="0"/>
        <v>132.19999999999999</v>
      </c>
      <c r="R31" s="196">
        <f t="shared" si="0"/>
        <v>132.19999999999999</v>
      </c>
      <c r="S31" s="196">
        <f t="shared" si="0"/>
        <v>33.299999999999997</v>
      </c>
      <c r="T31" s="196" t="s">
        <v>9</v>
      </c>
    </row>
    <row r="32" spans="1:20" s="10" customFormat="1" ht="25.5" customHeight="1">
      <c r="A32" s="544" t="s">
        <v>420</v>
      </c>
      <c r="B32" s="545"/>
      <c r="C32" s="545"/>
      <c r="D32" s="545"/>
      <c r="E32" s="545"/>
      <c r="F32" s="545"/>
      <c r="G32" s="545"/>
      <c r="H32" s="545"/>
      <c r="I32" s="545"/>
      <c r="J32" s="545"/>
      <c r="K32" s="545"/>
      <c r="L32" s="545"/>
      <c r="M32" s="545"/>
      <c r="N32" s="545"/>
      <c r="O32" s="545"/>
      <c r="P32" s="545"/>
      <c r="Q32" s="545"/>
      <c r="R32" s="545"/>
      <c r="S32" s="545"/>
      <c r="T32" s="546"/>
    </row>
    <row r="33" spans="1:20" s="10" customFormat="1" ht="63" customHeight="1">
      <c r="A33" s="95" t="s">
        <v>143</v>
      </c>
      <c r="B33" s="95" t="s">
        <v>433</v>
      </c>
      <c r="C33" s="95" t="s">
        <v>169</v>
      </c>
      <c r="D33" s="95">
        <v>4</v>
      </c>
      <c r="E33" s="95">
        <v>3</v>
      </c>
      <c r="F33" s="95">
        <v>9</v>
      </c>
      <c r="G33" s="95" t="s">
        <v>7</v>
      </c>
      <c r="H33" s="186">
        <v>50</v>
      </c>
      <c r="I33" s="95">
        <v>8</v>
      </c>
      <c r="J33" s="95">
        <v>1.3</v>
      </c>
      <c r="K33" s="95">
        <v>3</v>
      </c>
      <c r="L33" s="95">
        <v>16.5</v>
      </c>
      <c r="M33" s="95">
        <f t="shared" ref="M33:M60" si="1">1.03*L33</f>
        <v>17</v>
      </c>
      <c r="N33" s="95">
        <f t="shared" ref="N33:N60" si="2">1.1*L33</f>
        <v>18.149999999999999</v>
      </c>
      <c r="O33" s="95">
        <f t="shared" ref="O33:O60" si="3">1.15*L33</f>
        <v>18.98</v>
      </c>
      <c r="P33" s="95" t="s">
        <v>9</v>
      </c>
      <c r="Q33" s="95" t="s">
        <v>9</v>
      </c>
      <c r="R33" s="95" t="s">
        <v>9</v>
      </c>
      <c r="S33" s="95" t="s">
        <v>9</v>
      </c>
      <c r="T33" s="189" t="s">
        <v>460</v>
      </c>
    </row>
    <row r="34" spans="1:20" s="10" customFormat="1" ht="63" customHeight="1">
      <c r="A34" s="95" t="s">
        <v>143</v>
      </c>
      <c r="B34" s="95" t="s">
        <v>434</v>
      </c>
      <c r="C34" s="95" t="s">
        <v>131</v>
      </c>
      <c r="D34" s="95">
        <v>3</v>
      </c>
      <c r="E34" s="95">
        <v>3.5</v>
      </c>
      <c r="F34" s="95">
        <v>9.5</v>
      </c>
      <c r="G34" s="95" t="s">
        <v>7</v>
      </c>
      <c r="H34" s="186" t="s">
        <v>9</v>
      </c>
      <c r="I34" s="186" t="s">
        <v>9</v>
      </c>
      <c r="J34" s="186" t="s">
        <v>9</v>
      </c>
      <c r="K34" s="186" t="s">
        <v>9</v>
      </c>
      <c r="L34" s="95">
        <v>14.5</v>
      </c>
      <c r="M34" s="95">
        <f t="shared" si="1"/>
        <v>14.94</v>
      </c>
      <c r="N34" s="95">
        <f t="shared" si="2"/>
        <v>15.95</v>
      </c>
      <c r="O34" s="95">
        <f t="shared" si="3"/>
        <v>16.68</v>
      </c>
      <c r="P34" s="95" t="s">
        <v>9</v>
      </c>
      <c r="Q34" s="95" t="s">
        <v>9</v>
      </c>
      <c r="R34" s="95" t="s">
        <v>9</v>
      </c>
      <c r="S34" s="95" t="s">
        <v>9</v>
      </c>
      <c r="T34" s="187" t="s">
        <v>9</v>
      </c>
    </row>
    <row r="35" spans="1:20" s="10" customFormat="1" ht="63" customHeight="1">
      <c r="A35" s="95" t="s">
        <v>143</v>
      </c>
      <c r="B35" s="95" t="s">
        <v>435</v>
      </c>
      <c r="C35" s="95" t="s">
        <v>131</v>
      </c>
      <c r="D35" s="95">
        <v>3</v>
      </c>
      <c r="E35" s="95">
        <v>3.5</v>
      </c>
      <c r="F35" s="95">
        <v>9.5</v>
      </c>
      <c r="G35" s="95" t="s">
        <v>7</v>
      </c>
      <c r="H35" s="186" t="s">
        <v>9</v>
      </c>
      <c r="I35" s="186" t="s">
        <v>9</v>
      </c>
      <c r="J35" s="186" t="s">
        <v>9</v>
      </c>
      <c r="K35" s="186" t="s">
        <v>9</v>
      </c>
      <c r="L35" s="95">
        <v>14.5</v>
      </c>
      <c r="M35" s="95">
        <f t="shared" si="1"/>
        <v>14.94</v>
      </c>
      <c r="N35" s="95">
        <f t="shared" si="2"/>
        <v>15.95</v>
      </c>
      <c r="O35" s="95">
        <f t="shared" si="3"/>
        <v>16.68</v>
      </c>
      <c r="P35" s="95" t="s">
        <v>9</v>
      </c>
      <c r="Q35" s="95" t="s">
        <v>9</v>
      </c>
      <c r="R35" s="95" t="s">
        <v>9</v>
      </c>
      <c r="S35" s="95" t="s">
        <v>9</v>
      </c>
      <c r="T35" s="187" t="s">
        <v>9</v>
      </c>
    </row>
    <row r="36" spans="1:20" s="10" customFormat="1" ht="63" customHeight="1">
      <c r="A36" s="95" t="s">
        <v>143</v>
      </c>
      <c r="B36" s="95" t="s">
        <v>436</v>
      </c>
      <c r="C36" s="95" t="s">
        <v>131</v>
      </c>
      <c r="D36" s="95">
        <v>3</v>
      </c>
      <c r="E36" s="95">
        <v>3.5</v>
      </c>
      <c r="F36" s="95">
        <v>9.5</v>
      </c>
      <c r="G36" s="95" t="s">
        <v>7</v>
      </c>
      <c r="H36" s="186" t="s">
        <v>9</v>
      </c>
      <c r="I36" s="95" t="s">
        <v>9</v>
      </c>
      <c r="J36" s="95" t="s">
        <v>9</v>
      </c>
      <c r="K36" s="95" t="s">
        <v>9</v>
      </c>
      <c r="L36" s="95">
        <v>14.5</v>
      </c>
      <c r="M36" s="95">
        <f t="shared" si="1"/>
        <v>14.94</v>
      </c>
      <c r="N36" s="95">
        <f t="shared" si="2"/>
        <v>15.95</v>
      </c>
      <c r="O36" s="95">
        <f t="shared" si="3"/>
        <v>16.68</v>
      </c>
      <c r="P36" s="95" t="s">
        <v>9</v>
      </c>
      <c r="Q36" s="95" t="s">
        <v>9</v>
      </c>
      <c r="R36" s="95" t="s">
        <v>9</v>
      </c>
      <c r="S36" s="95" t="s">
        <v>9</v>
      </c>
      <c r="T36" s="187" t="s">
        <v>9</v>
      </c>
    </row>
    <row r="37" spans="1:20" s="10" customFormat="1" ht="63" customHeight="1">
      <c r="A37" s="95" t="s">
        <v>143</v>
      </c>
      <c r="B37" s="95" t="s">
        <v>437</v>
      </c>
      <c r="C37" s="95" t="s">
        <v>131</v>
      </c>
      <c r="D37" s="95">
        <v>3</v>
      </c>
      <c r="E37" s="95">
        <v>3.5</v>
      </c>
      <c r="F37" s="95">
        <v>9.5</v>
      </c>
      <c r="G37" s="95" t="s">
        <v>7</v>
      </c>
      <c r="H37" s="186" t="s">
        <v>9</v>
      </c>
      <c r="I37" s="95" t="s">
        <v>9</v>
      </c>
      <c r="J37" s="95" t="s">
        <v>9</v>
      </c>
      <c r="K37" s="95" t="s">
        <v>9</v>
      </c>
      <c r="L37" s="95">
        <v>14.5</v>
      </c>
      <c r="M37" s="95">
        <f t="shared" si="1"/>
        <v>14.94</v>
      </c>
      <c r="N37" s="95">
        <f t="shared" si="2"/>
        <v>15.95</v>
      </c>
      <c r="O37" s="95">
        <f t="shared" si="3"/>
        <v>16.68</v>
      </c>
      <c r="P37" s="95" t="s">
        <v>9</v>
      </c>
      <c r="Q37" s="95" t="s">
        <v>9</v>
      </c>
      <c r="R37" s="95" t="s">
        <v>9</v>
      </c>
      <c r="S37" s="95" t="s">
        <v>9</v>
      </c>
      <c r="T37" s="187" t="s">
        <v>459</v>
      </c>
    </row>
    <row r="38" spans="1:20" s="10" customFormat="1" ht="63" customHeight="1">
      <c r="A38" s="95" t="s">
        <v>143</v>
      </c>
      <c r="B38" s="95" t="s">
        <v>438</v>
      </c>
      <c r="C38" s="95" t="s">
        <v>131</v>
      </c>
      <c r="D38" s="95">
        <v>3</v>
      </c>
      <c r="E38" s="95">
        <v>3.5</v>
      </c>
      <c r="F38" s="95">
        <v>9.5</v>
      </c>
      <c r="G38" s="95" t="s">
        <v>7</v>
      </c>
      <c r="H38" s="186" t="s">
        <v>9</v>
      </c>
      <c r="I38" s="186" t="s">
        <v>9</v>
      </c>
      <c r="J38" s="186" t="s">
        <v>9</v>
      </c>
      <c r="K38" s="186" t="s">
        <v>9</v>
      </c>
      <c r="L38" s="95">
        <v>14.5</v>
      </c>
      <c r="M38" s="95">
        <f t="shared" si="1"/>
        <v>14.94</v>
      </c>
      <c r="N38" s="95">
        <f t="shared" si="2"/>
        <v>15.95</v>
      </c>
      <c r="O38" s="95">
        <f t="shared" si="3"/>
        <v>16.68</v>
      </c>
      <c r="P38" s="95" t="s">
        <v>9</v>
      </c>
      <c r="Q38" s="95" t="s">
        <v>9</v>
      </c>
      <c r="R38" s="95" t="s">
        <v>9</v>
      </c>
      <c r="S38" s="95" t="s">
        <v>9</v>
      </c>
      <c r="T38" s="187" t="s">
        <v>9</v>
      </c>
    </row>
    <row r="39" spans="1:20" s="10" customFormat="1" ht="63" customHeight="1">
      <c r="A39" s="95" t="s">
        <v>143</v>
      </c>
      <c r="B39" s="95" t="s">
        <v>439</v>
      </c>
      <c r="C39" s="95" t="s">
        <v>169</v>
      </c>
      <c r="D39" s="95">
        <v>5</v>
      </c>
      <c r="E39" s="95">
        <v>3</v>
      </c>
      <c r="F39" s="95">
        <v>9</v>
      </c>
      <c r="G39" s="95" t="s">
        <v>7</v>
      </c>
      <c r="H39" s="186">
        <v>50</v>
      </c>
      <c r="I39" s="95">
        <v>9</v>
      </c>
      <c r="J39" s="95">
        <v>2.6</v>
      </c>
      <c r="K39" s="95">
        <v>6</v>
      </c>
      <c r="L39" s="95">
        <v>18.5</v>
      </c>
      <c r="M39" s="95">
        <f t="shared" si="1"/>
        <v>19.059999999999999</v>
      </c>
      <c r="N39" s="95">
        <f t="shared" si="2"/>
        <v>20.350000000000001</v>
      </c>
      <c r="O39" s="95">
        <f t="shared" si="3"/>
        <v>21.28</v>
      </c>
      <c r="P39" s="95" t="s">
        <v>9</v>
      </c>
      <c r="Q39" s="95" t="s">
        <v>9</v>
      </c>
      <c r="R39" s="95" t="s">
        <v>9</v>
      </c>
      <c r="S39" s="95" t="s">
        <v>9</v>
      </c>
      <c r="T39" s="187" t="s">
        <v>9</v>
      </c>
    </row>
    <row r="40" spans="1:20" s="10" customFormat="1" ht="63" customHeight="1">
      <c r="A40" s="95" t="s">
        <v>143</v>
      </c>
      <c r="B40" s="95" t="s">
        <v>440</v>
      </c>
      <c r="C40" s="95" t="s">
        <v>131</v>
      </c>
      <c r="D40" s="95">
        <v>3</v>
      </c>
      <c r="E40" s="95">
        <v>3.5</v>
      </c>
      <c r="F40" s="95">
        <v>9.5</v>
      </c>
      <c r="G40" s="95" t="s">
        <v>7</v>
      </c>
      <c r="H40" s="186" t="s">
        <v>9</v>
      </c>
      <c r="I40" s="95" t="s">
        <v>9</v>
      </c>
      <c r="J40" s="95" t="s">
        <v>9</v>
      </c>
      <c r="K40" s="95" t="s">
        <v>9</v>
      </c>
      <c r="L40" s="95">
        <v>14.5</v>
      </c>
      <c r="M40" s="95">
        <f t="shared" si="1"/>
        <v>14.94</v>
      </c>
      <c r="N40" s="95">
        <f t="shared" si="2"/>
        <v>15.95</v>
      </c>
      <c r="O40" s="95">
        <f t="shared" si="3"/>
        <v>16.68</v>
      </c>
      <c r="P40" s="95" t="s">
        <v>9</v>
      </c>
      <c r="Q40" s="95" t="s">
        <v>9</v>
      </c>
      <c r="R40" s="95" t="s">
        <v>9</v>
      </c>
      <c r="S40" s="95" t="s">
        <v>9</v>
      </c>
      <c r="T40" s="187" t="s">
        <v>9</v>
      </c>
    </row>
    <row r="41" spans="1:20" s="10" customFormat="1" ht="63" customHeight="1">
      <c r="A41" s="95" t="s">
        <v>267</v>
      </c>
      <c r="B41" s="95" t="s">
        <v>441</v>
      </c>
      <c r="C41" s="95" t="s">
        <v>131</v>
      </c>
      <c r="D41" s="95">
        <v>5</v>
      </c>
      <c r="E41" s="95">
        <v>3.5</v>
      </c>
      <c r="F41" s="95">
        <v>13.5</v>
      </c>
      <c r="G41" s="95" t="s">
        <v>7</v>
      </c>
      <c r="H41" s="186" t="s">
        <v>9</v>
      </c>
      <c r="I41" s="95" t="s">
        <v>9</v>
      </c>
      <c r="J41" s="95" t="s">
        <v>9</v>
      </c>
      <c r="K41" s="95" t="s">
        <v>9</v>
      </c>
      <c r="L41" s="95">
        <v>28.3</v>
      </c>
      <c r="M41" s="95">
        <f t="shared" si="1"/>
        <v>29.15</v>
      </c>
      <c r="N41" s="95">
        <f t="shared" si="2"/>
        <v>31.13</v>
      </c>
      <c r="O41" s="95">
        <f t="shared" si="3"/>
        <v>32.549999999999997</v>
      </c>
      <c r="P41" s="95" t="s">
        <v>9</v>
      </c>
      <c r="Q41" s="95" t="s">
        <v>9</v>
      </c>
      <c r="R41" s="95" t="s">
        <v>9</v>
      </c>
      <c r="S41" s="95" t="s">
        <v>9</v>
      </c>
      <c r="T41" s="187" t="s">
        <v>9</v>
      </c>
    </row>
    <row r="42" spans="1:20" s="10" customFormat="1" ht="63" customHeight="1">
      <c r="A42" s="95" t="s">
        <v>143</v>
      </c>
      <c r="B42" s="95" t="s">
        <v>442</v>
      </c>
      <c r="C42" s="95" t="s">
        <v>131</v>
      </c>
      <c r="D42" s="95">
        <v>3.5</v>
      </c>
      <c r="E42" s="95">
        <v>3.5</v>
      </c>
      <c r="F42" s="95">
        <v>10.5</v>
      </c>
      <c r="G42" s="95" t="s">
        <v>7</v>
      </c>
      <c r="H42" s="186" t="s">
        <v>9</v>
      </c>
      <c r="I42" s="95" t="s">
        <v>9</v>
      </c>
      <c r="J42" s="95" t="s">
        <v>9</v>
      </c>
      <c r="K42" s="95" t="s">
        <v>9</v>
      </c>
      <c r="L42" s="95">
        <v>17.600000000000001</v>
      </c>
      <c r="M42" s="95">
        <f t="shared" si="1"/>
        <v>18.13</v>
      </c>
      <c r="N42" s="95">
        <f t="shared" si="2"/>
        <v>19.36</v>
      </c>
      <c r="O42" s="95">
        <f t="shared" si="3"/>
        <v>20.239999999999998</v>
      </c>
      <c r="P42" s="95" t="s">
        <v>9</v>
      </c>
      <c r="Q42" s="95" t="s">
        <v>9</v>
      </c>
      <c r="R42" s="95" t="s">
        <v>9</v>
      </c>
      <c r="S42" s="95" t="s">
        <v>9</v>
      </c>
      <c r="T42" s="187" t="s">
        <v>9</v>
      </c>
    </row>
    <row r="43" spans="1:20" s="10" customFormat="1" ht="63" customHeight="1">
      <c r="A43" s="95" t="s">
        <v>143</v>
      </c>
      <c r="B43" s="95" t="s">
        <v>443</v>
      </c>
      <c r="C43" s="95" t="s">
        <v>131</v>
      </c>
      <c r="D43" s="95">
        <v>2.8</v>
      </c>
      <c r="E43" s="95">
        <v>3.5</v>
      </c>
      <c r="F43" s="95">
        <v>10.5</v>
      </c>
      <c r="G43" s="95" t="s">
        <v>7</v>
      </c>
      <c r="H43" s="186" t="s">
        <v>9</v>
      </c>
      <c r="I43" s="95" t="s">
        <v>9</v>
      </c>
      <c r="J43" s="95" t="s">
        <v>9</v>
      </c>
      <c r="K43" s="95" t="s">
        <v>9</v>
      </c>
      <c r="L43" s="95">
        <v>15.1</v>
      </c>
      <c r="M43" s="95">
        <f t="shared" si="1"/>
        <v>15.55</v>
      </c>
      <c r="N43" s="95">
        <f t="shared" si="2"/>
        <v>16.61</v>
      </c>
      <c r="O43" s="95">
        <f t="shared" si="3"/>
        <v>17.37</v>
      </c>
      <c r="P43" s="95" t="s">
        <v>9</v>
      </c>
      <c r="Q43" s="95" t="s">
        <v>9</v>
      </c>
      <c r="R43" s="95" t="s">
        <v>9</v>
      </c>
      <c r="S43" s="95" t="s">
        <v>9</v>
      </c>
      <c r="T43" s="187" t="s">
        <v>472</v>
      </c>
    </row>
    <row r="44" spans="1:20" s="10" customFormat="1" ht="63" customHeight="1">
      <c r="A44" s="95" t="s">
        <v>143</v>
      </c>
      <c r="B44" s="95" t="s">
        <v>444</v>
      </c>
      <c r="C44" s="95" t="s">
        <v>131</v>
      </c>
      <c r="D44" s="95">
        <v>3.5</v>
      </c>
      <c r="E44" s="95">
        <v>3.5</v>
      </c>
      <c r="F44" s="95">
        <v>10.5</v>
      </c>
      <c r="G44" s="95" t="s">
        <v>7</v>
      </c>
      <c r="H44" s="186" t="s">
        <v>9</v>
      </c>
      <c r="I44" s="95" t="s">
        <v>9</v>
      </c>
      <c r="J44" s="95" t="s">
        <v>9</v>
      </c>
      <c r="K44" s="95" t="s">
        <v>9</v>
      </c>
      <c r="L44" s="95">
        <v>17.5</v>
      </c>
      <c r="M44" s="95">
        <f t="shared" si="1"/>
        <v>18.03</v>
      </c>
      <c r="N44" s="95">
        <f t="shared" si="2"/>
        <v>19.25</v>
      </c>
      <c r="O44" s="95">
        <f t="shared" si="3"/>
        <v>20.13</v>
      </c>
      <c r="P44" s="95" t="s">
        <v>9</v>
      </c>
      <c r="Q44" s="95" t="s">
        <v>9</v>
      </c>
      <c r="R44" s="95" t="s">
        <v>9</v>
      </c>
      <c r="S44" s="95" t="s">
        <v>9</v>
      </c>
      <c r="T44" s="187" t="s">
        <v>9</v>
      </c>
    </row>
    <row r="45" spans="1:20" s="10" customFormat="1" ht="63" customHeight="1">
      <c r="A45" s="95" t="s">
        <v>143</v>
      </c>
      <c r="B45" s="95" t="s">
        <v>444</v>
      </c>
      <c r="C45" s="95" t="s">
        <v>169</v>
      </c>
      <c r="D45" s="95">
        <v>3.5</v>
      </c>
      <c r="E45" s="95">
        <v>3.5</v>
      </c>
      <c r="F45" s="95">
        <v>10.5</v>
      </c>
      <c r="G45" s="95" t="s">
        <v>7</v>
      </c>
      <c r="H45" s="186">
        <v>50</v>
      </c>
      <c r="I45" s="95">
        <v>9</v>
      </c>
      <c r="J45" s="95" t="s">
        <v>9</v>
      </c>
      <c r="K45" s="95" t="s">
        <v>9</v>
      </c>
      <c r="L45" s="95">
        <v>17.5</v>
      </c>
      <c r="M45" s="95">
        <f t="shared" si="1"/>
        <v>18.03</v>
      </c>
      <c r="N45" s="95">
        <f t="shared" si="2"/>
        <v>19.25</v>
      </c>
      <c r="O45" s="95">
        <f t="shared" si="3"/>
        <v>20.13</v>
      </c>
      <c r="P45" s="95" t="s">
        <v>9</v>
      </c>
      <c r="Q45" s="95" t="s">
        <v>9</v>
      </c>
      <c r="R45" s="95" t="s">
        <v>9</v>
      </c>
      <c r="S45" s="95" t="s">
        <v>9</v>
      </c>
      <c r="T45" s="189" t="s">
        <v>461</v>
      </c>
    </row>
    <row r="46" spans="1:20" s="10" customFormat="1" ht="63" customHeight="1">
      <c r="A46" s="95" t="s">
        <v>143</v>
      </c>
      <c r="B46" s="95" t="s">
        <v>445</v>
      </c>
      <c r="C46" s="95" t="s">
        <v>131</v>
      </c>
      <c r="D46" s="95">
        <v>3</v>
      </c>
      <c r="E46" s="95">
        <v>3</v>
      </c>
      <c r="F46" s="95">
        <v>9</v>
      </c>
      <c r="G46" s="95" t="s">
        <v>7</v>
      </c>
      <c r="H46" s="186" t="s">
        <v>9</v>
      </c>
      <c r="I46" s="95" t="s">
        <v>9</v>
      </c>
      <c r="J46" s="95" t="s">
        <v>9</v>
      </c>
      <c r="K46" s="95" t="s">
        <v>9</v>
      </c>
      <c r="L46" s="95">
        <v>12.9</v>
      </c>
      <c r="M46" s="95">
        <f t="shared" si="1"/>
        <v>13.29</v>
      </c>
      <c r="N46" s="95">
        <f t="shared" si="2"/>
        <v>14.19</v>
      </c>
      <c r="O46" s="95">
        <f t="shared" si="3"/>
        <v>14.84</v>
      </c>
      <c r="P46" s="95" t="s">
        <v>9</v>
      </c>
      <c r="Q46" s="95" t="s">
        <v>9</v>
      </c>
      <c r="R46" s="95" t="s">
        <v>9</v>
      </c>
      <c r="S46" s="95" t="s">
        <v>9</v>
      </c>
      <c r="T46" s="189" t="s">
        <v>9</v>
      </c>
    </row>
    <row r="47" spans="1:20" s="10" customFormat="1" ht="63" customHeight="1">
      <c r="A47" s="95" t="s">
        <v>143</v>
      </c>
      <c r="B47" s="95" t="s">
        <v>446</v>
      </c>
      <c r="C47" s="95" t="s">
        <v>131</v>
      </c>
      <c r="D47" s="95">
        <v>3</v>
      </c>
      <c r="E47" s="95">
        <v>3</v>
      </c>
      <c r="F47" s="95">
        <v>9</v>
      </c>
      <c r="G47" s="95" t="s">
        <v>7</v>
      </c>
      <c r="H47" s="186" t="s">
        <v>9</v>
      </c>
      <c r="I47" s="95" t="s">
        <v>9</v>
      </c>
      <c r="J47" s="95" t="s">
        <v>9</v>
      </c>
      <c r="K47" s="95" t="s">
        <v>9</v>
      </c>
      <c r="L47" s="95">
        <v>12.9</v>
      </c>
      <c r="M47" s="95">
        <f t="shared" si="1"/>
        <v>13.29</v>
      </c>
      <c r="N47" s="95">
        <f t="shared" si="2"/>
        <v>14.19</v>
      </c>
      <c r="O47" s="95">
        <f t="shared" si="3"/>
        <v>14.84</v>
      </c>
      <c r="P47" s="95" t="s">
        <v>9</v>
      </c>
      <c r="Q47" s="95" t="s">
        <v>9</v>
      </c>
      <c r="R47" s="95" t="s">
        <v>9</v>
      </c>
      <c r="S47" s="95" t="s">
        <v>9</v>
      </c>
      <c r="T47" s="189" t="s">
        <v>9</v>
      </c>
    </row>
    <row r="48" spans="1:20" s="10" customFormat="1" ht="63" customHeight="1">
      <c r="A48" s="95" t="s">
        <v>143</v>
      </c>
      <c r="B48" s="95" t="s">
        <v>447</v>
      </c>
      <c r="C48" s="95" t="s">
        <v>131</v>
      </c>
      <c r="D48" s="95">
        <v>3</v>
      </c>
      <c r="E48" s="95">
        <v>3</v>
      </c>
      <c r="F48" s="95">
        <v>9</v>
      </c>
      <c r="G48" s="95" t="s">
        <v>7</v>
      </c>
      <c r="H48" s="186" t="s">
        <v>9</v>
      </c>
      <c r="I48" s="95" t="s">
        <v>9</v>
      </c>
      <c r="J48" s="95" t="s">
        <v>9</v>
      </c>
      <c r="K48" s="95" t="s">
        <v>9</v>
      </c>
      <c r="L48" s="95">
        <v>12.9</v>
      </c>
      <c r="M48" s="95">
        <f t="shared" si="1"/>
        <v>13.29</v>
      </c>
      <c r="N48" s="95">
        <f t="shared" si="2"/>
        <v>14.19</v>
      </c>
      <c r="O48" s="95">
        <f t="shared" si="3"/>
        <v>14.84</v>
      </c>
      <c r="P48" s="95" t="s">
        <v>9</v>
      </c>
      <c r="Q48" s="95" t="s">
        <v>9</v>
      </c>
      <c r="R48" s="95" t="s">
        <v>9</v>
      </c>
      <c r="S48" s="95" t="s">
        <v>9</v>
      </c>
      <c r="T48" s="189" t="s">
        <v>9</v>
      </c>
    </row>
    <row r="49" spans="1:20" s="10" customFormat="1" ht="63" customHeight="1">
      <c r="A49" s="95" t="s">
        <v>267</v>
      </c>
      <c r="B49" s="95" t="s">
        <v>447</v>
      </c>
      <c r="C49" s="95" t="s">
        <v>169</v>
      </c>
      <c r="D49" s="95">
        <v>5</v>
      </c>
      <c r="E49" s="95">
        <v>3.5</v>
      </c>
      <c r="F49" s="95">
        <v>13.5</v>
      </c>
      <c r="G49" s="95" t="s">
        <v>7</v>
      </c>
      <c r="H49" s="186">
        <v>50</v>
      </c>
      <c r="I49" s="95">
        <v>12.5</v>
      </c>
      <c r="J49" s="95" t="s">
        <v>9</v>
      </c>
      <c r="K49" s="95" t="s">
        <v>9</v>
      </c>
      <c r="L49" s="95">
        <v>28</v>
      </c>
      <c r="M49" s="95">
        <f t="shared" si="1"/>
        <v>28.84</v>
      </c>
      <c r="N49" s="95">
        <f t="shared" si="2"/>
        <v>30.8</v>
      </c>
      <c r="O49" s="95">
        <f t="shared" si="3"/>
        <v>32.200000000000003</v>
      </c>
      <c r="P49" s="95" t="s">
        <v>9</v>
      </c>
      <c r="Q49" s="95" t="s">
        <v>9</v>
      </c>
      <c r="R49" s="95" t="s">
        <v>9</v>
      </c>
      <c r="S49" s="95" t="s">
        <v>9</v>
      </c>
      <c r="T49" s="189" t="s">
        <v>461</v>
      </c>
    </row>
    <row r="50" spans="1:20" s="10" customFormat="1" ht="63" customHeight="1">
      <c r="A50" s="95" t="s">
        <v>143</v>
      </c>
      <c r="B50" s="95" t="s">
        <v>448</v>
      </c>
      <c r="C50" s="95" t="s">
        <v>169</v>
      </c>
      <c r="D50" s="95">
        <v>4.8</v>
      </c>
      <c r="E50" s="95">
        <v>3</v>
      </c>
      <c r="F50" s="95">
        <v>9</v>
      </c>
      <c r="G50" s="95" t="s">
        <v>7</v>
      </c>
      <c r="H50" s="186" t="s">
        <v>9</v>
      </c>
      <c r="I50" s="95" t="s">
        <v>9</v>
      </c>
      <c r="J50" s="95" t="s">
        <v>9</v>
      </c>
      <c r="K50" s="95" t="s">
        <v>9</v>
      </c>
      <c r="L50" s="95">
        <v>18.3</v>
      </c>
      <c r="M50" s="95">
        <f t="shared" si="1"/>
        <v>18.850000000000001</v>
      </c>
      <c r="N50" s="95">
        <f t="shared" si="2"/>
        <v>20.13</v>
      </c>
      <c r="O50" s="95">
        <f t="shared" si="3"/>
        <v>21.05</v>
      </c>
      <c r="P50" s="95" t="s">
        <v>9</v>
      </c>
      <c r="Q50" s="95" t="s">
        <v>9</v>
      </c>
      <c r="R50" s="95" t="s">
        <v>9</v>
      </c>
      <c r="S50" s="95" t="s">
        <v>9</v>
      </c>
      <c r="T50" s="189" t="s">
        <v>9</v>
      </c>
    </row>
    <row r="51" spans="1:20" s="10" customFormat="1" ht="63" customHeight="1">
      <c r="A51" s="95" t="s">
        <v>143</v>
      </c>
      <c r="B51" s="95" t="s">
        <v>449</v>
      </c>
      <c r="C51" s="95" t="s">
        <v>131</v>
      </c>
      <c r="D51" s="95">
        <v>3</v>
      </c>
      <c r="E51" s="95">
        <v>3.5</v>
      </c>
      <c r="F51" s="95">
        <v>9.5</v>
      </c>
      <c r="G51" s="95" t="s">
        <v>7</v>
      </c>
      <c r="H51" s="186" t="s">
        <v>9</v>
      </c>
      <c r="I51" s="95" t="s">
        <v>9</v>
      </c>
      <c r="J51" s="95" t="s">
        <v>9</v>
      </c>
      <c r="K51" s="95" t="s">
        <v>9</v>
      </c>
      <c r="L51" s="95">
        <v>14.4</v>
      </c>
      <c r="M51" s="95">
        <f t="shared" si="1"/>
        <v>14.83</v>
      </c>
      <c r="N51" s="95">
        <f t="shared" si="2"/>
        <v>15.84</v>
      </c>
      <c r="O51" s="95">
        <f t="shared" si="3"/>
        <v>16.559999999999999</v>
      </c>
      <c r="P51" s="95" t="s">
        <v>9</v>
      </c>
      <c r="Q51" s="95" t="s">
        <v>9</v>
      </c>
      <c r="R51" s="95" t="s">
        <v>9</v>
      </c>
      <c r="S51" s="95" t="s">
        <v>9</v>
      </c>
      <c r="T51" s="189" t="s">
        <v>9</v>
      </c>
    </row>
    <row r="52" spans="1:20" s="10" customFormat="1" ht="63" customHeight="1">
      <c r="A52" s="95" t="s">
        <v>143</v>
      </c>
      <c r="B52" s="95" t="s">
        <v>450</v>
      </c>
      <c r="C52" s="95" t="s">
        <v>131</v>
      </c>
      <c r="D52" s="95">
        <v>3</v>
      </c>
      <c r="E52" s="95">
        <v>3</v>
      </c>
      <c r="F52" s="95">
        <v>9</v>
      </c>
      <c r="G52" s="95" t="s">
        <v>7</v>
      </c>
      <c r="H52" s="186" t="s">
        <v>9</v>
      </c>
      <c r="I52" s="95" t="s">
        <v>9</v>
      </c>
      <c r="J52" s="95" t="s">
        <v>9</v>
      </c>
      <c r="K52" s="95" t="s">
        <v>9</v>
      </c>
      <c r="L52" s="95">
        <v>12.9</v>
      </c>
      <c r="M52" s="95">
        <f t="shared" si="1"/>
        <v>13.29</v>
      </c>
      <c r="N52" s="95">
        <f t="shared" si="2"/>
        <v>14.19</v>
      </c>
      <c r="O52" s="95">
        <f t="shared" si="3"/>
        <v>14.84</v>
      </c>
      <c r="P52" s="95" t="s">
        <v>9</v>
      </c>
      <c r="Q52" s="95" t="s">
        <v>9</v>
      </c>
      <c r="R52" s="95" t="s">
        <v>9</v>
      </c>
      <c r="S52" s="95" t="s">
        <v>9</v>
      </c>
      <c r="T52" s="189" t="s">
        <v>9</v>
      </c>
    </row>
    <row r="53" spans="1:20" s="10" customFormat="1" ht="63" customHeight="1">
      <c r="A53" s="95" t="s">
        <v>143</v>
      </c>
      <c r="B53" s="95" t="s">
        <v>451</v>
      </c>
      <c r="C53" s="95" t="s">
        <v>169</v>
      </c>
      <c r="D53" s="95">
        <v>5</v>
      </c>
      <c r="E53" s="95">
        <v>3</v>
      </c>
      <c r="F53" s="95">
        <v>6.5</v>
      </c>
      <c r="G53" s="95" t="s">
        <v>7</v>
      </c>
      <c r="H53" s="186" t="s">
        <v>9</v>
      </c>
      <c r="I53" s="95" t="s">
        <v>9</v>
      </c>
      <c r="J53" s="95" t="s">
        <v>9</v>
      </c>
      <c r="K53" s="95" t="s">
        <v>9</v>
      </c>
      <c r="L53" s="95">
        <v>19</v>
      </c>
      <c r="M53" s="95">
        <f t="shared" si="1"/>
        <v>19.57</v>
      </c>
      <c r="N53" s="95">
        <f t="shared" si="2"/>
        <v>20.9</v>
      </c>
      <c r="O53" s="95">
        <f t="shared" si="3"/>
        <v>21.85</v>
      </c>
      <c r="P53" s="95" t="s">
        <v>9</v>
      </c>
      <c r="Q53" s="95" t="s">
        <v>9</v>
      </c>
      <c r="R53" s="95" t="s">
        <v>9</v>
      </c>
      <c r="S53" s="95" t="s">
        <v>9</v>
      </c>
      <c r="T53" s="187" t="s">
        <v>462</v>
      </c>
    </row>
    <row r="54" spans="1:20" s="10" customFormat="1" ht="63" customHeight="1">
      <c r="A54" s="95" t="s">
        <v>267</v>
      </c>
      <c r="B54" s="95" t="s">
        <v>452</v>
      </c>
      <c r="C54" s="95" t="s">
        <v>169</v>
      </c>
      <c r="D54" s="95">
        <v>5</v>
      </c>
      <c r="E54" s="95">
        <v>3.5</v>
      </c>
      <c r="F54" s="95">
        <v>12</v>
      </c>
      <c r="G54" s="95" t="s">
        <v>7</v>
      </c>
      <c r="H54" s="186" t="s">
        <v>9</v>
      </c>
      <c r="I54" s="95" t="s">
        <v>9</v>
      </c>
      <c r="J54" s="95" t="s">
        <v>9</v>
      </c>
      <c r="K54" s="95" t="s">
        <v>9</v>
      </c>
      <c r="L54" s="95">
        <v>28</v>
      </c>
      <c r="M54" s="95">
        <f t="shared" si="1"/>
        <v>28.84</v>
      </c>
      <c r="N54" s="95">
        <f t="shared" si="2"/>
        <v>30.8</v>
      </c>
      <c r="O54" s="95">
        <f t="shared" si="3"/>
        <v>32.200000000000003</v>
      </c>
      <c r="P54" s="95" t="s">
        <v>9</v>
      </c>
      <c r="Q54" s="95" t="s">
        <v>9</v>
      </c>
      <c r="R54" s="95" t="s">
        <v>9</v>
      </c>
      <c r="S54" s="95" t="s">
        <v>9</v>
      </c>
      <c r="T54" s="187" t="s">
        <v>462</v>
      </c>
    </row>
    <row r="55" spans="1:20" s="10" customFormat="1" ht="63" customHeight="1">
      <c r="A55" s="95" t="s">
        <v>143</v>
      </c>
      <c r="B55" s="95" t="s">
        <v>453</v>
      </c>
      <c r="C55" s="95" t="s">
        <v>169</v>
      </c>
      <c r="D55" s="95">
        <v>3</v>
      </c>
      <c r="E55" s="95">
        <v>3.5</v>
      </c>
      <c r="F55" s="95">
        <v>9.5</v>
      </c>
      <c r="G55" s="95" t="s">
        <v>7</v>
      </c>
      <c r="H55" s="186" t="s">
        <v>9</v>
      </c>
      <c r="I55" s="95" t="s">
        <v>9</v>
      </c>
      <c r="J55" s="95" t="s">
        <v>9</v>
      </c>
      <c r="K55" s="95" t="s">
        <v>9</v>
      </c>
      <c r="L55" s="95">
        <v>14.5</v>
      </c>
      <c r="M55" s="95">
        <f t="shared" si="1"/>
        <v>14.94</v>
      </c>
      <c r="N55" s="95">
        <f t="shared" si="2"/>
        <v>15.95</v>
      </c>
      <c r="O55" s="95">
        <f t="shared" si="3"/>
        <v>16.68</v>
      </c>
      <c r="P55" s="95" t="s">
        <v>9</v>
      </c>
      <c r="Q55" s="95" t="s">
        <v>9</v>
      </c>
      <c r="R55" s="95" t="s">
        <v>9</v>
      </c>
      <c r="S55" s="95" t="s">
        <v>9</v>
      </c>
      <c r="T55" s="187" t="s">
        <v>462</v>
      </c>
    </row>
    <row r="56" spans="1:20" s="10" customFormat="1" ht="63" customHeight="1">
      <c r="A56" s="95" t="s">
        <v>143</v>
      </c>
      <c r="B56" s="95" t="s">
        <v>454</v>
      </c>
      <c r="C56" s="95" t="s">
        <v>169</v>
      </c>
      <c r="D56" s="95">
        <v>3</v>
      </c>
      <c r="E56" s="95">
        <v>3.5</v>
      </c>
      <c r="F56" s="95">
        <v>9.5</v>
      </c>
      <c r="G56" s="95" t="s">
        <v>7</v>
      </c>
      <c r="H56" s="186" t="s">
        <v>9</v>
      </c>
      <c r="I56" s="95" t="s">
        <v>9</v>
      </c>
      <c r="J56" s="95" t="s">
        <v>9</v>
      </c>
      <c r="K56" s="95" t="s">
        <v>9</v>
      </c>
      <c r="L56" s="95">
        <v>14.6</v>
      </c>
      <c r="M56" s="95">
        <f t="shared" si="1"/>
        <v>15.04</v>
      </c>
      <c r="N56" s="95">
        <f t="shared" si="2"/>
        <v>16.059999999999999</v>
      </c>
      <c r="O56" s="95">
        <f t="shared" si="3"/>
        <v>16.79</v>
      </c>
      <c r="P56" s="95" t="s">
        <v>9</v>
      </c>
      <c r="Q56" s="95" t="s">
        <v>9</v>
      </c>
      <c r="R56" s="95" t="s">
        <v>9</v>
      </c>
      <c r="S56" s="95" t="s">
        <v>9</v>
      </c>
      <c r="T56" s="187" t="s">
        <v>462</v>
      </c>
    </row>
    <row r="57" spans="1:20" s="10" customFormat="1" ht="63" customHeight="1">
      <c r="A57" s="95" t="s">
        <v>143</v>
      </c>
      <c r="B57" s="95" t="s">
        <v>454</v>
      </c>
      <c r="C57" s="95" t="s">
        <v>131</v>
      </c>
      <c r="D57" s="95">
        <v>3.3</v>
      </c>
      <c r="E57" s="95">
        <v>3.5</v>
      </c>
      <c r="F57" s="95">
        <v>9.5</v>
      </c>
      <c r="G57" s="95" t="s">
        <v>7</v>
      </c>
      <c r="H57" s="186" t="s">
        <v>9</v>
      </c>
      <c r="I57" s="95" t="s">
        <v>9</v>
      </c>
      <c r="J57" s="95" t="s">
        <v>9</v>
      </c>
      <c r="K57" s="95" t="s">
        <v>9</v>
      </c>
      <c r="L57" s="95">
        <v>15.6</v>
      </c>
      <c r="M57" s="95">
        <f t="shared" si="1"/>
        <v>16.07</v>
      </c>
      <c r="N57" s="95">
        <f t="shared" si="2"/>
        <v>17.16</v>
      </c>
      <c r="O57" s="95">
        <f t="shared" si="3"/>
        <v>17.940000000000001</v>
      </c>
      <c r="P57" s="95" t="s">
        <v>9</v>
      </c>
      <c r="Q57" s="95" t="s">
        <v>9</v>
      </c>
      <c r="R57" s="95" t="s">
        <v>9</v>
      </c>
      <c r="S57" s="95" t="s">
        <v>9</v>
      </c>
      <c r="T57" s="187" t="s">
        <v>424</v>
      </c>
    </row>
    <row r="58" spans="1:20" s="10" customFormat="1" ht="63" customHeight="1">
      <c r="A58" s="95" t="s">
        <v>267</v>
      </c>
      <c r="B58" s="95" t="s">
        <v>455</v>
      </c>
      <c r="C58" s="95" t="s">
        <v>131</v>
      </c>
      <c r="D58" s="95">
        <v>5.0999999999999996</v>
      </c>
      <c r="E58" s="95">
        <v>3.5</v>
      </c>
      <c r="F58" s="95">
        <v>13</v>
      </c>
      <c r="G58" s="95" t="s">
        <v>7</v>
      </c>
      <c r="H58" s="186" t="s">
        <v>9</v>
      </c>
      <c r="I58" s="95" t="s">
        <v>9</v>
      </c>
      <c r="J58" s="95" t="s">
        <v>9</v>
      </c>
      <c r="K58" s="95" t="s">
        <v>9</v>
      </c>
      <c r="L58" s="95">
        <v>28.5</v>
      </c>
      <c r="M58" s="95">
        <f t="shared" si="1"/>
        <v>29.36</v>
      </c>
      <c r="N58" s="95">
        <f t="shared" si="2"/>
        <v>31.35</v>
      </c>
      <c r="O58" s="95">
        <f t="shared" si="3"/>
        <v>32.78</v>
      </c>
      <c r="P58" s="95" t="s">
        <v>9</v>
      </c>
      <c r="Q58" s="95" t="s">
        <v>9</v>
      </c>
      <c r="R58" s="95" t="s">
        <v>9</v>
      </c>
      <c r="S58" s="95" t="s">
        <v>9</v>
      </c>
      <c r="T58" s="187" t="s">
        <v>463</v>
      </c>
    </row>
    <row r="59" spans="1:20" s="10" customFormat="1" ht="63" customHeight="1">
      <c r="A59" s="95" t="s">
        <v>143</v>
      </c>
      <c r="B59" s="95" t="s">
        <v>456</v>
      </c>
      <c r="C59" s="95" t="s">
        <v>131</v>
      </c>
      <c r="D59" s="95">
        <v>3</v>
      </c>
      <c r="E59" s="95">
        <v>3.5</v>
      </c>
      <c r="F59" s="95">
        <v>9.5</v>
      </c>
      <c r="G59" s="95" t="s">
        <v>7</v>
      </c>
      <c r="H59" s="186" t="s">
        <v>9</v>
      </c>
      <c r="I59" s="95" t="s">
        <v>9</v>
      </c>
      <c r="J59" s="95" t="s">
        <v>9</v>
      </c>
      <c r="K59" s="95" t="s">
        <v>9</v>
      </c>
      <c r="L59" s="95">
        <v>14.3</v>
      </c>
      <c r="M59" s="95">
        <f t="shared" si="1"/>
        <v>14.73</v>
      </c>
      <c r="N59" s="95">
        <f t="shared" si="2"/>
        <v>15.73</v>
      </c>
      <c r="O59" s="95">
        <f t="shared" si="3"/>
        <v>16.45</v>
      </c>
      <c r="P59" s="95" t="s">
        <v>9</v>
      </c>
      <c r="Q59" s="95" t="s">
        <v>9</v>
      </c>
      <c r="R59" s="95" t="s">
        <v>9</v>
      </c>
      <c r="S59" s="95" t="s">
        <v>9</v>
      </c>
      <c r="T59" s="95" t="s">
        <v>9</v>
      </c>
    </row>
    <row r="60" spans="1:20" s="10" customFormat="1" ht="63" customHeight="1" thickBot="1">
      <c r="A60" s="190" t="s">
        <v>267</v>
      </c>
      <c r="B60" s="190" t="s">
        <v>457</v>
      </c>
      <c r="C60" s="190" t="s">
        <v>169</v>
      </c>
      <c r="D60" s="190">
        <v>3.8</v>
      </c>
      <c r="E60" s="190">
        <v>3.5</v>
      </c>
      <c r="F60" s="190">
        <v>9.5</v>
      </c>
      <c r="G60" s="190" t="s">
        <v>7</v>
      </c>
      <c r="H60" s="191" t="s">
        <v>9</v>
      </c>
      <c r="I60" s="190" t="s">
        <v>9</v>
      </c>
      <c r="J60" s="190" t="s">
        <v>9</v>
      </c>
      <c r="K60" s="190" t="s">
        <v>9</v>
      </c>
      <c r="L60" s="190">
        <v>14.7</v>
      </c>
      <c r="M60" s="190">
        <f t="shared" si="1"/>
        <v>15.14</v>
      </c>
      <c r="N60" s="190">
        <f t="shared" si="2"/>
        <v>16.170000000000002</v>
      </c>
      <c r="O60" s="190">
        <f t="shared" si="3"/>
        <v>16.91</v>
      </c>
      <c r="P60" s="190" t="s">
        <v>9</v>
      </c>
      <c r="Q60" s="190" t="s">
        <v>9</v>
      </c>
      <c r="R60" s="190" t="s">
        <v>9</v>
      </c>
      <c r="S60" s="190" t="s">
        <v>9</v>
      </c>
      <c r="T60" s="192" t="s">
        <v>462</v>
      </c>
    </row>
    <row r="61" spans="1:20" s="10" customFormat="1" ht="16.5" customHeight="1" thickBot="1">
      <c r="A61" s="195" t="s">
        <v>9</v>
      </c>
      <c r="B61" s="196" t="s">
        <v>9</v>
      </c>
      <c r="C61" s="196" t="s">
        <v>9</v>
      </c>
      <c r="D61" s="196" t="s">
        <v>9</v>
      </c>
      <c r="E61" s="196" t="s">
        <v>9</v>
      </c>
      <c r="F61" s="196" t="s">
        <v>9</v>
      </c>
      <c r="G61" s="196" t="s">
        <v>9</v>
      </c>
      <c r="H61" s="197" t="s">
        <v>9</v>
      </c>
      <c r="I61" s="196">
        <f t="shared" ref="I61:S61" si="4">SUM(I33:I60)</f>
        <v>38.5</v>
      </c>
      <c r="J61" s="196">
        <f t="shared" si="4"/>
        <v>3.9</v>
      </c>
      <c r="K61" s="196">
        <f t="shared" si="4"/>
        <v>9</v>
      </c>
      <c r="L61" s="196">
        <f t="shared" si="4"/>
        <v>479.5</v>
      </c>
      <c r="M61" s="196">
        <f t="shared" si="4"/>
        <v>493.96</v>
      </c>
      <c r="N61" s="196">
        <f t="shared" si="4"/>
        <v>527.45000000000005</v>
      </c>
      <c r="O61" s="196">
        <f t="shared" si="4"/>
        <v>551.53</v>
      </c>
      <c r="P61" s="196">
        <f t="shared" si="4"/>
        <v>0</v>
      </c>
      <c r="Q61" s="196">
        <f t="shared" si="4"/>
        <v>0</v>
      </c>
      <c r="R61" s="196">
        <f t="shared" si="4"/>
        <v>0</v>
      </c>
      <c r="S61" s="196">
        <f t="shared" si="4"/>
        <v>0</v>
      </c>
      <c r="T61" s="198" t="s">
        <v>9</v>
      </c>
    </row>
    <row r="62" spans="1:20" s="10" customFormat="1" ht="25.5" customHeight="1">
      <c r="A62" s="544" t="s">
        <v>458</v>
      </c>
      <c r="B62" s="545"/>
      <c r="C62" s="545"/>
      <c r="D62" s="545"/>
      <c r="E62" s="545"/>
      <c r="F62" s="545"/>
      <c r="G62" s="545"/>
      <c r="H62" s="545"/>
      <c r="I62" s="545"/>
      <c r="J62" s="545"/>
      <c r="K62" s="545"/>
      <c r="L62" s="545"/>
      <c r="M62" s="545"/>
      <c r="N62" s="545"/>
      <c r="O62" s="545"/>
      <c r="P62" s="545"/>
      <c r="Q62" s="545"/>
      <c r="R62" s="545"/>
      <c r="S62" s="545"/>
      <c r="T62" s="546"/>
    </row>
    <row r="63" spans="1:20" s="10" customFormat="1" ht="63" customHeight="1">
      <c r="A63" s="95" t="s">
        <v>143</v>
      </c>
      <c r="B63" s="95" t="s">
        <v>464</v>
      </c>
      <c r="C63" s="95" t="s">
        <v>169</v>
      </c>
      <c r="D63" s="95">
        <v>3.2</v>
      </c>
      <c r="E63" s="95">
        <v>3.5</v>
      </c>
      <c r="F63" s="95">
        <v>8.6</v>
      </c>
      <c r="G63" s="95" t="s">
        <v>7</v>
      </c>
      <c r="H63" s="186" t="s">
        <v>9</v>
      </c>
      <c r="I63" s="95" t="s">
        <v>9</v>
      </c>
      <c r="J63" s="95" t="s">
        <v>9</v>
      </c>
      <c r="K63" s="95" t="s">
        <v>9</v>
      </c>
      <c r="L63" s="95">
        <v>13.5</v>
      </c>
      <c r="M63" s="190">
        <f t="shared" ref="M63:M70" si="5">1.03*L63</f>
        <v>13.91</v>
      </c>
      <c r="N63" s="190">
        <f t="shared" ref="N63:N70" si="6">1.1*L63</f>
        <v>14.85</v>
      </c>
      <c r="O63" s="190">
        <f t="shared" ref="O63:O70" si="7">1.15*L63</f>
        <v>15.53</v>
      </c>
      <c r="P63" s="95" t="s">
        <v>9</v>
      </c>
      <c r="Q63" s="95" t="s">
        <v>9</v>
      </c>
      <c r="R63" s="95" t="s">
        <v>9</v>
      </c>
      <c r="S63" s="95" t="s">
        <v>9</v>
      </c>
      <c r="T63" s="95" t="s">
        <v>9</v>
      </c>
    </row>
    <row r="64" spans="1:20" s="10" customFormat="1" ht="63" customHeight="1">
      <c r="A64" s="95" t="s">
        <v>143</v>
      </c>
      <c r="B64" s="95" t="s">
        <v>465</v>
      </c>
      <c r="C64" s="95" t="s">
        <v>169</v>
      </c>
      <c r="D64" s="95">
        <v>2.8</v>
      </c>
      <c r="E64" s="95">
        <v>3.5</v>
      </c>
      <c r="F64" s="95">
        <v>9.5</v>
      </c>
      <c r="G64" s="95" t="s">
        <v>7</v>
      </c>
      <c r="H64" s="186" t="s">
        <v>9</v>
      </c>
      <c r="I64" s="95" t="s">
        <v>9</v>
      </c>
      <c r="J64" s="95" t="s">
        <v>9</v>
      </c>
      <c r="K64" s="95" t="s">
        <v>9</v>
      </c>
      <c r="L64" s="95">
        <v>14.4</v>
      </c>
      <c r="M64" s="190">
        <f t="shared" si="5"/>
        <v>14.83</v>
      </c>
      <c r="N64" s="190">
        <f t="shared" si="6"/>
        <v>15.84</v>
      </c>
      <c r="O64" s="190">
        <f t="shared" si="7"/>
        <v>16.559999999999999</v>
      </c>
      <c r="P64" s="95" t="s">
        <v>9</v>
      </c>
      <c r="Q64" s="95" t="s">
        <v>9</v>
      </c>
      <c r="R64" s="95" t="s">
        <v>9</v>
      </c>
      <c r="S64" s="95" t="s">
        <v>9</v>
      </c>
      <c r="T64" s="95" t="s">
        <v>9</v>
      </c>
    </row>
    <row r="65" spans="1:20" s="10" customFormat="1" ht="63" customHeight="1">
      <c r="A65" s="95" t="s">
        <v>143</v>
      </c>
      <c r="B65" s="95" t="s">
        <v>466</v>
      </c>
      <c r="C65" s="95" t="s">
        <v>169</v>
      </c>
      <c r="D65" s="95">
        <v>2.8</v>
      </c>
      <c r="E65" s="95">
        <v>3.5</v>
      </c>
      <c r="F65" s="95">
        <v>9.5</v>
      </c>
      <c r="G65" s="95" t="s">
        <v>7</v>
      </c>
      <c r="H65" s="186" t="s">
        <v>9</v>
      </c>
      <c r="I65" s="95" t="s">
        <v>9</v>
      </c>
      <c r="J65" s="95" t="s">
        <v>9</v>
      </c>
      <c r="K65" s="95" t="s">
        <v>9</v>
      </c>
      <c r="L65" s="95">
        <v>14.4</v>
      </c>
      <c r="M65" s="190">
        <f t="shared" si="5"/>
        <v>14.83</v>
      </c>
      <c r="N65" s="190">
        <f t="shared" si="6"/>
        <v>15.84</v>
      </c>
      <c r="O65" s="190">
        <f t="shared" si="7"/>
        <v>16.559999999999999</v>
      </c>
      <c r="P65" s="95" t="s">
        <v>9</v>
      </c>
      <c r="Q65" s="95" t="s">
        <v>9</v>
      </c>
      <c r="R65" s="95" t="s">
        <v>9</v>
      </c>
      <c r="S65" s="95" t="s">
        <v>9</v>
      </c>
      <c r="T65" s="95" t="s">
        <v>9</v>
      </c>
    </row>
    <row r="66" spans="1:20" s="10" customFormat="1" ht="63" customHeight="1">
      <c r="A66" s="95" t="s">
        <v>143</v>
      </c>
      <c r="B66" s="95" t="s">
        <v>467</v>
      </c>
      <c r="C66" s="95" t="s">
        <v>169</v>
      </c>
      <c r="D66" s="95">
        <v>2.8</v>
      </c>
      <c r="E66" s="95">
        <v>3.5</v>
      </c>
      <c r="F66" s="95">
        <v>9.5</v>
      </c>
      <c r="G66" s="95" t="s">
        <v>7</v>
      </c>
      <c r="H66" s="186" t="s">
        <v>9</v>
      </c>
      <c r="I66" s="95" t="s">
        <v>9</v>
      </c>
      <c r="J66" s="95" t="s">
        <v>9</v>
      </c>
      <c r="K66" s="95" t="s">
        <v>9</v>
      </c>
      <c r="L66" s="95">
        <v>14.4</v>
      </c>
      <c r="M66" s="190">
        <f t="shared" si="5"/>
        <v>14.83</v>
      </c>
      <c r="N66" s="190">
        <f t="shared" si="6"/>
        <v>15.84</v>
      </c>
      <c r="O66" s="190">
        <f t="shared" si="7"/>
        <v>16.559999999999999</v>
      </c>
      <c r="P66" s="95" t="s">
        <v>9</v>
      </c>
      <c r="Q66" s="95" t="s">
        <v>9</v>
      </c>
      <c r="R66" s="95" t="s">
        <v>9</v>
      </c>
      <c r="S66" s="95" t="s">
        <v>9</v>
      </c>
      <c r="T66" s="95" t="s">
        <v>9</v>
      </c>
    </row>
    <row r="67" spans="1:20" s="10" customFormat="1" ht="63" customHeight="1">
      <c r="A67" s="95" t="s">
        <v>143</v>
      </c>
      <c r="B67" s="95" t="s">
        <v>468</v>
      </c>
      <c r="C67" s="95" t="s">
        <v>169</v>
      </c>
      <c r="D67" s="95">
        <v>3</v>
      </c>
      <c r="E67" s="95">
        <v>3.5</v>
      </c>
      <c r="F67" s="95">
        <v>9.5</v>
      </c>
      <c r="G67" s="95" t="s">
        <v>7</v>
      </c>
      <c r="H67" s="186" t="s">
        <v>9</v>
      </c>
      <c r="I67" s="95" t="s">
        <v>9</v>
      </c>
      <c r="J67" s="95" t="s">
        <v>9</v>
      </c>
      <c r="K67" s="95" t="s">
        <v>9</v>
      </c>
      <c r="L67" s="95">
        <v>14.5</v>
      </c>
      <c r="M67" s="190">
        <f t="shared" si="5"/>
        <v>14.94</v>
      </c>
      <c r="N67" s="190">
        <f t="shared" si="6"/>
        <v>15.95</v>
      </c>
      <c r="O67" s="190">
        <f t="shared" si="7"/>
        <v>16.68</v>
      </c>
      <c r="P67" s="95" t="s">
        <v>9</v>
      </c>
      <c r="Q67" s="95" t="s">
        <v>9</v>
      </c>
      <c r="R67" s="95" t="s">
        <v>9</v>
      </c>
      <c r="S67" s="95" t="s">
        <v>9</v>
      </c>
      <c r="T67" s="95" t="s">
        <v>9</v>
      </c>
    </row>
    <row r="68" spans="1:20" s="10" customFormat="1" ht="63" customHeight="1">
      <c r="A68" s="95" t="s">
        <v>143</v>
      </c>
      <c r="B68" s="95" t="s">
        <v>469</v>
      </c>
      <c r="C68" s="95" t="s">
        <v>169</v>
      </c>
      <c r="D68" s="95">
        <v>3</v>
      </c>
      <c r="E68" s="95">
        <v>3.5</v>
      </c>
      <c r="F68" s="95">
        <v>9.5</v>
      </c>
      <c r="G68" s="95" t="s">
        <v>7</v>
      </c>
      <c r="H68" s="186" t="s">
        <v>9</v>
      </c>
      <c r="I68" s="95" t="s">
        <v>9</v>
      </c>
      <c r="J68" s="95" t="s">
        <v>9</v>
      </c>
      <c r="K68" s="95" t="s">
        <v>9</v>
      </c>
      <c r="L68" s="95">
        <v>14.5</v>
      </c>
      <c r="M68" s="190">
        <f t="shared" si="5"/>
        <v>14.94</v>
      </c>
      <c r="N68" s="190">
        <f t="shared" si="6"/>
        <v>15.95</v>
      </c>
      <c r="O68" s="190">
        <f t="shared" si="7"/>
        <v>16.68</v>
      </c>
      <c r="P68" s="95" t="s">
        <v>9</v>
      </c>
      <c r="Q68" s="95" t="s">
        <v>9</v>
      </c>
      <c r="R68" s="95" t="s">
        <v>9</v>
      </c>
      <c r="S68" s="95" t="s">
        <v>9</v>
      </c>
      <c r="T68" s="95" t="s">
        <v>474</v>
      </c>
    </row>
    <row r="69" spans="1:20" s="10" customFormat="1" ht="63" customHeight="1">
      <c r="A69" s="95" t="s">
        <v>143</v>
      </c>
      <c r="B69" s="95" t="s">
        <v>470</v>
      </c>
      <c r="C69" s="95" t="s">
        <v>169</v>
      </c>
      <c r="D69" s="95">
        <v>3</v>
      </c>
      <c r="E69" s="95">
        <v>3.5</v>
      </c>
      <c r="F69" s="95">
        <v>9.5</v>
      </c>
      <c r="G69" s="95" t="s">
        <v>7</v>
      </c>
      <c r="H69" s="186" t="s">
        <v>9</v>
      </c>
      <c r="I69" s="95" t="s">
        <v>9</v>
      </c>
      <c r="J69" s="95" t="s">
        <v>9</v>
      </c>
      <c r="K69" s="95" t="s">
        <v>9</v>
      </c>
      <c r="L69" s="95">
        <v>14.5</v>
      </c>
      <c r="M69" s="190">
        <f t="shared" si="5"/>
        <v>14.94</v>
      </c>
      <c r="N69" s="190">
        <f t="shared" si="6"/>
        <v>15.95</v>
      </c>
      <c r="O69" s="190">
        <f t="shared" si="7"/>
        <v>16.68</v>
      </c>
      <c r="P69" s="95" t="s">
        <v>9</v>
      </c>
      <c r="Q69" s="95" t="s">
        <v>9</v>
      </c>
      <c r="R69" s="95" t="s">
        <v>9</v>
      </c>
      <c r="S69" s="95" t="s">
        <v>9</v>
      </c>
      <c r="T69" s="95" t="s">
        <v>473</v>
      </c>
    </row>
    <row r="70" spans="1:20" s="10" customFormat="1" ht="63" customHeight="1">
      <c r="A70" s="95" t="s">
        <v>267</v>
      </c>
      <c r="B70" s="95" t="s">
        <v>471</v>
      </c>
      <c r="C70" s="95" t="s">
        <v>169</v>
      </c>
      <c r="D70" s="95">
        <v>3</v>
      </c>
      <c r="E70" s="95">
        <v>3.5</v>
      </c>
      <c r="F70" s="95">
        <v>9.5</v>
      </c>
      <c r="G70" s="95" t="s">
        <v>7</v>
      </c>
      <c r="H70" s="186" t="s">
        <v>9</v>
      </c>
      <c r="I70" s="95" t="s">
        <v>9</v>
      </c>
      <c r="J70" s="95" t="s">
        <v>9</v>
      </c>
      <c r="K70" s="95" t="s">
        <v>9</v>
      </c>
      <c r="L70" s="95">
        <v>14.5</v>
      </c>
      <c r="M70" s="190">
        <f t="shared" si="5"/>
        <v>14.94</v>
      </c>
      <c r="N70" s="190">
        <f t="shared" si="6"/>
        <v>15.95</v>
      </c>
      <c r="O70" s="190">
        <f t="shared" si="7"/>
        <v>16.68</v>
      </c>
      <c r="P70" s="95" t="s">
        <v>9</v>
      </c>
      <c r="Q70" s="95" t="s">
        <v>9</v>
      </c>
      <c r="R70" s="95" t="s">
        <v>9</v>
      </c>
      <c r="S70" s="95" t="s">
        <v>9</v>
      </c>
      <c r="T70" s="95" t="s">
        <v>9</v>
      </c>
    </row>
    <row r="71" spans="1:20" ht="13.5" thickBot="1">
      <c r="A71" s="193" t="s">
        <v>9</v>
      </c>
      <c r="B71" s="193" t="s">
        <v>9</v>
      </c>
      <c r="C71" s="193" t="s">
        <v>9</v>
      </c>
      <c r="D71" s="193" t="s">
        <v>9</v>
      </c>
      <c r="E71" s="193" t="s">
        <v>9</v>
      </c>
      <c r="F71" s="193" t="s">
        <v>9</v>
      </c>
      <c r="G71" s="193" t="s">
        <v>9</v>
      </c>
      <c r="H71" s="194" t="s">
        <v>9</v>
      </c>
      <c r="I71" s="193">
        <f t="shared" ref="I71:S71" si="8">SUM(I63:I70)</f>
        <v>0</v>
      </c>
      <c r="J71" s="193">
        <f t="shared" si="8"/>
        <v>0</v>
      </c>
      <c r="K71" s="193">
        <f t="shared" si="8"/>
        <v>0</v>
      </c>
      <c r="L71" s="193">
        <f t="shared" si="8"/>
        <v>114.7</v>
      </c>
      <c r="M71" s="193">
        <f t="shared" si="8"/>
        <v>118.16</v>
      </c>
      <c r="N71" s="193">
        <f t="shared" si="8"/>
        <v>126.17</v>
      </c>
      <c r="O71" s="193">
        <f t="shared" si="8"/>
        <v>131.93</v>
      </c>
      <c r="P71" s="193">
        <f t="shared" si="8"/>
        <v>0</v>
      </c>
      <c r="Q71" s="193">
        <f t="shared" si="8"/>
        <v>0</v>
      </c>
      <c r="R71" s="193">
        <f t="shared" si="8"/>
        <v>0</v>
      </c>
      <c r="S71" s="193">
        <f t="shared" si="8"/>
        <v>0</v>
      </c>
      <c r="T71" s="193" t="s">
        <v>9</v>
      </c>
    </row>
    <row r="72" spans="1:20" ht="21.75" customHeight="1" thickBot="1">
      <c r="A72" s="547" t="s">
        <v>475</v>
      </c>
      <c r="B72" s="548"/>
      <c r="C72" s="548"/>
      <c r="D72" s="548"/>
      <c r="E72" s="548"/>
      <c r="F72" s="548"/>
      <c r="G72" s="548"/>
      <c r="H72" s="549"/>
      <c r="I72" s="199">
        <f t="shared" ref="I72:S72" si="9">I71+I61+I31</f>
        <v>65.5</v>
      </c>
      <c r="J72" s="199">
        <f t="shared" si="9"/>
        <v>11.7</v>
      </c>
      <c r="K72" s="199">
        <f t="shared" si="9"/>
        <v>27</v>
      </c>
      <c r="L72" s="199">
        <f t="shared" si="9"/>
        <v>999.4</v>
      </c>
      <c r="M72" s="200">
        <f t="shared" si="9"/>
        <v>1029.51</v>
      </c>
      <c r="N72" s="199">
        <f t="shared" si="9"/>
        <v>1099.3399999999999</v>
      </c>
      <c r="O72" s="200">
        <f t="shared" si="9"/>
        <v>1149.48</v>
      </c>
      <c r="P72" s="199">
        <f t="shared" si="9"/>
        <v>132.19999999999999</v>
      </c>
      <c r="Q72" s="200">
        <f t="shared" si="9"/>
        <v>132.19999999999999</v>
      </c>
      <c r="R72" s="199">
        <f t="shared" si="9"/>
        <v>132.19999999999999</v>
      </c>
      <c r="S72" s="200">
        <f t="shared" si="9"/>
        <v>33.299999999999997</v>
      </c>
      <c r="T72" s="201" t="s">
        <v>9</v>
      </c>
    </row>
    <row r="73" spans="1:20">
      <c r="A73" s="179"/>
      <c r="B73" s="179"/>
      <c r="C73" s="179"/>
      <c r="D73" s="179"/>
      <c r="E73" s="179"/>
      <c r="F73" s="179"/>
      <c r="G73" s="179"/>
      <c r="H73" s="179"/>
      <c r="I73" s="180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</row>
    <row r="74" spans="1:20">
      <c r="A74" s="179"/>
      <c r="B74" s="179"/>
      <c r="C74" s="179"/>
      <c r="D74" s="179"/>
      <c r="E74" s="179"/>
      <c r="F74" s="179"/>
      <c r="G74" s="179"/>
      <c r="H74" s="179"/>
      <c r="I74" s="179" t="s">
        <v>219</v>
      </c>
      <c r="J74" s="179" t="s">
        <v>219</v>
      </c>
      <c r="K74" s="179" t="s">
        <v>219</v>
      </c>
      <c r="L74" s="179" t="s">
        <v>219</v>
      </c>
      <c r="M74" s="179" t="s">
        <v>219</v>
      </c>
      <c r="N74" s="179" t="s">
        <v>219</v>
      </c>
      <c r="O74" s="179" t="s">
        <v>219</v>
      </c>
      <c r="P74" s="179" t="s">
        <v>219</v>
      </c>
      <c r="Q74" s="179" t="s">
        <v>219</v>
      </c>
      <c r="R74" s="179" t="s">
        <v>219</v>
      </c>
      <c r="S74" s="179" t="s">
        <v>219</v>
      </c>
      <c r="T74" s="179"/>
    </row>
    <row r="75" spans="1:20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</row>
    <row r="76" spans="1:20">
      <c r="A76" s="179"/>
      <c r="B76" s="179"/>
      <c r="C76" s="179"/>
      <c r="D76" s="179"/>
      <c r="E76" s="179"/>
      <c r="F76" s="179"/>
      <c r="G76" s="179"/>
      <c r="H76" s="179"/>
      <c r="I76" s="179"/>
      <c r="J76" s="181"/>
      <c r="K76" s="181"/>
      <c r="L76" s="179"/>
      <c r="M76" s="179"/>
      <c r="N76" s="179"/>
      <c r="O76" s="179"/>
      <c r="P76" s="179"/>
      <c r="Q76" s="179"/>
      <c r="R76" s="179"/>
      <c r="S76" s="179"/>
    </row>
  </sheetData>
  <mergeCells count="7">
    <mergeCell ref="A62:T62"/>
    <mergeCell ref="A72:H72"/>
    <mergeCell ref="A4:T4"/>
    <mergeCell ref="L3:O3"/>
    <mergeCell ref="P3:S3"/>
    <mergeCell ref="A6:T6"/>
    <mergeCell ref="A32:T32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E14"/>
  <sheetViews>
    <sheetView workbookViewId="0">
      <selection activeCell="D8" sqref="D8"/>
    </sheetView>
  </sheetViews>
  <sheetFormatPr defaultRowHeight="15"/>
  <cols>
    <col min="1" max="1" width="60.140625" style="11" customWidth="1"/>
    <col min="2" max="2" width="10.7109375" style="11" customWidth="1"/>
    <col min="3" max="3" width="12.42578125" style="11" customWidth="1"/>
    <col min="4" max="4" width="12.28515625" style="11" customWidth="1"/>
    <col min="5" max="5" width="29.85546875" style="11" customWidth="1"/>
    <col min="6" max="6" width="13" style="11" customWidth="1"/>
    <col min="7" max="7" width="11.85546875" style="11" customWidth="1"/>
    <col min="8" max="8" width="16.5703125" style="11" customWidth="1"/>
    <col min="9" max="9" width="14.85546875" style="11" customWidth="1"/>
    <col min="10" max="10" width="27.5703125" style="11" customWidth="1"/>
    <col min="11" max="16384" width="9.140625" style="11"/>
  </cols>
  <sheetData>
    <row r="1" spans="1:5" ht="15.75">
      <c r="A1" s="117" t="s">
        <v>293</v>
      </c>
      <c r="B1" s="59"/>
      <c r="C1" s="59"/>
      <c r="D1" s="59"/>
    </row>
    <row r="2" spans="1:5">
      <c r="A2" s="67" t="s">
        <v>145</v>
      </c>
      <c r="B2" s="67" t="s">
        <v>146</v>
      </c>
      <c r="C2" s="67" t="s">
        <v>147</v>
      </c>
      <c r="D2" s="67" t="s">
        <v>148</v>
      </c>
    </row>
    <row r="3" spans="1:5" ht="62.25" customHeight="1">
      <c r="A3" s="72" t="s">
        <v>268</v>
      </c>
      <c r="B3" s="58" t="s">
        <v>133</v>
      </c>
      <c r="C3" s="202" t="s">
        <v>273</v>
      </c>
      <c r="D3" s="58">
        <v>1047.8</v>
      </c>
      <c r="E3" s="91" t="s">
        <v>219</v>
      </c>
    </row>
    <row r="4" spans="1:5" ht="38.25" customHeight="1">
      <c r="A4" s="72" t="s">
        <v>476</v>
      </c>
      <c r="B4" s="58" t="s">
        <v>133</v>
      </c>
      <c r="C4" s="202" t="s">
        <v>477</v>
      </c>
      <c r="D4" s="58">
        <f>D3*1.2</f>
        <v>1257.3599999999999</v>
      </c>
      <c r="E4" s="91" t="s">
        <v>219</v>
      </c>
    </row>
    <row r="5" spans="1:5" ht="38.25" customHeight="1">
      <c r="A5" s="72" t="s">
        <v>480</v>
      </c>
      <c r="B5" s="58" t="s">
        <v>133</v>
      </c>
      <c r="C5" s="58" t="s">
        <v>160</v>
      </c>
      <c r="D5" s="58">
        <f>21.6+16.4+754.4+38.1+45.6+40.9+1188.5+32.3</f>
        <v>2137.8000000000002</v>
      </c>
      <c r="E5" s="91" t="s">
        <v>219</v>
      </c>
    </row>
    <row r="6" spans="1:5" ht="45">
      <c r="A6" s="72" t="s">
        <v>479</v>
      </c>
      <c r="B6" s="58" t="s">
        <v>133</v>
      </c>
      <c r="C6" s="58" t="s">
        <v>274</v>
      </c>
      <c r="D6" s="58">
        <f>985.3+35.6+444.5+57.6+20.5+12.6+14.1+91.7+6.2</f>
        <v>1668.1</v>
      </c>
      <c r="E6" s="91" t="s">
        <v>219</v>
      </c>
    </row>
    <row r="7" spans="1:5" ht="50.25" customHeight="1">
      <c r="A7" s="72" t="s">
        <v>478</v>
      </c>
      <c r="B7" s="58" t="s">
        <v>133</v>
      </c>
      <c r="C7" s="58" t="s">
        <v>161</v>
      </c>
      <c r="D7" s="58">
        <v>19.899999999999999</v>
      </c>
      <c r="E7" s="91" t="s">
        <v>219</v>
      </c>
    </row>
    <row r="8" spans="1:5" ht="39.75" customHeight="1">
      <c r="A8" s="72" t="s">
        <v>481</v>
      </c>
      <c r="B8" s="58" t="s">
        <v>133</v>
      </c>
      <c r="C8" s="58" t="s">
        <v>482</v>
      </c>
      <c r="D8" s="58">
        <v>9.1999999999999993</v>
      </c>
      <c r="E8" s="91" t="s">
        <v>219</v>
      </c>
    </row>
    <row r="9" spans="1:5" ht="19.5" customHeight="1">
      <c r="A9" s="72" t="s">
        <v>271</v>
      </c>
      <c r="B9" s="58" t="s">
        <v>26</v>
      </c>
      <c r="C9" s="58" t="s">
        <v>272</v>
      </c>
      <c r="D9" s="58">
        <v>17</v>
      </c>
      <c r="E9" s="66" t="s">
        <v>219</v>
      </c>
    </row>
    <row r="10" spans="1:5" ht="19.5" customHeight="1">
      <c r="A10" s="72" t="s">
        <v>483</v>
      </c>
      <c r="B10" s="58" t="s">
        <v>29</v>
      </c>
      <c r="C10" s="58" t="s">
        <v>9</v>
      </c>
      <c r="D10" s="58">
        <v>0.36</v>
      </c>
      <c r="E10" s="66" t="s">
        <v>219</v>
      </c>
    </row>
    <row r="11" spans="1:5" ht="20.25" customHeight="1">
      <c r="A11" s="72" t="s">
        <v>553</v>
      </c>
      <c r="B11" s="58" t="s">
        <v>42</v>
      </c>
      <c r="C11" s="113" t="s">
        <v>270</v>
      </c>
      <c r="D11" s="58">
        <v>29</v>
      </c>
      <c r="E11" s="12" t="s">
        <v>219</v>
      </c>
    </row>
    <row r="12" spans="1:5">
      <c r="A12" s="72" t="s">
        <v>269</v>
      </c>
      <c r="B12" s="58" t="s">
        <v>134</v>
      </c>
      <c r="C12" s="58" t="s">
        <v>9</v>
      </c>
      <c r="D12" s="58">
        <v>7.8</v>
      </c>
      <c r="E12" s="12"/>
    </row>
    <row r="13" spans="1:5" ht="36" customHeight="1">
      <c r="A13" s="72" t="s">
        <v>484</v>
      </c>
      <c r="B13" s="58" t="s">
        <v>42</v>
      </c>
      <c r="C13" s="113" t="s">
        <v>275</v>
      </c>
      <c r="D13" s="58">
        <v>20</v>
      </c>
      <c r="E13" s="66" t="s">
        <v>219</v>
      </c>
    </row>
    <row r="14" spans="1:5" ht="33.75" customHeight="1">
      <c r="A14" s="72" t="s">
        <v>485</v>
      </c>
      <c r="B14" s="58" t="s">
        <v>42</v>
      </c>
      <c r="C14" s="113" t="s">
        <v>9</v>
      </c>
      <c r="D14" s="58">
        <v>15</v>
      </c>
      <c r="E14" s="11" t="s">
        <v>219</v>
      </c>
    </row>
  </sheetData>
  <pageMargins left="0.7" right="0.7" top="0.75" bottom="0.75" header="0.3" footer="0.3"/>
  <pageSetup paperSize="9" scale="91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26"/>
  <sheetViews>
    <sheetView topLeftCell="A13" workbookViewId="0">
      <selection activeCell="H9" sqref="H9"/>
    </sheetView>
  </sheetViews>
  <sheetFormatPr defaultRowHeight="15"/>
  <cols>
    <col min="1" max="1" width="60.140625" style="59" customWidth="1"/>
    <col min="2" max="2" width="10.7109375" style="59" customWidth="1"/>
    <col min="3" max="3" width="14.85546875" style="59" customWidth="1"/>
    <col min="4" max="4" width="12.28515625" style="59" customWidth="1"/>
    <col min="5" max="5" width="8.42578125" style="59" hidden="1" customWidth="1"/>
    <col min="6" max="6" width="13" style="59" customWidth="1"/>
    <col min="7" max="7" width="11.85546875" style="59" customWidth="1"/>
    <col min="8" max="8" width="16.5703125" style="59" customWidth="1"/>
    <col min="9" max="9" width="14.85546875" style="59" customWidth="1"/>
    <col min="10" max="10" width="27.5703125" style="59" customWidth="1"/>
    <col min="11" max="16384" width="9.140625" style="59"/>
  </cols>
  <sheetData>
    <row r="1" spans="1:6" ht="15.75">
      <c r="A1" s="175" t="s">
        <v>292</v>
      </c>
      <c r="B1" s="203"/>
      <c r="C1" s="203"/>
      <c r="D1" s="203"/>
    </row>
    <row r="2" spans="1:6">
      <c r="A2" s="67" t="s">
        <v>145</v>
      </c>
      <c r="B2" s="67" t="s">
        <v>146</v>
      </c>
      <c r="C2" s="67" t="s">
        <v>147</v>
      </c>
      <c r="D2" s="67" t="s">
        <v>148</v>
      </c>
    </row>
    <row r="3" spans="1:6">
      <c r="A3" s="558" t="s">
        <v>277</v>
      </c>
      <c r="B3" s="558"/>
      <c r="C3" s="558"/>
      <c r="D3" s="558"/>
    </row>
    <row r="4" spans="1:6" ht="19.5" customHeight="1">
      <c r="A4" s="72" t="s">
        <v>486</v>
      </c>
      <c r="B4" s="58" t="s">
        <v>42</v>
      </c>
      <c r="C4" s="113" t="s">
        <v>275</v>
      </c>
      <c r="D4" s="58">
        <v>32</v>
      </c>
      <c r="E4" s="91" t="s">
        <v>219</v>
      </c>
      <c r="F4" s="59" t="s">
        <v>219</v>
      </c>
    </row>
    <row r="5" spans="1:6" ht="30">
      <c r="A5" s="72" t="s">
        <v>320</v>
      </c>
      <c r="B5" s="58" t="s">
        <v>42</v>
      </c>
      <c r="C5" s="113" t="s">
        <v>270</v>
      </c>
      <c r="D5" s="58">
        <f>'1. Zjazdy indywidualne'!I72</f>
        <v>65.5</v>
      </c>
      <c r="E5" s="91" t="s">
        <v>219</v>
      </c>
      <c r="F5" s="59" t="s">
        <v>219</v>
      </c>
    </row>
    <row r="6" spans="1:6">
      <c r="A6" s="558" t="s">
        <v>278</v>
      </c>
      <c r="B6" s="558"/>
      <c r="C6" s="558"/>
      <c r="D6" s="558"/>
      <c r="E6" s="91"/>
    </row>
    <row r="7" spans="1:6" ht="30">
      <c r="A7" s="72" t="s">
        <v>489</v>
      </c>
      <c r="B7" s="58" t="s">
        <v>42</v>
      </c>
      <c r="C7" s="113" t="s">
        <v>270</v>
      </c>
      <c r="D7" s="58">
        <f>46+41+38.5+39+39.5+40.5+7.5</f>
        <v>252</v>
      </c>
      <c r="E7" s="91"/>
      <c r="F7" s="59" t="s">
        <v>219</v>
      </c>
    </row>
    <row r="8" spans="1:6" ht="30">
      <c r="A8" s="72" t="s">
        <v>281</v>
      </c>
      <c r="B8" s="58" t="s">
        <v>42</v>
      </c>
      <c r="C8" s="113" t="s">
        <v>282</v>
      </c>
      <c r="D8" s="58">
        <f>26+72</f>
        <v>98</v>
      </c>
      <c r="E8" s="91" t="s">
        <v>219</v>
      </c>
      <c r="F8" s="59" t="s">
        <v>219</v>
      </c>
    </row>
    <row r="9" spans="1:6" ht="30">
      <c r="A9" s="72" t="s">
        <v>487</v>
      </c>
      <c r="B9" s="58" t="s">
        <v>42</v>
      </c>
      <c r="C9" s="113" t="s">
        <v>488</v>
      </c>
      <c r="D9" s="58">
        <f>78+40+21+8.5+7.5+34.5+39+39</f>
        <v>267.5</v>
      </c>
      <c r="E9" s="91"/>
      <c r="F9" s="59" t="s">
        <v>219</v>
      </c>
    </row>
    <row r="10" spans="1:6" ht="30">
      <c r="A10" s="72" t="s">
        <v>276</v>
      </c>
      <c r="B10" s="58" t="s">
        <v>134</v>
      </c>
      <c r="C10" s="58" t="s">
        <v>9</v>
      </c>
      <c r="D10" s="58">
        <v>3.3</v>
      </c>
      <c r="E10" s="91" t="s">
        <v>219</v>
      </c>
      <c r="F10" s="59" t="s">
        <v>219</v>
      </c>
    </row>
    <row r="11" spans="1:6">
      <c r="A11" s="72" t="s">
        <v>162</v>
      </c>
      <c r="B11" s="58" t="s">
        <v>42</v>
      </c>
      <c r="C11" s="113" t="s">
        <v>283</v>
      </c>
      <c r="D11" s="58">
        <v>124</v>
      </c>
      <c r="E11" s="91" t="s">
        <v>219</v>
      </c>
      <c r="F11" s="59" t="s">
        <v>219</v>
      </c>
    </row>
    <row r="12" spans="1:6" ht="33.75" customHeight="1">
      <c r="A12" s="72" t="s">
        <v>581</v>
      </c>
      <c r="B12" s="58" t="s">
        <v>26</v>
      </c>
      <c r="C12" s="113" t="s">
        <v>270</v>
      </c>
      <c r="D12" s="58">
        <v>32</v>
      </c>
      <c r="E12" s="91"/>
      <c r="F12" s="59" t="s">
        <v>219</v>
      </c>
    </row>
    <row r="13" spans="1:6" ht="33.75" customHeight="1">
      <c r="A13" s="72" t="s">
        <v>495</v>
      </c>
      <c r="B13" s="58" t="s">
        <v>26</v>
      </c>
      <c r="C13" s="113" t="s">
        <v>285</v>
      </c>
      <c r="D13" s="58">
        <v>1</v>
      </c>
      <c r="E13" s="91"/>
      <c r="F13" s="59" t="s">
        <v>219</v>
      </c>
    </row>
    <row r="14" spans="1:6" ht="33.75" customHeight="1">
      <c r="A14" s="72" t="s">
        <v>492</v>
      </c>
      <c r="B14" s="58" t="s">
        <v>26</v>
      </c>
      <c r="C14" s="113" t="s">
        <v>284</v>
      </c>
      <c r="D14" s="58">
        <v>9</v>
      </c>
      <c r="E14" s="91"/>
      <c r="F14" s="59" t="s">
        <v>219</v>
      </c>
    </row>
    <row r="15" spans="1:6" ht="31.5" customHeight="1">
      <c r="A15" s="72" t="s">
        <v>491</v>
      </c>
      <c r="B15" s="58" t="s">
        <v>26</v>
      </c>
      <c r="C15" s="113" t="s">
        <v>490</v>
      </c>
      <c r="D15" s="58">
        <v>8</v>
      </c>
      <c r="E15" s="91" t="s">
        <v>219</v>
      </c>
      <c r="F15" s="59" t="s">
        <v>219</v>
      </c>
    </row>
    <row r="16" spans="1:6" ht="31.5" customHeight="1">
      <c r="A16" s="72" t="s">
        <v>493</v>
      </c>
      <c r="B16" s="58" t="s">
        <v>26</v>
      </c>
      <c r="C16" s="113" t="s">
        <v>494</v>
      </c>
      <c r="D16" s="58">
        <v>3</v>
      </c>
      <c r="E16" s="91"/>
      <c r="F16" s="59" t="s">
        <v>219</v>
      </c>
    </row>
    <row r="17" spans="1:6">
      <c r="A17" s="558" t="s">
        <v>279</v>
      </c>
      <c r="B17" s="558"/>
      <c r="C17" s="558"/>
      <c r="D17" s="558"/>
    </row>
    <row r="18" spans="1:6" ht="51" customHeight="1">
      <c r="A18" s="72" t="s">
        <v>505</v>
      </c>
      <c r="B18" s="58" t="s">
        <v>42</v>
      </c>
      <c r="C18" s="58" t="s">
        <v>496</v>
      </c>
      <c r="D18" s="58">
        <v>478.5</v>
      </c>
      <c r="E18" s="59" t="s">
        <v>219</v>
      </c>
      <c r="F18" s="59" t="s">
        <v>219</v>
      </c>
    </row>
    <row r="19" spans="1:6" ht="34.5" customHeight="1">
      <c r="A19" s="72" t="s">
        <v>497</v>
      </c>
      <c r="B19" s="58" t="s">
        <v>42</v>
      </c>
      <c r="C19" s="58" t="s">
        <v>498</v>
      </c>
      <c r="D19" s="58">
        <v>274</v>
      </c>
      <c r="F19" s="59" t="s">
        <v>219</v>
      </c>
    </row>
    <row r="20" spans="1:6" ht="51" customHeight="1">
      <c r="A20" s="72" t="s">
        <v>502</v>
      </c>
      <c r="B20" s="58" t="s">
        <v>42</v>
      </c>
      <c r="C20" s="58" t="s">
        <v>499</v>
      </c>
      <c r="D20" s="58">
        <v>42</v>
      </c>
      <c r="E20" s="59" t="s">
        <v>219</v>
      </c>
      <c r="F20" s="59" t="s">
        <v>219</v>
      </c>
    </row>
    <row r="21" spans="1:6" ht="45">
      <c r="A21" s="72" t="s">
        <v>500</v>
      </c>
      <c r="B21" s="58" t="s">
        <v>42</v>
      </c>
      <c r="C21" s="58" t="s">
        <v>501</v>
      </c>
      <c r="D21" s="58">
        <v>353</v>
      </c>
      <c r="F21" s="59" t="s">
        <v>219</v>
      </c>
    </row>
    <row r="22" spans="1:6" ht="56.25" customHeight="1">
      <c r="A22" s="72" t="s">
        <v>374</v>
      </c>
      <c r="B22" s="58" t="s">
        <v>133</v>
      </c>
      <c r="C22" s="58" t="s">
        <v>280</v>
      </c>
      <c r="D22" s="58">
        <v>354.6</v>
      </c>
      <c r="E22" s="59" t="s">
        <v>219</v>
      </c>
      <c r="F22" s="59" t="s">
        <v>219</v>
      </c>
    </row>
    <row r="23" spans="1:6" ht="45">
      <c r="A23" s="72" t="s">
        <v>503</v>
      </c>
      <c r="B23" s="58" t="s">
        <v>42</v>
      </c>
      <c r="C23" s="58" t="s">
        <v>504</v>
      </c>
      <c r="D23" s="58">
        <v>157.5</v>
      </c>
      <c r="F23" s="59" t="s">
        <v>219</v>
      </c>
    </row>
    <row r="24" spans="1:6" ht="76.5" customHeight="1">
      <c r="A24" s="72" t="s">
        <v>508</v>
      </c>
      <c r="B24" s="58" t="s">
        <v>42</v>
      </c>
      <c r="C24" s="58" t="s">
        <v>9</v>
      </c>
      <c r="D24" s="58">
        <v>50.5</v>
      </c>
      <c r="F24" s="59" t="s">
        <v>219</v>
      </c>
    </row>
    <row r="25" spans="1:6" ht="38.25" customHeight="1">
      <c r="A25" s="72" t="s">
        <v>624</v>
      </c>
      <c r="B25" s="58" t="s">
        <v>133</v>
      </c>
      <c r="C25" s="58" t="s">
        <v>9</v>
      </c>
      <c r="D25" s="58">
        <v>95.3</v>
      </c>
      <c r="F25" s="59" t="s">
        <v>219</v>
      </c>
    </row>
    <row r="26" spans="1:6">
      <c r="A26" s="204" t="s">
        <v>506</v>
      </c>
    </row>
  </sheetData>
  <mergeCells count="3">
    <mergeCell ref="A17:D17"/>
    <mergeCell ref="A6:D6"/>
    <mergeCell ref="A3:D3"/>
  </mergeCells>
  <phoneticPr fontId="50" type="noConversion"/>
  <pageMargins left="0.7" right="0.7" top="0.75" bottom="0.75" header="0.3" footer="0.3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42"/>
  <sheetViews>
    <sheetView topLeftCell="A20" workbookViewId="0">
      <selection activeCell="E37" sqref="E37"/>
    </sheetView>
  </sheetViews>
  <sheetFormatPr defaultRowHeight="15"/>
  <cols>
    <col min="1" max="1" width="63.28515625" style="59" customWidth="1"/>
    <col min="2" max="2" width="10.7109375" style="59" customWidth="1"/>
    <col min="3" max="3" width="15.5703125" style="59" customWidth="1"/>
    <col min="4" max="4" width="23.42578125" style="59" customWidth="1"/>
    <col min="5" max="5" width="14.28515625" style="59" customWidth="1"/>
    <col min="6" max="6" width="13" style="59" customWidth="1"/>
    <col min="7" max="7" width="11.85546875" style="59" customWidth="1"/>
    <col min="8" max="8" width="16.5703125" style="59" customWidth="1"/>
    <col min="9" max="9" width="14.85546875" style="59" customWidth="1"/>
    <col min="10" max="10" width="27.5703125" style="59" customWidth="1"/>
    <col min="11" max="16384" width="9.140625" style="59"/>
  </cols>
  <sheetData>
    <row r="1" spans="1:5" hidden="1"/>
    <row r="2" spans="1:5" ht="15.75">
      <c r="A2" s="117" t="s">
        <v>286</v>
      </c>
      <c r="B2" s="117"/>
      <c r="C2" s="117"/>
      <c r="D2" s="117"/>
    </row>
    <row r="3" spans="1:5" ht="15.75" thickBot="1">
      <c r="A3" s="14"/>
      <c r="B3" s="14"/>
      <c r="C3" s="14"/>
      <c r="D3" s="14"/>
    </row>
    <row r="4" spans="1:5">
      <c r="A4" s="131" t="s">
        <v>163</v>
      </c>
      <c r="B4" s="132" t="s">
        <v>146</v>
      </c>
      <c r="C4" s="129" t="s">
        <v>164</v>
      </c>
      <c r="D4" s="130" t="s">
        <v>148</v>
      </c>
    </row>
    <row r="5" spans="1:5" ht="15" customHeight="1">
      <c r="A5" s="568" t="s">
        <v>509</v>
      </c>
      <c r="B5" s="569"/>
      <c r="C5" s="569"/>
      <c r="D5" s="570"/>
    </row>
    <row r="6" spans="1:5" ht="45">
      <c r="A6" s="121" t="s">
        <v>510</v>
      </c>
      <c r="B6" s="58" t="s">
        <v>42</v>
      </c>
      <c r="C6" s="58" t="s">
        <v>511</v>
      </c>
      <c r="D6" s="133">
        <v>880.8</v>
      </c>
      <c r="E6" s="59" t="s">
        <v>219</v>
      </c>
    </row>
    <row r="7" spans="1:5" hidden="1">
      <c r="A7" s="565" t="s">
        <v>288</v>
      </c>
      <c r="B7" s="566"/>
      <c r="C7" s="566"/>
      <c r="D7" s="567"/>
    </row>
    <row r="8" spans="1:5" ht="30" hidden="1">
      <c r="A8" s="122" t="s">
        <v>289</v>
      </c>
      <c r="B8" s="116" t="s">
        <v>42</v>
      </c>
      <c r="C8" s="116" t="s">
        <v>287</v>
      </c>
      <c r="D8" s="147">
        <v>1390.3</v>
      </c>
    </row>
    <row r="9" spans="1:5" hidden="1">
      <c r="A9" s="565"/>
      <c r="B9" s="566"/>
      <c r="C9" s="566"/>
      <c r="D9" s="567"/>
    </row>
    <row r="10" spans="1:5" ht="45" hidden="1">
      <c r="A10" s="122" t="s">
        <v>290</v>
      </c>
      <c r="B10" s="139" t="s">
        <v>133</v>
      </c>
      <c r="C10" s="140" t="s">
        <v>291</v>
      </c>
      <c r="D10" s="141">
        <v>0</v>
      </c>
    </row>
    <row r="11" spans="1:5">
      <c r="A11" s="568" t="s">
        <v>295</v>
      </c>
      <c r="B11" s="569"/>
      <c r="C11" s="569"/>
      <c r="D11" s="570"/>
    </row>
    <row r="12" spans="1:5" ht="45.75" thickBot="1">
      <c r="A12" s="123" t="s">
        <v>512</v>
      </c>
      <c r="B12" s="115" t="s">
        <v>42</v>
      </c>
      <c r="C12" s="134" t="s">
        <v>155</v>
      </c>
      <c r="D12" s="13">
        <v>788.6</v>
      </c>
      <c r="E12" s="59" t="s">
        <v>219</v>
      </c>
    </row>
    <row r="13" spans="1:5">
      <c r="A13" s="206"/>
      <c r="B13" s="66"/>
      <c r="C13" s="207"/>
      <c r="D13" s="208"/>
    </row>
    <row r="14" spans="1:5" ht="15.75">
      <c r="A14" s="117" t="s">
        <v>514</v>
      </c>
      <c r="B14" s="144"/>
      <c r="C14" s="144"/>
    </row>
    <row r="15" spans="1:5" ht="15.75" thickBot="1"/>
    <row r="16" spans="1:5">
      <c r="A16" s="128" t="s">
        <v>163</v>
      </c>
      <c r="B16" s="129" t="s">
        <v>146</v>
      </c>
      <c r="C16" s="130" t="s">
        <v>148</v>
      </c>
    </row>
    <row r="17" spans="1:4" ht="15" customHeight="1">
      <c r="A17" s="114" t="s">
        <v>513</v>
      </c>
      <c r="B17" s="209"/>
      <c r="C17" s="210"/>
    </row>
    <row r="18" spans="1:4" ht="20.25" customHeight="1">
      <c r="A18" s="121" t="s">
        <v>296</v>
      </c>
      <c r="B18" s="58" t="s">
        <v>133</v>
      </c>
      <c r="C18" s="133">
        <v>3848.5</v>
      </c>
      <c r="D18" s="59" t="s">
        <v>219</v>
      </c>
    </row>
    <row r="19" spans="1:4" ht="21.75" customHeight="1">
      <c r="A19" s="124" t="s">
        <v>298</v>
      </c>
      <c r="B19" s="58" t="s">
        <v>133</v>
      </c>
      <c r="C19" s="133">
        <f>1.01*C18</f>
        <v>3886.99</v>
      </c>
      <c r="D19" s="59" t="s">
        <v>219</v>
      </c>
    </row>
    <row r="20" spans="1:4" ht="24" customHeight="1">
      <c r="A20" s="124" t="s">
        <v>299</v>
      </c>
      <c r="B20" s="58" t="s">
        <v>133</v>
      </c>
      <c r="C20" s="133">
        <f>1.03*C18</f>
        <v>3963.96</v>
      </c>
      <c r="D20" s="59" t="s">
        <v>219</v>
      </c>
    </row>
    <row r="21" spans="1:4" ht="24.75" customHeight="1">
      <c r="A21" s="124" t="s">
        <v>517</v>
      </c>
      <c r="B21" s="58" t="s">
        <v>133</v>
      </c>
      <c r="C21" s="146">
        <f>1.09*C18</f>
        <v>4194.87</v>
      </c>
      <c r="D21" s="59" t="s">
        <v>219</v>
      </c>
    </row>
    <row r="22" spans="1:4" ht="30.75" thickBot="1">
      <c r="A22" s="125" t="s">
        <v>518</v>
      </c>
      <c r="B22" s="115" t="s">
        <v>133</v>
      </c>
      <c r="C22" s="149">
        <f>1.18*C18</f>
        <v>4541.2299999999996</v>
      </c>
      <c r="D22" s="59" t="s">
        <v>219</v>
      </c>
    </row>
    <row r="23" spans="1:4" ht="15.75" thickBot="1">
      <c r="A23" s="120"/>
      <c r="B23" s="66"/>
      <c r="C23" s="148"/>
    </row>
    <row r="24" spans="1:4">
      <c r="A24" s="128" t="s">
        <v>163</v>
      </c>
      <c r="B24" s="129" t="s">
        <v>146</v>
      </c>
      <c r="C24" s="130" t="s">
        <v>148</v>
      </c>
    </row>
    <row r="25" spans="1:4">
      <c r="A25" s="114" t="s">
        <v>515</v>
      </c>
      <c r="B25" s="209"/>
      <c r="C25" s="210"/>
    </row>
    <row r="26" spans="1:4" ht="21" customHeight="1">
      <c r="A26" s="121" t="s">
        <v>296</v>
      </c>
      <c r="B26" s="58" t="s">
        <v>133</v>
      </c>
      <c r="C26" s="133">
        <f>2289.2+658.9</f>
        <v>2948.1</v>
      </c>
      <c r="D26" s="59" t="s">
        <v>219</v>
      </c>
    </row>
    <row r="27" spans="1:4" ht="24" customHeight="1">
      <c r="A27" s="124" t="s">
        <v>519</v>
      </c>
      <c r="B27" s="58" t="s">
        <v>133</v>
      </c>
      <c r="C27" s="133">
        <f>1.03*C26</f>
        <v>3036.54</v>
      </c>
      <c r="D27" s="59" t="s">
        <v>219</v>
      </c>
    </row>
    <row r="28" spans="1:4" ht="24.75" customHeight="1">
      <c r="A28" s="124" t="s">
        <v>324</v>
      </c>
      <c r="B28" s="58" t="s">
        <v>133</v>
      </c>
      <c r="C28" s="146">
        <f>1.14*C26</f>
        <v>3360.83</v>
      </c>
      <c r="D28" s="59" t="s">
        <v>219</v>
      </c>
    </row>
    <row r="29" spans="1:4" ht="30.75" thickBot="1">
      <c r="A29" s="125" t="s">
        <v>518</v>
      </c>
      <c r="B29" s="115" t="s">
        <v>133</v>
      </c>
      <c r="C29" s="149">
        <f>1.19*C26</f>
        <v>3508.24</v>
      </c>
      <c r="D29" s="59" t="s">
        <v>219</v>
      </c>
    </row>
    <row r="30" spans="1:4">
      <c r="A30" s="211" t="s">
        <v>516</v>
      </c>
      <c r="B30" s="66"/>
      <c r="C30" s="148"/>
    </row>
    <row r="31" spans="1:4">
      <c r="A31" s="120"/>
      <c r="B31" s="66"/>
      <c r="C31" s="148"/>
    </row>
    <row r="32" spans="1:4" ht="15.75">
      <c r="A32" s="138" t="s">
        <v>520</v>
      </c>
      <c r="B32" s="144"/>
      <c r="C32" s="145"/>
    </row>
    <row r="33" spans="1:4" ht="15.75" thickBot="1">
      <c r="A33" s="142"/>
      <c r="C33" s="143"/>
    </row>
    <row r="34" spans="1:4">
      <c r="A34" s="128" t="s">
        <v>163</v>
      </c>
      <c r="B34" s="129" t="s">
        <v>146</v>
      </c>
      <c r="C34" s="130" t="s">
        <v>148</v>
      </c>
    </row>
    <row r="35" spans="1:4">
      <c r="A35" s="114" t="s">
        <v>523</v>
      </c>
      <c r="B35" s="118"/>
      <c r="C35" s="119"/>
    </row>
    <row r="36" spans="1:4" ht="30">
      <c r="A36" s="121" t="s">
        <v>521</v>
      </c>
      <c r="B36" s="58" t="s">
        <v>133</v>
      </c>
      <c r="C36" s="127">
        <v>1338.9</v>
      </c>
      <c r="D36" s="59" t="s">
        <v>219</v>
      </c>
    </row>
    <row r="37" spans="1:4">
      <c r="A37" s="124" t="s">
        <v>297</v>
      </c>
      <c r="B37" s="58" t="s">
        <v>133</v>
      </c>
      <c r="C37" s="127">
        <f>C36</f>
        <v>1338.9</v>
      </c>
      <c r="D37" s="59" t="s">
        <v>219</v>
      </c>
    </row>
    <row r="38" spans="1:4" ht="18.75" customHeight="1" thickBot="1">
      <c r="A38" s="125" t="s">
        <v>522</v>
      </c>
      <c r="B38" s="115" t="s">
        <v>133</v>
      </c>
      <c r="C38" s="126">
        <f>C37</f>
        <v>1338.9</v>
      </c>
      <c r="D38" s="59" t="s">
        <v>219</v>
      </c>
    </row>
    <row r="39" spans="1:4">
      <c r="A39" s="211" t="s">
        <v>524</v>
      </c>
      <c r="B39" s="205"/>
      <c r="C39" s="212"/>
    </row>
    <row r="40" spans="1:4" ht="15.75" thickBot="1">
      <c r="A40" s="142"/>
      <c r="C40" s="143"/>
    </row>
    <row r="41" spans="1:4">
      <c r="A41" s="559" t="s">
        <v>163</v>
      </c>
      <c r="B41" s="560"/>
      <c r="C41" s="561"/>
    </row>
    <row r="42" spans="1:4" ht="15.75" thickBot="1">
      <c r="A42" s="562" t="s">
        <v>507</v>
      </c>
      <c r="B42" s="563"/>
      <c r="C42" s="564"/>
    </row>
  </sheetData>
  <mergeCells count="6">
    <mergeCell ref="A41:C41"/>
    <mergeCell ref="A42:C42"/>
    <mergeCell ref="A7:D7"/>
    <mergeCell ref="A5:D5"/>
    <mergeCell ref="A11:D11"/>
    <mergeCell ref="A9:D9"/>
  </mergeCells>
  <pageMargins left="0.7" right="0.7" top="0.75" bottom="0.75" header="0.3" footer="0.3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83"/>
  <sheetViews>
    <sheetView topLeftCell="A53" workbookViewId="0">
      <selection activeCell="E81" sqref="E81"/>
    </sheetView>
  </sheetViews>
  <sheetFormatPr defaultRowHeight="15"/>
  <cols>
    <col min="1" max="2" width="9.140625" style="60"/>
    <col min="3" max="3" width="13.85546875" style="60" customWidth="1"/>
    <col min="4" max="4" width="11.5703125" style="60" bestFit="1" customWidth="1"/>
    <col min="5" max="5" width="9.140625" style="60"/>
    <col min="6" max="6" width="14.28515625" style="60" customWidth="1"/>
    <col min="7" max="7" width="10" style="60" customWidth="1"/>
    <col min="8" max="253" width="9.140625" style="60"/>
    <col min="254" max="254" width="10" style="60" customWidth="1"/>
    <col min="255" max="257" width="9.140625" style="60"/>
    <col min="258" max="258" width="9.42578125" style="60" customWidth="1"/>
    <col min="259" max="509" width="9.140625" style="60"/>
    <col min="510" max="510" width="10" style="60" customWidth="1"/>
    <col min="511" max="513" width="9.140625" style="60"/>
    <col min="514" max="514" width="9.42578125" style="60" customWidth="1"/>
    <col min="515" max="765" width="9.140625" style="60"/>
    <col min="766" max="766" width="10" style="60" customWidth="1"/>
    <col min="767" max="769" width="9.140625" style="60"/>
    <col min="770" max="770" width="9.42578125" style="60" customWidth="1"/>
    <col min="771" max="1021" width="9.140625" style="60"/>
    <col min="1022" max="1022" width="10" style="60" customWidth="1"/>
    <col min="1023" max="1025" width="9.140625" style="60"/>
    <col min="1026" max="1026" width="9.42578125" style="60" customWidth="1"/>
    <col min="1027" max="1277" width="9.140625" style="60"/>
    <col min="1278" max="1278" width="10" style="60" customWidth="1"/>
    <col min="1279" max="1281" width="9.140625" style="60"/>
    <col min="1282" max="1282" width="9.42578125" style="60" customWidth="1"/>
    <col min="1283" max="1533" width="9.140625" style="60"/>
    <col min="1534" max="1534" width="10" style="60" customWidth="1"/>
    <col min="1535" max="1537" width="9.140625" style="60"/>
    <col min="1538" max="1538" width="9.42578125" style="60" customWidth="1"/>
    <col min="1539" max="1789" width="9.140625" style="60"/>
    <col min="1790" max="1790" width="10" style="60" customWidth="1"/>
    <col min="1791" max="1793" width="9.140625" style="60"/>
    <col min="1794" max="1794" width="9.42578125" style="60" customWidth="1"/>
    <col min="1795" max="2045" width="9.140625" style="60"/>
    <col min="2046" max="2046" width="10" style="60" customWidth="1"/>
    <col min="2047" max="2049" width="9.140625" style="60"/>
    <col min="2050" max="2050" width="9.42578125" style="60" customWidth="1"/>
    <col min="2051" max="2301" width="9.140625" style="60"/>
    <col min="2302" max="2302" width="10" style="60" customWidth="1"/>
    <col min="2303" max="2305" width="9.140625" style="60"/>
    <col min="2306" max="2306" width="9.42578125" style="60" customWidth="1"/>
    <col min="2307" max="2557" width="9.140625" style="60"/>
    <col min="2558" max="2558" width="10" style="60" customWidth="1"/>
    <col min="2559" max="2561" width="9.140625" style="60"/>
    <col min="2562" max="2562" width="9.42578125" style="60" customWidth="1"/>
    <col min="2563" max="2813" width="9.140625" style="60"/>
    <col min="2814" max="2814" width="10" style="60" customWidth="1"/>
    <col min="2815" max="2817" width="9.140625" style="60"/>
    <col min="2818" max="2818" width="9.42578125" style="60" customWidth="1"/>
    <col min="2819" max="3069" width="9.140625" style="60"/>
    <col min="3070" max="3070" width="10" style="60" customWidth="1"/>
    <col min="3071" max="3073" width="9.140625" style="60"/>
    <col min="3074" max="3074" width="9.42578125" style="60" customWidth="1"/>
    <col min="3075" max="3325" width="9.140625" style="60"/>
    <col min="3326" max="3326" width="10" style="60" customWidth="1"/>
    <col min="3327" max="3329" width="9.140625" style="60"/>
    <col min="3330" max="3330" width="9.42578125" style="60" customWidth="1"/>
    <col min="3331" max="3581" width="9.140625" style="60"/>
    <col min="3582" max="3582" width="10" style="60" customWidth="1"/>
    <col min="3583" max="3585" width="9.140625" style="60"/>
    <col min="3586" max="3586" width="9.42578125" style="60" customWidth="1"/>
    <col min="3587" max="3837" width="9.140625" style="60"/>
    <col min="3838" max="3838" width="10" style="60" customWidth="1"/>
    <col min="3839" max="3841" width="9.140625" style="60"/>
    <col min="3842" max="3842" width="9.42578125" style="60" customWidth="1"/>
    <col min="3843" max="4093" width="9.140625" style="60"/>
    <col min="4094" max="4094" width="10" style="60" customWidth="1"/>
    <col min="4095" max="4097" width="9.140625" style="60"/>
    <col min="4098" max="4098" width="9.42578125" style="60" customWidth="1"/>
    <col min="4099" max="4349" width="9.140625" style="60"/>
    <col min="4350" max="4350" width="10" style="60" customWidth="1"/>
    <col min="4351" max="4353" width="9.140625" style="60"/>
    <col min="4354" max="4354" width="9.42578125" style="60" customWidth="1"/>
    <col min="4355" max="4605" width="9.140625" style="60"/>
    <col min="4606" max="4606" width="10" style="60" customWidth="1"/>
    <col min="4607" max="4609" width="9.140625" style="60"/>
    <col min="4610" max="4610" width="9.42578125" style="60" customWidth="1"/>
    <col min="4611" max="4861" width="9.140625" style="60"/>
    <col min="4862" max="4862" width="10" style="60" customWidth="1"/>
    <col min="4863" max="4865" width="9.140625" style="60"/>
    <col min="4866" max="4866" width="9.42578125" style="60" customWidth="1"/>
    <col min="4867" max="5117" width="9.140625" style="60"/>
    <col min="5118" max="5118" width="10" style="60" customWidth="1"/>
    <col min="5119" max="5121" width="9.140625" style="60"/>
    <col min="5122" max="5122" width="9.42578125" style="60" customWidth="1"/>
    <col min="5123" max="5373" width="9.140625" style="60"/>
    <col min="5374" max="5374" width="10" style="60" customWidth="1"/>
    <col min="5375" max="5377" width="9.140625" style="60"/>
    <col min="5378" max="5378" width="9.42578125" style="60" customWidth="1"/>
    <col min="5379" max="5629" width="9.140625" style="60"/>
    <col min="5630" max="5630" width="10" style="60" customWidth="1"/>
    <col min="5631" max="5633" width="9.140625" style="60"/>
    <col min="5634" max="5634" width="9.42578125" style="60" customWidth="1"/>
    <col min="5635" max="5885" width="9.140625" style="60"/>
    <col min="5886" max="5886" width="10" style="60" customWidth="1"/>
    <col min="5887" max="5889" width="9.140625" style="60"/>
    <col min="5890" max="5890" width="9.42578125" style="60" customWidth="1"/>
    <col min="5891" max="6141" width="9.140625" style="60"/>
    <col min="6142" max="6142" width="10" style="60" customWidth="1"/>
    <col min="6143" max="6145" width="9.140625" style="60"/>
    <col min="6146" max="6146" width="9.42578125" style="60" customWidth="1"/>
    <col min="6147" max="6397" width="9.140625" style="60"/>
    <col min="6398" max="6398" width="10" style="60" customWidth="1"/>
    <col min="6399" max="6401" width="9.140625" style="60"/>
    <col min="6402" max="6402" width="9.42578125" style="60" customWidth="1"/>
    <col min="6403" max="6653" width="9.140625" style="60"/>
    <col min="6654" max="6654" width="10" style="60" customWidth="1"/>
    <col min="6655" max="6657" width="9.140625" style="60"/>
    <col min="6658" max="6658" width="9.42578125" style="60" customWidth="1"/>
    <col min="6659" max="6909" width="9.140625" style="60"/>
    <col min="6910" max="6910" width="10" style="60" customWidth="1"/>
    <col min="6911" max="6913" width="9.140625" style="60"/>
    <col min="6914" max="6914" width="9.42578125" style="60" customWidth="1"/>
    <col min="6915" max="7165" width="9.140625" style="60"/>
    <col min="7166" max="7166" width="10" style="60" customWidth="1"/>
    <col min="7167" max="7169" width="9.140625" style="60"/>
    <col min="7170" max="7170" width="9.42578125" style="60" customWidth="1"/>
    <col min="7171" max="7421" width="9.140625" style="60"/>
    <col min="7422" max="7422" width="10" style="60" customWidth="1"/>
    <col min="7423" max="7425" width="9.140625" style="60"/>
    <col min="7426" max="7426" width="9.42578125" style="60" customWidth="1"/>
    <col min="7427" max="7677" width="9.140625" style="60"/>
    <col min="7678" max="7678" width="10" style="60" customWidth="1"/>
    <col min="7679" max="7681" width="9.140625" style="60"/>
    <col min="7682" max="7682" width="9.42578125" style="60" customWidth="1"/>
    <col min="7683" max="7933" width="9.140625" style="60"/>
    <col min="7934" max="7934" width="10" style="60" customWidth="1"/>
    <col min="7935" max="7937" width="9.140625" style="60"/>
    <col min="7938" max="7938" width="9.42578125" style="60" customWidth="1"/>
    <col min="7939" max="8189" width="9.140625" style="60"/>
    <col min="8190" max="8190" width="10" style="60" customWidth="1"/>
    <col min="8191" max="8193" width="9.140625" style="60"/>
    <col min="8194" max="8194" width="9.42578125" style="60" customWidth="1"/>
    <col min="8195" max="8445" width="9.140625" style="60"/>
    <col min="8446" max="8446" width="10" style="60" customWidth="1"/>
    <col min="8447" max="8449" width="9.140625" style="60"/>
    <col min="8450" max="8450" width="9.42578125" style="60" customWidth="1"/>
    <col min="8451" max="8701" width="9.140625" style="60"/>
    <col min="8702" max="8702" width="10" style="60" customWidth="1"/>
    <col min="8703" max="8705" width="9.140625" style="60"/>
    <col min="8706" max="8706" width="9.42578125" style="60" customWidth="1"/>
    <col min="8707" max="8957" width="9.140625" style="60"/>
    <col min="8958" max="8958" width="10" style="60" customWidth="1"/>
    <col min="8959" max="8961" width="9.140625" style="60"/>
    <col min="8962" max="8962" width="9.42578125" style="60" customWidth="1"/>
    <col min="8963" max="9213" width="9.140625" style="60"/>
    <col min="9214" max="9214" width="10" style="60" customWidth="1"/>
    <col min="9215" max="9217" width="9.140625" style="60"/>
    <col min="9218" max="9218" width="9.42578125" style="60" customWidth="1"/>
    <col min="9219" max="9469" width="9.140625" style="60"/>
    <col min="9470" max="9470" width="10" style="60" customWidth="1"/>
    <col min="9471" max="9473" width="9.140625" style="60"/>
    <col min="9474" max="9474" width="9.42578125" style="60" customWidth="1"/>
    <col min="9475" max="9725" width="9.140625" style="60"/>
    <col min="9726" max="9726" width="10" style="60" customWidth="1"/>
    <col min="9727" max="9729" width="9.140625" style="60"/>
    <col min="9730" max="9730" width="9.42578125" style="60" customWidth="1"/>
    <col min="9731" max="9981" width="9.140625" style="60"/>
    <col min="9982" max="9982" width="10" style="60" customWidth="1"/>
    <col min="9983" max="9985" width="9.140625" style="60"/>
    <col min="9986" max="9986" width="9.42578125" style="60" customWidth="1"/>
    <col min="9987" max="10237" width="9.140625" style="60"/>
    <col min="10238" max="10238" width="10" style="60" customWidth="1"/>
    <col min="10239" max="10241" width="9.140625" style="60"/>
    <col min="10242" max="10242" width="9.42578125" style="60" customWidth="1"/>
    <col min="10243" max="10493" width="9.140625" style="60"/>
    <col min="10494" max="10494" width="10" style="60" customWidth="1"/>
    <col min="10495" max="10497" width="9.140625" style="60"/>
    <col min="10498" max="10498" width="9.42578125" style="60" customWidth="1"/>
    <col min="10499" max="10749" width="9.140625" style="60"/>
    <col min="10750" max="10750" width="10" style="60" customWidth="1"/>
    <col min="10751" max="10753" width="9.140625" style="60"/>
    <col min="10754" max="10754" width="9.42578125" style="60" customWidth="1"/>
    <col min="10755" max="11005" width="9.140625" style="60"/>
    <col min="11006" max="11006" width="10" style="60" customWidth="1"/>
    <col min="11007" max="11009" width="9.140625" style="60"/>
    <col min="11010" max="11010" width="9.42578125" style="60" customWidth="1"/>
    <col min="11011" max="11261" width="9.140625" style="60"/>
    <col min="11262" max="11262" width="10" style="60" customWidth="1"/>
    <col min="11263" max="11265" width="9.140625" style="60"/>
    <col min="11266" max="11266" width="9.42578125" style="60" customWidth="1"/>
    <col min="11267" max="11517" width="9.140625" style="60"/>
    <col min="11518" max="11518" width="10" style="60" customWidth="1"/>
    <col min="11519" max="11521" width="9.140625" style="60"/>
    <col min="11522" max="11522" width="9.42578125" style="60" customWidth="1"/>
    <col min="11523" max="11773" width="9.140625" style="60"/>
    <col min="11774" max="11774" width="10" style="60" customWidth="1"/>
    <col min="11775" max="11777" width="9.140625" style="60"/>
    <col min="11778" max="11778" width="9.42578125" style="60" customWidth="1"/>
    <col min="11779" max="12029" width="9.140625" style="60"/>
    <col min="12030" max="12030" width="10" style="60" customWidth="1"/>
    <col min="12031" max="12033" width="9.140625" style="60"/>
    <col min="12034" max="12034" width="9.42578125" style="60" customWidth="1"/>
    <col min="12035" max="12285" width="9.140625" style="60"/>
    <col min="12286" max="12286" width="10" style="60" customWidth="1"/>
    <col min="12287" max="12289" width="9.140625" style="60"/>
    <col min="12290" max="12290" width="9.42578125" style="60" customWidth="1"/>
    <col min="12291" max="12541" width="9.140625" style="60"/>
    <col min="12542" max="12542" width="10" style="60" customWidth="1"/>
    <col min="12543" max="12545" width="9.140625" style="60"/>
    <col min="12546" max="12546" width="9.42578125" style="60" customWidth="1"/>
    <col min="12547" max="12797" width="9.140625" style="60"/>
    <col min="12798" max="12798" width="10" style="60" customWidth="1"/>
    <col min="12799" max="12801" width="9.140625" style="60"/>
    <col min="12802" max="12802" width="9.42578125" style="60" customWidth="1"/>
    <col min="12803" max="13053" width="9.140625" style="60"/>
    <col min="13054" max="13054" width="10" style="60" customWidth="1"/>
    <col min="13055" max="13057" width="9.140625" style="60"/>
    <col min="13058" max="13058" width="9.42578125" style="60" customWidth="1"/>
    <col min="13059" max="13309" width="9.140625" style="60"/>
    <col min="13310" max="13310" width="10" style="60" customWidth="1"/>
    <col min="13311" max="13313" width="9.140625" style="60"/>
    <col min="13314" max="13314" width="9.42578125" style="60" customWidth="1"/>
    <col min="13315" max="13565" width="9.140625" style="60"/>
    <col min="13566" max="13566" width="10" style="60" customWidth="1"/>
    <col min="13567" max="13569" width="9.140625" style="60"/>
    <col min="13570" max="13570" width="9.42578125" style="60" customWidth="1"/>
    <col min="13571" max="13821" width="9.140625" style="60"/>
    <col min="13822" max="13822" width="10" style="60" customWidth="1"/>
    <col min="13823" max="13825" width="9.140625" style="60"/>
    <col min="13826" max="13826" width="9.42578125" style="60" customWidth="1"/>
    <col min="13827" max="14077" width="9.140625" style="60"/>
    <col min="14078" max="14078" width="10" style="60" customWidth="1"/>
    <col min="14079" max="14081" width="9.140625" style="60"/>
    <col min="14082" max="14082" width="9.42578125" style="60" customWidth="1"/>
    <col min="14083" max="14333" width="9.140625" style="60"/>
    <col min="14334" max="14334" width="10" style="60" customWidth="1"/>
    <col min="14335" max="14337" width="9.140625" style="60"/>
    <col min="14338" max="14338" width="9.42578125" style="60" customWidth="1"/>
    <col min="14339" max="14589" width="9.140625" style="60"/>
    <col min="14590" max="14590" width="10" style="60" customWidth="1"/>
    <col min="14591" max="14593" width="9.140625" style="60"/>
    <col min="14594" max="14594" width="9.42578125" style="60" customWidth="1"/>
    <col min="14595" max="14845" width="9.140625" style="60"/>
    <col min="14846" max="14846" width="10" style="60" customWidth="1"/>
    <col min="14847" max="14849" width="9.140625" style="60"/>
    <col min="14850" max="14850" width="9.42578125" style="60" customWidth="1"/>
    <col min="14851" max="15101" width="9.140625" style="60"/>
    <col min="15102" max="15102" width="10" style="60" customWidth="1"/>
    <col min="15103" max="15105" width="9.140625" style="60"/>
    <col min="15106" max="15106" width="9.42578125" style="60" customWidth="1"/>
    <col min="15107" max="15357" width="9.140625" style="60"/>
    <col min="15358" max="15358" width="10" style="60" customWidth="1"/>
    <col min="15359" max="15361" width="9.140625" style="60"/>
    <col min="15362" max="15362" width="9.42578125" style="60" customWidth="1"/>
    <col min="15363" max="15613" width="9.140625" style="60"/>
    <col min="15614" max="15614" width="10" style="60" customWidth="1"/>
    <col min="15615" max="15617" width="9.140625" style="60"/>
    <col min="15618" max="15618" width="9.42578125" style="60" customWidth="1"/>
    <col min="15619" max="15869" width="9.140625" style="60"/>
    <col min="15870" max="15870" width="10" style="60" customWidth="1"/>
    <col min="15871" max="15873" width="9.140625" style="60"/>
    <col min="15874" max="15874" width="9.42578125" style="60" customWidth="1"/>
    <col min="15875" max="16125" width="9.140625" style="60"/>
    <col min="16126" max="16126" width="10" style="60" customWidth="1"/>
    <col min="16127" max="16129" width="9.140625" style="60"/>
    <col min="16130" max="16130" width="9.42578125" style="60" customWidth="1"/>
    <col min="16131" max="16384" width="9.140625" style="60"/>
  </cols>
  <sheetData>
    <row r="1" spans="1:13" ht="18" thickBot="1">
      <c r="A1" s="150" t="s">
        <v>525</v>
      </c>
      <c r="B1" s="151"/>
      <c r="C1" s="151"/>
      <c r="D1" s="151"/>
      <c r="E1" s="151"/>
      <c r="F1" s="152"/>
      <c r="G1" s="153"/>
      <c r="H1" s="153"/>
      <c r="I1" s="153"/>
      <c r="J1" s="153"/>
      <c r="K1" s="153"/>
    </row>
    <row r="2" spans="1:13" ht="18" thickBot="1">
      <c r="A2" s="150" t="s">
        <v>526</v>
      </c>
      <c r="B2" s="151"/>
      <c r="C2" s="151"/>
      <c r="D2" s="151"/>
      <c r="E2" s="151"/>
      <c r="F2" s="152"/>
      <c r="G2" s="153"/>
      <c r="H2" s="153"/>
      <c r="I2" s="153"/>
      <c r="J2" s="153"/>
      <c r="K2" s="153"/>
    </row>
    <row r="3" spans="1:13" ht="15" customHeight="1">
      <c r="A3" s="573" t="s">
        <v>23</v>
      </c>
      <c r="B3" s="576" t="s">
        <v>132</v>
      </c>
      <c r="C3" s="576"/>
      <c r="D3" s="576"/>
      <c r="E3" s="576"/>
      <c r="F3" s="577"/>
      <c r="G3" s="153"/>
    </row>
    <row r="4" spans="1:13" ht="15" customHeight="1">
      <c r="A4" s="574"/>
      <c r="B4" s="578" t="s">
        <v>217</v>
      </c>
      <c r="C4" s="578"/>
      <c r="D4" s="578" t="s">
        <v>218</v>
      </c>
      <c r="E4" s="578"/>
      <c r="F4" s="579" t="s">
        <v>216</v>
      </c>
      <c r="G4" s="153"/>
    </row>
    <row r="5" spans="1:13" ht="30.75" customHeight="1">
      <c r="A5" s="574"/>
      <c r="B5" s="135" t="s">
        <v>166</v>
      </c>
      <c r="C5" s="135" t="s">
        <v>167</v>
      </c>
      <c r="D5" s="135" t="s">
        <v>166</v>
      </c>
      <c r="E5" s="135" t="s">
        <v>167</v>
      </c>
      <c r="F5" s="579"/>
      <c r="G5" s="153"/>
    </row>
    <row r="6" spans="1:13" ht="19.5" customHeight="1" thickBot="1">
      <c r="A6" s="575"/>
      <c r="B6" s="136" t="s">
        <v>256</v>
      </c>
      <c r="C6" s="136" t="s">
        <v>256</v>
      </c>
      <c r="D6" s="136" t="s">
        <v>257</v>
      </c>
      <c r="E6" s="136" t="s">
        <v>257</v>
      </c>
      <c r="F6" s="137" t="s">
        <v>257</v>
      </c>
      <c r="G6" s="153"/>
      <c r="H6" s="213"/>
      <c r="M6" s="213"/>
    </row>
    <row r="7" spans="1:13" ht="15" customHeight="1">
      <c r="A7" s="154">
        <v>0</v>
      </c>
      <c r="B7" s="155">
        <v>5.33</v>
      </c>
      <c r="C7" s="155">
        <v>0.04</v>
      </c>
      <c r="D7" s="156"/>
      <c r="E7" s="157"/>
      <c r="F7" s="158"/>
      <c r="G7" s="153"/>
    </row>
    <row r="8" spans="1:13" ht="15" customHeight="1">
      <c r="A8" s="159">
        <v>25</v>
      </c>
      <c r="B8" s="160">
        <v>3.12</v>
      </c>
      <c r="C8" s="160">
        <v>0.15</v>
      </c>
      <c r="D8" s="163">
        <f t="shared" ref="D8:D29" si="0">ROUND((A8-A7)*((B8+B7)/2),2)</f>
        <v>105.63</v>
      </c>
      <c r="E8" s="163">
        <f t="shared" ref="E8:E31" si="1">ROUND((A8-A7)*((C8+C7)/2),2)</f>
        <v>2.38</v>
      </c>
      <c r="F8" s="216">
        <f t="shared" ref="F8:F31" si="2">MIN(D8,E8)</f>
        <v>2.38</v>
      </c>
      <c r="G8" s="153"/>
    </row>
    <row r="9" spans="1:13" ht="15" customHeight="1">
      <c r="A9" s="161">
        <v>50</v>
      </c>
      <c r="B9" s="162">
        <v>1.39</v>
      </c>
      <c r="C9" s="162">
        <v>1.53</v>
      </c>
      <c r="D9" s="163">
        <f t="shared" si="0"/>
        <v>56.38</v>
      </c>
      <c r="E9" s="163">
        <f t="shared" si="1"/>
        <v>21</v>
      </c>
      <c r="F9" s="216">
        <f t="shared" si="2"/>
        <v>21</v>
      </c>
      <c r="G9" s="153"/>
    </row>
    <row r="10" spans="1:13" ht="15" customHeight="1">
      <c r="A10" s="159">
        <v>100</v>
      </c>
      <c r="B10" s="162">
        <v>1.19</v>
      </c>
      <c r="C10" s="162">
        <v>2</v>
      </c>
      <c r="D10" s="163">
        <f t="shared" si="0"/>
        <v>64.5</v>
      </c>
      <c r="E10" s="163">
        <f t="shared" si="1"/>
        <v>88.25</v>
      </c>
      <c r="F10" s="216">
        <f t="shared" si="2"/>
        <v>64.5</v>
      </c>
      <c r="G10" s="153"/>
    </row>
    <row r="11" spans="1:13" ht="15" customHeight="1">
      <c r="A11" s="161">
        <v>125</v>
      </c>
      <c r="B11" s="162">
        <v>1.43</v>
      </c>
      <c r="C11" s="162">
        <v>1.47</v>
      </c>
      <c r="D11" s="163">
        <f t="shared" si="0"/>
        <v>32.75</v>
      </c>
      <c r="E11" s="163">
        <f t="shared" si="1"/>
        <v>43.38</v>
      </c>
      <c r="F11" s="216">
        <f t="shared" si="2"/>
        <v>32.75</v>
      </c>
      <c r="G11" s="153"/>
    </row>
    <row r="12" spans="1:13" ht="15" customHeight="1">
      <c r="A12" s="159">
        <v>150</v>
      </c>
      <c r="B12" s="162">
        <v>1.76</v>
      </c>
      <c r="C12" s="162">
        <v>1.97</v>
      </c>
      <c r="D12" s="163">
        <f t="shared" si="0"/>
        <v>39.880000000000003</v>
      </c>
      <c r="E12" s="163">
        <f t="shared" si="1"/>
        <v>43</v>
      </c>
      <c r="F12" s="216">
        <f t="shared" si="2"/>
        <v>39.880000000000003</v>
      </c>
      <c r="G12" s="153"/>
    </row>
    <row r="13" spans="1:13" ht="15" customHeight="1">
      <c r="A13" s="161">
        <v>175</v>
      </c>
      <c r="B13" s="162">
        <v>0.91</v>
      </c>
      <c r="C13" s="162">
        <v>1.97</v>
      </c>
      <c r="D13" s="163">
        <f>ROUND((A13-A11)*((B13+B11)/2),2)</f>
        <v>58.5</v>
      </c>
      <c r="E13" s="163">
        <f>ROUND((A13-A11)*((C13+C11)/2),2)</f>
        <v>86</v>
      </c>
      <c r="F13" s="216">
        <f>MIN(D13,E13)</f>
        <v>58.5</v>
      </c>
      <c r="G13" s="153"/>
    </row>
    <row r="14" spans="1:13" ht="15" customHeight="1">
      <c r="A14" s="159">
        <v>200</v>
      </c>
      <c r="B14" s="162">
        <v>0.81</v>
      </c>
      <c r="C14" s="162">
        <v>2.2799999999999998</v>
      </c>
      <c r="D14" s="163">
        <f>ROUND((A14-A12)*((B14+B12)/2),2)</f>
        <v>64.25</v>
      </c>
      <c r="E14" s="163">
        <f>ROUND((A14-A12)*((C14+C12)/2),2)</f>
        <v>106.25</v>
      </c>
      <c r="F14" s="216">
        <f t="shared" si="2"/>
        <v>64.25</v>
      </c>
      <c r="G14" s="153"/>
      <c r="I14" s="214"/>
      <c r="J14" s="214"/>
    </row>
    <row r="15" spans="1:13" ht="15" customHeight="1">
      <c r="A15" s="161">
        <v>225</v>
      </c>
      <c r="B15" s="162">
        <v>0.61</v>
      </c>
      <c r="C15" s="162">
        <v>2.6</v>
      </c>
      <c r="D15" s="163">
        <f t="shared" si="0"/>
        <v>17.75</v>
      </c>
      <c r="E15" s="163">
        <f t="shared" si="1"/>
        <v>61</v>
      </c>
      <c r="F15" s="216">
        <f t="shared" si="2"/>
        <v>17.75</v>
      </c>
      <c r="G15" s="153"/>
    </row>
    <row r="16" spans="1:13" ht="15" customHeight="1">
      <c r="A16" s="161">
        <v>250</v>
      </c>
      <c r="B16" s="162">
        <v>1.2</v>
      </c>
      <c r="C16" s="162">
        <v>1.83</v>
      </c>
      <c r="D16" s="163">
        <f t="shared" si="0"/>
        <v>22.63</v>
      </c>
      <c r="E16" s="163">
        <f t="shared" si="1"/>
        <v>55.38</v>
      </c>
      <c r="F16" s="216">
        <f t="shared" si="2"/>
        <v>22.63</v>
      </c>
      <c r="G16" s="153"/>
    </row>
    <row r="17" spans="1:7" ht="15" customHeight="1">
      <c r="A17" s="159">
        <v>275</v>
      </c>
      <c r="B17" s="162">
        <v>1.55</v>
      </c>
      <c r="C17" s="162">
        <v>1.54</v>
      </c>
      <c r="D17" s="163">
        <f t="shared" si="0"/>
        <v>34.380000000000003</v>
      </c>
      <c r="E17" s="163">
        <f t="shared" si="1"/>
        <v>42.13</v>
      </c>
      <c r="F17" s="216">
        <f t="shared" si="2"/>
        <v>34.380000000000003</v>
      </c>
      <c r="G17" s="153"/>
    </row>
    <row r="18" spans="1:7" ht="15" customHeight="1">
      <c r="A18" s="161">
        <v>325</v>
      </c>
      <c r="B18" s="162">
        <v>1.57</v>
      </c>
      <c r="C18" s="162">
        <v>2.86</v>
      </c>
      <c r="D18" s="163">
        <f t="shared" si="0"/>
        <v>78</v>
      </c>
      <c r="E18" s="163">
        <f t="shared" si="1"/>
        <v>110</v>
      </c>
      <c r="F18" s="216">
        <f t="shared" si="2"/>
        <v>78</v>
      </c>
      <c r="G18" s="153"/>
    </row>
    <row r="19" spans="1:7" ht="15" customHeight="1">
      <c r="A19" s="161">
        <v>350</v>
      </c>
      <c r="B19" s="162">
        <v>3.17</v>
      </c>
      <c r="C19" s="162">
        <v>1.99</v>
      </c>
      <c r="D19" s="163">
        <f t="shared" si="0"/>
        <v>59.25</v>
      </c>
      <c r="E19" s="163">
        <f t="shared" si="1"/>
        <v>60.63</v>
      </c>
      <c r="F19" s="216">
        <f t="shared" si="2"/>
        <v>59.25</v>
      </c>
      <c r="G19" s="153"/>
    </row>
    <row r="20" spans="1:7" ht="15" customHeight="1">
      <c r="A20" s="159">
        <v>375</v>
      </c>
      <c r="B20" s="162">
        <v>2.94</v>
      </c>
      <c r="C20" s="162">
        <v>1.35</v>
      </c>
      <c r="D20" s="163">
        <f t="shared" si="0"/>
        <v>76.38</v>
      </c>
      <c r="E20" s="163">
        <f t="shared" si="1"/>
        <v>41.75</v>
      </c>
      <c r="F20" s="216">
        <f t="shared" si="2"/>
        <v>41.75</v>
      </c>
      <c r="G20" s="153"/>
    </row>
    <row r="21" spans="1:7" ht="15" customHeight="1">
      <c r="A21" s="161">
        <v>425</v>
      </c>
      <c r="B21" s="162">
        <v>3.38</v>
      </c>
      <c r="C21" s="162">
        <v>1.82</v>
      </c>
      <c r="D21" s="163">
        <f t="shared" ref="D21:D22" si="3">ROUND((A21-A19)*((B21+B19)/2),2)</f>
        <v>245.63</v>
      </c>
      <c r="E21" s="163">
        <f t="shared" ref="E21:E22" si="4">ROUND((A21-A19)*((C21+C19)/2),2)</f>
        <v>142.88</v>
      </c>
      <c r="F21" s="216">
        <f t="shared" si="2"/>
        <v>142.88</v>
      </c>
      <c r="G21" s="153"/>
    </row>
    <row r="22" spans="1:7" ht="15" customHeight="1">
      <c r="A22" s="161">
        <v>450</v>
      </c>
      <c r="B22" s="162">
        <v>2.0699999999999998</v>
      </c>
      <c r="C22" s="162">
        <v>2.8</v>
      </c>
      <c r="D22" s="163">
        <f t="shared" si="3"/>
        <v>187.88</v>
      </c>
      <c r="E22" s="163">
        <f t="shared" si="4"/>
        <v>155.63</v>
      </c>
      <c r="F22" s="216">
        <f t="shared" si="2"/>
        <v>155.63</v>
      </c>
      <c r="G22" s="153"/>
    </row>
    <row r="23" spans="1:7" ht="15" customHeight="1">
      <c r="A23" s="159">
        <v>500</v>
      </c>
      <c r="B23" s="162">
        <v>5.21</v>
      </c>
      <c r="C23" s="162">
        <v>0.62</v>
      </c>
      <c r="D23" s="163">
        <f t="shared" si="0"/>
        <v>182</v>
      </c>
      <c r="E23" s="163">
        <f t="shared" si="1"/>
        <v>85.5</v>
      </c>
      <c r="F23" s="216">
        <f t="shared" si="2"/>
        <v>85.5</v>
      </c>
      <c r="G23" s="153"/>
    </row>
    <row r="24" spans="1:7" ht="15" customHeight="1">
      <c r="A24" s="161">
        <v>525</v>
      </c>
      <c r="B24" s="162">
        <v>6.37</v>
      </c>
      <c r="C24" s="162">
        <v>0.7</v>
      </c>
      <c r="D24" s="163">
        <f t="shared" si="0"/>
        <v>144.75</v>
      </c>
      <c r="E24" s="163">
        <f t="shared" si="1"/>
        <v>16.5</v>
      </c>
      <c r="F24" s="216">
        <f t="shared" si="2"/>
        <v>16.5</v>
      </c>
      <c r="G24" s="153"/>
    </row>
    <row r="25" spans="1:7" ht="15" customHeight="1">
      <c r="A25" s="161">
        <v>550</v>
      </c>
      <c r="B25" s="162">
        <v>6.56</v>
      </c>
      <c r="C25" s="162">
        <v>1.1100000000000001</v>
      </c>
      <c r="D25" s="163">
        <f t="shared" si="0"/>
        <v>161.63</v>
      </c>
      <c r="E25" s="163">
        <f t="shared" si="1"/>
        <v>22.63</v>
      </c>
      <c r="F25" s="216">
        <f t="shared" si="2"/>
        <v>22.63</v>
      </c>
      <c r="G25" s="153"/>
    </row>
    <row r="26" spans="1:7" ht="15" customHeight="1">
      <c r="A26" s="159">
        <v>600</v>
      </c>
      <c r="B26" s="162">
        <v>7.07</v>
      </c>
      <c r="C26" s="162">
        <v>0.2</v>
      </c>
      <c r="D26" s="163">
        <f t="shared" si="0"/>
        <v>340.75</v>
      </c>
      <c r="E26" s="163">
        <f t="shared" si="1"/>
        <v>32.75</v>
      </c>
      <c r="F26" s="216">
        <f t="shared" si="2"/>
        <v>32.75</v>
      </c>
      <c r="G26" s="153"/>
    </row>
    <row r="27" spans="1:7" ht="15" customHeight="1">
      <c r="A27" s="161">
        <v>625</v>
      </c>
      <c r="B27" s="162">
        <v>6.97</v>
      </c>
      <c r="C27" s="162">
        <v>0.22</v>
      </c>
      <c r="D27" s="163">
        <f t="shared" si="0"/>
        <v>175.5</v>
      </c>
      <c r="E27" s="163">
        <f t="shared" si="1"/>
        <v>5.25</v>
      </c>
      <c r="F27" s="216">
        <f t="shared" si="2"/>
        <v>5.25</v>
      </c>
      <c r="G27" s="153"/>
    </row>
    <row r="28" spans="1:7" ht="15" customHeight="1">
      <c r="A28" s="161">
        <v>650</v>
      </c>
      <c r="B28" s="162">
        <v>5.83</v>
      </c>
      <c r="C28" s="162">
        <v>0.52</v>
      </c>
      <c r="D28" s="163">
        <f t="shared" si="0"/>
        <v>160</v>
      </c>
      <c r="E28" s="163">
        <f t="shared" si="1"/>
        <v>9.25</v>
      </c>
      <c r="F28" s="216">
        <f t="shared" si="2"/>
        <v>9.25</v>
      </c>
      <c r="G28" s="153"/>
    </row>
    <row r="29" spans="1:7" ht="15" customHeight="1">
      <c r="A29" s="159">
        <v>675</v>
      </c>
      <c r="B29" s="162">
        <v>5.42</v>
      </c>
      <c r="C29" s="162">
        <v>0.73</v>
      </c>
      <c r="D29" s="163">
        <f t="shared" si="0"/>
        <v>140.63</v>
      </c>
      <c r="E29" s="163">
        <f t="shared" ref="E29:E30" si="5">ROUND((A29-A27)*((C29+C27)/2),2)</f>
        <v>23.75</v>
      </c>
      <c r="F29" s="216">
        <f t="shared" si="2"/>
        <v>23.75</v>
      </c>
      <c r="G29" s="153"/>
    </row>
    <row r="30" spans="1:7" ht="15" customHeight="1">
      <c r="A30" s="161">
        <v>700</v>
      </c>
      <c r="B30" s="162">
        <v>5.09</v>
      </c>
      <c r="C30" s="162">
        <v>1.87</v>
      </c>
      <c r="D30" s="163">
        <f t="shared" ref="D30:D31" si="6">ROUND((A30-A28)*((B30+B28)/2),2)</f>
        <v>273</v>
      </c>
      <c r="E30" s="163">
        <f t="shared" si="5"/>
        <v>59.75</v>
      </c>
      <c r="F30" s="216">
        <f t="shared" si="2"/>
        <v>59.75</v>
      </c>
      <c r="G30" s="153"/>
    </row>
    <row r="31" spans="1:7" ht="15" customHeight="1" thickBot="1">
      <c r="A31" s="161">
        <v>725</v>
      </c>
      <c r="B31" s="162">
        <v>5.19</v>
      </c>
      <c r="C31" s="162">
        <v>0.04</v>
      </c>
      <c r="D31" s="163">
        <f t="shared" si="6"/>
        <v>265.25</v>
      </c>
      <c r="E31" s="163">
        <f t="shared" si="1"/>
        <v>23.88</v>
      </c>
      <c r="F31" s="216">
        <f t="shared" si="2"/>
        <v>23.88</v>
      </c>
      <c r="G31" s="153"/>
    </row>
    <row r="32" spans="1:7" ht="15" customHeight="1" thickBot="1">
      <c r="A32" s="571" t="s">
        <v>4</v>
      </c>
      <c r="B32" s="572"/>
      <c r="C32" s="572"/>
      <c r="D32" s="215">
        <f>ROUND(SUM(D8:D31),0)</f>
        <v>2987</v>
      </c>
      <c r="E32" s="215">
        <f>ROUND(SUM(E8:E31),0)</f>
        <v>1339</v>
      </c>
      <c r="F32" s="217">
        <f>ROUND(SUM(F8:F31),0)</f>
        <v>1115</v>
      </c>
      <c r="G32" s="153"/>
    </row>
    <row r="33" spans="1:7" ht="15" customHeight="1" thickBot="1">
      <c r="A33" s="153"/>
      <c r="B33" s="153"/>
      <c r="C33" s="153"/>
      <c r="D33" s="153"/>
      <c r="E33" s="153"/>
      <c r="F33" s="218"/>
      <c r="G33" s="153"/>
    </row>
    <row r="34" spans="1:7" ht="15" customHeight="1" thickBot="1">
      <c r="A34" s="150" t="s">
        <v>527</v>
      </c>
      <c r="B34" s="151"/>
      <c r="C34" s="151"/>
      <c r="D34" s="151"/>
      <c r="E34" s="151"/>
      <c r="F34" s="152"/>
      <c r="G34" s="153"/>
    </row>
    <row r="35" spans="1:7" ht="15" customHeight="1">
      <c r="A35" s="573" t="s">
        <v>23</v>
      </c>
      <c r="B35" s="576" t="s">
        <v>132</v>
      </c>
      <c r="C35" s="576"/>
      <c r="D35" s="576"/>
      <c r="E35" s="576"/>
      <c r="F35" s="577"/>
      <c r="G35" s="153"/>
    </row>
    <row r="36" spans="1:7" ht="30.75" customHeight="1">
      <c r="A36" s="574"/>
      <c r="B36" s="578" t="s">
        <v>217</v>
      </c>
      <c r="C36" s="578"/>
      <c r="D36" s="578" t="s">
        <v>218</v>
      </c>
      <c r="E36" s="578"/>
      <c r="F36" s="579" t="s">
        <v>216</v>
      </c>
      <c r="G36" s="153"/>
    </row>
    <row r="37" spans="1:7" ht="15" customHeight="1">
      <c r="A37" s="574"/>
      <c r="B37" s="135" t="s">
        <v>166</v>
      </c>
      <c r="C37" s="135" t="s">
        <v>167</v>
      </c>
      <c r="D37" s="135" t="s">
        <v>166</v>
      </c>
      <c r="E37" s="135" t="s">
        <v>167</v>
      </c>
      <c r="F37" s="579"/>
      <c r="G37" s="153"/>
    </row>
    <row r="38" spans="1:7" ht="15" customHeight="1" thickBot="1">
      <c r="A38" s="575"/>
      <c r="B38" s="136" t="s">
        <v>256</v>
      </c>
      <c r="C38" s="136" t="s">
        <v>256</v>
      </c>
      <c r="D38" s="136" t="s">
        <v>257</v>
      </c>
      <c r="E38" s="136" t="s">
        <v>257</v>
      </c>
      <c r="F38" s="137" t="s">
        <v>257</v>
      </c>
      <c r="G38" s="153"/>
    </row>
    <row r="39" spans="1:7" ht="15" customHeight="1">
      <c r="A39" s="154">
        <v>0</v>
      </c>
      <c r="B39" s="155">
        <v>1</v>
      </c>
      <c r="C39" s="155">
        <v>1.37</v>
      </c>
      <c r="D39" s="219"/>
      <c r="E39" s="220"/>
      <c r="F39" s="221"/>
      <c r="G39" s="153"/>
    </row>
    <row r="40" spans="1:7">
      <c r="A40" s="159">
        <v>25</v>
      </c>
      <c r="B40" s="160">
        <v>4.1900000000000004</v>
      </c>
      <c r="C40" s="160">
        <v>0.01</v>
      </c>
      <c r="D40" s="163">
        <f t="shared" ref="D40:D44" si="7">ROUND((A40-A39)*((B40+B39)/2),2)</f>
        <v>64.88</v>
      </c>
      <c r="E40" s="163">
        <f t="shared" ref="E40:E44" si="8">ROUND((A40-A39)*((C40+C39)/2),2)</f>
        <v>17.25</v>
      </c>
      <c r="F40" s="216">
        <f t="shared" ref="F40:F44" si="9">MIN(D40,E40)</f>
        <v>17.25</v>
      </c>
    </row>
    <row r="41" spans="1:7">
      <c r="A41" s="161">
        <v>50</v>
      </c>
      <c r="B41" s="162">
        <v>4.93</v>
      </c>
      <c r="C41" s="162">
        <v>0.02</v>
      </c>
      <c r="D41" s="163">
        <f t="shared" si="7"/>
        <v>114</v>
      </c>
      <c r="E41" s="163">
        <f t="shared" si="8"/>
        <v>0.38</v>
      </c>
      <c r="F41" s="216">
        <f t="shared" si="9"/>
        <v>0.38</v>
      </c>
    </row>
    <row r="42" spans="1:7">
      <c r="A42" s="159">
        <v>75</v>
      </c>
      <c r="B42" s="162">
        <v>3.44</v>
      </c>
      <c r="C42" s="162">
        <v>0.08</v>
      </c>
      <c r="D42" s="163">
        <f t="shared" si="7"/>
        <v>104.63</v>
      </c>
      <c r="E42" s="163">
        <f t="shared" si="8"/>
        <v>1.25</v>
      </c>
      <c r="F42" s="216">
        <f t="shared" si="9"/>
        <v>1.25</v>
      </c>
    </row>
    <row r="43" spans="1:7">
      <c r="A43" s="161">
        <v>100</v>
      </c>
      <c r="B43" s="162">
        <v>4.84</v>
      </c>
      <c r="C43" s="162">
        <v>0.02</v>
      </c>
      <c r="D43" s="163">
        <f t="shared" si="7"/>
        <v>103.5</v>
      </c>
      <c r="E43" s="163">
        <f t="shared" si="8"/>
        <v>1.25</v>
      </c>
      <c r="F43" s="216">
        <f t="shared" si="9"/>
        <v>1.25</v>
      </c>
    </row>
    <row r="44" spans="1:7">
      <c r="A44" s="159">
        <v>125</v>
      </c>
      <c r="B44" s="162">
        <v>4.43</v>
      </c>
      <c r="C44" s="162">
        <v>0.02</v>
      </c>
      <c r="D44" s="163">
        <f t="shared" si="7"/>
        <v>115.88</v>
      </c>
      <c r="E44" s="163">
        <f t="shared" si="8"/>
        <v>0.5</v>
      </c>
      <c r="F44" s="216">
        <f t="shared" si="9"/>
        <v>0.5</v>
      </c>
    </row>
    <row r="45" spans="1:7">
      <c r="A45" s="161">
        <v>150</v>
      </c>
      <c r="B45" s="162">
        <v>4.1900000000000004</v>
      </c>
      <c r="C45" s="162">
        <v>0.01</v>
      </c>
      <c r="D45" s="163">
        <f>ROUND((A45-A43)*((B45+B43)/2),2)</f>
        <v>225.75</v>
      </c>
      <c r="E45" s="163">
        <f>ROUND((A45-A43)*((C45+C43)/2),2)</f>
        <v>0.75</v>
      </c>
      <c r="F45" s="216">
        <f>MIN(D45,E45)</f>
        <v>0.75</v>
      </c>
    </row>
    <row r="46" spans="1:7">
      <c r="A46" s="159">
        <v>175</v>
      </c>
      <c r="B46" s="162">
        <v>3.83</v>
      </c>
      <c r="C46" s="162">
        <v>0.13</v>
      </c>
      <c r="D46" s="163">
        <f>ROUND((A46-A44)*((B46+B44)/2),2)</f>
        <v>206.5</v>
      </c>
      <c r="E46" s="163">
        <f>ROUND((A46-A44)*((C46+C44)/2),2)</f>
        <v>3.75</v>
      </c>
      <c r="F46" s="216">
        <f t="shared" ref="F46:F60" si="10">MIN(D46,E46)</f>
        <v>3.75</v>
      </c>
    </row>
    <row r="47" spans="1:7">
      <c r="A47" s="161">
        <v>225</v>
      </c>
      <c r="B47" s="162">
        <v>4.22</v>
      </c>
      <c r="C47" s="162">
        <v>0.01</v>
      </c>
      <c r="D47" s="163">
        <f t="shared" ref="D47:D52" si="11">ROUND((A47-A46)*((B47+B46)/2),2)</f>
        <v>201.25</v>
      </c>
      <c r="E47" s="163">
        <f t="shared" ref="E47:E52" si="12">ROUND((A47-A46)*((C47+C46)/2),2)</f>
        <v>3.5</v>
      </c>
      <c r="F47" s="216">
        <f t="shared" si="10"/>
        <v>3.5</v>
      </c>
    </row>
    <row r="48" spans="1:7">
      <c r="A48" s="161">
        <v>250</v>
      </c>
      <c r="B48" s="162">
        <v>5.09</v>
      </c>
      <c r="C48" s="162">
        <v>0.02</v>
      </c>
      <c r="D48" s="163">
        <f t="shared" si="11"/>
        <v>116.38</v>
      </c>
      <c r="E48" s="163">
        <f t="shared" si="12"/>
        <v>0.38</v>
      </c>
      <c r="F48" s="216">
        <f t="shared" si="10"/>
        <v>0.38</v>
      </c>
    </row>
    <row r="49" spans="1:6">
      <c r="A49" s="159">
        <v>275</v>
      </c>
      <c r="B49" s="162">
        <v>5.2</v>
      </c>
      <c r="C49" s="162">
        <v>0.02</v>
      </c>
      <c r="D49" s="163">
        <f t="shared" si="11"/>
        <v>128.63</v>
      </c>
      <c r="E49" s="163">
        <f t="shared" si="12"/>
        <v>0.5</v>
      </c>
      <c r="F49" s="216">
        <f t="shared" si="10"/>
        <v>0.5</v>
      </c>
    </row>
    <row r="50" spans="1:6">
      <c r="A50" s="161">
        <v>300</v>
      </c>
      <c r="B50" s="162">
        <v>5.62</v>
      </c>
      <c r="C50" s="162">
        <v>0.02</v>
      </c>
      <c r="D50" s="163">
        <f t="shared" si="11"/>
        <v>135.25</v>
      </c>
      <c r="E50" s="163">
        <f t="shared" si="12"/>
        <v>0.5</v>
      </c>
      <c r="F50" s="216">
        <f t="shared" si="10"/>
        <v>0.5</v>
      </c>
    </row>
    <row r="51" spans="1:6">
      <c r="A51" s="161">
        <v>325</v>
      </c>
      <c r="B51" s="162">
        <v>5.31</v>
      </c>
      <c r="C51" s="162">
        <v>0.02</v>
      </c>
      <c r="D51" s="163">
        <f t="shared" si="11"/>
        <v>136.63</v>
      </c>
      <c r="E51" s="163">
        <f t="shared" si="12"/>
        <v>0.5</v>
      </c>
      <c r="F51" s="216">
        <f t="shared" si="10"/>
        <v>0.5</v>
      </c>
    </row>
    <row r="52" spans="1:6">
      <c r="A52" s="159">
        <v>350</v>
      </c>
      <c r="B52" s="162">
        <v>5.13</v>
      </c>
      <c r="C52" s="162">
        <v>0.02</v>
      </c>
      <c r="D52" s="163">
        <f t="shared" si="11"/>
        <v>130.5</v>
      </c>
      <c r="E52" s="163">
        <f t="shared" si="12"/>
        <v>0.5</v>
      </c>
      <c r="F52" s="216">
        <f t="shared" si="10"/>
        <v>0.5</v>
      </c>
    </row>
    <row r="53" spans="1:6">
      <c r="A53" s="161">
        <v>375</v>
      </c>
      <c r="B53" s="162">
        <v>3.68</v>
      </c>
      <c r="C53" s="162">
        <v>0.02</v>
      </c>
      <c r="D53" s="163">
        <f t="shared" ref="D53:D54" si="13">ROUND((A53-A51)*((B53+B51)/2),2)</f>
        <v>224.75</v>
      </c>
      <c r="E53" s="163">
        <f t="shared" ref="E53:E54" si="14">ROUND((A53-A51)*((C53+C51)/2),2)</f>
        <v>1</v>
      </c>
      <c r="F53" s="216">
        <f t="shared" si="10"/>
        <v>1</v>
      </c>
    </row>
    <row r="54" spans="1:6">
      <c r="A54" s="161">
        <v>400</v>
      </c>
      <c r="B54" s="162">
        <v>5.05</v>
      </c>
      <c r="C54" s="162">
        <v>0.02</v>
      </c>
      <c r="D54" s="163">
        <f t="shared" si="13"/>
        <v>254.5</v>
      </c>
      <c r="E54" s="163">
        <f t="shared" si="14"/>
        <v>1</v>
      </c>
      <c r="F54" s="216">
        <f t="shared" si="10"/>
        <v>1</v>
      </c>
    </row>
    <row r="55" spans="1:6">
      <c r="A55" s="159">
        <v>425</v>
      </c>
      <c r="B55" s="162">
        <v>4.55</v>
      </c>
      <c r="C55" s="162">
        <v>0.06</v>
      </c>
      <c r="D55" s="163">
        <f t="shared" ref="D55:D60" si="15">ROUND((A55-A54)*((B55+B54)/2),2)</f>
        <v>120</v>
      </c>
      <c r="E55" s="163">
        <f t="shared" ref="E55:E60" si="16">ROUND((A55-A54)*((C55+C54)/2),2)</f>
        <v>1</v>
      </c>
      <c r="F55" s="216">
        <f t="shared" si="10"/>
        <v>1</v>
      </c>
    </row>
    <row r="56" spans="1:6">
      <c r="A56" s="161">
        <v>450</v>
      </c>
      <c r="B56" s="162">
        <v>3.38</v>
      </c>
      <c r="C56" s="162">
        <v>7.0000000000000007E-2</v>
      </c>
      <c r="D56" s="163">
        <f t="shared" si="15"/>
        <v>99.13</v>
      </c>
      <c r="E56" s="163">
        <f t="shared" si="16"/>
        <v>1.63</v>
      </c>
      <c r="F56" s="216">
        <f t="shared" si="10"/>
        <v>1.63</v>
      </c>
    </row>
    <row r="57" spans="1:6">
      <c r="A57" s="161">
        <v>500</v>
      </c>
      <c r="B57" s="162">
        <v>3.18</v>
      </c>
      <c r="C57" s="162">
        <v>0.02</v>
      </c>
      <c r="D57" s="163">
        <f t="shared" si="15"/>
        <v>164</v>
      </c>
      <c r="E57" s="163">
        <f t="shared" si="16"/>
        <v>2.25</v>
      </c>
      <c r="F57" s="216">
        <f t="shared" si="10"/>
        <v>2.25</v>
      </c>
    </row>
    <row r="58" spans="1:6">
      <c r="A58" s="159">
        <v>525</v>
      </c>
      <c r="B58" s="162">
        <v>1.66</v>
      </c>
      <c r="C58" s="162">
        <v>0.1</v>
      </c>
      <c r="D58" s="163">
        <f t="shared" si="15"/>
        <v>60.5</v>
      </c>
      <c r="E58" s="163">
        <f t="shared" si="16"/>
        <v>1.5</v>
      </c>
      <c r="F58" s="216">
        <f t="shared" si="10"/>
        <v>1.5</v>
      </c>
    </row>
    <row r="59" spans="1:6">
      <c r="A59" s="161">
        <v>550</v>
      </c>
      <c r="B59" s="162">
        <v>1.49</v>
      </c>
      <c r="C59" s="162">
        <v>0.28999999999999998</v>
      </c>
      <c r="D59" s="163">
        <f t="shared" si="15"/>
        <v>39.380000000000003</v>
      </c>
      <c r="E59" s="163">
        <f t="shared" si="16"/>
        <v>4.88</v>
      </c>
      <c r="F59" s="216">
        <f t="shared" si="10"/>
        <v>4.88</v>
      </c>
    </row>
    <row r="60" spans="1:6">
      <c r="A60" s="161">
        <v>575</v>
      </c>
      <c r="B60" s="162">
        <v>2</v>
      </c>
      <c r="C60" s="162">
        <v>0.91</v>
      </c>
      <c r="D60" s="163">
        <f t="shared" si="15"/>
        <v>43.63</v>
      </c>
      <c r="E60" s="163">
        <f t="shared" si="16"/>
        <v>15</v>
      </c>
      <c r="F60" s="216">
        <f t="shared" si="10"/>
        <v>15</v>
      </c>
    </row>
    <row r="61" spans="1:6" ht="15.75" thickBot="1">
      <c r="A61" s="161">
        <v>592</v>
      </c>
      <c r="B61" s="162">
        <v>3.42</v>
      </c>
      <c r="C61" s="162">
        <v>0.02</v>
      </c>
      <c r="D61" s="163">
        <f t="shared" ref="D61" si="17">ROUND((A61-A60)*((B61+B60)/2),2)</f>
        <v>46.07</v>
      </c>
      <c r="E61" s="163">
        <f t="shared" ref="E61" si="18">ROUND((A61-A60)*((C61+C60)/2),2)</f>
        <v>7.91</v>
      </c>
      <c r="F61" s="216">
        <f t="shared" ref="F61" si="19">MIN(D61,E61)</f>
        <v>7.91</v>
      </c>
    </row>
    <row r="62" spans="1:6" ht="15.75" thickBot="1">
      <c r="A62" s="571" t="s">
        <v>4</v>
      </c>
      <c r="B62" s="572"/>
      <c r="C62" s="572"/>
      <c r="D62" s="215">
        <f>ROUND(SUM(D40:D60),0)</f>
        <v>2790</v>
      </c>
      <c r="E62" s="215">
        <f>ROUND(SUM(E40:E60),0)</f>
        <v>59</v>
      </c>
      <c r="F62" s="217">
        <f>ROUND(SUM(F40:F60),0)</f>
        <v>59</v>
      </c>
    </row>
    <row r="63" spans="1:6" ht="15.75" thickBot="1"/>
    <row r="64" spans="1:6" ht="18" thickBot="1">
      <c r="A64" s="150" t="s">
        <v>528</v>
      </c>
      <c r="B64" s="151"/>
      <c r="C64" s="151"/>
      <c r="D64" s="151"/>
      <c r="E64" s="151"/>
      <c r="F64" s="152"/>
    </row>
    <row r="65" spans="1:6">
      <c r="A65" s="573" t="s">
        <v>23</v>
      </c>
      <c r="B65" s="576" t="s">
        <v>132</v>
      </c>
      <c r="C65" s="576"/>
      <c r="D65" s="576"/>
      <c r="E65" s="576"/>
      <c r="F65" s="577"/>
    </row>
    <row r="66" spans="1:6">
      <c r="A66" s="574"/>
      <c r="B66" s="578" t="s">
        <v>217</v>
      </c>
      <c r="C66" s="578"/>
      <c r="D66" s="578" t="s">
        <v>218</v>
      </c>
      <c r="E66" s="578"/>
      <c r="F66" s="579" t="s">
        <v>216</v>
      </c>
    </row>
    <row r="67" spans="1:6">
      <c r="A67" s="574"/>
      <c r="B67" s="135" t="s">
        <v>166</v>
      </c>
      <c r="C67" s="135" t="s">
        <v>167</v>
      </c>
      <c r="D67" s="135" t="s">
        <v>166</v>
      </c>
      <c r="E67" s="135" t="s">
        <v>167</v>
      </c>
      <c r="F67" s="579"/>
    </row>
    <row r="68" spans="1:6" ht="18" thickBot="1">
      <c r="A68" s="575"/>
      <c r="B68" s="136" t="s">
        <v>256</v>
      </c>
      <c r="C68" s="136" t="s">
        <v>256</v>
      </c>
      <c r="D68" s="136" t="s">
        <v>257</v>
      </c>
      <c r="E68" s="136" t="s">
        <v>257</v>
      </c>
      <c r="F68" s="137" t="s">
        <v>257</v>
      </c>
    </row>
    <row r="69" spans="1:6">
      <c r="A69" s="154">
        <v>0</v>
      </c>
      <c r="B69" s="155">
        <v>3.7</v>
      </c>
      <c r="C69" s="155">
        <v>0.01</v>
      </c>
      <c r="D69" s="219"/>
      <c r="E69" s="220"/>
      <c r="F69" s="221"/>
    </row>
    <row r="70" spans="1:6">
      <c r="A70" s="159">
        <v>25</v>
      </c>
      <c r="B70" s="160">
        <v>2.87</v>
      </c>
      <c r="C70" s="160">
        <v>0.55000000000000004</v>
      </c>
      <c r="D70" s="163">
        <f t="shared" ref="D70:D74" si="20">ROUND((A70-A69)*((B70+B69)/2),2)</f>
        <v>82.13</v>
      </c>
      <c r="E70" s="163">
        <f t="shared" ref="E70:E74" si="21">ROUND((A70-A69)*((C70+C69)/2),2)</f>
        <v>7</v>
      </c>
      <c r="F70" s="216">
        <f t="shared" ref="F70:F74" si="22">MIN(D70,E70)</f>
        <v>7</v>
      </c>
    </row>
    <row r="71" spans="1:6">
      <c r="A71" s="161">
        <v>50</v>
      </c>
      <c r="B71" s="162">
        <v>3.11</v>
      </c>
      <c r="C71" s="162">
        <v>0.02</v>
      </c>
      <c r="D71" s="163">
        <f t="shared" si="20"/>
        <v>74.75</v>
      </c>
      <c r="E71" s="163">
        <f t="shared" si="21"/>
        <v>7.13</v>
      </c>
      <c r="F71" s="216">
        <f t="shared" si="22"/>
        <v>7.13</v>
      </c>
    </row>
    <row r="72" spans="1:6">
      <c r="A72" s="159">
        <v>75</v>
      </c>
      <c r="B72" s="162">
        <v>2.57</v>
      </c>
      <c r="C72" s="162">
        <v>0.36</v>
      </c>
      <c r="D72" s="163">
        <f t="shared" si="20"/>
        <v>71</v>
      </c>
      <c r="E72" s="163">
        <f t="shared" si="21"/>
        <v>4.75</v>
      </c>
      <c r="F72" s="216">
        <f t="shared" si="22"/>
        <v>4.75</v>
      </c>
    </row>
    <row r="73" spans="1:6">
      <c r="A73" s="161">
        <v>100</v>
      </c>
      <c r="B73" s="162">
        <v>2.56</v>
      </c>
      <c r="C73" s="162">
        <v>0.02</v>
      </c>
      <c r="D73" s="163">
        <f t="shared" si="20"/>
        <v>64.13</v>
      </c>
      <c r="E73" s="163">
        <f t="shared" si="21"/>
        <v>4.75</v>
      </c>
      <c r="F73" s="216">
        <f t="shared" si="22"/>
        <v>4.75</v>
      </c>
    </row>
    <row r="74" spans="1:6">
      <c r="A74" s="159">
        <v>125</v>
      </c>
      <c r="B74" s="162">
        <v>2.78</v>
      </c>
      <c r="C74" s="162">
        <v>0.01</v>
      </c>
      <c r="D74" s="163">
        <f t="shared" si="20"/>
        <v>66.75</v>
      </c>
      <c r="E74" s="163">
        <f t="shared" si="21"/>
        <v>0.38</v>
      </c>
      <c r="F74" s="216">
        <f t="shared" si="22"/>
        <v>0.38</v>
      </c>
    </row>
    <row r="75" spans="1:6">
      <c r="A75" s="161">
        <v>150</v>
      </c>
      <c r="B75" s="162">
        <v>3.69</v>
      </c>
      <c r="C75" s="162">
        <v>0.46</v>
      </c>
      <c r="D75" s="163">
        <f>ROUND((A75-A73)*((B75+B73)/2),2)</f>
        <v>156.25</v>
      </c>
      <c r="E75" s="163">
        <f>ROUND((A75-A73)*((C75+C73)/2),2)</f>
        <v>12</v>
      </c>
      <c r="F75" s="216">
        <f>MIN(D75,E75)</f>
        <v>12</v>
      </c>
    </row>
    <row r="76" spans="1:6" ht="15.75" thickBot="1">
      <c r="A76" s="159">
        <v>192</v>
      </c>
      <c r="B76" s="162">
        <v>2.59</v>
      </c>
      <c r="C76" s="162">
        <v>0.09</v>
      </c>
      <c r="D76" s="163">
        <f>ROUND((A76-A74)*((B76+B74)/2),2)</f>
        <v>179.9</v>
      </c>
      <c r="E76" s="163">
        <f>ROUND((A76-A74)*((C76+C74)/2),2)</f>
        <v>3.35</v>
      </c>
      <c r="F76" s="216">
        <f t="shared" ref="F76" si="23">MIN(D76,E76)</f>
        <v>3.35</v>
      </c>
    </row>
    <row r="77" spans="1:6" ht="15.75" thickBot="1">
      <c r="A77" s="571" t="s">
        <v>4</v>
      </c>
      <c r="B77" s="572"/>
      <c r="C77" s="572"/>
      <c r="D77" s="215">
        <f>ROUND(SUM(D70:D76),0)</f>
        <v>695</v>
      </c>
      <c r="E77" s="215">
        <f>ROUND(SUM(E70:E76),0)</f>
        <v>39</v>
      </c>
      <c r="F77" s="217">
        <f>ROUND(SUM(F70:F76),0)</f>
        <v>39</v>
      </c>
    </row>
    <row r="78" spans="1:6" ht="15.75" thickBot="1">
      <c r="A78" s="226"/>
      <c r="B78" s="226"/>
      <c r="C78" s="226"/>
      <c r="D78" s="225"/>
      <c r="E78" s="225"/>
      <c r="F78" s="225"/>
    </row>
    <row r="79" spans="1:6" ht="15.75" thickBot="1">
      <c r="A79" s="571" t="s">
        <v>564</v>
      </c>
      <c r="B79" s="572"/>
      <c r="C79" s="582"/>
      <c r="D79" s="227">
        <v>1305.5999999999999</v>
      </c>
      <c r="E79" s="228">
        <v>1305.5999999999999</v>
      </c>
    </row>
    <row r="80" spans="1:6" ht="15.75" thickBot="1"/>
    <row r="81" spans="1:6" ht="18" thickBot="1">
      <c r="A81" s="580" t="s">
        <v>560</v>
      </c>
      <c r="B81" s="581"/>
      <c r="C81" s="581"/>
      <c r="D81" s="223">
        <f>D77+D62+D32+D79</f>
        <v>7778</v>
      </c>
      <c r="E81" s="223">
        <f>E77+E62+E32+E79</f>
        <v>2743</v>
      </c>
      <c r="F81" s="224">
        <f>F77+F62+F32</f>
        <v>1213</v>
      </c>
    </row>
    <row r="83" spans="1:6">
      <c r="D83" s="60" t="s">
        <v>219</v>
      </c>
      <c r="E83" s="60" t="s">
        <v>219</v>
      </c>
      <c r="F83" s="60" t="s">
        <v>219</v>
      </c>
    </row>
  </sheetData>
  <mergeCells count="20">
    <mergeCell ref="A81:C81"/>
    <mergeCell ref="A79:C79"/>
    <mergeCell ref="A62:C62"/>
    <mergeCell ref="A35:A38"/>
    <mergeCell ref="B35:F35"/>
    <mergeCell ref="B36:C36"/>
    <mergeCell ref="D36:E36"/>
    <mergeCell ref="F36:F37"/>
    <mergeCell ref="A77:C77"/>
    <mergeCell ref="A65:A68"/>
    <mergeCell ref="B65:F65"/>
    <mergeCell ref="B66:C66"/>
    <mergeCell ref="D66:E66"/>
    <mergeCell ref="F66:F67"/>
    <mergeCell ref="A32:C32"/>
    <mergeCell ref="A3:A6"/>
    <mergeCell ref="B3:F3"/>
    <mergeCell ref="B4:C4"/>
    <mergeCell ref="D4:E4"/>
    <mergeCell ref="F4:F5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10</vt:i4>
      </vt:variant>
      <vt:variant>
        <vt:lpstr>Zakresy nazwane</vt:lpstr>
      </vt:variant>
      <vt:variant>
        <vt:i4>10</vt:i4>
      </vt:variant>
    </vt:vector>
  </HeadingPairs>
  <TitlesOfParts>
    <vt:vector size="20" baseType="lpstr">
      <vt:lpstr>TES</vt:lpstr>
      <vt:lpstr>KO</vt:lpstr>
      <vt:lpstr>Przedmiar</vt:lpstr>
      <vt:lpstr>ZAŁ_1</vt:lpstr>
      <vt:lpstr>1. Zjazdy indywidualne</vt:lpstr>
      <vt:lpstr>2. Roboty rozbiórkowe </vt:lpstr>
      <vt:lpstr>3. Odwodnienie korpusu</vt:lpstr>
      <vt:lpstr>4. El. pref. 5. 6. konstr.</vt:lpstr>
      <vt:lpstr>7. Tab. robót ziemnych</vt:lpstr>
      <vt:lpstr>10. Oznakowanie pionowe</vt:lpstr>
      <vt:lpstr>'1. Zjazdy indywidualne'!Obszar_wydruku</vt:lpstr>
      <vt:lpstr>'10. Oznakowanie pionowe'!Obszar_wydruku</vt:lpstr>
      <vt:lpstr>'2. Roboty rozbiórkowe '!Obszar_wydruku</vt:lpstr>
      <vt:lpstr>'3. Odwodnienie korpusu'!Obszar_wydruku</vt:lpstr>
      <vt:lpstr>'4. El. pref. 5. 6. konstr.'!Obszar_wydruku</vt:lpstr>
      <vt:lpstr>'7. Tab. robót ziemnych'!Obszar_wydruku</vt:lpstr>
      <vt:lpstr>KO!Obszar_wydruku</vt:lpstr>
      <vt:lpstr>Przedmiar!Obszar_wydruku</vt:lpstr>
      <vt:lpstr>TES!Obszar_wydruku</vt:lpstr>
      <vt:lpstr>ZAŁ_1!Obszar_wydruku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Andrzej Kaszuba</cp:lastModifiedBy>
  <cp:lastPrinted>2024-05-08T07:35:31Z</cp:lastPrinted>
  <dcterms:created xsi:type="dcterms:W3CDTF">2017-08-27T20:28:48Z</dcterms:created>
  <dcterms:modified xsi:type="dcterms:W3CDTF">2024-05-16T11:13:46Z</dcterms:modified>
</cp:coreProperties>
</file>